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Emprendimiento\Pry_Informes\"/>
    </mc:Choice>
  </mc:AlternateContent>
  <xr:revisionPtr revIDLastSave="0" documentId="13_ncr:1_{E7BE95D9-9A51-4A38-8478-5E6B40C0C9F0}" xr6:coauthVersionLast="43" xr6:coauthVersionMax="43" xr10:uidLastSave="{00000000-0000-0000-0000-000000000000}"/>
  <bookViews>
    <workbookView xWindow="20370" yWindow="-4575" windowWidth="28110" windowHeight="16440" firstSheet="1" activeTab="3" xr2:uid="{B7838980-3191-45E2-8B65-7F6CA8B9D886}"/>
  </bookViews>
  <sheets>
    <sheet name="PUC" sheetId="18" r:id="rId1"/>
    <sheet name="BceTerceros" sheetId="27" r:id="rId2"/>
    <sheet name="Bce" sheetId="16" r:id="rId3"/>
    <sheet name="Mov" sheetId="15" r:id="rId4"/>
    <sheet name="BceAnt" sheetId="28" r:id="rId5"/>
    <sheet name="Valida" sheetId="4" r:id="rId6"/>
    <sheet name="P&amp;L" sheetId="2" r:id="rId7"/>
    <sheet name="ESF" sheetId="9" r:id="rId8"/>
    <sheet name="ERI" sheetId="10" r:id="rId9"/>
    <sheet name="EFC_SS" sheetId="29" r:id="rId10"/>
    <sheet name="EFC.Ind" sheetId="30" r:id="rId11"/>
    <sheet name="ECP" sheetId="11" r:id="rId12"/>
    <sheet name="Proyección" sheetId="26" r:id="rId13"/>
    <sheet name="BS" sheetId="3" r:id="rId14"/>
    <sheet name="CF" sheetId="8" r:id="rId15"/>
    <sheet name="Forecast" sheetId="20" r:id="rId16"/>
    <sheet name="Iva" sheetId="23" r:id="rId17"/>
    <sheet name="Periodicidad" sheetId="25" r:id="rId18"/>
  </sheets>
  <definedNames>
    <definedName name="_xlnm._FilterDatabase" localSheetId="2" hidden="1">Bce!$A$1:$L$255</definedName>
    <definedName name="_xlnm._FilterDatabase" localSheetId="4" hidden="1">BceAnt!$A$1:$L$255</definedName>
    <definedName name="_xlnm._FilterDatabase" localSheetId="13" hidden="1">BS!$A$7:$F$87</definedName>
    <definedName name="_xlnm._FilterDatabase" localSheetId="14" hidden="1">CF!$A$7:$F$67</definedName>
    <definedName name="_xlnm._FilterDatabase" localSheetId="8" hidden="1">ERI!$B$7:$H$39</definedName>
    <definedName name="_xlnm._FilterDatabase" localSheetId="7" hidden="1">ESF!$B$5:$H$53</definedName>
    <definedName name="_xlnm._FilterDatabase" localSheetId="15" hidden="1">Forecast!$A$5:$P$152</definedName>
    <definedName name="_xlnm._FilterDatabase" localSheetId="16" hidden="1">Iva!$A$1:$Y$218</definedName>
    <definedName name="_xlnm._FilterDatabase" localSheetId="3" hidden="1">Mov!$A$1:$Z$3870</definedName>
    <definedName name="_xlnm._FilterDatabase" localSheetId="6" hidden="1">'P&amp;L'!$A$4:$Q$160</definedName>
    <definedName name="_xlnm._FilterDatabase" localSheetId="0" hidden="1">PUC!$A$1:$F$708</definedName>
    <definedName name="_xlnm._FilterDatabase" localSheetId="5" hidden="1">Valida!$A$1:$R$269</definedName>
    <definedName name="_Order1" hidden="1">255</definedName>
    <definedName name="_Order2" hidden="1">255</definedName>
    <definedName name="anscount" hidden="1">2</definedName>
    <definedName name="_xlnm.Print_Area" localSheetId="13">BS!$F$8:$F$86</definedName>
    <definedName name="_xlnm.Print_Area" localSheetId="14">CF!$F$8:$F$56</definedName>
    <definedName name="_xlnm.Print_Area" localSheetId="11">ECP!$A$1:$H$48</definedName>
    <definedName name="_xlnm.Print_Area" localSheetId="10">EFC.Ind!$E$1:$H$61</definedName>
    <definedName name="_xlnm.Print_Area" localSheetId="8">ERI!$D$1:$H$50</definedName>
    <definedName name="_xlnm.Print_Area" localSheetId="7">ESF!$D$1:$I$62</definedName>
    <definedName name="_xlnm.Print_Area" localSheetId="15">Forecast!$D$6:$P$149</definedName>
    <definedName name="_xlnm.Print_Area" localSheetId="6">'P&amp;L'!$E$5:$Q$160</definedName>
    <definedName name="_xlnm.Print_Area" localSheetId="12">Proyección!$B$1:$C$27</definedName>
    <definedName name="AS2DocOpenMode" hidden="1">"AS2DocumentEdit"</definedName>
    <definedName name="BNE_MESSAGES_HIDDEN" localSheetId="10" hidden="1">#REF!</definedName>
    <definedName name="BNE_MESSAGES_HIDDEN" hidden="1">#REF!</definedName>
    <definedName name="EV__EVCOM_OPTIONS__" hidden="1">8</definedName>
    <definedName name="EV__EXPOPTIONS__" hidden="1">0</definedName>
    <definedName name="EV__LASTREFTIME__" hidden="1">41064.7919675926</definedName>
    <definedName name="EV__MAXEXPCOLS__" hidden="1">100</definedName>
    <definedName name="EV__MAXEXPROWS__" hidden="1">1000</definedName>
    <definedName name="EV__MEMORYCVW__" hidden="1">0</definedName>
    <definedName name="EV__WBEVMODE__" hidden="1">1</definedName>
    <definedName name="EV__WBREFOPTIONS__" hidden="1">134217732</definedName>
    <definedName name="EV__WBVERSION__" hidden="1">0</definedName>
    <definedName name="EV__WSINFO__" hidden="1">"alphaga"</definedName>
    <definedName name="TextRefCopyRangeCount" hidden="1">2</definedName>
    <definedName name="_xlnm.Print_Titles" localSheetId="13">BS!$C:$C,BS!$2:$7</definedName>
    <definedName name="_xlnm.Print_Titles" localSheetId="14">CF!$B:$C,CF!$2:$7</definedName>
    <definedName name="_xlnm.Print_Titles" localSheetId="10">EFC.Ind!$A:$D</definedName>
    <definedName name="_xlnm.Print_Titles" localSheetId="15">Forecast!$C:$C,Forecast!$1:$5</definedName>
    <definedName name="_xlnm.Print_Titles" localSheetId="6">'P&amp;L'!$D:$D,'P&amp;L'!$1:$4</definedName>
    <definedName name="wrn.Aging._.and._.Trend._.Analysis." localSheetId="4" hidden="1">{#N/A,#N/A,FALSE,"Aging Summary";#N/A,#N/A,FALSE,"Ratio Analysis";#N/A,#N/A,FALSE,"Test 120 Day Accts";#N/A,#N/A,FALSE,"Tickmarks"}</definedName>
    <definedName name="wrn.Aging._.and._.Trend._.Analysis." localSheetId="1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_1" localSheetId="4" hidden="1">{#N/A,#N/A,FALSE,"Aging Summary";#N/A,#N/A,FALSE,"Ratio Analysis";#N/A,#N/A,FALSE,"Test 120 Day Accts";#N/A,#N/A,FALSE,"Tickmarks"}</definedName>
    <definedName name="wrn.Aging._.and._.Trend._.Analysis._1" localSheetId="10"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1_1" localSheetId="4" hidden="1">{#N/A,#N/A,FALSE,"Aging Summary";#N/A,#N/A,FALSE,"Ratio Analysis";#N/A,#N/A,FALSE,"Test 120 Day Accts";#N/A,#N/A,FALSE,"Tickmarks"}</definedName>
    <definedName name="wrn.Aging._.and._.Trend._.Analysis._1_1" localSheetId="10" hidden="1">{#N/A,#N/A,FALSE,"Aging Summary";#N/A,#N/A,FALSE,"Ratio Analysis";#N/A,#N/A,FALSE,"Test 120 Day Accts";#N/A,#N/A,FALSE,"Tickmarks"}</definedName>
    <definedName name="wrn.Aging._.and._.Trend._.Analysis._1_1" hidden="1">{#N/A,#N/A,FALSE,"Aging Summary";#N/A,#N/A,FALSE,"Ratio Analysis";#N/A,#N/A,FALSE,"Test 120 Day Accts";#N/A,#N/A,FALSE,"Tickmarks"}</definedName>
    <definedName name="wrn.Aging._.and._.Trend._.Analysis._1_1_1" localSheetId="4" hidden="1">{#N/A,#N/A,FALSE,"Aging Summary";#N/A,#N/A,FALSE,"Ratio Analysis";#N/A,#N/A,FALSE,"Test 120 Day Accts";#N/A,#N/A,FALSE,"Tickmarks"}</definedName>
    <definedName name="wrn.Aging._.and._.Trend._.Analysis._1_1_1" localSheetId="10" hidden="1">{#N/A,#N/A,FALSE,"Aging Summary";#N/A,#N/A,FALSE,"Ratio Analysis";#N/A,#N/A,FALSE,"Test 120 Day Accts";#N/A,#N/A,FALSE,"Tickmarks"}</definedName>
    <definedName name="wrn.Aging._.and._.Trend._.Analysis._1_1_1" hidden="1">{#N/A,#N/A,FALSE,"Aging Summary";#N/A,#N/A,FALSE,"Ratio Analysis";#N/A,#N/A,FALSE,"Test 120 Day Accts";#N/A,#N/A,FALSE,"Tickmarks"}</definedName>
    <definedName name="wrn.Aging._.and._.Trend._.Analysis._1_1_1_1" localSheetId="4" hidden="1">{#N/A,#N/A,FALSE,"Aging Summary";#N/A,#N/A,FALSE,"Ratio Analysis";#N/A,#N/A,FALSE,"Test 120 Day Accts";#N/A,#N/A,FALSE,"Tickmarks"}</definedName>
    <definedName name="wrn.Aging._.and._.Trend._.Analysis._1_1_1_1" localSheetId="10" hidden="1">{#N/A,#N/A,FALSE,"Aging Summary";#N/A,#N/A,FALSE,"Ratio Analysis";#N/A,#N/A,FALSE,"Test 120 Day Accts";#N/A,#N/A,FALSE,"Tickmarks"}</definedName>
    <definedName name="wrn.Aging._.and._.Trend._.Analysis._1_1_1_1" hidden="1">{#N/A,#N/A,FALSE,"Aging Summary";#N/A,#N/A,FALSE,"Ratio Analysis";#N/A,#N/A,FALSE,"Test 120 Day Accts";#N/A,#N/A,FALSE,"Tickmarks"}</definedName>
    <definedName name="wrn.Aging._.and._.Trend._.Analysis._1_1_1_1_1" localSheetId="4" hidden="1">{#N/A,#N/A,FALSE,"Aging Summary";#N/A,#N/A,FALSE,"Ratio Analysis";#N/A,#N/A,FALSE,"Test 120 Day Accts";#N/A,#N/A,FALSE,"Tickmarks"}</definedName>
    <definedName name="wrn.Aging._.and._.Trend._.Analysis._1_1_1_1_1" localSheetId="10" hidden="1">{#N/A,#N/A,FALSE,"Aging Summary";#N/A,#N/A,FALSE,"Ratio Analysis";#N/A,#N/A,FALSE,"Test 120 Day Accts";#N/A,#N/A,FALSE,"Tickmarks"}</definedName>
    <definedName name="wrn.Aging._.and._.Trend._.Analysis._1_1_1_1_1" hidden="1">{#N/A,#N/A,FALSE,"Aging Summary";#N/A,#N/A,FALSE,"Ratio Analysis";#N/A,#N/A,FALSE,"Test 120 Day Accts";#N/A,#N/A,FALSE,"Tickmarks"}</definedName>
    <definedName name="wrn.Aging._.and._.Trend._.Analysis._1_1_1_1_2" localSheetId="4" hidden="1">{#N/A,#N/A,FALSE,"Aging Summary";#N/A,#N/A,FALSE,"Ratio Analysis";#N/A,#N/A,FALSE,"Test 120 Day Accts";#N/A,#N/A,FALSE,"Tickmarks"}</definedName>
    <definedName name="wrn.Aging._.and._.Trend._.Analysis._1_1_1_1_2" localSheetId="10" hidden="1">{#N/A,#N/A,FALSE,"Aging Summary";#N/A,#N/A,FALSE,"Ratio Analysis";#N/A,#N/A,FALSE,"Test 120 Day Accts";#N/A,#N/A,FALSE,"Tickmarks"}</definedName>
    <definedName name="wrn.Aging._.and._.Trend._.Analysis._1_1_1_1_2" hidden="1">{#N/A,#N/A,FALSE,"Aging Summary";#N/A,#N/A,FALSE,"Ratio Analysis";#N/A,#N/A,FALSE,"Test 120 Day Accts";#N/A,#N/A,FALSE,"Tickmarks"}</definedName>
    <definedName name="wrn.Aging._.and._.Trend._.Analysis._1_1_1_2" localSheetId="4" hidden="1">{#N/A,#N/A,FALSE,"Aging Summary";#N/A,#N/A,FALSE,"Ratio Analysis";#N/A,#N/A,FALSE,"Test 120 Day Accts";#N/A,#N/A,FALSE,"Tickmarks"}</definedName>
    <definedName name="wrn.Aging._.and._.Trend._.Analysis._1_1_1_2" localSheetId="10" hidden="1">{#N/A,#N/A,FALSE,"Aging Summary";#N/A,#N/A,FALSE,"Ratio Analysis";#N/A,#N/A,FALSE,"Test 120 Day Accts";#N/A,#N/A,FALSE,"Tickmarks"}</definedName>
    <definedName name="wrn.Aging._.and._.Trend._.Analysis._1_1_1_2" hidden="1">{#N/A,#N/A,FALSE,"Aging Summary";#N/A,#N/A,FALSE,"Ratio Analysis";#N/A,#N/A,FALSE,"Test 120 Day Accts";#N/A,#N/A,FALSE,"Tickmarks"}</definedName>
    <definedName name="wrn.Aging._.and._.Trend._.Analysis._1_1_1_2_1" localSheetId="4" hidden="1">{#N/A,#N/A,FALSE,"Aging Summary";#N/A,#N/A,FALSE,"Ratio Analysis";#N/A,#N/A,FALSE,"Test 120 Day Accts";#N/A,#N/A,FALSE,"Tickmarks"}</definedName>
    <definedName name="wrn.Aging._.and._.Trend._.Analysis._1_1_1_2_1" localSheetId="10" hidden="1">{#N/A,#N/A,FALSE,"Aging Summary";#N/A,#N/A,FALSE,"Ratio Analysis";#N/A,#N/A,FALSE,"Test 120 Day Accts";#N/A,#N/A,FALSE,"Tickmarks"}</definedName>
    <definedName name="wrn.Aging._.and._.Trend._.Analysis._1_1_1_2_1" hidden="1">{#N/A,#N/A,FALSE,"Aging Summary";#N/A,#N/A,FALSE,"Ratio Analysis";#N/A,#N/A,FALSE,"Test 120 Day Accts";#N/A,#N/A,FALSE,"Tickmarks"}</definedName>
    <definedName name="wrn.Aging._.and._.Trend._.Analysis._1_1_1_2_2" localSheetId="4" hidden="1">{#N/A,#N/A,FALSE,"Aging Summary";#N/A,#N/A,FALSE,"Ratio Analysis";#N/A,#N/A,FALSE,"Test 120 Day Accts";#N/A,#N/A,FALSE,"Tickmarks"}</definedName>
    <definedName name="wrn.Aging._.and._.Trend._.Analysis._1_1_1_2_2" localSheetId="10" hidden="1">{#N/A,#N/A,FALSE,"Aging Summary";#N/A,#N/A,FALSE,"Ratio Analysis";#N/A,#N/A,FALSE,"Test 120 Day Accts";#N/A,#N/A,FALSE,"Tickmarks"}</definedName>
    <definedName name="wrn.Aging._.and._.Trend._.Analysis._1_1_1_2_2" hidden="1">{#N/A,#N/A,FALSE,"Aging Summary";#N/A,#N/A,FALSE,"Ratio Analysis";#N/A,#N/A,FALSE,"Test 120 Day Accts";#N/A,#N/A,FALSE,"Tickmarks"}</definedName>
    <definedName name="wrn.Aging._.and._.Trend._.Analysis._1_1_1_3" localSheetId="4" hidden="1">{#N/A,#N/A,FALSE,"Aging Summary";#N/A,#N/A,FALSE,"Ratio Analysis";#N/A,#N/A,FALSE,"Test 120 Day Accts";#N/A,#N/A,FALSE,"Tickmarks"}</definedName>
    <definedName name="wrn.Aging._.and._.Trend._.Analysis._1_1_1_3" localSheetId="10" hidden="1">{#N/A,#N/A,FALSE,"Aging Summary";#N/A,#N/A,FALSE,"Ratio Analysis";#N/A,#N/A,FALSE,"Test 120 Day Accts";#N/A,#N/A,FALSE,"Tickmarks"}</definedName>
    <definedName name="wrn.Aging._.and._.Trend._.Analysis._1_1_1_3" hidden="1">{#N/A,#N/A,FALSE,"Aging Summary";#N/A,#N/A,FALSE,"Ratio Analysis";#N/A,#N/A,FALSE,"Test 120 Day Accts";#N/A,#N/A,FALSE,"Tickmarks"}</definedName>
    <definedName name="wrn.Aging._.and._.Trend._.Analysis._1_1_1_3_1" localSheetId="4" hidden="1">{#N/A,#N/A,FALSE,"Aging Summary";#N/A,#N/A,FALSE,"Ratio Analysis";#N/A,#N/A,FALSE,"Test 120 Day Accts";#N/A,#N/A,FALSE,"Tickmarks"}</definedName>
    <definedName name="wrn.Aging._.and._.Trend._.Analysis._1_1_1_3_1" localSheetId="10" hidden="1">{#N/A,#N/A,FALSE,"Aging Summary";#N/A,#N/A,FALSE,"Ratio Analysis";#N/A,#N/A,FALSE,"Test 120 Day Accts";#N/A,#N/A,FALSE,"Tickmarks"}</definedName>
    <definedName name="wrn.Aging._.and._.Trend._.Analysis._1_1_1_3_1" hidden="1">{#N/A,#N/A,FALSE,"Aging Summary";#N/A,#N/A,FALSE,"Ratio Analysis";#N/A,#N/A,FALSE,"Test 120 Day Accts";#N/A,#N/A,FALSE,"Tickmarks"}</definedName>
    <definedName name="wrn.Aging._.and._.Trend._.Analysis._1_1_1_3_2" localSheetId="4" hidden="1">{#N/A,#N/A,FALSE,"Aging Summary";#N/A,#N/A,FALSE,"Ratio Analysis";#N/A,#N/A,FALSE,"Test 120 Day Accts";#N/A,#N/A,FALSE,"Tickmarks"}</definedName>
    <definedName name="wrn.Aging._.and._.Trend._.Analysis._1_1_1_3_2" localSheetId="10" hidden="1">{#N/A,#N/A,FALSE,"Aging Summary";#N/A,#N/A,FALSE,"Ratio Analysis";#N/A,#N/A,FALSE,"Test 120 Day Accts";#N/A,#N/A,FALSE,"Tickmarks"}</definedName>
    <definedName name="wrn.Aging._.and._.Trend._.Analysis._1_1_1_3_2" hidden="1">{#N/A,#N/A,FALSE,"Aging Summary";#N/A,#N/A,FALSE,"Ratio Analysis";#N/A,#N/A,FALSE,"Test 120 Day Accts";#N/A,#N/A,FALSE,"Tickmarks"}</definedName>
    <definedName name="wrn.Aging._.and._.Trend._.Analysis._1_1_1_4" localSheetId="4" hidden="1">{#N/A,#N/A,FALSE,"Aging Summary";#N/A,#N/A,FALSE,"Ratio Analysis";#N/A,#N/A,FALSE,"Test 120 Day Accts";#N/A,#N/A,FALSE,"Tickmarks"}</definedName>
    <definedName name="wrn.Aging._.and._.Trend._.Analysis._1_1_1_4" localSheetId="10" hidden="1">{#N/A,#N/A,FALSE,"Aging Summary";#N/A,#N/A,FALSE,"Ratio Analysis";#N/A,#N/A,FALSE,"Test 120 Day Accts";#N/A,#N/A,FALSE,"Tickmarks"}</definedName>
    <definedName name="wrn.Aging._.and._.Trend._.Analysis._1_1_1_4" hidden="1">{#N/A,#N/A,FALSE,"Aging Summary";#N/A,#N/A,FALSE,"Ratio Analysis";#N/A,#N/A,FALSE,"Test 120 Day Accts";#N/A,#N/A,FALSE,"Tickmarks"}</definedName>
    <definedName name="wrn.Aging._.and._.Trend._.Analysis._1_1_1_5" localSheetId="4" hidden="1">{#N/A,#N/A,FALSE,"Aging Summary";#N/A,#N/A,FALSE,"Ratio Analysis";#N/A,#N/A,FALSE,"Test 120 Day Accts";#N/A,#N/A,FALSE,"Tickmarks"}</definedName>
    <definedName name="wrn.Aging._.and._.Trend._.Analysis._1_1_1_5" localSheetId="10" hidden="1">{#N/A,#N/A,FALSE,"Aging Summary";#N/A,#N/A,FALSE,"Ratio Analysis";#N/A,#N/A,FALSE,"Test 120 Day Accts";#N/A,#N/A,FALSE,"Tickmarks"}</definedName>
    <definedName name="wrn.Aging._.and._.Trend._.Analysis._1_1_1_5" hidden="1">{#N/A,#N/A,FALSE,"Aging Summary";#N/A,#N/A,FALSE,"Ratio Analysis";#N/A,#N/A,FALSE,"Test 120 Day Accts";#N/A,#N/A,FALSE,"Tickmarks"}</definedName>
    <definedName name="wrn.Aging._.and._.Trend._.Analysis._1_1_2" localSheetId="4" hidden="1">{#N/A,#N/A,FALSE,"Aging Summary";#N/A,#N/A,FALSE,"Ratio Analysis";#N/A,#N/A,FALSE,"Test 120 Day Accts";#N/A,#N/A,FALSE,"Tickmarks"}</definedName>
    <definedName name="wrn.Aging._.and._.Trend._.Analysis._1_1_2" localSheetId="10" hidden="1">{#N/A,#N/A,FALSE,"Aging Summary";#N/A,#N/A,FALSE,"Ratio Analysis";#N/A,#N/A,FALSE,"Test 120 Day Accts";#N/A,#N/A,FALSE,"Tickmarks"}</definedName>
    <definedName name="wrn.Aging._.and._.Trend._.Analysis._1_1_2" hidden="1">{#N/A,#N/A,FALSE,"Aging Summary";#N/A,#N/A,FALSE,"Ratio Analysis";#N/A,#N/A,FALSE,"Test 120 Day Accts";#N/A,#N/A,FALSE,"Tickmarks"}</definedName>
    <definedName name="wrn.Aging._.and._.Trend._.Analysis._1_1_2_1" localSheetId="4" hidden="1">{#N/A,#N/A,FALSE,"Aging Summary";#N/A,#N/A,FALSE,"Ratio Analysis";#N/A,#N/A,FALSE,"Test 120 Day Accts";#N/A,#N/A,FALSE,"Tickmarks"}</definedName>
    <definedName name="wrn.Aging._.and._.Trend._.Analysis._1_1_2_1" localSheetId="10" hidden="1">{#N/A,#N/A,FALSE,"Aging Summary";#N/A,#N/A,FALSE,"Ratio Analysis";#N/A,#N/A,FALSE,"Test 120 Day Accts";#N/A,#N/A,FALSE,"Tickmarks"}</definedName>
    <definedName name="wrn.Aging._.and._.Trend._.Analysis._1_1_2_1" hidden="1">{#N/A,#N/A,FALSE,"Aging Summary";#N/A,#N/A,FALSE,"Ratio Analysis";#N/A,#N/A,FALSE,"Test 120 Day Accts";#N/A,#N/A,FALSE,"Tickmarks"}</definedName>
    <definedName name="wrn.Aging._.and._.Trend._.Analysis._1_1_2_2" localSheetId="4" hidden="1">{#N/A,#N/A,FALSE,"Aging Summary";#N/A,#N/A,FALSE,"Ratio Analysis";#N/A,#N/A,FALSE,"Test 120 Day Accts";#N/A,#N/A,FALSE,"Tickmarks"}</definedName>
    <definedName name="wrn.Aging._.and._.Trend._.Analysis._1_1_2_2" localSheetId="10" hidden="1">{#N/A,#N/A,FALSE,"Aging Summary";#N/A,#N/A,FALSE,"Ratio Analysis";#N/A,#N/A,FALSE,"Test 120 Day Accts";#N/A,#N/A,FALSE,"Tickmarks"}</definedName>
    <definedName name="wrn.Aging._.and._.Trend._.Analysis._1_1_2_2" hidden="1">{#N/A,#N/A,FALSE,"Aging Summary";#N/A,#N/A,FALSE,"Ratio Analysis";#N/A,#N/A,FALSE,"Test 120 Day Accts";#N/A,#N/A,FALSE,"Tickmarks"}</definedName>
    <definedName name="wrn.Aging._.and._.Trend._.Analysis._1_1_3" localSheetId="4" hidden="1">{#N/A,#N/A,FALSE,"Aging Summary";#N/A,#N/A,FALSE,"Ratio Analysis";#N/A,#N/A,FALSE,"Test 120 Day Accts";#N/A,#N/A,FALSE,"Tickmarks"}</definedName>
    <definedName name="wrn.Aging._.and._.Trend._.Analysis._1_1_3" localSheetId="10" hidden="1">{#N/A,#N/A,FALSE,"Aging Summary";#N/A,#N/A,FALSE,"Ratio Analysis";#N/A,#N/A,FALSE,"Test 120 Day Accts";#N/A,#N/A,FALSE,"Tickmarks"}</definedName>
    <definedName name="wrn.Aging._.and._.Trend._.Analysis._1_1_3" hidden="1">{#N/A,#N/A,FALSE,"Aging Summary";#N/A,#N/A,FALSE,"Ratio Analysis";#N/A,#N/A,FALSE,"Test 120 Day Accts";#N/A,#N/A,FALSE,"Tickmarks"}</definedName>
    <definedName name="wrn.Aging._.and._.Trend._.Analysis._1_1_3_1" localSheetId="4" hidden="1">{#N/A,#N/A,FALSE,"Aging Summary";#N/A,#N/A,FALSE,"Ratio Analysis";#N/A,#N/A,FALSE,"Test 120 Day Accts";#N/A,#N/A,FALSE,"Tickmarks"}</definedName>
    <definedName name="wrn.Aging._.and._.Trend._.Analysis._1_1_3_1" localSheetId="10" hidden="1">{#N/A,#N/A,FALSE,"Aging Summary";#N/A,#N/A,FALSE,"Ratio Analysis";#N/A,#N/A,FALSE,"Test 120 Day Accts";#N/A,#N/A,FALSE,"Tickmarks"}</definedName>
    <definedName name="wrn.Aging._.and._.Trend._.Analysis._1_1_3_1" hidden="1">{#N/A,#N/A,FALSE,"Aging Summary";#N/A,#N/A,FALSE,"Ratio Analysis";#N/A,#N/A,FALSE,"Test 120 Day Accts";#N/A,#N/A,FALSE,"Tickmarks"}</definedName>
    <definedName name="wrn.Aging._.and._.Trend._.Analysis._1_1_3_2" localSheetId="4" hidden="1">{#N/A,#N/A,FALSE,"Aging Summary";#N/A,#N/A,FALSE,"Ratio Analysis";#N/A,#N/A,FALSE,"Test 120 Day Accts";#N/A,#N/A,FALSE,"Tickmarks"}</definedName>
    <definedName name="wrn.Aging._.and._.Trend._.Analysis._1_1_3_2" localSheetId="10" hidden="1">{#N/A,#N/A,FALSE,"Aging Summary";#N/A,#N/A,FALSE,"Ratio Analysis";#N/A,#N/A,FALSE,"Test 120 Day Accts";#N/A,#N/A,FALSE,"Tickmarks"}</definedName>
    <definedName name="wrn.Aging._.and._.Trend._.Analysis._1_1_3_2" hidden="1">{#N/A,#N/A,FALSE,"Aging Summary";#N/A,#N/A,FALSE,"Ratio Analysis";#N/A,#N/A,FALSE,"Test 120 Day Accts";#N/A,#N/A,FALSE,"Tickmarks"}</definedName>
    <definedName name="wrn.Aging._.and._.Trend._.Analysis._1_1_4" localSheetId="4" hidden="1">{#N/A,#N/A,FALSE,"Aging Summary";#N/A,#N/A,FALSE,"Ratio Analysis";#N/A,#N/A,FALSE,"Test 120 Day Accts";#N/A,#N/A,FALSE,"Tickmarks"}</definedName>
    <definedName name="wrn.Aging._.and._.Trend._.Analysis._1_1_4" localSheetId="10" hidden="1">{#N/A,#N/A,FALSE,"Aging Summary";#N/A,#N/A,FALSE,"Ratio Analysis";#N/A,#N/A,FALSE,"Test 120 Day Accts";#N/A,#N/A,FALSE,"Tickmarks"}</definedName>
    <definedName name="wrn.Aging._.and._.Trend._.Analysis._1_1_4" hidden="1">{#N/A,#N/A,FALSE,"Aging Summary";#N/A,#N/A,FALSE,"Ratio Analysis";#N/A,#N/A,FALSE,"Test 120 Day Accts";#N/A,#N/A,FALSE,"Tickmarks"}</definedName>
    <definedName name="wrn.Aging._.and._.Trend._.Analysis._1_1_5" localSheetId="4" hidden="1">{#N/A,#N/A,FALSE,"Aging Summary";#N/A,#N/A,FALSE,"Ratio Analysis";#N/A,#N/A,FALSE,"Test 120 Day Accts";#N/A,#N/A,FALSE,"Tickmarks"}</definedName>
    <definedName name="wrn.Aging._.and._.Trend._.Analysis._1_1_5" localSheetId="10" hidden="1">{#N/A,#N/A,FALSE,"Aging Summary";#N/A,#N/A,FALSE,"Ratio Analysis";#N/A,#N/A,FALSE,"Test 120 Day Accts";#N/A,#N/A,FALSE,"Tickmarks"}</definedName>
    <definedName name="wrn.Aging._.and._.Trend._.Analysis._1_1_5" hidden="1">{#N/A,#N/A,FALSE,"Aging Summary";#N/A,#N/A,FALSE,"Ratio Analysis";#N/A,#N/A,FALSE,"Test 120 Day Accts";#N/A,#N/A,FALSE,"Tickmarks"}</definedName>
    <definedName name="wrn.Aging._.and._.Trend._.Analysis._1_2" localSheetId="4" hidden="1">{#N/A,#N/A,FALSE,"Aging Summary";#N/A,#N/A,FALSE,"Ratio Analysis";#N/A,#N/A,FALSE,"Test 120 Day Accts";#N/A,#N/A,FALSE,"Tickmarks"}</definedName>
    <definedName name="wrn.Aging._.and._.Trend._.Analysis._1_2" localSheetId="10" hidden="1">{#N/A,#N/A,FALSE,"Aging Summary";#N/A,#N/A,FALSE,"Ratio Analysis";#N/A,#N/A,FALSE,"Test 120 Day Accts";#N/A,#N/A,FALSE,"Tickmarks"}</definedName>
    <definedName name="wrn.Aging._.and._.Trend._.Analysis._1_2" hidden="1">{#N/A,#N/A,FALSE,"Aging Summary";#N/A,#N/A,FALSE,"Ratio Analysis";#N/A,#N/A,FALSE,"Test 120 Day Accts";#N/A,#N/A,FALSE,"Tickmarks"}</definedName>
    <definedName name="wrn.Aging._.and._.Trend._.Analysis._1_2_1" localSheetId="4" hidden="1">{#N/A,#N/A,FALSE,"Aging Summary";#N/A,#N/A,FALSE,"Ratio Analysis";#N/A,#N/A,FALSE,"Test 120 Day Accts";#N/A,#N/A,FALSE,"Tickmarks"}</definedName>
    <definedName name="wrn.Aging._.and._.Trend._.Analysis._1_2_1" localSheetId="10" hidden="1">{#N/A,#N/A,FALSE,"Aging Summary";#N/A,#N/A,FALSE,"Ratio Analysis";#N/A,#N/A,FALSE,"Test 120 Day Accts";#N/A,#N/A,FALSE,"Tickmarks"}</definedName>
    <definedName name="wrn.Aging._.and._.Trend._.Analysis._1_2_1" hidden="1">{#N/A,#N/A,FALSE,"Aging Summary";#N/A,#N/A,FALSE,"Ratio Analysis";#N/A,#N/A,FALSE,"Test 120 Day Accts";#N/A,#N/A,FALSE,"Tickmarks"}</definedName>
    <definedName name="wrn.Aging._.and._.Trend._.Analysis._1_2_1_1" localSheetId="4" hidden="1">{#N/A,#N/A,FALSE,"Aging Summary";#N/A,#N/A,FALSE,"Ratio Analysis";#N/A,#N/A,FALSE,"Test 120 Day Accts";#N/A,#N/A,FALSE,"Tickmarks"}</definedName>
    <definedName name="wrn.Aging._.and._.Trend._.Analysis._1_2_1_1" localSheetId="10" hidden="1">{#N/A,#N/A,FALSE,"Aging Summary";#N/A,#N/A,FALSE,"Ratio Analysis";#N/A,#N/A,FALSE,"Test 120 Day Accts";#N/A,#N/A,FALSE,"Tickmarks"}</definedName>
    <definedName name="wrn.Aging._.and._.Trend._.Analysis._1_2_1_1" hidden="1">{#N/A,#N/A,FALSE,"Aging Summary";#N/A,#N/A,FALSE,"Ratio Analysis";#N/A,#N/A,FALSE,"Test 120 Day Accts";#N/A,#N/A,FALSE,"Tickmarks"}</definedName>
    <definedName name="wrn.Aging._.and._.Trend._.Analysis._1_2_1_2" localSheetId="4" hidden="1">{#N/A,#N/A,FALSE,"Aging Summary";#N/A,#N/A,FALSE,"Ratio Analysis";#N/A,#N/A,FALSE,"Test 120 Day Accts";#N/A,#N/A,FALSE,"Tickmarks"}</definedName>
    <definedName name="wrn.Aging._.and._.Trend._.Analysis._1_2_1_2" localSheetId="10" hidden="1">{#N/A,#N/A,FALSE,"Aging Summary";#N/A,#N/A,FALSE,"Ratio Analysis";#N/A,#N/A,FALSE,"Test 120 Day Accts";#N/A,#N/A,FALSE,"Tickmarks"}</definedName>
    <definedName name="wrn.Aging._.and._.Trend._.Analysis._1_2_1_2" hidden="1">{#N/A,#N/A,FALSE,"Aging Summary";#N/A,#N/A,FALSE,"Ratio Analysis";#N/A,#N/A,FALSE,"Test 120 Day Accts";#N/A,#N/A,FALSE,"Tickmarks"}</definedName>
    <definedName name="wrn.Aging._.and._.Trend._.Analysis._1_2_2" localSheetId="4" hidden="1">{#N/A,#N/A,FALSE,"Aging Summary";#N/A,#N/A,FALSE,"Ratio Analysis";#N/A,#N/A,FALSE,"Test 120 Day Accts";#N/A,#N/A,FALSE,"Tickmarks"}</definedName>
    <definedName name="wrn.Aging._.and._.Trend._.Analysis._1_2_2" localSheetId="10" hidden="1">{#N/A,#N/A,FALSE,"Aging Summary";#N/A,#N/A,FALSE,"Ratio Analysis";#N/A,#N/A,FALSE,"Test 120 Day Accts";#N/A,#N/A,FALSE,"Tickmarks"}</definedName>
    <definedName name="wrn.Aging._.and._.Trend._.Analysis._1_2_2" hidden="1">{#N/A,#N/A,FALSE,"Aging Summary";#N/A,#N/A,FALSE,"Ratio Analysis";#N/A,#N/A,FALSE,"Test 120 Day Accts";#N/A,#N/A,FALSE,"Tickmarks"}</definedName>
    <definedName name="wrn.Aging._.and._.Trend._.Analysis._1_2_2_1" localSheetId="4" hidden="1">{#N/A,#N/A,FALSE,"Aging Summary";#N/A,#N/A,FALSE,"Ratio Analysis";#N/A,#N/A,FALSE,"Test 120 Day Accts";#N/A,#N/A,FALSE,"Tickmarks"}</definedName>
    <definedName name="wrn.Aging._.and._.Trend._.Analysis._1_2_2_1" localSheetId="10" hidden="1">{#N/A,#N/A,FALSE,"Aging Summary";#N/A,#N/A,FALSE,"Ratio Analysis";#N/A,#N/A,FALSE,"Test 120 Day Accts";#N/A,#N/A,FALSE,"Tickmarks"}</definedName>
    <definedName name="wrn.Aging._.and._.Trend._.Analysis._1_2_2_1" hidden="1">{#N/A,#N/A,FALSE,"Aging Summary";#N/A,#N/A,FALSE,"Ratio Analysis";#N/A,#N/A,FALSE,"Test 120 Day Accts";#N/A,#N/A,FALSE,"Tickmarks"}</definedName>
    <definedName name="wrn.Aging._.and._.Trend._.Analysis._1_2_2_2" localSheetId="4" hidden="1">{#N/A,#N/A,FALSE,"Aging Summary";#N/A,#N/A,FALSE,"Ratio Analysis";#N/A,#N/A,FALSE,"Test 120 Day Accts";#N/A,#N/A,FALSE,"Tickmarks"}</definedName>
    <definedName name="wrn.Aging._.and._.Trend._.Analysis._1_2_2_2" localSheetId="10" hidden="1">{#N/A,#N/A,FALSE,"Aging Summary";#N/A,#N/A,FALSE,"Ratio Analysis";#N/A,#N/A,FALSE,"Test 120 Day Accts";#N/A,#N/A,FALSE,"Tickmarks"}</definedName>
    <definedName name="wrn.Aging._.and._.Trend._.Analysis._1_2_2_2" hidden="1">{#N/A,#N/A,FALSE,"Aging Summary";#N/A,#N/A,FALSE,"Ratio Analysis";#N/A,#N/A,FALSE,"Test 120 Day Accts";#N/A,#N/A,FALSE,"Tickmarks"}</definedName>
    <definedName name="wrn.Aging._.and._.Trend._.Analysis._1_2_3" localSheetId="4" hidden="1">{#N/A,#N/A,FALSE,"Aging Summary";#N/A,#N/A,FALSE,"Ratio Analysis";#N/A,#N/A,FALSE,"Test 120 Day Accts";#N/A,#N/A,FALSE,"Tickmarks"}</definedName>
    <definedName name="wrn.Aging._.and._.Trend._.Analysis._1_2_3" localSheetId="10" hidden="1">{#N/A,#N/A,FALSE,"Aging Summary";#N/A,#N/A,FALSE,"Ratio Analysis";#N/A,#N/A,FALSE,"Test 120 Day Accts";#N/A,#N/A,FALSE,"Tickmarks"}</definedName>
    <definedName name="wrn.Aging._.and._.Trend._.Analysis._1_2_3" hidden="1">{#N/A,#N/A,FALSE,"Aging Summary";#N/A,#N/A,FALSE,"Ratio Analysis";#N/A,#N/A,FALSE,"Test 120 Day Accts";#N/A,#N/A,FALSE,"Tickmarks"}</definedName>
    <definedName name="wrn.Aging._.and._.Trend._.Analysis._1_2_3_1" localSheetId="4" hidden="1">{#N/A,#N/A,FALSE,"Aging Summary";#N/A,#N/A,FALSE,"Ratio Analysis";#N/A,#N/A,FALSE,"Test 120 Day Accts";#N/A,#N/A,FALSE,"Tickmarks"}</definedName>
    <definedName name="wrn.Aging._.and._.Trend._.Analysis._1_2_3_1" localSheetId="10" hidden="1">{#N/A,#N/A,FALSE,"Aging Summary";#N/A,#N/A,FALSE,"Ratio Analysis";#N/A,#N/A,FALSE,"Test 120 Day Accts";#N/A,#N/A,FALSE,"Tickmarks"}</definedName>
    <definedName name="wrn.Aging._.and._.Trend._.Analysis._1_2_3_1" hidden="1">{#N/A,#N/A,FALSE,"Aging Summary";#N/A,#N/A,FALSE,"Ratio Analysis";#N/A,#N/A,FALSE,"Test 120 Day Accts";#N/A,#N/A,FALSE,"Tickmarks"}</definedName>
    <definedName name="wrn.Aging._.and._.Trend._.Analysis._1_2_3_2" localSheetId="4" hidden="1">{#N/A,#N/A,FALSE,"Aging Summary";#N/A,#N/A,FALSE,"Ratio Analysis";#N/A,#N/A,FALSE,"Test 120 Day Accts";#N/A,#N/A,FALSE,"Tickmarks"}</definedName>
    <definedName name="wrn.Aging._.and._.Trend._.Analysis._1_2_3_2" localSheetId="10" hidden="1">{#N/A,#N/A,FALSE,"Aging Summary";#N/A,#N/A,FALSE,"Ratio Analysis";#N/A,#N/A,FALSE,"Test 120 Day Accts";#N/A,#N/A,FALSE,"Tickmarks"}</definedName>
    <definedName name="wrn.Aging._.and._.Trend._.Analysis._1_2_3_2" hidden="1">{#N/A,#N/A,FALSE,"Aging Summary";#N/A,#N/A,FALSE,"Ratio Analysis";#N/A,#N/A,FALSE,"Test 120 Day Accts";#N/A,#N/A,FALSE,"Tickmarks"}</definedName>
    <definedName name="wrn.Aging._.and._.Trend._.Analysis._1_2_4" localSheetId="4" hidden="1">{#N/A,#N/A,FALSE,"Aging Summary";#N/A,#N/A,FALSE,"Ratio Analysis";#N/A,#N/A,FALSE,"Test 120 Day Accts";#N/A,#N/A,FALSE,"Tickmarks"}</definedName>
    <definedName name="wrn.Aging._.and._.Trend._.Analysis._1_2_4" localSheetId="10" hidden="1">{#N/A,#N/A,FALSE,"Aging Summary";#N/A,#N/A,FALSE,"Ratio Analysis";#N/A,#N/A,FALSE,"Test 120 Day Accts";#N/A,#N/A,FALSE,"Tickmarks"}</definedName>
    <definedName name="wrn.Aging._.and._.Trend._.Analysis._1_2_4" hidden="1">{#N/A,#N/A,FALSE,"Aging Summary";#N/A,#N/A,FALSE,"Ratio Analysis";#N/A,#N/A,FALSE,"Test 120 Day Accts";#N/A,#N/A,FALSE,"Tickmarks"}</definedName>
    <definedName name="wrn.Aging._.and._.Trend._.Analysis._1_2_5" localSheetId="4" hidden="1">{#N/A,#N/A,FALSE,"Aging Summary";#N/A,#N/A,FALSE,"Ratio Analysis";#N/A,#N/A,FALSE,"Test 120 Day Accts";#N/A,#N/A,FALSE,"Tickmarks"}</definedName>
    <definedName name="wrn.Aging._.and._.Trend._.Analysis._1_2_5" localSheetId="10" hidden="1">{#N/A,#N/A,FALSE,"Aging Summary";#N/A,#N/A,FALSE,"Ratio Analysis";#N/A,#N/A,FALSE,"Test 120 Day Accts";#N/A,#N/A,FALSE,"Tickmarks"}</definedName>
    <definedName name="wrn.Aging._.and._.Trend._.Analysis._1_2_5" hidden="1">{#N/A,#N/A,FALSE,"Aging Summary";#N/A,#N/A,FALSE,"Ratio Analysis";#N/A,#N/A,FALSE,"Test 120 Day Accts";#N/A,#N/A,FALSE,"Tickmarks"}</definedName>
    <definedName name="wrn.Aging._.and._.Trend._.Analysis._1_3" localSheetId="4" hidden="1">{#N/A,#N/A,FALSE,"Aging Summary";#N/A,#N/A,FALSE,"Ratio Analysis";#N/A,#N/A,FALSE,"Test 120 Day Accts";#N/A,#N/A,FALSE,"Tickmarks"}</definedName>
    <definedName name="wrn.Aging._.and._.Trend._.Analysis._1_3" localSheetId="10" hidden="1">{#N/A,#N/A,FALSE,"Aging Summary";#N/A,#N/A,FALSE,"Ratio Analysis";#N/A,#N/A,FALSE,"Test 120 Day Accts";#N/A,#N/A,FALSE,"Tickmarks"}</definedName>
    <definedName name="wrn.Aging._.and._.Trend._.Analysis._1_3" hidden="1">{#N/A,#N/A,FALSE,"Aging Summary";#N/A,#N/A,FALSE,"Ratio Analysis";#N/A,#N/A,FALSE,"Test 120 Day Accts";#N/A,#N/A,FALSE,"Tickmarks"}</definedName>
    <definedName name="wrn.Aging._.and._.Trend._.Analysis._1_3_1" localSheetId="4" hidden="1">{#N/A,#N/A,FALSE,"Aging Summary";#N/A,#N/A,FALSE,"Ratio Analysis";#N/A,#N/A,FALSE,"Test 120 Day Accts";#N/A,#N/A,FALSE,"Tickmarks"}</definedName>
    <definedName name="wrn.Aging._.and._.Trend._.Analysis._1_3_1" localSheetId="10" hidden="1">{#N/A,#N/A,FALSE,"Aging Summary";#N/A,#N/A,FALSE,"Ratio Analysis";#N/A,#N/A,FALSE,"Test 120 Day Accts";#N/A,#N/A,FALSE,"Tickmarks"}</definedName>
    <definedName name="wrn.Aging._.and._.Trend._.Analysis._1_3_1" hidden="1">{#N/A,#N/A,FALSE,"Aging Summary";#N/A,#N/A,FALSE,"Ratio Analysis";#N/A,#N/A,FALSE,"Test 120 Day Accts";#N/A,#N/A,FALSE,"Tickmarks"}</definedName>
    <definedName name="wrn.Aging._.and._.Trend._.Analysis._1_3_1_1" localSheetId="4" hidden="1">{#N/A,#N/A,FALSE,"Aging Summary";#N/A,#N/A,FALSE,"Ratio Analysis";#N/A,#N/A,FALSE,"Test 120 Day Accts";#N/A,#N/A,FALSE,"Tickmarks"}</definedName>
    <definedName name="wrn.Aging._.and._.Trend._.Analysis._1_3_1_1" localSheetId="10" hidden="1">{#N/A,#N/A,FALSE,"Aging Summary";#N/A,#N/A,FALSE,"Ratio Analysis";#N/A,#N/A,FALSE,"Test 120 Day Accts";#N/A,#N/A,FALSE,"Tickmarks"}</definedName>
    <definedName name="wrn.Aging._.and._.Trend._.Analysis._1_3_1_1" hidden="1">{#N/A,#N/A,FALSE,"Aging Summary";#N/A,#N/A,FALSE,"Ratio Analysis";#N/A,#N/A,FALSE,"Test 120 Day Accts";#N/A,#N/A,FALSE,"Tickmarks"}</definedName>
    <definedName name="wrn.Aging._.and._.Trend._.Analysis._1_3_1_2" localSheetId="4" hidden="1">{#N/A,#N/A,FALSE,"Aging Summary";#N/A,#N/A,FALSE,"Ratio Analysis";#N/A,#N/A,FALSE,"Test 120 Day Accts";#N/A,#N/A,FALSE,"Tickmarks"}</definedName>
    <definedName name="wrn.Aging._.and._.Trend._.Analysis._1_3_1_2" localSheetId="10" hidden="1">{#N/A,#N/A,FALSE,"Aging Summary";#N/A,#N/A,FALSE,"Ratio Analysis";#N/A,#N/A,FALSE,"Test 120 Day Accts";#N/A,#N/A,FALSE,"Tickmarks"}</definedName>
    <definedName name="wrn.Aging._.and._.Trend._.Analysis._1_3_1_2" hidden="1">{#N/A,#N/A,FALSE,"Aging Summary";#N/A,#N/A,FALSE,"Ratio Analysis";#N/A,#N/A,FALSE,"Test 120 Day Accts";#N/A,#N/A,FALSE,"Tickmarks"}</definedName>
    <definedName name="wrn.Aging._.and._.Trend._.Analysis._1_3_2" localSheetId="4" hidden="1">{#N/A,#N/A,FALSE,"Aging Summary";#N/A,#N/A,FALSE,"Ratio Analysis";#N/A,#N/A,FALSE,"Test 120 Day Accts";#N/A,#N/A,FALSE,"Tickmarks"}</definedName>
    <definedName name="wrn.Aging._.and._.Trend._.Analysis._1_3_2" localSheetId="10" hidden="1">{#N/A,#N/A,FALSE,"Aging Summary";#N/A,#N/A,FALSE,"Ratio Analysis";#N/A,#N/A,FALSE,"Test 120 Day Accts";#N/A,#N/A,FALSE,"Tickmarks"}</definedName>
    <definedName name="wrn.Aging._.and._.Trend._.Analysis._1_3_2" hidden="1">{#N/A,#N/A,FALSE,"Aging Summary";#N/A,#N/A,FALSE,"Ratio Analysis";#N/A,#N/A,FALSE,"Test 120 Day Accts";#N/A,#N/A,FALSE,"Tickmarks"}</definedName>
    <definedName name="wrn.Aging._.and._.Trend._.Analysis._1_3_2_1" localSheetId="4" hidden="1">{#N/A,#N/A,FALSE,"Aging Summary";#N/A,#N/A,FALSE,"Ratio Analysis";#N/A,#N/A,FALSE,"Test 120 Day Accts";#N/A,#N/A,FALSE,"Tickmarks"}</definedName>
    <definedName name="wrn.Aging._.and._.Trend._.Analysis._1_3_2_1" localSheetId="10" hidden="1">{#N/A,#N/A,FALSE,"Aging Summary";#N/A,#N/A,FALSE,"Ratio Analysis";#N/A,#N/A,FALSE,"Test 120 Day Accts";#N/A,#N/A,FALSE,"Tickmarks"}</definedName>
    <definedName name="wrn.Aging._.and._.Trend._.Analysis._1_3_2_1" hidden="1">{#N/A,#N/A,FALSE,"Aging Summary";#N/A,#N/A,FALSE,"Ratio Analysis";#N/A,#N/A,FALSE,"Test 120 Day Accts";#N/A,#N/A,FALSE,"Tickmarks"}</definedName>
    <definedName name="wrn.Aging._.and._.Trend._.Analysis._1_3_2_2" localSheetId="4" hidden="1">{#N/A,#N/A,FALSE,"Aging Summary";#N/A,#N/A,FALSE,"Ratio Analysis";#N/A,#N/A,FALSE,"Test 120 Day Accts";#N/A,#N/A,FALSE,"Tickmarks"}</definedName>
    <definedName name="wrn.Aging._.and._.Trend._.Analysis._1_3_2_2" localSheetId="10" hidden="1">{#N/A,#N/A,FALSE,"Aging Summary";#N/A,#N/A,FALSE,"Ratio Analysis";#N/A,#N/A,FALSE,"Test 120 Day Accts";#N/A,#N/A,FALSE,"Tickmarks"}</definedName>
    <definedName name="wrn.Aging._.and._.Trend._.Analysis._1_3_2_2" hidden="1">{#N/A,#N/A,FALSE,"Aging Summary";#N/A,#N/A,FALSE,"Ratio Analysis";#N/A,#N/A,FALSE,"Test 120 Day Accts";#N/A,#N/A,FALSE,"Tickmarks"}</definedName>
    <definedName name="wrn.Aging._.and._.Trend._.Analysis._1_3_3" localSheetId="4" hidden="1">{#N/A,#N/A,FALSE,"Aging Summary";#N/A,#N/A,FALSE,"Ratio Analysis";#N/A,#N/A,FALSE,"Test 120 Day Accts";#N/A,#N/A,FALSE,"Tickmarks"}</definedName>
    <definedName name="wrn.Aging._.and._.Trend._.Analysis._1_3_3" localSheetId="10" hidden="1">{#N/A,#N/A,FALSE,"Aging Summary";#N/A,#N/A,FALSE,"Ratio Analysis";#N/A,#N/A,FALSE,"Test 120 Day Accts";#N/A,#N/A,FALSE,"Tickmarks"}</definedName>
    <definedName name="wrn.Aging._.and._.Trend._.Analysis._1_3_3" hidden="1">{#N/A,#N/A,FALSE,"Aging Summary";#N/A,#N/A,FALSE,"Ratio Analysis";#N/A,#N/A,FALSE,"Test 120 Day Accts";#N/A,#N/A,FALSE,"Tickmarks"}</definedName>
    <definedName name="wrn.Aging._.and._.Trend._.Analysis._1_3_3_1" localSheetId="4" hidden="1">{#N/A,#N/A,FALSE,"Aging Summary";#N/A,#N/A,FALSE,"Ratio Analysis";#N/A,#N/A,FALSE,"Test 120 Day Accts";#N/A,#N/A,FALSE,"Tickmarks"}</definedName>
    <definedName name="wrn.Aging._.and._.Trend._.Analysis._1_3_3_1" localSheetId="10" hidden="1">{#N/A,#N/A,FALSE,"Aging Summary";#N/A,#N/A,FALSE,"Ratio Analysis";#N/A,#N/A,FALSE,"Test 120 Day Accts";#N/A,#N/A,FALSE,"Tickmarks"}</definedName>
    <definedName name="wrn.Aging._.and._.Trend._.Analysis._1_3_3_1" hidden="1">{#N/A,#N/A,FALSE,"Aging Summary";#N/A,#N/A,FALSE,"Ratio Analysis";#N/A,#N/A,FALSE,"Test 120 Day Accts";#N/A,#N/A,FALSE,"Tickmarks"}</definedName>
    <definedName name="wrn.Aging._.and._.Trend._.Analysis._1_3_3_2" localSheetId="4" hidden="1">{#N/A,#N/A,FALSE,"Aging Summary";#N/A,#N/A,FALSE,"Ratio Analysis";#N/A,#N/A,FALSE,"Test 120 Day Accts";#N/A,#N/A,FALSE,"Tickmarks"}</definedName>
    <definedName name="wrn.Aging._.and._.Trend._.Analysis._1_3_3_2" localSheetId="10" hidden="1">{#N/A,#N/A,FALSE,"Aging Summary";#N/A,#N/A,FALSE,"Ratio Analysis";#N/A,#N/A,FALSE,"Test 120 Day Accts";#N/A,#N/A,FALSE,"Tickmarks"}</definedName>
    <definedName name="wrn.Aging._.and._.Trend._.Analysis._1_3_3_2" hidden="1">{#N/A,#N/A,FALSE,"Aging Summary";#N/A,#N/A,FALSE,"Ratio Analysis";#N/A,#N/A,FALSE,"Test 120 Day Accts";#N/A,#N/A,FALSE,"Tickmarks"}</definedName>
    <definedName name="wrn.Aging._.and._.Trend._.Analysis._1_3_4" localSheetId="4" hidden="1">{#N/A,#N/A,FALSE,"Aging Summary";#N/A,#N/A,FALSE,"Ratio Analysis";#N/A,#N/A,FALSE,"Test 120 Day Accts";#N/A,#N/A,FALSE,"Tickmarks"}</definedName>
    <definedName name="wrn.Aging._.and._.Trend._.Analysis._1_3_4" localSheetId="10" hidden="1">{#N/A,#N/A,FALSE,"Aging Summary";#N/A,#N/A,FALSE,"Ratio Analysis";#N/A,#N/A,FALSE,"Test 120 Day Accts";#N/A,#N/A,FALSE,"Tickmarks"}</definedName>
    <definedName name="wrn.Aging._.and._.Trend._.Analysis._1_3_4" hidden="1">{#N/A,#N/A,FALSE,"Aging Summary";#N/A,#N/A,FALSE,"Ratio Analysis";#N/A,#N/A,FALSE,"Test 120 Day Accts";#N/A,#N/A,FALSE,"Tickmarks"}</definedName>
    <definedName name="wrn.Aging._.and._.Trend._.Analysis._1_3_5" localSheetId="4" hidden="1">{#N/A,#N/A,FALSE,"Aging Summary";#N/A,#N/A,FALSE,"Ratio Analysis";#N/A,#N/A,FALSE,"Test 120 Day Accts";#N/A,#N/A,FALSE,"Tickmarks"}</definedName>
    <definedName name="wrn.Aging._.and._.Trend._.Analysis._1_3_5" localSheetId="10" hidden="1">{#N/A,#N/A,FALSE,"Aging Summary";#N/A,#N/A,FALSE,"Ratio Analysis";#N/A,#N/A,FALSE,"Test 120 Day Accts";#N/A,#N/A,FALSE,"Tickmarks"}</definedName>
    <definedName name="wrn.Aging._.and._.Trend._.Analysis._1_3_5" hidden="1">{#N/A,#N/A,FALSE,"Aging Summary";#N/A,#N/A,FALSE,"Ratio Analysis";#N/A,#N/A,FALSE,"Test 120 Day Accts";#N/A,#N/A,FALSE,"Tickmarks"}</definedName>
    <definedName name="wrn.Aging._.and._.Trend._.Analysis._1_4" localSheetId="4" hidden="1">{#N/A,#N/A,FALSE,"Aging Summary";#N/A,#N/A,FALSE,"Ratio Analysis";#N/A,#N/A,FALSE,"Test 120 Day Accts";#N/A,#N/A,FALSE,"Tickmarks"}</definedName>
    <definedName name="wrn.Aging._.and._.Trend._.Analysis._1_4" localSheetId="10" hidden="1">{#N/A,#N/A,FALSE,"Aging Summary";#N/A,#N/A,FALSE,"Ratio Analysis";#N/A,#N/A,FALSE,"Test 120 Day Accts";#N/A,#N/A,FALSE,"Tickmarks"}</definedName>
    <definedName name="wrn.Aging._.and._.Trend._.Analysis._1_4" hidden="1">{#N/A,#N/A,FALSE,"Aging Summary";#N/A,#N/A,FALSE,"Ratio Analysis";#N/A,#N/A,FALSE,"Test 120 Day Accts";#N/A,#N/A,FALSE,"Tickmarks"}</definedName>
    <definedName name="wrn.Aging._.and._.Trend._.Analysis._1_4_1" localSheetId="4" hidden="1">{#N/A,#N/A,FALSE,"Aging Summary";#N/A,#N/A,FALSE,"Ratio Analysis";#N/A,#N/A,FALSE,"Test 120 Day Accts";#N/A,#N/A,FALSE,"Tickmarks"}</definedName>
    <definedName name="wrn.Aging._.and._.Trend._.Analysis._1_4_1" localSheetId="10" hidden="1">{#N/A,#N/A,FALSE,"Aging Summary";#N/A,#N/A,FALSE,"Ratio Analysis";#N/A,#N/A,FALSE,"Test 120 Day Accts";#N/A,#N/A,FALSE,"Tickmarks"}</definedName>
    <definedName name="wrn.Aging._.and._.Trend._.Analysis._1_4_1" hidden="1">{#N/A,#N/A,FALSE,"Aging Summary";#N/A,#N/A,FALSE,"Ratio Analysis";#N/A,#N/A,FALSE,"Test 120 Day Accts";#N/A,#N/A,FALSE,"Tickmarks"}</definedName>
    <definedName name="wrn.Aging._.and._.Trend._.Analysis._1_4_1_1" localSheetId="4" hidden="1">{#N/A,#N/A,FALSE,"Aging Summary";#N/A,#N/A,FALSE,"Ratio Analysis";#N/A,#N/A,FALSE,"Test 120 Day Accts";#N/A,#N/A,FALSE,"Tickmarks"}</definedName>
    <definedName name="wrn.Aging._.and._.Trend._.Analysis._1_4_1_1" localSheetId="10" hidden="1">{#N/A,#N/A,FALSE,"Aging Summary";#N/A,#N/A,FALSE,"Ratio Analysis";#N/A,#N/A,FALSE,"Test 120 Day Accts";#N/A,#N/A,FALSE,"Tickmarks"}</definedName>
    <definedName name="wrn.Aging._.and._.Trend._.Analysis._1_4_1_1" hidden="1">{#N/A,#N/A,FALSE,"Aging Summary";#N/A,#N/A,FALSE,"Ratio Analysis";#N/A,#N/A,FALSE,"Test 120 Day Accts";#N/A,#N/A,FALSE,"Tickmarks"}</definedName>
    <definedName name="wrn.Aging._.and._.Trend._.Analysis._1_4_1_2" localSheetId="4" hidden="1">{#N/A,#N/A,FALSE,"Aging Summary";#N/A,#N/A,FALSE,"Ratio Analysis";#N/A,#N/A,FALSE,"Test 120 Day Accts";#N/A,#N/A,FALSE,"Tickmarks"}</definedName>
    <definedName name="wrn.Aging._.and._.Trend._.Analysis._1_4_1_2" localSheetId="10" hidden="1">{#N/A,#N/A,FALSE,"Aging Summary";#N/A,#N/A,FALSE,"Ratio Analysis";#N/A,#N/A,FALSE,"Test 120 Day Accts";#N/A,#N/A,FALSE,"Tickmarks"}</definedName>
    <definedName name="wrn.Aging._.and._.Trend._.Analysis._1_4_1_2" hidden="1">{#N/A,#N/A,FALSE,"Aging Summary";#N/A,#N/A,FALSE,"Ratio Analysis";#N/A,#N/A,FALSE,"Test 120 Day Accts";#N/A,#N/A,FALSE,"Tickmarks"}</definedName>
    <definedName name="wrn.Aging._.and._.Trend._.Analysis._1_4_2" localSheetId="4" hidden="1">{#N/A,#N/A,FALSE,"Aging Summary";#N/A,#N/A,FALSE,"Ratio Analysis";#N/A,#N/A,FALSE,"Test 120 Day Accts";#N/A,#N/A,FALSE,"Tickmarks"}</definedName>
    <definedName name="wrn.Aging._.and._.Trend._.Analysis._1_4_2" localSheetId="10" hidden="1">{#N/A,#N/A,FALSE,"Aging Summary";#N/A,#N/A,FALSE,"Ratio Analysis";#N/A,#N/A,FALSE,"Test 120 Day Accts";#N/A,#N/A,FALSE,"Tickmarks"}</definedName>
    <definedName name="wrn.Aging._.and._.Trend._.Analysis._1_4_2" hidden="1">{#N/A,#N/A,FALSE,"Aging Summary";#N/A,#N/A,FALSE,"Ratio Analysis";#N/A,#N/A,FALSE,"Test 120 Day Accts";#N/A,#N/A,FALSE,"Tickmarks"}</definedName>
    <definedName name="wrn.Aging._.and._.Trend._.Analysis._1_4_2_1" localSheetId="4" hidden="1">{#N/A,#N/A,FALSE,"Aging Summary";#N/A,#N/A,FALSE,"Ratio Analysis";#N/A,#N/A,FALSE,"Test 120 Day Accts";#N/A,#N/A,FALSE,"Tickmarks"}</definedName>
    <definedName name="wrn.Aging._.and._.Trend._.Analysis._1_4_2_1" localSheetId="10" hidden="1">{#N/A,#N/A,FALSE,"Aging Summary";#N/A,#N/A,FALSE,"Ratio Analysis";#N/A,#N/A,FALSE,"Test 120 Day Accts";#N/A,#N/A,FALSE,"Tickmarks"}</definedName>
    <definedName name="wrn.Aging._.and._.Trend._.Analysis._1_4_2_1" hidden="1">{#N/A,#N/A,FALSE,"Aging Summary";#N/A,#N/A,FALSE,"Ratio Analysis";#N/A,#N/A,FALSE,"Test 120 Day Accts";#N/A,#N/A,FALSE,"Tickmarks"}</definedName>
    <definedName name="wrn.Aging._.and._.Trend._.Analysis._1_4_2_2" localSheetId="4" hidden="1">{#N/A,#N/A,FALSE,"Aging Summary";#N/A,#N/A,FALSE,"Ratio Analysis";#N/A,#N/A,FALSE,"Test 120 Day Accts";#N/A,#N/A,FALSE,"Tickmarks"}</definedName>
    <definedName name="wrn.Aging._.and._.Trend._.Analysis._1_4_2_2" localSheetId="10" hidden="1">{#N/A,#N/A,FALSE,"Aging Summary";#N/A,#N/A,FALSE,"Ratio Analysis";#N/A,#N/A,FALSE,"Test 120 Day Accts";#N/A,#N/A,FALSE,"Tickmarks"}</definedName>
    <definedName name="wrn.Aging._.and._.Trend._.Analysis._1_4_2_2" hidden="1">{#N/A,#N/A,FALSE,"Aging Summary";#N/A,#N/A,FALSE,"Ratio Analysis";#N/A,#N/A,FALSE,"Test 120 Day Accts";#N/A,#N/A,FALSE,"Tickmarks"}</definedName>
    <definedName name="wrn.Aging._.and._.Trend._.Analysis._1_4_3" localSheetId="4" hidden="1">{#N/A,#N/A,FALSE,"Aging Summary";#N/A,#N/A,FALSE,"Ratio Analysis";#N/A,#N/A,FALSE,"Test 120 Day Accts";#N/A,#N/A,FALSE,"Tickmarks"}</definedName>
    <definedName name="wrn.Aging._.and._.Trend._.Analysis._1_4_3" localSheetId="10" hidden="1">{#N/A,#N/A,FALSE,"Aging Summary";#N/A,#N/A,FALSE,"Ratio Analysis";#N/A,#N/A,FALSE,"Test 120 Day Accts";#N/A,#N/A,FALSE,"Tickmarks"}</definedName>
    <definedName name="wrn.Aging._.and._.Trend._.Analysis._1_4_3" hidden="1">{#N/A,#N/A,FALSE,"Aging Summary";#N/A,#N/A,FALSE,"Ratio Analysis";#N/A,#N/A,FALSE,"Test 120 Day Accts";#N/A,#N/A,FALSE,"Tickmarks"}</definedName>
    <definedName name="wrn.Aging._.and._.Trend._.Analysis._1_4_3_1" localSheetId="4" hidden="1">{#N/A,#N/A,FALSE,"Aging Summary";#N/A,#N/A,FALSE,"Ratio Analysis";#N/A,#N/A,FALSE,"Test 120 Day Accts";#N/A,#N/A,FALSE,"Tickmarks"}</definedName>
    <definedName name="wrn.Aging._.and._.Trend._.Analysis._1_4_3_1" localSheetId="10" hidden="1">{#N/A,#N/A,FALSE,"Aging Summary";#N/A,#N/A,FALSE,"Ratio Analysis";#N/A,#N/A,FALSE,"Test 120 Day Accts";#N/A,#N/A,FALSE,"Tickmarks"}</definedName>
    <definedName name="wrn.Aging._.and._.Trend._.Analysis._1_4_3_1" hidden="1">{#N/A,#N/A,FALSE,"Aging Summary";#N/A,#N/A,FALSE,"Ratio Analysis";#N/A,#N/A,FALSE,"Test 120 Day Accts";#N/A,#N/A,FALSE,"Tickmarks"}</definedName>
    <definedName name="wrn.Aging._.and._.Trend._.Analysis._1_4_3_2" localSheetId="4" hidden="1">{#N/A,#N/A,FALSE,"Aging Summary";#N/A,#N/A,FALSE,"Ratio Analysis";#N/A,#N/A,FALSE,"Test 120 Day Accts";#N/A,#N/A,FALSE,"Tickmarks"}</definedName>
    <definedName name="wrn.Aging._.and._.Trend._.Analysis._1_4_3_2" localSheetId="10" hidden="1">{#N/A,#N/A,FALSE,"Aging Summary";#N/A,#N/A,FALSE,"Ratio Analysis";#N/A,#N/A,FALSE,"Test 120 Day Accts";#N/A,#N/A,FALSE,"Tickmarks"}</definedName>
    <definedName name="wrn.Aging._.and._.Trend._.Analysis._1_4_3_2" hidden="1">{#N/A,#N/A,FALSE,"Aging Summary";#N/A,#N/A,FALSE,"Ratio Analysis";#N/A,#N/A,FALSE,"Test 120 Day Accts";#N/A,#N/A,FALSE,"Tickmarks"}</definedName>
    <definedName name="wrn.Aging._.and._.Trend._.Analysis._1_4_4" localSheetId="4" hidden="1">{#N/A,#N/A,FALSE,"Aging Summary";#N/A,#N/A,FALSE,"Ratio Analysis";#N/A,#N/A,FALSE,"Test 120 Day Accts";#N/A,#N/A,FALSE,"Tickmarks"}</definedName>
    <definedName name="wrn.Aging._.and._.Trend._.Analysis._1_4_4" localSheetId="10" hidden="1">{#N/A,#N/A,FALSE,"Aging Summary";#N/A,#N/A,FALSE,"Ratio Analysis";#N/A,#N/A,FALSE,"Test 120 Day Accts";#N/A,#N/A,FALSE,"Tickmarks"}</definedName>
    <definedName name="wrn.Aging._.and._.Trend._.Analysis._1_4_4" hidden="1">{#N/A,#N/A,FALSE,"Aging Summary";#N/A,#N/A,FALSE,"Ratio Analysis";#N/A,#N/A,FALSE,"Test 120 Day Accts";#N/A,#N/A,FALSE,"Tickmarks"}</definedName>
    <definedName name="wrn.Aging._.and._.Trend._.Analysis._1_4_5" localSheetId="4" hidden="1">{#N/A,#N/A,FALSE,"Aging Summary";#N/A,#N/A,FALSE,"Ratio Analysis";#N/A,#N/A,FALSE,"Test 120 Day Accts";#N/A,#N/A,FALSE,"Tickmarks"}</definedName>
    <definedName name="wrn.Aging._.and._.Trend._.Analysis._1_4_5" localSheetId="10" hidden="1">{#N/A,#N/A,FALSE,"Aging Summary";#N/A,#N/A,FALSE,"Ratio Analysis";#N/A,#N/A,FALSE,"Test 120 Day Accts";#N/A,#N/A,FALSE,"Tickmarks"}</definedName>
    <definedName name="wrn.Aging._.and._.Trend._.Analysis._1_4_5" hidden="1">{#N/A,#N/A,FALSE,"Aging Summary";#N/A,#N/A,FALSE,"Ratio Analysis";#N/A,#N/A,FALSE,"Test 120 Day Accts";#N/A,#N/A,FALSE,"Tickmarks"}</definedName>
    <definedName name="wrn.Aging._.and._.Trend._.Analysis._1_5" localSheetId="4" hidden="1">{#N/A,#N/A,FALSE,"Aging Summary";#N/A,#N/A,FALSE,"Ratio Analysis";#N/A,#N/A,FALSE,"Test 120 Day Accts";#N/A,#N/A,FALSE,"Tickmarks"}</definedName>
    <definedName name="wrn.Aging._.and._.Trend._.Analysis._1_5" localSheetId="10" hidden="1">{#N/A,#N/A,FALSE,"Aging Summary";#N/A,#N/A,FALSE,"Ratio Analysis";#N/A,#N/A,FALSE,"Test 120 Day Accts";#N/A,#N/A,FALSE,"Tickmarks"}</definedName>
    <definedName name="wrn.Aging._.and._.Trend._.Analysis._1_5" hidden="1">{#N/A,#N/A,FALSE,"Aging Summary";#N/A,#N/A,FALSE,"Ratio Analysis";#N/A,#N/A,FALSE,"Test 120 Day Accts";#N/A,#N/A,FALSE,"Tickmarks"}</definedName>
    <definedName name="wrn.Aging._.and._.Trend._.Analysis._1_5_1" localSheetId="4" hidden="1">{#N/A,#N/A,FALSE,"Aging Summary";#N/A,#N/A,FALSE,"Ratio Analysis";#N/A,#N/A,FALSE,"Test 120 Day Accts";#N/A,#N/A,FALSE,"Tickmarks"}</definedName>
    <definedName name="wrn.Aging._.and._.Trend._.Analysis._1_5_1" localSheetId="10" hidden="1">{#N/A,#N/A,FALSE,"Aging Summary";#N/A,#N/A,FALSE,"Ratio Analysis";#N/A,#N/A,FALSE,"Test 120 Day Accts";#N/A,#N/A,FALSE,"Tickmarks"}</definedName>
    <definedName name="wrn.Aging._.and._.Trend._.Analysis._1_5_1" hidden="1">{#N/A,#N/A,FALSE,"Aging Summary";#N/A,#N/A,FALSE,"Ratio Analysis";#N/A,#N/A,FALSE,"Test 120 Day Accts";#N/A,#N/A,FALSE,"Tickmarks"}</definedName>
    <definedName name="wrn.Aging._.and._.Trend._.Analysis._1_5_1_1" localSheetId="4" hidden="1">{#N/A,#N/A,FALSE,"Aging Summary";#N/A,#N/A,FALSE,"Ratio Analysis";#N/A,#N/A,FALSE,"Test 120 Day Accts";#N/A,#N/A,FALSE,"Tickmarks"}</definedName>
    <definedName name="wrn.Aging._.and._.Trend._.Analysis._1_5_1_1" localSheetId="10" hidden="1">{#N/A,#N/A,FALSE,"Aging Summary";#N/A,#N/A,FALSE,"Ratio Analysis";#N/A,#N/A,FALSE,"Test 120 Day Accts";#N/A,#N/A,FALSE,"Tickmarks"}</definedName>
    <definedName name="wrn.Aging._.and._.Trend._.Analysis._1_5_1_1" hidden="1">{#N/A,#N/A,FALSE,"Aging Summary";#N/A,#N/A,FALSE,"Ratio Analysis";#N/A,#N/A,FALSE,"Test 120 Day Accts";#N/A,#N/A,FALSE,"Tickmarks"}</definedName>
    <definedName name="wrn.Aging._.and._.Trend._.Analysis._1_5_1_2" localSheetId="4" hidden="1">{#N/A,#N/A,FALSE,"Aging Summary";#N/A,#N/A,FALSE,"Ratio Analysis";#N/A,#N/A,FALSE,"Test 120 Day Accts";#N/A,#N/A,FALSE,"Tickmarks"}</definedName>
    <definedName name="wrn.Aging._.and._.Trend._.Analysis._1_5_1_2" localSheetId="10" hidden="1">{#N/A,#N/A,FALSE,"Aging Summary";#N/A,#N/A,FALSE,"Ratio Analysis";#N/A,#N/A,FALSE,"Test 120 Day Accts";#N/A,#N/A,FALSE,"Tickmarks"}</definedName>
    <definedName name="wrn.Aging._.and._.Trend._.Analysis._1_5_1_2" hidden="1">{#N/A,#N/A,FALSE,"Aging Summary";#N/A,#N/A,FALSE,"Ratio Analysis";#N/A,#N/A,FALSE,"Test 120 Day Accts";#N/A,#N/A,FALSE,"Tickmarks"}</definedName>
    <definedName name="wrn.Aging._.and._.Trend._.Analysis._1_5_2" localSheetId="4" hidden="1">{#N/A,#N/A,FALSE,"Aging Summary";#N/A,#N/A,FALSE,"Ratio Analysis";#N/A,#N/A,FALSE,"Test 120 Day Accts";#N/A,#N/A,FALSE,"Tickmarks"}</definedName>
    <definedName name="wrn.Aging._.and._.Trend._.Analysis._1_5_2" localSheetId="10" hidden="1">{#N/A,#N/A,FALSE,"Aging Summary";#N/A,#N/A,FALSE,"Ratio Analysis";#N/A,#N/A,FALSE,"Test 120 Day Accts";#N/A,#N/A,FALSE,"Tickmarks"}</definedName>
    <definedName name="wrn.Aging._.and._.Trend._.Analysis._1_5_2" hidden="1">{#N/A,#N/A,FALSE,"Aging Summary";#N/A,#N/A,FALSE,"Ratio Analysis";#N/A,#N/A,FALSE,"Test 120 Day Accts";#N/A,#N/A,FALSE,"Tickmarks"}</definedName>
    <definedName name="wrn.Aging._.and._.Trend._.Analysis._1_5_2_1" localSheetId="4" hidden="1">{#N/A,#N/A,FALSE,"Aging Summary";#N/A,#N/A,FALSE,"Ratio Analysis";#N/A,#N/A,FALSE,"Test 120 Day Accts";#N/A,#N/A,FALSE,"Tickmarks"}</definedName>
    <definedName name="wrn.Aging._.and._.Trend._.Analysis._1_5_2_1" localSheetId="10" hidden="1">{#N/A,#N/A,FALSE,"Aging Summary";#N/A,#N/A,FALSE,"Ratio Analysis";#N/A,#N/A,FALSE,"Test 120 Day Accts";#N/A,#N/A,FALSE,"Tickmarks"}</definedName>
    <definedName name="wrn.Aging._.and._.Trend._.Analysis._1_5_2_1" hidden="1">{#N/A,#N/A,FALSE,"Aging Summary";#N/A,#N/A,FALSE,"Ratio Analysis";#N/A,#N/A,FALSE,"Test 120 Day Accts";#N/A,#N/A,FALSE,"Tickmarks"}</definedName>
    <definedName name="wrn.Aging._.and._.Trend._.Analysis._1_5_2_2" localSheetId="4" hidden="1">{#N/A,#N/A,FALSE,"Aging Summary";#N/A,#N/A,FALSE,"Ratio Analysis";#N/A,#N/A,FALSE,"Test 120 Day Accts";#N/A,#N/A,FALSE,"Tickmarks"}</definedName>
    <definedName name="wrn.Aging._.and._.Trend._.Analysis._1_5_2_2" localSheetId="10" hidden="1">{#N/A,#N/A,FALSE,"Aging Summary";#N/A,#N/A,FALSE,"Ratio Analysis";#N/A,#N/A,FALSE,"Test 120 Day Accts";#N/A,#N/A,FALSE,"Tickmarks"}</definedName>
    <definedName name="wrn.Aging._.and._.Trend._.Analysis._1_5_2_2" hidden="1">{#N/A,#N/A,FALSE,"Aging Summary";#N/A,#N/A,FALSE,"Ratio Analysis";#N/A,#N/A,FALSE,"Test 120 Day Accts";#N/A,#N/A,FALSE,"Tickmarks"}</definedName>
    <definedName name="wrn.Aging._.and._.Trend._.Analysis._1_5_3" localSheetId="4" hidden="1">{#N/A,#N/A,FALSE,"Aging Summary";#N/A,#N/A,FALSE,"Ratio Analysis";#N/A,#N/A,FALSE,"Test 120 Day Accts";#N/A,#N/A,FALSE,"Tickmarks"}</definedName>
    <definedName name="wrn.Aging._.and._.Trend._.Analysis._1_5_3" localSheetId="10" hidden="1">{#N/A,#N/A,FALSE,"Aging Summary";#N/A,#N/A,FALSE,"Ratio Analysis";#N/A,#N/A,FALSE,"Test 120 Day Accts";#N/A,#N/A,FALSE,"Tickmarks"}</definedName>
    <definedName name="wrn.Aging._.and._.Trend._.Analysis._1_5_3" hidden="1">{#N/A,#N/A,FALSE,"Aging Summary";#N/A,#N/A,FALSE,"Ratio Analysis";#N/A,#N/A,FALSE,"Test 120 Day Accts";#N/A,#N/A,FALSE,"Tickmarks"}</definedName>
    <definedName name="wrn.Aging._.and._.Trend._.Analysis._1_5_3_1" localSheetId="4" hidden="1">{#N/A,#N/A,FALSE,"Aging Summary";#N/A,#N/A,FALSE,"Ratio Analysis";#N/A,#N/A,FALSE,"Test 120 Day Accts";#N/A,#N/A,FALSE,"Tickmarks"}</definedName>
    <definedName name="wrn.Aging._.and._.Trend._.Analysis._1_5_3_1" localSheetId="10" hidden="1">{#N/A,#N/A,FALSE,"Aging Summary";#N/A,#N/A,FALSE,"Ratio Analysis";#N/A,#N/A,FALSE,"Test 120 Day Accts";#N/A,#N/A,FALSE,"Tickmarks"}</definedName>
    <definedName name="wrn.Aging._.and._.Trend._.Analysis._1_5_3_1" hidden="1">{#N/A,#N/A,FALSE,"Aging Summary";#N/A,#N/A,FALSE,"Ratio Analysis";#N/A,#N/A,FALSE,"Test 120 Day Accts";#N/A,#N/A,FALSE,"Tickmarks"}</definedName>
    <definedName name="wrn.Aging._.and._.Trend._.Analysis._1_5_3_2" localSheetId="4" hidden="1">{#N/A,#N/A,FALSE,"Aging Summary";#N/A,#N/A,FALSE,"Ratio Analysis";#N/A,#N/A,FALSE,"Test 120 Day Accts";#N/A,#N/A,FALSE,"Tickmarks"}</definedName>
    <definedName name="wrn.Aging._.and._.Trend._.Analysis._1_5_3_2" localSheetId="10" hidden="1">{#N/A,#N/A,FALSE,"Aging Summary";#N/A,#N/A,FALSE,"Ratio Analysis";#N/A,#N/A,FALSE,"Test 120 Day Accts";#N/A,#N/A,FALSE,"Tickmarks"}</definedName>
    <definedName name="wrn.Aging._.and._.Trend._.Analysis._1_5_3_2" hidden="1">{#N/A,#N/A,FALSE,"Aging Summary";#N/A,#N/A,FALSE,"Ratio Analysis";#N/A,#N/A,FALSE,"Test 120 Day Accts";#N/A,#N/A,FALSE,"Tickmarks"}</definedName>
    <definedName name="wrn.Aging._.and._.Trend._.Analysis._1_5_4" localSheetId="4" hidden="1">{#N/A,#N/A,FALSE,"Aging Summary";#N/A,#N/A,FALSE,"Ratio Analysis";#N/A,#N/A,FALSE,"Test 120 Day Accts";#N/A,#N/A,FALSE,"Tickmarks"}</definedName>
    <definedName name="wrn.Aging._.and._.Trend._.Analysis._1_5_4" localSheetId="10" hidden="1">{#N/A,#N/A,FALSE,"Aging Summary";#N/A,#N/A,FALSE,"Ratio Analysis";#N/A,#N/A,FALSE,"Test 120 Day Accts";#N/A,#N/A,FALSE,"Tickmarks"}</definedName>
    <definedName name="wrn.Aging._.and._.Trend._.Analysis._1_5_4" hidden="1">{#N/A,#N/A,FALSE,"Aging Summary";#N/A,#N/A,FALSE,"Ratio Analysis";#N/A,#N/A,FALSE,"Test 120 Day Accts";#N/A,#N/A,FALSE,"Tickmarks"}</definedName>
    <definedName name="wrn.Aging._.and._.Trend._.Analysis._1_5_5" localSheetId="4" hidden="1">{#N/A,#N/A,FALSE,"Aging Summary";#N/A,#N/A,FALSE,"Ratio Analysis";#N/A,#N/A,FALSE,"Test 120 Day Accts";#N/A,#N/A,FALSE,"Tickmarks"}</definedName>
    <definedName name="wrn.Aging._.and._.Trend._.Analysis._1_5_5" localSheetId="10" hidden="1">{#N/A,#N/A,FALSE,"Aging Summary";#N/A,#N/A,FALSE,"Ratio Analysis";#N/A,#N/A,FALSE,"Test 120 Day Accts";#N/A,#N/A,FALSE,"Tickmarks"}</definedName>
    <definedName name="wrn.Aging._.and._.Trend._.Analysis._1_5_5" hidden="1">{#N/A,#N/A,FALSE,"Aging Summary";#N/A,#N/A,FALSE,"Ratio Analysis";#N/A,#N/A,FALSE,"Test 120 Day Accts";#N/A,#N/A,FALSE,"Tickmarks"}</definedName>
    <definedName name="wrn.Aging._.and._.Trend._.Analysis._2" localSheetId="4" hidden="1">{#N/A,#N/A,FALSE,"Aging Summary";#N/A,#N/A,FALSE,"Ratio Analysis";#N/A,#N/A,FALSE,"Test 120 Day Accts";#N/A,#N/A,FALSE,"Tickmarks"}</definedName>
    <definedName name="wrn.Aging._.and._.Trend._.Analysis._2" localSheetId="10" hidden="1">{#N/A,#N/A,FALSE,"Aging Summary";#N/A,#N/A,FALSE,"Ratio Analysis";#N/A,#N/A,FALSE,"Test 120 Day Accts";#N/A,#N/A,FALSE,"Tickmarks"}</definedName>
    <definedName name="wrn.Aging._.and._.Trend._.Analysis._2" hidden="1">{#N/A,#N/A,FALSE,"Aging Summary";#N/A,#N/A,FALSE,"Ratio Analysis";#N/A,#N/A,FALSE,"Test 120 Day Accts";#N/A,#N/A,FALSE,"Tickmarks"}</definedName>
    <definedName name="wrn.Aging._.and._.Trend._.Analysis._2_1" localSheetId="4" hidden="1">{#N/A,#N/A,FALSE,"Aging Summary";#N/A,#N/A,FALSE,"Ratio Analysis";#N/A,#N/A,FALSE,"Test 120 Day Accts";#N/A,#N/A,FALSE,"Tickmarks"}</definedName>
    <definedName name="wrn.Aging._.and._.Trend._.Analysis._2_1" localSheetId="10" hidden="1">{#N/A,#N/A,FALSE,"Aging Summary";#N/A,#N/A,FALSE,"Ratio Analysis";#N/A,#N/A,FALSE,"Test 120 Day Accts";#N/A,#N/A,FALSE,"Tickmarks"}</definedName>
    <definedName name="wrn.Aging._.and._.Trend._.Analysis._2_1" hidden="1">{#N/A,#N/A,FALSE,"Aging Summary";#N/A,#N/A,FALSE,"Ratio Analysis";#N/A,#N/A,FALSE,"Test 120 Day Accts";#N/A,#N/A,FALSE,"Tickmarks"}</definedName>
    <definedName name="wrn.Aging._.and._.Trend._.Analysis._2_1_1" localSheetId="4" hidden="1">{#N/A,#N/A,FALSE,"Aging Summary";#N/A,#N/A,FALSE,"Ratio Analysis";#N/A,#N/A,FALSE,"Test 120 Day Accts";#N/A,#N/A,FALSE,"Tickmarks"}</definedName>
    <definedName name="wrn.Aging._.and._.Trend._.Analysis._2_1_1" localSheetId="10" hidden="1">{#N/A,#N/A,FALSE,"Aging Summary";#N/A,#N/A,FALSE,"Ratio Analysis";#N/A,#N/A,FALSE,"Test 120 Day Accts";#N/A,#N/A,FALSE,"Tickmarks"}</definedName>
    <definedName name="wrn.Aging._.and._.Trend._.Analysis._2_1_1" hidden="1">{#N/A,#N/A,FALSE,"Aging Summary";#N/A,#N/A,FALSE,"Ratio Analysis";#N/A,#N/A,FALSE,"Test 120 Day Accts";#N/A,#N/A,FALSE,"Tickmarks"}</definedName>
    <definedName name="wrn.Aging._.and._.Trend._.Analysis._2_1_1_1" localSheetId="4" hidden="1">{#N/A,#N/A,FALSE,"Aging Summary";#N/A,#N/A,FALSE,"Ratio Analysis";#N/A,#N/A,FALSE,"Test 120 Day Accts";#N/A,#N/A,FALSE,"Tickmarks"}</definedName>
    <definedName name="wrn.Aging._.and._.Trend._.Analysis._2_1_1_1" localSheetId="10" hidden="1">{#N/A,#N/A,FALSE,"Aging Summary";#N/A,#N/A,FALSE,"Ratio Analysis";#N/A,#N/A,FALSE,"Test 120 Day Accts";#N/A,#N/A,FALSE,"Tickmarks"}</definedName>
    <definedName name="wrn.Aging._.and._.Trend._.Analysis._2_1_1_1" hidden="1">{#N/A,#N/A,FALSE,"Aging Summary";#N/A,#N/A,FALSE,"Ratio Analysis";#N/A,#N/A,FALSE,"Test 120 Day Accts";#N/A,#N/A,FALSE,"Tickmarks"}</definedName>
    <definedName name="wrn.Aging._.and._.Trend._.Analysis._2_1_1_2" localSheetId="4" hidden="1">{#N/A,#N/A,FALSE,"Aging Summary";#N/A,#N/A,FALSE,"Ratio Analysis";#N/A,#N/A,FALSE,"Test 120 Day Accts";#N/A,#N/A,FALSE,"Tickmarks"}</definedName>
    <definedName name="wrn.Aging._.and._.Trend._.Analysis._2_1_1_2" localSheetId="10" hidden="1">{#N/A,#N/A,FALSE,"Aging Summary";#N/A,#N/A,FALSE,"Ratio Analysis";#N/A,#N/A,FALSE,"Test 120 Day Accts";#N/A,#N/A,FALSE,"Tickmarks"}</definedName>
    <definedName name="wrn.Aging._.and._.Trend._.Analysis._2_1_1_2" hidden="1">{#N/A,#N/A,FALSE,"Aging Summary";#N/A,#N/A,FALSE,"Ratio Analysis";#N/A,#N/A,FALSE,"Test 120 Day Accts";#N/A,#N/A,FALSE,"Tickmarks"}</definedName>
    <definedName name="wrn.Aging._.and._.Trend._.Analysis._2_1_2" localSheetId="4" hidden="1">{#N/A,#N/A,FALSE,"Aging Summary";#N/A,#N/A,FALSE,"Ratio Analysis";#N/A,#N/A,FALSE,"Test 120 Day Accts";#N/A,#N/A,FALSE,"Tickmarks"}</definedName>
    <definedName name="wrn.Aging._.and._.Trend._.Analysis._2_1_2" localSheetId="10" hidden="1">{#N/A,#N/A,FALSE,"Aging Summary";#N/A,#N/A,FALSE,"Ratio Analysis";#N/A,#N/A,FALSE,"Test 120 Day Accts";#N/A,#N/A,FALSE,"Tickmarks"}</definedName>
    <definedName name="wrn.Aging._.and._.Trend._.Analysis._2_1_2" hidden="1">{#N/A,#N/A,FALSE,"Aging Summary";#N/A,#N/A,FALSE,"Ratio Analysis";#N/A,#N/A,FALSE,"Test 120 Day Accts";#N/A,#N/A,FALSE,"Tickmarks"}</definedName>
    <definedName name="wrn.Aging._.and._.Trend._.Analysis._2_1_2_1" localSheetId="4" hidden="1">{#N/A,#N/A,FALSE,"Aging Summary";#N/A,#N/A,FALSE,"Ratio Analysis";#N/A,#N/A,FALSE,"Test 120 Day Accts";#N/A,#N/A,FALSE,"Tickmarks"}</definedName>
    <definedName name="wrn.Aging._.and._.Trend._.Analysis._2_1_2_1" localSheetId="10" hidden="1">{#N/A,#N/A,FALSE,"Aging Summary";#N/A,#N/A,FALSE,"Ratio Analysis";#N/A,#N/A,FALSE,"Test 120 Day Accts";#N/A,#N/A,FALSE,"Tickmarks"}</definedName>
    <definedName name="wrn.Aging._.and._.Trend._.Analysis._2_1_2_1" hidden="1">{#N/A,#N/A,FALSE,"Aging Summary";#N/A,#N/A,FALSE,"Ratio Analysis";#N/A,#N/A,FALSE,"Test 120 Day Accts";#N/A,#N/A,FALSE,"Tickmarks"}</definedName>
    <definedName name="wrn.Aging._.and._.Trend._.Analysis._2_1_2_2" localSheetId="4" hidden="1">{#N/A,#N/A,FALSE,"Aging Summary";#N/A,#N/A,FALSE,"Ratio Analysis";#N/A,#N/A,FALSE,"Test 120 Day Accts";#N/A,#N/A,FALSE,"Tickmarks"}</definedName>
    <definedName name="wrn.Aging._.and._.Trend._.Analysis._2_1_2_2" localSheetId="10" hidden="1">{#N/A,#N/A,FALSE,"Aging Summary";#N/A,#N/A,FALSE,"Ratio Analysis";#N/A,#N/A,FALSE,"Test 120 Day Accts";#N/A,#N/A,FALSE,"Tickmarks"}</definedName>
    <definedName name="wrn.Aging._.and._.Trend._.Analysis._2_1_2_2" hidden="1">{#N/A,#N/A,FALSE,"Aging Summary";#N/A,#N/A,FALSE,"Ratio Analysis";#N/A,#N/A,FALSE,"Test 120 Day Accts";#N/A,#N/A,FALSE,"Tickmarks"}</definedName>
    <definedName name="wrn.Aging._.and._.Trend._.Analysis._2_1_3" localSheetId="4" hidden="1">{#N/A,#N/A,FALSE,"Aging Summary";#N/A,#N/A,FALSE,"Ratio Analysis";#N/A,#N/A,FALSE,"Test 120 Day Accts";#N/A,#N/A,FALSE,"Tickmarks"}</definedName>
    <definedName name="wrn.Aging._.and._.Trend._.Analysis._2_1_3" localSheetId="10" hidden="1">{#N/A,#N/A,FALSE,"Aging Summary";#N/A,#N/A,FALSE,"Ratio Analysis";#N/A,#N/A,FALSE,"Test 120 Day Accts";#N/A,#N/A,FALSE,"Tickmarks"}</definedName>
    <definedName name="wrn.Aging._.and._.Trend._.Analysis._2_1_3" hidden="1">{#N/A,#N/A,FALSE,"Aging Summary";#N/A,#N/A,FALSE,"Ratio Analysis";#N/A,#N/A,FALSE,"Test 120 Day Accts";#N/A,#N/A,FALSE,"Tickmarks"}</definedName>
    <definedName name="wrn.Aging._.and._.Trend._.Analysis._2_1_3_1" localSheetId="4" hidden="1">{#N/A,#N/A,FALSE,"Aging Summary";#N/A,#N/A,FALSE,"Ratio Analysis";#N/A,#N/A,FALSE,"Test 120 Day Accts";#N/A,#N/A,FALSE,"Tickmarks"}</definedName>
    <definedName name="wrn.Aging._.and._.Trend._.Analysis._2_1_3_1" localSheetId="10" hidden="1">{#N/A,#N/A,FALSE,"Aging Summary";#N/A,#N/A,FALSE,"Ratio Analysis";#N/A,#N/A,FALSE,"Test 120 Day Accts";#N/A,#N/A,FALSE,"Tickmarks"}</definedName>
    <definedName name="wrn.Aging._.and._.Trend._.Analysis._2_1_3_1" hidden="1">{#N/A,#N/A,FALSE,"Aging Summary";#N/A,#N/A,FALSE,"Ratio Analysis";#N/A,#N/A,FALSE,"Test 120 Day Accts";#N/A,#N/A,FALSE,"Tickmarks"}</definedName>
    <definedName name="wrn.Aging._.and._.Trend._.Analysis._2_1_3_2" localSheetId="4" hidden="1">{#N/A,#N/A,FALSE,"Aging Summary";#N/A,#N/A,FALSE,"Ratio Analysis";#N/A,#N/A,FALSE,"Test 120 Day Accts";#N/A,#N/A,FALSE,"Tickmarks"}</definedName>
    <definedName name="wrn.Aging._.and._.Trend._.Analysis._2_1_3_2" localSheetId="10" hidden="1">{#N/A,#N/A,FALSE,"Aging Summary";#N/A,#N/A,FALSE,"Ratio Analysis";#N/A,#N/A,FALSE,"Test 120 Day Accts";#N/A,#N/A,FALSE,"Tickmarks"}</definedName>
    <definedName name="wrn.Aging._.and._.Trend._.Analysis._2_1_3_2" hidden="1">{#N/A,#N/A,FALSE,"Aging Summary";#N/A,#N/A,FALSE,"Ratio Analysis";#N/A,#N/A,FALSE,"Test 120 Day Accts";#N/A,#N/A,FALSE,"Tickmarks"}</definedName>
    <definedName name="wrn.Aging._.and._.Trend._.Analysis._2_1_4" localSheetId="4" hidden="1">{#N/A,#N/A,FALSE,"Aging Summary";#N/A,#N/A,FALSE,"Ratio Analysis";#N/A,#N/A,FALSE,"Test 120 Day Accts";#N/A,#N/A,FALSE,"Tickmarks"}</definedName>
    <definedName name="wrn.Aging._.and._.Trend._.Analysis._2_1_4" localSheetId="10" hidden="1">{#N/A,#N/A,FALSE,"Aging Summary";#N/A,#N/A,FALSE,"Ratio Analysis";#N/A,#N/A,FALSE,"Test 120 Day Accts";#N/A,#N/A,FALSE,"Tickmarks"}</definedName>
    <definedName name="wrn.Aging._.and._.Trend._.Analysis._2_1_4" hidden="1">{#N/A,#N/A,FALSE,"Aging Summary";#N/A,#N/A,FALSE,"Ratio Analysis";#N/A,#N/A,FALSE,"Test 120 Day Accts";#N/A,#N/A,FALSE,"Tickmarks"}</definedName>
    <definedName name="wrn.Aging._.and._.Trend._.Analysis._2_1_5" localSheetId="4" hidden="1">{#N/A,#N/A,FALSE,"Aging Summary";#N/A,#N/A,FALSE,"Ratio Analysis";#N/A,#N/A,FALSE,"Test 120 Day Accts";#N/A,#N/A,FALSE,"Tickmarks"}</definedName>
    <definedName name="wrn.Aging._.and._.Trend._.Analysis._2_1_5" localSheetId="10" hidden="1">{#N/A,#N/A,FALSE,"Aging Summary";#N/A,#N/A,FALSE,"Ratio Analysis";#N/A,#N/A,FALSE,"Test 120 Day Accts";#N/A,#N/A,FALSE,"Tickmarks"}</definedName>
    <definedName name="wrn.Aging._.and._.Trend._.Analysis._2_1_5" hidden="1">{#N/A,#N/A,FALSE,"Aging Summary";#N/A,#N/A,FALSE,"Ratio Analysis";#N/A,#N/A,FALSE,"Test 120 Day Accts";#N/A,#N/A,FALSE,"Tickmarks"}</definedName>
    <definedName name="wrn.Aging._.and._.Trend._.Analysis._2_2" localSheetId="4" hidden="1">{#N/A,#N/A,FALSE,"Aging Summary";#N/A,#N/A,FALSE,"Ratio Analysis";#N/A,#N/A,FALSE,"Test 120 Day Accts";#N/A,#N/A,FALSE,"Tickmarks"}</definedName>
    <definedName name="wrn.Aging._.and._.Trend._.Analysis._2_2" localSheetId="10" hidden="1">{#N/A,#N/A,FALSE,"Aging Summary";#N/A,#N/A,FALSE,"Ratio Analysis";#N/A,#N/A,FALSE,"Test 120 Day Accts";#N/A,#N/A,FALSE,"Tickmarks"}</definedName>
    <definedName name="wrn.Aging._.and._.Trend._.Analysis._2_2" hidden="1">{#N/A,#N/A,FALSE,"Aging Summary";#N/A,#N/A,FALSE,"Ratio Analysis";#N/A,#N/A,FALSE,"Test 120 Day Accts";#N/A,#N/A,FALSE,"Tickmarks"}</definedName>
    <definedName name="wrn.Aging._.and._.Trend._.Analysis._2_2_1" localSheetId="4" hidden="1">{#N/A,#N/A,FALSE,"Aging Summary";#N/A,#N/A,FALSE,"Ratio Analysis";#N/A,#N/A,FALSE,"Test 120 Day Accts";#N/A,#N/A,FALSE,"Tickmarks"}</definedName>
    <definedName name="wrn.Aging._.and._.Trend._.Analysis._2_2_1" localSheetId="10" hidden="1">{#N/A,#N/A,FALSE,"Aging Summary";#N/A,#N/A,FALSE,"Ratio Analysis";#N/A,#N/A,FALSE,"Test 120 Day Accts";#N/A,#N/A,FALSE,"Tickmarks"}</definedName>
    <definedName name="wrn.Aging._.and._.Trend._.Analysis._2_2_1" hidden="1">{#N/A,#N/A,FALSE,"Aging Summary";#N/A,#N/A,FALSE,"Ratio Analysis";#N/A,#N/A,FALSE,"Test 120 Day Accts";#N/A,#N/A,FALSE,"Tickmarks"}</definedName>
    <definedName name="wrn.Aging._.and._.Trend._.Analysis._2_2_2" localSheetId="4" hidden="1">{#N/A,#N/A,FALSE,"Aging Summary";#N/A,#N/A,FALSE,"Ratio Analysis";#N/A,#N/A,FALSE,"Test 120 Day Accts";#N/A,#N/A,FALSE,"Tickmarks"}</definedName>
    <definedName name="wrn.Aging._.and._.Trend._.Analysis._2_2_2" localSheetId="10" hidden="1">{#N/A,#N/A,FALSE,"Aging Summary";#N/A,#N/A,FALSE,"Ratio Analysis";#N/A,#N/A,FALSE,"Test 120 Day Accts";#N/A,#N/A,FALSE,"Tickmarks"}</definedName>
    <definedName name="wrn.Aging._.and._.Trend._.Analysis._2_2_2" hidden="1">{#N/A,#N/A,FALSE,"Aging Summary";#N/A,#N/A,FALSE,"Ratio Analysis";#N/A,#N/A,FALSE,"Test 120 Day Accts";#N/A,#N/A,FALSE,"Tickmarks"}</definedName>
    <definedName name="wrn.Aging._.and._.Trend._.Analysis._2_3" localSheetId="4" hidden="1">{#N/A,#N/A,FALSE,"Aging Summary";#N/A,#N/A,FALSE,"Ratio Analysis";#N/A,#N/A,FALSE,"Test 120 Day Accts";#N/A,#N/A,FALSE,"Tickmarks"}</definedName>
    <definedName name="wrn.Aging._.and._.Trend._.Analysis._2_3" localSheetId="10" hidden="1">{#N/A,#N/A,FALSE,"Aging Summary";#N/A,#N/A,FALSE,"Ratio Analysis";#N/A,#N/A,FALSE,"Test 120 Day Accts";#N/A,#N/A,FALSE,"Tickmarks"}</definedName>
    <definedName name="wrn.Aging._.and._.Trend._.Analysis._2_3" hidden="1">{#N/A,#N/A,FALSE,"Aging Summary";#N/A,#N/A,FALSE,"Ratio Analysis";#N/A,#N/A,FALSE,"Test 120 Day Accts";#N/A,#N/A,FALSE,"Tickmarks"}</definedName>
    <definedName name="wrn.Aging._.and._.Trend._.Analysis._2_3_1" localSheetId="4" hidden="1">{#N/A,#N/A,FALSE,"Aging Summary";#N/A,#N/A,FALSE,"Ratio Analysis";#N/A,#N/A,FALSE,"Test 120 Day Accts";#N/A,#N/A,FALSE,"Tickmarks"}</definedName>
    <definedName name="wrn.Aging._.and._.Trend._.Analysis._2_3_1" localSheetId="10" hidden="1">{#N/A,#N/A,FALSE,"Aging Summary";#N/A,#N/A,FALSE,"Ratio Analysis";#N/A,#N/A,FALSE,"Test 120 Day Accts";#N/A,#N/A,FALSE,"Tickmarks"}</definedName>
    <definedName name="wrn.Aging._.and._.Trend._.Analysis._2_3_1" hidden="1">{#N/A,#N/A,FALSE,"Aging Summary";#N/A,#N/A,FALSE,"Ratio Analysis";#N/A,#N/A,FALSE,"Test 120 Day Accts";#N/A,#N/A,FALSE,"Tickmarks"}</definedName>
    <definedName name="wrn.Aging._.and._.Trend._.Analysis._2_3_2" localSheetId="4" hidden="1">{#N/A,#N/A,FALSE,"Aging Summary";#N/A,#N/A,FALSE,"Ratio Analysis";#N/A,#N/A,FALSE,"Test 120 Day Accts";#N/A,#N/A,FALSE,"Tickmarks"}</definedName>
    <definedName name="wrn.Aging._.and._.Trend._.Analysis._2_3_2" localSheetId="10" hidden="1">{#N/A,#N/A,FALSE,"Aging Summary";#N/A,#N/A,FALSE,"Ratio Analysis";#N/A,#N/A,FALSE,"Test 120 Day Accts";#N/A,#N/A,FALSE,"Tickmarks"}</definedName>
    <definedName name="wrn.Aging._.and._.Trend._.Analysis._2_3_2" hidden="1">{#N/A,#N/A,FALSE,"Aging Summary";#N/A,#N/A,FALSE,"Ratio Analysis";#N/A,#N/A,FALSE,"Test 120 Day Accts";#N/A,#N/A,FALSE,"Tickmarks"}</definedName>
    <definedName name="wrn.Aging._.and._.Trend._.Analysis._2_4" localSheetId="4" hidden="1">{#N/A,#N/A,FALSE,"Aging Summary";#N/A,#N/A,FALSE,"Ratio Analysis";#N/A,#N/A,FALSE,"Test 120 Day Accts";#N/A,#N/A,FALSE,"Tickmarks"}</definedName>
    <definedName name="wrn.Aging._.and._.Trend._.Analysis._2_4" localSheetId="10" hidden="1">{#N/A,#N/A,FALSE,"Aging Summary";#N/A,#N/A,FALSE,"Ratio Analysis";#N/A,#N/A,FALSE,"Test 120 Day Accts";#N/A,#N/A,FALSE,"Tickmarks"}</definedName>
    <definedName name="wrn.Aging._.and._.Trend._.Analysis._2_4" hidden="1">{#N/A,#N/A,FALSE,"Aging Summary";#N/A,#N/A,FALSE,"Ratio Analysis";#N/A,#N/A,FALSE,"Test 120 Day Accts";#N/A,#N/A,FALSE,"Tickmarks"}</definedName>
    <definedName name="wrn.Aging._.and._.Trend._.Analysis._2_5" localSheetId="4" hidden="1">{#N/A,#N/A,FALSE,"Aging Summary";#N/A,#N/A,FALSE,"Ratio Analysis";#N/A,#N/A,FALSE,"Test 120 Day Accts";#N/A,#N/A,FALSE,"Tickmarks"}</definedName>
    <definedName name="wrn.Aging._.and._.Trend._.Analysis._2_5" localSheetId="10" hidden="1">{#N/A,#N/A,FALSE,"Aging Summary";#N/A,#N/A,FALSE,"Ratio Analysis";#N/A,#N/A,FALSE,"Test 120 Day Accts";#N/A,#N/A,FALSE,"Tickmarks"}</definedName>
    <definedName name="wrn.Aging._.and._.Trend._.Analysis._2_5" hidden="1">{#N/A,#N/A,FALSE,"Aging Summary";#N/A,#N/A,FALSE,"Ratio Analysis";#N/A,#N/A,FALSE,"Test 120 Day Accts";#N/A,#N/A,FALSE,"Tickmarks"}</definedName>
    <definedName name="wrn.Aging._.and._.Trend._.Analysis._3" localSheetId="4" hidden="1">{#N/A,#N/A,FALSE,"Aging Summary";#N/A,#N/A,FALSE,"Ratio Analysis";#N/A,#N/A,FALSE,"Test 120 Day Accts";#N/A,#N/A,FALSE,"Tickmarks"}</definedName>
    <definedName name="wrn.Aging._.and._.Trend._.Analysis._3" localSheetId="10" hidden="1">{#N/A,#N/A,FALSE,"Aging Summary";#N/A,#N/A,FALSE,"Ratio Analysis";#N/A,#N/A,FALSE,"Test 120 Day Accts";#N/A,#N/A,FALSE,"Tickmarks"}</definedName>
    <definedName name="wrn.Aging._.and._.Trend._.Analysis._3" hidden="1">{#N/A,#N/A,FALSE,"Aging Summary";#N/A,#N/A,FALSE,"Ratio Analysis";#N/A,#N/A,FALSE,"Test 120 Day Accts";#N/A,#N/A,FALSE,"Tickmarks"}</definedName>
    <definedName name="wrn.Aging._.and._.Trend._.Analysis._3_1" localSheetId="4" hidden="1">{#N/A,#N/A,FALSE,"Aging Summary";#N/A,#N/A,FALSE,"Ratio Analysis";#N/A,#N/A,FALSE,"Test 120 Day Accts";#N/A,#N/A,FALSE,"Tickmarks"}</definedName>
    <definedName name="wrn.Aging._.and._.Trend._.Analysis._3_1" localSheetId="10" hidden="1">{#N/A,#N/A,FALSE,"Aging Summary";#N/A,#N/A,FALSE,"Ratio Analysis";#N/A,#N/A,FALSE,"Test 120 Day Accts";#N/A,#N/A,FALSE,"Tickmarks"}</definedName>
    <definedName name="wrn.Aging._.and._.Trend._.Analysis._3_1" hidden="1">{#N/A,#N/A,FALSE,"Aging Summary";#N/A,#N/A,FALSE,"Ratio Analysis";#N/A,#N/A,FALSE,"Test 120 Day Accts";#N/A,#N/A,FALSE,"Tickmarks"}</definedName>
    <definedName name="wrn.Aging._.and._.Trend._.Analysis._3_1_1" localSheetId="4" hidden="1">{#N/A,#N/A,FALSE,"Aging Summary";#N/A,#N/A,FALSE,"Ratio Analysis";#N/A,#N/A,FALSE,"Test 120 Day Accts";#N/A,#N/A,FALSE,"Tickmarks"}</definedName>
    <definedName name="wrn.Aging._.and._.Trend._.Analysis._3_1_1" localSheetId="10" hidden="1">{#N/A,#N/A,FALSE,"Aging Summary";#N/A,#N/A,FALSE,"Ratio Analysis";#N/A,#N/A,FALSE,"Test 120 Day Accts";#N/A,#N/A,FALSE,"Tickmarks"}</definedName>
    <definedName name="wrn.Aging._.and._.Trend._.Analysis._3_1_1" hidden="1">{#N/A,#N/A,FALSE,"Aging Summary";#N/A,#N/A,FALSE,"Ratio Analysis";#N/A,#N/A,FALSE,"Test 120 Day Accts";#N/A,#N/A,FALSE,"Tickmarks"}</definedName>
    <definedName name="wrn.Aging._.and._.Trend._.Analysis._3_1_2" localSheetId="4" hidden="1">{#N/A,#N/A,FALSE,"Aging Summary";#N/A,#N/A,FALSE,"Ratio Analysis";#N/A,#N/A,FALSE,"Test 120 Day Accts";#N/A,#N/A,FALSE,"Tickmarks"}</definedName>
    <definedName name="wrn.Aging._.and._.Trend._.Analysis._3_1_2" localSheetId="10" hidden="1">{#N/A,#N/A,FALSE,"Aging Summary";#N/A,#N/A,FALSE,"Ratio Analysis";#N/A,#N/A,FALSE,"Test 120 Day Accts";#N/A,#N/A,FALSE,"Tickmarks"}</definedName>
    <definedName name="wrn.Aging._.and._.Trend._.Analysis._3_1_2" hidden="1">{#N/A,#N/A,FALSE,"Aging Summary";#N/A,#N/A,FALSE,"Ratio Analysis";#N/A,#N/A,FALSE,"Test 120 Day Accts";#N/A,#N/A,FALSE,"Tickmarks"}</definedName>
    <definedName name="wrn.Aging._.and._.Trend._.Analysis._3_2" localSheetId="4" hidden="1">{#N/A,#N/A,FALSE,"Aging Summary";#N/A,#N/A,FALSE,"Ratio Analysis";#N/A,#N/A,FALSE,"Test 120 Day Accts";#N/A,#N/A,FALSE,"Tickmarks"}</definedName>
    <definedName name="wrn.Aging._.and._.Trend._.Analysis._3_2" localSheetId="10" hidden="1">{#N/A,#N/A,FALSE,"Aging Summary";#N/A,#N/A,FALSE,"Ratio Analysis";#N/A,#N/A,FALSE,"Test 120 Day Accts";#N/A,#N/A,FALSE,"Tickmarks"}</definedName>
    <definedName name="wrn.Aging._.and._.Trend._.Analysis._3_2" hidden="1">{#N/A,#N/A,FALSE,"Aging Summary";#N/A,#N/A,FALSE,"Ratio Analysis";#N/A,#N/A,FALSE,"Test 120 Day Accts";#N/A,#N/A,FALSE,"Tickmarks"}</definedName>
    <definedName name="wrn.Aging._.and._.Trend._.Analysis._3_2_1" localSheetId="4" hidden="1">{#N/A,#N/A,FALSE,"Aging Summary";#N/A,#N/A,FALSE,"Ratio Analysis";#N/A,#N/A,FALSE,"Test 120 Day Accts";#N/A,#N/A,FALSE,"Tickmarks"}</definedName>
    <definedName name="wrn.Aging._.and._.Trend._.Analysis._3_2_1" localSheetId="10" hidden="1">{#N/A,#N/A,FALSE,"Aging Summary";#N/A,#N/A,FALSE,"Ratio Analysis";#N/A,#N/A,FALSE,"Test 120 Day Accts";#N/A,#N/A,FALSE,"Tickmarks"}</definedName>
    <definedName name="wrn.Aging._.and._.Trend._.Analysis._3_2_1" hidden="1">{#N/A,#N/A,FALSE,"Aging Summary";#N/A,#N/A,FALSE,"Ratio Analysis";#N/A,#N/A,FALSE,"Test 120 Day Accts";#N/A,#N/A,FALSE,"Tickmarks"}</definedName>
    <definedName name="wrn.Aging._.and._.Trend._.Analysis._3_2_2" localSheetId="4" hidden="1">{#N/A,#N/A,FALSE,"Aging Summary";#N/A,#N/A,FALSE,"Ratio Analysis";#N/A,#N/A,FALSE,"Test 120 Day Accts";#N/A,#N/A,FALSE,"Tickmarks"}</definedName>
    <definedName name="wrn.Aging._.and._.Trend._.Analysis._3_2_2" localSheetId="10" hidden="1">{#N/A,#N/A,FALSE,"Aging Summary";#N/A,#N/A,FALSE,"Ratio Analysis";#N/A,#N/A,FALSE,"Test 120 Day Accts";#N/A,#N/A,FALSE,"Tickmarks"}</definedName>
    <definedName name="wrn.Aging._.and._.Trend._.Analysis._3_2_2" hidden="1">{#N/A,#N/A,FALSE,"Aging Summary";#N/A,#N/A,FALSE,"Ratio Analysis";#N/A,#N/A,FALSE,"Test 120 Day Accts";#N/A,#N/A,FALSE,"Tickmarks"}</definedName>
    <definedName name="wrn.Aging._.and._.Trend._.Analysis._3_3" localSheetId="4" hidden="1">{#N/A,#N/A,FALSE,"Aging Summary";#N/A,#N/A,FALSE,"Ratio Analysis";#N/A,#N/A,FALSE,"Test 120 Day Accts";#N/A,#N/A,FALSE,"Tickmarks"}</definedName>
    <definedName name="wrn.Aging._.and._.Trend._.Analysis._3_3" localSheetId="10" hidden="1">{#N/A,#N/A,FALSE,"Aging Summary";#N/A,#N/A,FALSE,"Ratio Analysis";#N/A,#N/A,FALSE,"Test 120 Day Accts";#N/A,#N/A,FALSE,"Tickmarks"}</definedName>
    <definedName name="wrn.Aging._.and._.Trend._.Analysis._3_3" hidden="1">{#N/A,#N/A,FALSE,"Aging Summary";#N/A,#N/A,FALSE,"Ratio Analysis";#N/A,#N/A,FALSE,"Test 120 Day Accts";#N/A,#N/A,FALSE,"Tickmarks"}</definedName>
    <definedName name="wrn.Aging._.and._.Trend._.Analysis._3_3_1" localSheetId="4" hidden="1">{#N/A,#N/A,FALSE,"Aging Summary";#N/A,#N/A,FALSE,"Ratio Analysis";#N/A,#N/A,FALSE,"Test 120 Day Accts";#N/A,#N/A,FALSE,"Tickmarks"}</definedName>
    <definedName name="wrn.Aging._.and._.Trend._.Analysis._3_3_1" localSheetId="10" hidden="1">{#N/A,#N/A,FALSE,"Aging Summary";#N/A,#N/A,FALSE,"Ratio Analysis";#N/A,#N/A,FALSE,"Test 120 Day Accts";#N/A,#N/A,FALSE,"Tickmarks"}</definedName>
    <definedName name="wrn.Aging._.and._.Trend._.Analysis._3_3_1" hidden="1">{#N/A,#N/A,FALSE,"Aging Summary";#N/A,#N/A,FALSE,"Ratio Analysis";#N/A,#N/A,FALSE,"Test 120 Day Accts";#N/A,#N/A,FALSE,"Tickmarks"}</definedName>
    <definedName name="wrn.Aging._.and._.Trend._.Analysis._3_3_2" localSheetId="4" hidden="1">{#N/A,#N/A,FALSE,"Aging Summary";#N/A,#N/A,FALSE,"Ratio Analysis";#N/A,#N/A,FALSE,"Test 120 Day Accts";#N/A,#N/A,FALSE,"Tickmarks"}</definedName>
    <definedName name="wrn.Aging._.and._.Trend._.Analysis._3_3_2" localSheetId="10" hidden="1">{#N/A,#N/A,FALSE,"Aging Summary";#N/A,#N/A,FALSE,"Ratio Analysis";#N/A,#N/A,FALSE,"Test 120 Day Accts";#N/A,#N/A,FALSE,"Tickmarks"}</definedName>
    <definedName name="wrn.Aging._.and._.Trend._.Analysis._3_3_2" hidden="1">{#N/A,#N/A,FALSE,"Aging Summary";#N/A,#N/A,FALSE,"Ratio Analysis";#N/A,#N/A,FALSE,"Test 120 Day Accts";#N/A,#N/A,FALSE,"Tickmarks"}</definedName>
    <definedName name="wrn.Aging._.and._.Trend._.Analysis._3_4" localSheetId="4" hidden="1">{#N/A,#N/A,FALSE,"Aging Summary";#N/A,#N/A,FALSE,"Ratio Analysis";#N/A,#N/A,FALSE,"Test 120 Day Accts";#N/A,#N/A,FALSE,"Tickmarks"}</definedName>
    <definedName name="wrn.Aging._.and._.Trend._.Analysis._3_4" localSheetId="10" hidden="1">{#N/A,#N/A,FALSE,"Aging Summary";#N/A,#N/A,FALSE,"Ratio Analysis";#N/A,#N/A,FALSE,"Test 120 Day Accts";#N/A,#N/A,FALSE,"Tickmarks"}</definedName>
    <definedName name="wrn.Aging._.and._.Trend._.Analysis._3_4" hidden="1">{#N/A,#N/A,FALSE,"Aging Summary";#N/A,#N/A,FALSE,"Ratio Analysis";#N/A,#N/A,FALSE,"Test 120 Day Accts";#N/A,#N/A,FALSE,"Tickmarks"}</definedName>
    <definedName name="wrn.Aging._.and._.Trend._.Analysis._3_5" localSheetId="4" hidden="1">{#N/A,#N/A,FALSE,"Aging Summary";#N/A,#N/A,FALSE,"Ratio Analysis";#N/A,#N/A,FALSE,"Test 120 Day Accts";#N/A,#N/A,FALSE,"Tickmarks"}</definedName>
    <definedName name="wrn.Aging._.and._.Trend._.Analysis._3_5" localSheetId="10" hidden="1">{#N/A,#N/A,FALSE,"Aging Summary";#N/A,#N/A,FALSE,"Ratio Analysis";#N/A,#N/A,FALSE,"Test 120 Day Accts";#N/A,#N/A,FALSE,"Tickmarks"}</definedName>
    <definedName name="wrn.Aging._.and._.Trend._.Analysis._3_5" hidden="1">{#N/A,#N/A,FALSE,"Aging Summary";#N/A,#N/A,FALSE,"Ratio Analysis";#N/A,#N/A,FALSE,"Test 120 Day Accts";#N/A,#N/A,FALSE,"Tickmarks"}</definedName>
    <definedName name="wrn.Aging._.and._.Trend._.Analysis._4" localSheetId="4" hidden="1">{#N/A,#N/A,FALSE,"Aging Summary";#N/A,#N/A,FALSE,"Ratio Analysis";#N/A,#N/A,FALSE,"Test 120 Day Accts";#N/A,#N/A,FALSE,"Tickmarks"}</definedName>
    <definedName name="wrn.Aging._.and._.Trend._.Analysis._4" localSheetId="10" hidden="1">{#N/A,#N/A,FALSE,"Aging Summary";#N/A,#N/A,FALSE,"Ratio Analysis";#N/A,#N/A,FALSE,"Test 120 Day Accts";#N/A,#N/A,FALSE,"Tickmarks"}</definedName>
    <definedName name="wrn.Aging._.and._.Trend._.Analysis._4" hidden="1">{#N/A,#N/A,FALSE,"Aging Summary";#N/A,#N/A,FALSE,"Ratio Analysis";#N/A,#N/A,FALSE,"Test 120 Day Accts";#N/A,#N/A,FALSE,"Tickmarks"}</definedName>
    <definedName name="wrn.Aging._.and._.Trend._.Analysis._4_1" localSheetId="4" hidden="1">{#N/A,#N/A,FALSE,"Aging Summary";#N/A,#N/A,FALSE,"Ratio Analysis";#N/A,#N/A,FALSE,"Test 120 Day Accts";#N/A,#N/A,FALSE,"Tickmarks"}</definedName>
    <definedName name="wrn.Aging._.and._.Trend._.Analysis._4_1" localSheetId="10" hidden="1">{#N/A,#N/A,FALSE,"Aging Summary";#N/A,#N/A,FALSE,"Ratio Analysis";#N/A,#N/A,FALSE,"Test 120 Day Accts";#N/A,#N/A,FALSE,"Tickmarks"}</definedName>
    <definedName name="wrn.Aging._.and._.Trend._.Analysis._4_1" hidden="1">{#N/A,#N/A,FALSE,"Aging Summary";#N/A,#N/A,FALSE,"Ratio Analysis";#N/A,#N/A,FALSE,"Test 120 Day Accts";#N/A,#N/A,FALSE,"Tickmarks"}</definedName>
    <definedName name="wrn.Aging._.and._.Trend._.Analysis._4_1_1" localSheetId="4" hidden="1">{#N/A,#N/A,FALSE,"Aging Summary";#N/A,#N/A,FALSE,"Ratio Analysis";#N/A,#N/A,FALSE,"Test 120 Day Accts";#N/A,#N/A,FALSE,"Tickmarks"}</definedName>
    <definedName name="wrn.Aging._.and._.Trend._.Analysis._4_1_1" localSheetId="10" hidden="1">{#N/A,#N/A,FALSE,"Aging Summary";#N/A,#N/A,FALSE,"Ratio Analysis";#N/A,#N/A,FALSE,"Test 120 Day Accts";#N/A,#N/A,FALSE,"Tickmarks"}</definedName>
    <definedName name="wrn.Aging._.and._.Trend._.Analysis._4_1_1" hidden="1">{#N/A,#N/A,FALSE,"Aging Summary";#N/A,#N/A,FALSE,"Ratio Analysis";#N/A,#N/A,FALSE,"Test 120 Day Accts";#N/A,#N/A,FALSE,"Tickmarks"}</definedName>
    <definedName name="wrn.Aging._.and._.Trend._.Analysis._4_1_2" localSheetId="4" hidden="1">{#N/A,#N/A,FALSE,"Aging Summary";#N/A,#N/A,FALSE,"Ratio Analysis";#N/A,#N/A,FALSE,"Test 120 Day Accts";#N/A,#N/A,FALSE,"Tickmarks"}</definedName>
    <definedName name="wrn.Aging._.and._.Trend._.Analysis._4_1_2" localSheetId="10" hidden="1">{#N/A,#N/A,FALSE,"Aging Summary";#N/A,#N/A,FALSE,"Ratio Analysis";#N/A,#N/A,FALSE,"Test 120 Day Accts";#N/A,#N/A,FALSE,"Tickmarks"}</definedName>
    <definedName name="wrn.Aging._.and._.Trend._.Analysis._4_1_2" hidden="1">{#N/A,#N/A,FALSE,"Aging Summary";#N/A,#N/A,FALSE,"Ratio Analysis";#N/A,#N/A,FALSE,"Test 120 Day Accts";#N/A,#N/A,FALSE,"Tickmarks"}</definedName>
    <definedName name="wrn.Aging._.and._.Trend._.Analysis._4_2" localSheetId="4" hidden="1">{#N/A,#N/A,FALSE,"Aging Summary";#N/A,#N/A,FALSE,"Ratio Analysis";#N/A,#N/A,FALSE,"Test 120 Day Accts";#N/A,#N/A,FALSE,"Tickmarks"}</definedName>
    <definedName name="wrn.Aging._.and._.Trend._.Analysis._4_2" localSheetId="10" hidden="1">{#N/A,#N/A,FALSE,"Aging Summary";#N/A,#N/A,FALSE,"Ratio Analysis";#N/A,#N/A,FALSE,"Test 120 Day Accts";#N/A,#N/A,FALSE,"Tickmarks"}</definedName>
    <definedName name="wrn.Aging._.and._.Trend._.Analysis._4_2" hidden="1">{#N/A,#N/A,FALSE,"Aging Summary";#N/A,#N/A,FALSE,"Ratio Analysis";#N/A,#N/A,FALSE,"Test 120 Day Accts";#N/A,#N/A,FALSE,"Tickmarks"}</definedName>
    <definedName name="wrn.Aging._.and._.Trend._.Analysis._4_2_1" localSheetId="4" hidden="1">{#N/A,#N/A,FALSE,"Aging Summary";#N/A,#N/A,FALSE,"Ratio Analysis";#N/A,#N/A,FALSE,"Test 120 Day Accts";#N/A,#N/A,FALSE,"Tickmarks"}</definedName>
    <definedName name="wrn.Aging._.and._.Trend._.Analysis._4_2_1" localSheetId="10" hidden="1">{#N/A,#N/A,FALSE,"Aging Summary";#N/A,#N/A,FALSE,"Ratio Analysis";#N/A,#N/A,FALSE,"Test 120 Day Accts";#N/A,#N/A,FALSE,"Tickmarks"}</definedName>
    <definedName name="wrn.Aging._.and._.Trend._.Analysis._4_2_1" hidden="1">{#N/A,#N/A,FALSE,"Aging Summary";#N/A,#N/A,FALSE,"Ratio Analysis";#N/A,#N/A,FALSE,"Test 120 Day Accts";#N/A,#N/A,FALSE,"Tickmarks"}</definedName>
    <definedName name="wrn.Aging._.and._.Trend._.Analysis._4_2_2" localSheetId="4" hidden="1">{#N/A,#N/A,FALSE,"Aging Summary";#N/A,#N/A,FALSE,"Ratio Analysis";#N/A,#N/A,FALSE,"Test 120 Day Accts";#N/A,#N/A,FALSE,"Tickmarks"}</definedName>
    <definedName name="wrn.Aging._.and._.Trend._.Analysis._4_2_2" localSheetId="10" hidden="1">{#N/A,#N/A,FALSE,"Aging Summary";#N/A,#N/A,FALSE,"Ratio Analysis";#N/A,#N/A,FALSE,"Test 120 Day Accts";#N/A,#N/A,FALSE,"Tickmarks"}</definedName>
    <definedName name="wrn.Aging._.and._.Trend._.Analysis._4_2_2" hidden="1">{#N/A,#N/A,FALSE,"Aging Summary";#N/A,#N/A,FALSE,"Ratio Analysis";#N/A,#N/A,FALSE,"Test 120 Day Accts";#N/A,#N/A,FALSE,"Tickmarks"}</definedName>
    <definedName name="wrn.Aging._.and._.Trend._.Analysis._4_3" localSheetId="4" hidden="1">{#N/A,#N/A,FALSE,"Aging Summary";#N/A,#N/A,FALSE,"Ratio Analysis";#N/A,#N/A,FALSE,"Test 120 Day Accts";#N/A,#N/A,FALSE,"Tickmarks"}</definedName>
    <definedName name="wrn.Aging._.and._.Trend._.Analysis._4_3" localSheetId="10" hidden="1">{#N/A,#N/A,FALSE,"Aging Summary";#N/A,#N/A,FALSE,"Ratio Analysis";#N/A,#N/A,FALSE,"Test 120 Day Accts";#N/A,#N/A,FALSE,"Tickmarks"}</definedName>
    <definedName name="wrn.Aging._.and._.Trend._.Analysis._4_3" hidden="1">{#N/A,#N/A,FALSE,"Aging Summary";#N/A,#N/A,FALSE,"Ratio Analysis";#N/A,#N/A,FALSE,"Test 120 Day Accts";#N/A,#N/A,FALSE,"Tickmarks"}</definedName>
    <definedName name="wrn.Aging._.and._.Trend._.Analysis._4_3_1" localSheetId="4" hidden="1">{#N/A,#N/A,FALSE,"Aging Summary";#N/A,#N/A,FALSE,"Ratio Analysis";#N/A,#N/A,FALSE,"Test 120 Day Accts";#N/A,#N/A,FALSE,"Tickmarks"}</definedName>
    <definedName name="wrn.Aging._.and._.Trend._.Analysis._4_3_1" localSheetId="10" hidden="1">{#N/A,#N/A,FALSE,"Aging Summary";#N/A,#N/A,FALSE,"Ratio Analysis";#N/A,#N/A,FALSE,"Test 120 Day Accts";#N/A,#N/A,FALSE,"Tickmarks"}</definedName>
    <definedName name="wrn.Aging._.and._.Trend._.Analysis._4_3_1" hidden="1">{#N/A,#N/A,FALSE,"Aging Summary";#N/A,#N/A,FALSE,"Ratio Analysis";#N/A,#N/A,FALSE,"Test 120 Day Accts";#N/A,#N/A,FALSE,"Tickmarks"}</definedName>
    <definedName name="wrn.Aging._.and._.Trend._.Analysis._4_3_2" localSheetId="4" hidden="1">{#N/A,#N/A,FALSE,"Aging Summary";#N/A,#N/A,FALSE,"Ratio Analysis";#N/A,#N/A,FALSE,"Test 120 Day Accts";#N/A,#N/A,FALSE,"Tickmarks"}</definedName>
    <definedName name="wrn.Aging._.and._.Trend._.Analysis._4_3_2" localSheetId="10" hidden="1">{#N/A,#N/A,FALSE,"Aging Summary";#N/A,#N/A,FALSE,"Ratio Analysis";#N/A,#N/A,FALSE,"Test 120 Day Accts";#N/A,#N/A,FALSE,"Tickmarks"}</definedName>
    <definedName name="wrn.Aging._.and._.Trend._.Analysis._4_3_2" hidden="1">{#N/A,#N/A,FALSE,"Aging Summary";#N/A,#N/A,FALSE,"Ratio Analysis";#N/A,#N/A,FALSE,"Test 120 Day Accts";#N/A,#N/A,FALSE,"Tickmarks"}</definedName>
    <definedName name="wrn.Aging._.and._.Trend._.Analysis._4_4" localSheetId="4" hidden="1">{#N/A,#N/A,FALSE,"Aging Summary";#N/A,#N/A,FALSE,"Ratio Analysis";#N/A,#N/A,FALSE,"Test 120 Day Accts";#N/A,#N/A,FALSE,"Tickmarks"}</definedName>
    <definedName name="wrn.Aging._.and._.Trend._.Analysis._4_4" localSheetId="10" hidden="1">{#N/A,#N/A,FALSE,"Aging Summary";#N/A,#N/A,FALSE,"Ratio Analysis";#N/A,#N/A,FALSE,"Test 120 Day Accts";#N/A,#N/A,FALSE,"Tickmarks"}</definedName>
    <definedName name="wrn.Aging._.and._.Trend._.Analysis._4_4" hidden="1">{#N/A,#N/A,FALSE,"Aging Summary";#N/A,#N/A,FALSE,"Ratio Analysis";#N/A,#N/A,FALSE,"Test 120 Day Accts";#N/A,#N/A,FALSE,"Tickmarks"}</definedName>
    <definedName name="wrn.Aging._.and._.Trend._.Analysis._4_5" localSheetId="4" hidden="1">{#N/A,#N/A,FALSE,"Aging Summary";#N/A,#N/A,FALSE,"Ratio Analysis";#N/A,#N/A,FALSE,"Test 120 Day Accts";#N/A,#N/A,FALSE,"Tickmarks"}</definedName>
    <definedName name="wrn.Aging._.and._.Trend._.Analysis._4_5" localSheetId="10" hidden="1">{#N/A,#N/A,FALSE,"Aging Summary";#N/A,#N/A,FALSE,"Ratio Analysis";#N/A,#N/A,FALSE,"Test 120 Day Accts";#N/A,#N/A,FALSE,"Tickmarks"}</definedName>
    <definedName name="wrn.Aging._.and._.Trend._.Analysis._4_5" hidden="1">{#N/A,#N/A,FALSE,"Aging Summary";#N/A,#N/A,FALSE,"Ratio Analysis";#N/A,#N/A,FALSE,"Test 120 Day Accts";#N/A,#N/A,FALSE,"Tickmarks"}</definedName>
    <definedName name="wrn.Aging._.and._.Trend._.Analysis._5" localSheetId="4" hidden="1">{#N/A,#N/A,FALSE,"Aging Summary";#N/A,#N/A,FALSE,"Ratio Analysis";#N/A,#N/A,FALSE,"Test 120 Day Accts";#N/A,#N/A,FALSE,"Tickmarks"}</definedName>
    <definedName name="wrn.Aging._.and._.Trend._.Analysis._5" localSheetId="10" hidden="1">{#N/A,#N/A,FALSE,"Aging Summary";#N/A,#N/A,FALSE,"Ratio Analysis";#N/A,#N/A,FALSE,"Test 120 Day Accts";#N/A,#N/A,FALSE,"Tickmarks"}</definedName>
    <definedName name="wrn.Aging._.and._.Trend._.Analysis._5" hidden="1">{#N/A,#N/A,FALSE,"Aging Summary";#N/A,#N/A,FALSE,"Ratio Analysis";#N/A,#N/A,FALSE,"Test 120 Day Accts";#N/A,#N/A,FALSE,"Tickmarks"}</definedName>
    <definedName name="wrn.Aging._.and._.Trend._.Analysis._5_1" localSheetId="4" hidden="1">{#N/A,#N/A,FALSE,"Aging Summary";#N/A,#N/A,FALSE,"Ratio Analysis";#N/A,#N/A,FALSE,"Test 120 Day Accts";#N/A,#N/A,FALSE,"Tickmarks"}</definedName>
    <definedName name="wrn.Aging._.and._.Trend._.Analysis._5_1" localSheetId="10" hidden="1">{#N/A,#N/A,FALSE,"Aging Summary";#N/A,#N/A,FALSE,"Ratio Analysis";#N/A,#N/A,FALSE,"Test 120 Day Accts";#N/A,#N/A,FALSE,"Tickmarks"}</definedName>
    <definedName name="wrn.Aging._.and._.Trend._.Analysis._5_1" hidden="1">{#N/A,#N/A,FALSE,"Aging Summary";#N/A,#N/A,FALSE,"Ratio Analysis";#N/A,#N/A,FALSE,"Test 120 Day Accts";#N/A,#N/A,FALSE,"Tickmarks"}</definedName>
    <definedName name="wrn.Aging._.and._.Trend._.Analysis._5_1_1" localSheetId="4" hidden="1">{#N/A,#N/A,FALSE,"Aging Summary";#N/A,#N/A,FALSE,"Ratio Analysis";#N/A,#N/A,FALSE,"Test 120 Day Accts";#N/A,#N/A,FALSE,"Tickmarks"}</definedName>
    <definedName name="wrn.Aging._.and._.Trend._.Analysis._5_1_1" localSheetId="10" hidden="1">{#N/A,#N/A,FALSE,"Aging Summary";#N/A,#N/A,FALSE,"Ratio Analysis";#N/A,#N/A,FALSE,"Test 120 Day Accts";#N/A,#N/A,FALSE,"Tickmarks"}</definedName>
    <definedName name="wrn.Aging._.and._.Trend._.Analysis._5_1_1" hidden="1">{#N/A,#N/A,FALSE,"Aging Summary";#N/A,#N/A,FALSE,"Ratio Analysis";#N/A,#N/A,FALSE,"Test 120 Day Accts";#N/A,#N/A,FALSE,"Tickmarks"}</definedName>
    <definedName name="wrn.Aging._.and._.Trend._.Analysis._5_1_2" localSheetId="4" hidden="1">{#N/A,#N/A,FALSE,"Aging Summary";#N/A,#N/A,FALSE,"Ratio Analysis";#N/A,#N/A,FALSE,"Test 120 Day Accts";#N/A,#N/A,FALSE,"Tickmarks"}</definedName>
    <definedName name="wrn.Aging._.and._.Trend._.Analysis._5_1_2" localSheetId="10" hidden="1">{#N/A,#N/A,FALSE,"Aging Summary";#N/A,#N/A,FALSE,"Ratio Analysis";#N/A,#N/A,FALSE,"Test 120 Day Accts";#N/A,#N/A,FALSE,"Tickmarks"}</definedName>
    <definedName name="wrn.Aging._.and._.Trend._.Analysis._5_1_2" hidden="1">{#N/A,#N/A,FALSE,"Aging Summary";#N/A,#N/A,FALSE,"Ratio Analysis";#N/A,#N/A,FALSE,"Test 120 Day Accts";#N/A,#N/A,FALSE,"Tickmarks"}</definedName>
    <definedName name="wrn.Aging._.and._.Trend._.Analysis._5_2" localSheetId="4" hidden="1">{#N/A,#N/A,FALSE,"Aging Summary";#N/A,#N/A,FALSE,"Ratio Analysis";#N/A,#N/A,FALSE,"Test 120 Day Accts";#N/A,#N/A,FALSE,"Tickmarks"}</definedName>
    <definedName name="wrn.Aging._.and._.Trend._.Analysis._5_2" localSheetId="10" hidden="1">{#N/A,#N/A,FALSE,"Aging Summary";#N/A,#N/A,FALSE,"Ratio Analysis";#N/A,#N/A,FALSE,"Test 120 Day Accts";#N/A,#N/A,FALSE,"Tickmarks"}</definedName>
    <definedName name="wrn.Aging._.and._.Trend._.Analysis._5_2" hidden="1">{#N/A,#N/A,FALSE,"Aging Summary";#N/A,#N/A,FALSE,"Ratio Analysis";#N/A,#N/A,FALSE,"Test 120 Day Accts";#N/A,#N/A,FALSE,"Tickmarks"}</definedName>
    <definedName name="wrn.Aging._.and._.Trend._.Analysis._5_2_1" localSheetId="4" hidden="1">{#N/A,#N/A,FALSE,"Aging Summary";#N/A,#N/A,FALSE,"Ratio Analysis";#N/A,#N/A,FALSE,"Test 120 Day Accts";#N/A,#N/A,FALSE,"Tickmarks"}</definedName>
    <definedName name="wrn.Aging._.and._.Trend._.Analysis._5_2_1" localSheetId="10" hidden="1">{#N/A,#N/A,FALSE,"Aging Summary";#N/A,#N/A,FALSE,"Ratio Analysis";#N/A,#N/A,FALSE,"Test 120 Day Accts";#N/A,#N/A,FALSE,"Tickmarks"}</definedName>
    <definedName name="wrn.Aging._.and._.Trend._.Analysis._5_2_1" hidden="1">{#N/A,#N/A,FALSE,"Aging Summary";#N/A,#N/A,FALSE,"Ratio Analysis";#N/A,#N/A,FALSE,"Test 120 Day Accts";#N/A,#N/A,FALSE,"Tickmarks"}</definedName>
    <definedName name="wrn.Aging._.and._.Trend._.Analysis._5_2_2" localSheetId="4" hidden="1">{#N/A,#N/A,FALSE,"Aging Summary";#N/A,#N/A,FALSE,"Ratio Analysis";#N/A,#N/A,FALSE,"Test 120 Day Accts";#N/A,#N/A,FALSE,"Tickmarks"}</definedName>
    <definedName name="wrn.Aging._.and._.Trend._.Analysis._5_2_2" localSheetId="10" hidden="1">{#N/A,#N/A,FALSE,"Aging Summary";#N/A,#N/A,FALSE,"Ratio Analysis";#N/A,#N/A,FALSE,"Test 120 Day Accts";#N/A,#N/A,FALSE,"Tickmarks"}</definedName>
    <definedName name="wrn.Aging._.and._.Trend._.Analysis._5_2_2" hidden="1">{#N/A,#N/A,FALSE,"Aging Summary";#N/A,#N/A,FALSE,"Ratio Analysis";#N/A,#N/A,FALSE,"Test 120 Day Accts";#N/A,#N/A,FALSE,"Tickmarks"}</definedName>
    <definedName name="wrn.Aging._.and._.Trend._.Analysis._5_3" localSheetId="4" hidden="1">{#N/A,#N/A,FALSE,"Aging Summary";#N/A,#N/A,FALSE,"Ratio Analysis";#N/A,#N/A,FALSE,"Test 120 Day Accts";#N/A,#N/A,FALSE,"Tickmarks"}</definedName>
    <definedName name="wrn.Aging._.and._.Trend._.Analysis._5_3" localSheetId="10" hidden="1">{#N/A,#N/A,FALSE,"Aging Summary";#N/A,#N/A,FALSE,"Ratio Analysis";#N/A,#N/A,FALSE,"Test 120 Day Accts";#N/A,#N/A,FALSE,"Tickmarks"}</definedName>
    <definedName name="wrn.Aging._.and._.Trend._.Analysis._5_3" hidden="1">{#N/A,#N/A,FALSE,"Aging Summary";#N/A,#N/A,FALSE,"Ratio Analysis";#N/A,#N/A,FALSE,"Test 120 Day Accts";#N/A,#N/A,FALSE,"Tickmarks"}</definedName>
    <definedName name="wrn.Aging._.and._.Trend._.Analysis._5_3_1" localSheetId="4" hidden="1">{#N/A,#N/A,FALSE,"Aging Summary";#N/A,#N/A,FALSE,"Ratio Analysis";#N/A,#N/A,FALSE,"Test 120 Day Accts";#N/A,#N/A,FALSE,"Tickmarks"}</definedName>
    <definedName name="wrn.Aging._.and._.Trend._.Analysis._5_3_1" localSheetId="10" hidden="1">{#N/A,#N/A,FALSE,"Aging Summary";#N/A,#N/A,FALSE,"Ratio Analysis";#N/A,#N/A,FALSE,"Test 120 Day Accts";#N/A,#N/A,FALSE,"Tickmarks"}</definedName>
    <definedName name="wrn.Aging._.and._.Trend._.Analysis._5_3_1" hidden="1">{#N/A,#N/A,FALSE,"Aging Summary";#N/A,#N/A,FALSE,"Ratio Analysis";#N/A,#N/A,FALSE,"Test 120 Day Accts";#N/A,#N/A,FALSE,"Tickmarks"}</definedName>
    <definedName name="wrn.Aging._.and._.Trend._.Analysis._5_3_2" localSheetId="4" hidden="1">{#N/A,#N/A,FALSE,"Aging Summary";#N/A,#N/A,FALSE,"Ratio Analysis";#N/A,#N/A,FALSE,"Test 120 Day Accts";#N/A,#N/A,FALSE,"Tickmarks"}</definedName>
    <definedName name="wrn.Aging._.and._.Trend._.Analysis._5_3_2" localSheetId="10" hidden="1">{#N/A,#N/A,FALSE,"Aging Summary";#N/A,#N/A,FALSE,"Ratio Analysis";#N/A,#N/A,FALSE,"Test 120 Day Accts";#N/A,#N/A,FALSE,"Tickmarks"}</definedName>
    <definedName name="wrn.Aging._.and._.Trend._.Analysis._5_3_2" hidden="1">{#N/A,#N/A,FALSE,"Aging Summary";#N/A,#N/A,FALSE,"Ratio Analysis";#N/A,#N/A,FALSE,"Test 120 Day Accts";#N/A,#N/A,FALSE,"Tickmarks"}</definedName>
    <definedName name="wrn.Aging._.and._.Trend._.Analysis._5_4" localSheetId="4" hidden="1">{#N/A,#N/A,FALSE,"Aging Summary";#N/A,#N/A,FALSE,"Ratio Analysis";#N/A,#N/A,FALSE,"Test 120 Day Accts";#N/A,#N/A,FALSE,"Tickmarks"}</definedName>
    <definedName name="wrn.Aging._.and._.Trend._.Analysis._5_4" localSheetId="10" hidden="1">{#N/A,#N/A,FALSE,"Aging Summary";#N/A,#N/A,FALSE,"Ratio Analysis";#N/A,#N/A,FALSE,"Test 120 Day Accts";#N/A,#N/A,FALSE,"Tickmarks"}</definedName>
    <definedName name="wrn.Aging._.and._.Trend._.Analysis._5_4" hidden="1">{#N/A,#N/A,FALSE,"Aging Summary";#N/A,#N/A,FALSE,"Ratio Analysis";#N/A,#N/A,FALSE,"Test 120 Day Accts";#N/A,#N/A,FALSE,"Tickmarks"}</definedName>
    <definedName name="wrn.Aging._.and._.Trend._.Analysis._5_5" localSheetId="4" hidden="1">{#N/A,#N/A,FALSE,"Aging Summary";#N/A,#N/A,FALSE,"Ratio Analysis";#N/A,#N/A,FALSE,"Test 120 Day Accts";#N/A,#N/A,FALSE,"Tickmarks"}</definedName>
    <definedName name="wrn.Aging._.and._.Trend._.Analysis._5_5" localSheetId="10" hidden="1">{#N/A,#N/A,FALSE,"Aging Summary";#N/A,#N/A,FALSE,"Ratio Analysis";#N/A,#N/A,FALSE,"Test 120 Day Accts";#N/A,#N/A,FALSE,"Tickmarks"}</definedName>
    <definedName name="wrn.Aging._.and._.Trend._.Analysis._5_5" hidden="1">{#N/A,#N/A,FALSE,"Aging Summary";#N/A,#N/A,FALSE,"Ratio Analysis";#N/A,#N/A,FALSE,"Test 120 Day Accts";#N/A,#N/A,FALSE,"Tickmarks"}</definedName>
    <definedName name="wrn.rapport._.1." localSheetId="4" hidden="1">{#N/A,#N/A,TRUE,"Forecast &amp; Analysis";#N/A,#N/A,TRUE,"Market Values";#N/A,#N/A,TRUE,"Ratios";#N/A,#N/A,TRUE,"Regressions";#N/A,#N/A,TRUE,"Market Values";#N/A,#N/A,TRUE,"Parameters &amp; Results"}</definedName>
    <definedName name="wrn.rapport._.1." localSheetId="10" hidden="1">{#N/A,#N/A,TRUE,"Forecast &amp; Analysis";#N/A,#N/A,TRUE,"Market Values";#N/A,#N/A,TRUE,"Ratios";#N/A,#N/A,TRUE,"Regressions";#N/A,#N/A,TRUE,"Market Values";#N/A,#N/A,TRUE,"Parameters &amp; Results"}</definedName>
    <definedName name="wrn.rapport._.1." hidden="1">{#N/A,#N/A,TRUE,"Forecast &amp; Analysis";#N/A,#N/A,TRUE,"Market Values";#N/A,#N/A,TRUE,"Ratios";#N/A,#N/A,TRUE,"Regressions";#N/A,#N/A,TRUE,"Market Values";#N/A,#N/A,TRUE,"Parameters &amp; Results"}</definedName>
    <definedName name="wrn.rapport._.1._1" localSheetId="4" hidden="1">{#N/A,#N/A,TRUE,"Forecast &amp; Analysis";#N/A,#N/A,TRUE,"Market Values";#N/A,#N/A,TRUE,"Ratios";#N/A,#N/A,TRUE,"Regressions";#N/A,#N/A,TRUE,"Market Values";#N/A,#N/A,TRUE,"Parameters &amp; Results"}</definedName>
    <definedName name="wrn.rapport._.1._1" localSheetId="10" hidden="1">{#N/A,#N/A,TRUE,"Forecast &amp; Analysis";#N/A,#N/A,TRUE,"Market Values";#N/A,#N/A,TRUE,"Ratios";#N/A,#N/A,TRUE,"Regressions";#N/A,#N/A,TRUE,"Market Values";#N/A,#N/A,TRUE,"Parameters &amp; Results"}</definedName>
    <definedName name="wrn.rapport._.1._1" hidden="1">{#N/A,#N/A,TRUE,"Forecast &amp; Analysis";#N/A,#N/A,TRUE,"Market Values";#N/A,#N/A,TRUE,"Ratios";#N/A,#N/A,TRUE,"Regressions";#N/A,#N/A,TRUE,"Market Values";#N/A,#N/A,TRUE,"Parameters &amp; Results"}</definedName>
    <definedName name="wrn.rapport._.1._1_1" localSheetId="4" hidden="1">{#N/A,#N/A,TRUE,"Forecast &amp; Analysis";#N/A,#N/A,TRUE,"Market Values";#N/A,#N/A,TRUE,"Ratios";#N/A,#N/A,TRUE,"Regressions";#N/A,#N/A,TRUE,"Market Values";#N/A,#N/A,TRUE,"Parameters &amp; Results"}</definedName>
    <definedName name="wrn.rapport._.1._1_1" localSheetId="10" hidden="1">{#N/A,#N/A,TRUE,"Forecast &amp; Analysis";#N/A,#N/A,TRUE,"Market Values";#N/A,#N/A,TRUE,"Ratios";#N/A,#N/A,TRUE,"Regressions";#N/A,#N/A,TRUE,"Market Values";#N/A,#N/A,TRUE,"Parameters &amp; Results"}</definedName>
    <definedName name="wrn.rapport._.1._1_1" hidden="1">{#N/A,#N/A,TRUE,"Forecast &amp; Analysis";#N/A,#N/A,TRUE,"Market Values";#N/A,#N/A,TRUE,"Ratios";#N/A,#N/A,TRUE,"Regressions";#N/A,#N/A,TRUE,"Market Values";#N/A,#N/A,TRUE,"Parameters &amp; Results"}</definedName>
    <definedName name="wrn.rapport._.1._1_1_1" localSheetId="4" hidden="1">{#N/A,#N/A,TRUE,"Forecast &amp; Analysis";#N/A,#N/A,TRUE,"Market Values";#N/A,#N/A,TRUE,"Ratios";#N/A,#N/A,TRUE,"Regressions";#N/A,#N/A,TRUE,"Market Values";#N/A,#N/A,TRUE,"Parameters &amp; Results"}</definedName>
    <definedName name="wrn.rapport._.1._1_1_1" localSheetId="10" hidden="1">{#N/A,#N/A,TRUE,"Forecast &amp; Analysis";#N/A,#N/A,TRUE,"Market Values";#N/A,#N/A,TRUE,"Ratios";#N/A,#N/A,TRUE,"Regressions";#N/A,#N/A,TRUE,"Market Values";#N/A,#N/A,TRUE,"Parameters &amp; Results"}</definedName>
    <definedName name="wrn.rapport._.1._1_1_1" hidden="1">{#N/A,#N/A,TRUE,"Forecast &amp; Analysis";#N/A,#N/A,TRUE,"Market Values";#N/A,#N/A,TRUE,"Ratios";#N/A,#N/A,TRUE,"Regressions";#N/A,#N/A,TRUE,"Market Values";#N/A,#N/A,TRUE,"Parameters &amp; Results"}</definedName>
    <definedName name="wrn.rapport._.1._1_1_1_1" localSheetId="4" hidden="1">{#N/A,#N/A,TRUE,"Forecast &amp; Analysis";#N/A,#N/A,TRUE,"Market Values";#N/A,#N/A,TRUE,"Ratios";#N/A,#N/A,TRUE,"Regressions";#N/A,#N/A,TRUE,"Market Values";#N/A,#N/A,TRUE,"Parameters &amp; Results"}</definedName>
    <definedName name="wrn.rapport._.1._1_1_1_1" localSheetId="10" hidden="1">{#N/A,#N/A,TRUE,"Forecast &amp; Analysis";#N/A,#N/A,TRUE,"Market Values";#N/A,#N/A,TRUE,"Ratios";#N/A,#N/A,TRUE,"Regressions";#N/A,#N/A,TRUE,"Market Values";#N/A,#N/A,TRUE,"Parameters &amp; Results"}</definedName>
    <definedName name="wrn.rapport._.1._1_1_1_1" hidden="1">{#N/A,#N/A,TRUE,"Forecast &amp; Analysis";#N/A,#N/A,TRUE,"Market Values";#N/A,#N/A,TRUE,"Ratios";#N/A,#N/A,TRUE,"Regressions";#N/A,#N/A,TRUE,"Market Values";#N/A,#N/A,TRUE,"Parameters &amp; Results"}</definedName>
    <definedName name="wrn.rapport._.1._1_1_1_1_1" localSheetId="4" hidden="1">{#N/A,#N/A,TRUE,"Forecast &amp; Analysis";#N/A,#N/A,TRUE,"Market Values";#N/A,#N/A,TRUE,"Ratios";#N/A,#N/A,TRUE,"Regressions";#N/A,#N/A,TRUE,"Market Values";#N/A,#N/A,TRUE,"Parameters &amp; Results"}</definedName>
    <definedName name="wrn.rapport._.1._1_1_1_1_1" localSheetId="10" hidden="1">{#N/A,#N/A,TRUE,"Forecast &amp; Analysis";#N/A,#N/A,TRUE,"Market Values";#N/A,#N/A,TRUE,"Ratios";#N/A,#N/A,TRUE,"Regressions";#N/A,#N/A,TRUE,"Market Values";#N/A,#N/A,TRUE,"Parameters &amp; Results"}</definedName>
    <definedName name="wrn.rapport._.1._1_1_1_1_1" hidden="1">{#N/A,#N/A,TRUE,"Forecast &amp; Analysis";#N/A,#N/A,TRUE,"Market Values";#N/A,#N/A,TRUE,"Ratios";#N/A,#N/A,TRUE,"Regressions";#N/A,#N/A,TRUE,"Market Values";#N/A,#N/A,TRUE,"Parameters &amp; Results"}</definedName>
    <definedName name="wrn.rapport._.1._1_1_1_1_2" localSheetId="4" hidden="1">{#N/A,#N/A,TRUE,"Forecast &amp; Analysis";#N/A,#N/A,TRUE,"Market Values";#N/A,#N/A,TRUE,"Ratios";#N/A,#N/A,TRUE,"Regressions";#N/A,#N/A,TRUE,"Market Values";#N/A,#N/A,TRUE,"Parameters &amp; Results"}</definedName>
    <definedName name="wrn.rapport._.1._1_1_1_1_2" localSheetId="10" hidden="1">{#N/A,#N/A,TRUE,"Forecast &amp; Analysis";#N/A,#N/A,TRUE,"Market Values";#N/A,#N/A,TRUE,"Ratios";#N/A,#N/A,TRUE,"Regressions";#N/A,#N/A,TRUE,"Market Values";#N/A,#N/A,TRUE,"Parameters &amp; Results"}</definedName>
    <definedName name="wrn.rapport._.1._1_1_1_1_2" hidden="1">{#N/A,#N/A,TRUE,"Forecast &amp; Analysis";#N/A,#N/A,TRUE,"Market Values";#N/A,#N/A,TRUE,"Ratios";#N/A,#N/A,TRUE,"Regressions";#N/A,#N/A,TRUE,"Market Values";#N/A,#N/A,TRUE,"Parameters &amp; Results"}</definedName>
    <definedName name="wrn.rapport._.1._1_1_1_2" localSheetId="4" hidden="1">{#N/A,#N/A,TRUE,"Forecast &amp; Analysis";#N/A,#N/A,TRUE,"Market Values";#N/A,#N/A,TRUE,"Ratios";#N/A,#N/A,TRUE,"Regressions";#N/A,#N/A,TRUE,"Market Values";#N/A,#N/A,TRUE,"Parameters &amp; Results"}</definedName>
    <definedName name="wrn.rapport._.1._1_1_1_2" localSheetId="10" hidden="1">{#N/A,#N/A,TRUE,"Forecast &amp; Analysis";#N/A,#N/A,TRUE,"Market Values";#N/A,#N/A,TRUE,"Ratios";#N/A,#N/A,TRUE,"Regressions";#N/A,#N/A,TRUE,"Market Values";#N/A,#N/A,TRUE,"Parameters &amp; Results"}</definedName>
    <definedName name="wrn.rapport._.1._1_1_1_2" hidden="1">{#N/A,#N/A,TRUE,"Forecast &amp; Analysis";#N/A,#N/A,TRUE,"Market Values";#N/A,#N/A,TRUE,"Ratios";#N/A,#N/A,TRUE,"Regressions";#N/A,#N/A,TRUE,"Market Values";#N/A,#N/A,TRUE,"Parameters &amp; Results"}</definedName>
    <definedName name="wrn.rapport._.1._1_1_1_2_1" localSheetId="4" hidden="1">{#N/A,#N/A,TRUE,"Forecast &amp; Analysis";#N/A,#N/A,TRUE,"Market Values";#N/A,#N/A,TRUE,"Ratios";#N/A,#N/A,TRUE,"Regressions";#N/A,#N/A,TRUE,"Market Values";#N/A,#N/A,TRUE,"Parameters &amp; Results"}</definedName>
    <definedName name="wrn.rapport._.1._1_1_1_2_1" localSheetId="10" hidden="1">{#N/A,#N/A,TRUE,"Forecast &amp; Analysis";#N/A,#N/A,TRUE,"Market Values";#N/A,#N/A,TRUE,"Ratios";#N/A,#N/A,TRUE,"Regressions";#N/A,#N/A,TRUE,"Market Values";#N/A,#N/A,TRUE,"Parameters &amp; Results"}</definedName>
    <definedName name="wrn.rapport._.1._1_1_1_2_1" hidden="1">{#N/A,#N/A,TRUE,"Forecast &amp; Analysis";#N/A,#N/A,TRUE,"Market Values";#N/A,#N/A,TRUE,"Ratios";#N/A,#N/A,TRUE,"Regressions";#N/A,#N/A,TRUE,"Market Values";#N/A,#N/A,TRUE,"Parameters &amp; Results"}</definedName>
    <definedName name="wrn.rapport._.1._1_1_1_2_2" localSheetId="4" hidden="1">{#N/A,#N/A,TRUE,"Forecast &amp; Analysis";#N/A,#N/A,TRUE,"Market Values";#N/A,#N/A,TRUE,"Ratios";#N/A,#N/A,TRUE,"Regressions";#N/A,#N/A,TRUE,"Market Values";#N/A,#N/A,TRUE,"Parameters &amp; Results"}</definedName>
    <definedName name="wrn.rapport._.1._1_1_1_2_2" localSheetId="10" hidden="1">{#N/A,#N/A,TRUE,"Forecast &amp; Analysis";#N/A,#N/A,TRUE,"Market Values";#N/A,#N/A,TRUE,"Ratios";#N/A,#N/A,TRUE,"Regressions";#N/A,#N/A,TRUE,"Market Values";#N/A,#N/A,TRUE,"Parameters &amp; Results"}</definedName>
    <definedName name="wrn.rapport._.1._1_1_1_2_2" hidden="1">{#N/A,#N/A,TRUE,"Forecast &amp; Analysis";#N/A,#N/A,TRUE,"Market Values";#N/A,#N/A,TRUE,"Ratios";#N/A,#N/A,TRUE,"Regressions";#N/A,#N/A,TRUE,"Market Values";#N/A,#N/A,TRUE,"Parameters &amp; Results"}</definedName>
    <definedName name="wrn.rapport._.1._1_1_1_3" localSheetId="4" hidden="1">{#N/A,#N/A,TRUE,"Forecast &amp; Analysis";#N/A,#N/A,TRUE,"Market Values";#N/A,#N/A,TRUE,"Ratios";#N/A,#N/A,TRUE,"Regressions";#N/A,#N/A,TRUE,"Market Values";#N/A,#N/A,TRUE,"Parameters &amp; Results"}</definedName>
    <definedName name="wrn.rapport._.1._1_1_1_3" localSheetId="10" hidden="1">{#N/A,#N/A,TRUE,"Forecast &amp; Analysis";#N/A,#N/A,TRUE,"Market Values";#N/A,#N/A,TRUE,"Ratios";#N/A,#N/A,TRUE,"Regressions";#N/A,#N/A,TRUE,"Market Values";#N/A,#N/A,TRUE,"Parameters &amp; Results"}</definedName>
    <definedName name="wrn.rapport._.1._1_1_1_3" hidden="1">{#N/A,#N/A,TRUE,"Forecast &amp; Analysis";#N/A,#N/A,TRUE,"Market Values";#N/A,#N/A,TRUE,"Ratios";#N/A,#N/A,TRUE,"Regressions";#N/A,#N/A,TRUE,"Market Values";#N/A,#N/A,TRUE,"Parameters &amp; Results"}</definedName>
    <definedName name="wrn.rapport._.1._1_1_1_3_1" localSheetId="4" hidden="1">{#N/A,#N/A,TRUE,"Forecast &amp; Analysis";#N/A,#N/A,TRUE,"Market Values";#N/A,#N/A,TRUE,"Ratios";#N/A,#N/A,TRUE,"Regressions";#N/A,#N/A,TRUE,"Market Values";#N/A,#N/A,TRUE,"Parameters &amp; Results"}</definedName>
    <definedName name="wrn.rapport._.1._1_1_1_3_1" localSheetId="10" hidden="1">{#N/A,#N/A,TRUE,"Forecast &amp; Analysis";#N/A,#N/A,TRUE,"Market Values";#N/A,#N/A,TRUE,"Ratios";#N/A,#N/A,TRUE,"Regressions";#N/A,#N/A,TRUE,"Market Values";#N/A,#N/A,TRUE,"Parameters &amp; Results"}</definedName>
    <definedName name="wrn.rapport._.1._1_1_1_3_1" hidden="1">{#N/A,#N/A,TRUE,"Forecast &amp; Analysis";#N/A,#N/A,TRUE,"Market Values";#N/A,#N/A,TRUE,"Ratios";#N/A,#N/A,TRUE,"Regressions";#N/A,#N/A,TRUE,"Market Values";#N/A,#N/A,TRUE,"Parameters &amp; Results"}</definedName>
    <definedName name="wrn.rapport._.1._1_1_1_3_2" localSheetId="4" hidden="1">{#N/A,#N/A,TRUE,"Forecast &amp; Analysis";#N/A,#N/A,TRUE,"Market Values";#N/A,#N/A,TRUE,"Ratios";#N/A,#N/A,TRUE,"Regressions";#N/A,#N/A,TRUE,"Market Values";#N/A,#N/A,TRUE,"Parameters &amp; Results"}</definedName>
    <definedName name="wrn.rapport._.1._1_1_1_3_2" localSheetId="10" hidden="1">{#N/A,#N/A,TRUE,"Forecast &amp; Analysis";#N/A,#N/A,TRUE,"Market Values";#N/A,#N/A,TRUE,"Ratios";#N/A,#N/A,TRUE,"Regressions";#N/A,#N/A,TRUE,"Market Values";#N/A,#N/A,TRUE,"Parameters &amp; Results"}</definedName>
    <definedName name="wrn.rapport._.1._1_1_1_3_2" hidden="1">{#N/A,#N/A,TRUE,"Forecast &amp; Analysis";#N/A,#N/A,TRUE,"Market Values";#N/A,#N/A,TRUE,"Ratios";#N/A,#N/A,TRUE,"Regressions";#N/A,#N/A,TRUE,"Market Values";#N/A,#N/A,TRUE,"Parameters &amp; Results"}</definedName>
    <definedName name="wrn.rapport._.1._1_1_1_4" localSheetId="4" hidden="1">{#N/A,#N/A,TRUE,"Forecast &amp; Analysis";#N/A,#N/A,TRUE,"Market Values";#N/A,#N/A,TRUE,"Ratios";#N/A,#N/A,TRUE,"Regressions";#N/A,#N/A,TRUE,"Market Values";#N/A,#N/A,TRUE,"Parameters &amp; Results"}</definedName>
    <definedName name="wrn.rapport._.1._1_1_1_4" localSheetId="10" hidden="1">{#N/A,#N/A,TRUE,"Forecast &amp; Analysis";#N/A,#N/A,TRUE,"Market Values";#N/A,#N/A,TRUE,"Ratios";#N/A,#N/A,TRUE,"Regressions";#N/A,#N/A,TRUE,"Market Values";#N/A,#N/A,TRUE,"Parameters &amp; Results"}</definedName>
    <definedName name="wrn.rapport._.1._1_1_1_4" hidden="1">{#N/A,#N/A,TRUE,"Forecast &amp; Analysis";#N/A,#N/A,TRUE,"Market Values";#N/A,#N/A,TRUE,"Ratios";#N/A,#N/A,TRUE,"Regressions";#N/A,#N/A,TRUE,"Market Values";#N/A,#N/A,TRUE,"Parameters &amp; Results"}</definedName>
    <definedName name="wrn.rapport._.1._1_1_1_5" localSheetId="4" hidden="1">{#N/A,#N/A,TRUE,"Forecast &amp; Analysis";#N/A,#N/A,TRUE,"Market Values";#N/A,#N/A,TRUE,"Ratios";#N/A,#N/A,TRUE,"Regressions";#N/A,#N/A,TRUE,"Market Values";#N/A,#N/A,TRUE,"Parameters &amp; Results"}</definedName>
    <definedName name="wrn.rapport._.1._1_1_1_5" localSheetId="10" hidden="1">{#N/A,#N/A,TRUE,"Forecast &amp; Analysis";#N/A,#N/A,TRUE,"Market Values";#N/A,#N/A,TRUE,"Ratios";#N/A,#N/A,TRUE,"Regressions";#N/A,#N/A,TRUE,"Market Values";#N/A,#N/A,TRUE,"Parameters &amp; Results"}</definedName>
    <definedName name="wrn.rapport._.1._1_1_1_5" hidden="1">{#N/A,#N/A,TRUE,"Forecast &amp; Analysis";#N/A,#N/A,TRUE,"Market Values";#N/A,#N/A,TRUE,"Ratios";#N/A,#N/A,TRUE,"Regressions";#N/A,#N/A,TRUE,"Market Values";#N/A,#N/A,TRUE,"Parameters &amp; Results"}</definedName>
    <definedName name="wrn.rapport._.1._1_1_2" localSheetId="4" hidden="1">{#N/A,#N/A,TRUE,"Forecast &amp; Analysis";#N/A,#N/A,TRUE,"Market Values";#N/A,#N/A,TRUE,"Ratios";#N/A,#N/A,TRUE,"Regressions";#N/A,#N/A,TRUE,"Market Values";#N/A,#N/A,TRUE,"Parameters &amp; Results"}</definedName>
    <definedName name="wrn.rapport._.1._1_1_2" localSheetId="10" hidden="1">{#N/A,#N/A,TRUE,"Forecast &amp; Analysis";#N/A,#N/A,TRUE,"Market Values";#N/A,#N/A,TRUE,"Ratios";#N/A,#N/A,TRUE,"Regressions";#N/A,#N/A,TRUE,"Market Values";#N/A,#N/A,TRUE,"Parameters &amp; Results"}</definedName>
    <definedName name="wrn.rapport._.1._1_1_2" hidden="1">{#N/A,#N/A,TRUE,"Forecast &amp; Analysis";#N/A,#N/A,TRUE,"Market Values";#N/A,#N/A,TRUE,"Ratios";#N/A,#N/A,TRUE,"Regressions";#N/A,#N/A,TRUE,"Market Values";#N/A,#N/A,TRUE,"Parameters &amp; Results"}</definedName>
    <definedName name="wrn.rapport._.1._1_1_2_1" localSheetId="4" hidden="1">{#N/A,#N/A,TRUE,"Forecast &amp; Analysis";#N/A,#N/A,TRUE,"Market Values";#N/A,#N/A,TRUE,"Ratios";#N/A,#N/A,TRUE,"Regressions";#N/A,#N/A,TRUE,"Market Values";#N/A,#N/A,TRUE,"Parameters &amp; Results"}</definedName>
    <definedName name="wrn.rapport._.1._1_1_2_1" localSheetId="10" hidden="1">{#N/A,#N/A,TRUE,"Forecast &amp; Analysis";#N/A,#N/A,TRUE,"Market Values";#N/A,#N/A,TRUE,"Ratios";#N/A,#N/A,TRUE,"Regressions";#N/A,#N/A,TRUE,"Market Values";#N/A,#N/A,TRUE,"Parameters &amp; Results"}</definedName>
    <definedName name="wrn.rapport._.1._1_1_2_1" hidden="1">{#N/A,#N/A,TRUE,"Forecast &amp; Analysis";#N/A,#N/A,TRUE,"Market Values";#N/A,#N/A,TRUE,"Ratios";#N/A,#N/A,TRUE,"Regressions";#N/A,#N/A,TRUE,"Market Values";#N/A,#N/A,TRUE,"Parameters &amp; Results"}</definedName>
    <definedName name="wrn.rapport._.1._1_1_2_2" localSheetId="4" hidden="1">{#N/A,#N/A,TRUE,"Forecast &amp; Analysis";#N/A,#N/A,TRUE,"Market Values";#N/A,#N/A,TRUE,"Ratios";#N/A,#N/A,TRUE,"Regressions";#N/A,#N/A,TRUE,"Market Values";#N/A,#N/A,TRUE,"Parameters &amp; Results"}</definedName>
    <definedName name="wrn.rapport._.1._1_1_2_2" localSheetId="10" hidden="1">{#N/A,#N/A,TRUE,"Forecast &amp; Analysis";#N/A,#N/A,TRUE,"Market Values";#N/A,#N/A,TRUE,"Ratios";#N/A,#N/A,TRUE,"Regressions";#N/A,#N/A,TRUE,"Market Values";#N/A,#N/A,TRUE,"Parameters &amp; Results"}</definedName>
    <definedName name="wrn.rapport._.1._1_1_2_2" hidden="1">{#N/A,#N/A,TRUE,"Forecast &amp; Analysis";#N/A,#N/A,TRUE,"Market Values";#N/A,#N/A,TRUE,"Ratios";#N/A,#N/A,TRUE,"Regressions";#N/A,#N/A,TRUE,"Market Values";#N/A,#N/A,TRUE,"Parameters &amp; Results"}</definedName>
    <definedName name="wrn.rapport._.1._1_1_3" localSheetId="4" hidden="1">{#N/A,#N/A,TRUE,"Forecast &amp; Analysis";#N/A,#N/A,TRUE,"Market Values";#N/A,#N/A,TRUE,"Ratios";#N/A,#N/A,TRUE,"Regressions";#N/A,#N/A,TRUE,"Market Values";#N/A,#N/A,TRUE,"Parameters &amp; Results"}</definedName>
    <definedName name="wrn.rapport._.1._1_1_3" localSheetId="10" hidden="1">{#N/A,#N/A,TRUE,"Forecast &amp; Analysis";#N/A,#N/A,TRUE,"Market Values";#N/A,#N/A,TRUE,"Ratios";#N/A,#N/A,TRUE,"Regressions";#N/A,#N/A,TRUE,"Market Values";#N/A,#N/A,TRUE,"Parameters &amp; Results"}</definedName>
    <definedName name="wrn.rapport._.1._1_1_3" hidden="1">{#N/A,#N/A,TRUE,"Forecast &amp; Analysis";#N/A,#N/A,TRUE,"Market Values";#N/A,#N/A,TRUE,"Ratios";#N/A,#N/A,TRUE,"Regressions";#N/A,#N/A,TRUE,"Market Values";#N/A,#N/A,TRUE,"Parameters &amp; Results"}</definedName>
    <definedName name="wrn.rapport._.1._1_1_3_1" localSheetId="4" hidden="1">{#N/A,#N/A,TRUE,"Forecast &amp; Analysis";#N/A,#N/A,TRUE,"Market Values";#N/A,#N/A,TRUE,"Ratios";#N/A,#N/A,TRUE,"Regressions";#N/A,#N/A,TRUE,"Market Values";#N/A,#N/A,TRUE,"Parameters &amp; Results"}</definedName>
    <definedName name="wrn.rapport._.1._1_1_3_1" localSheetId="10" hidden="1">{#N/A,#N/A,TRUE,"Forecast &amp; Analysis";#N/A,#N/A,TRUE,"Market Values";#N/A,#N/A,TRUE,"Ratios";#N/A,#N/A,TRUE,"Regressions";#N/A,#N/A,TRUE,"Market Values";#N/A,#N/A,TRUE,"Parameters &amp; Results"}</definedName>
    <definedName name="wrn.rapport._.1._1_1_3_1" hidden="1">{#N/A,#N/A,TRUE,"Forecast &amp; Analysis";#N/A,#N/A,TRUE,"Market Values";#N/A,#N/A,TRUE,"Ratios";#N/A,#N/A,TRUE,"Regressions";#N/A,#N/A,TRUE,"Market Values";#N/A,#N/A,TRUE,"Parameters &amp; Results"}</definedName>
    <definedName name="wrn.rapport._.1._1_1_3_2" localSheetId="4" hidden="1">{#N/A,#N/A,TRUE,"Forecast &amp; Analysis";#N/A,#N/A,TRUE,"Market Values";#N/A,#N/A,TRUE,"Ratios";#N/A,#N/A,TRUE,"Regressions";#N/A,#N/A,TRUE,"Market Values";#N/A,#N/A,TRUE,"Parameters &amp; Results"}</definedName>
    <definedName name="wrn.rapport._.1._1_1_3_2" localSheetId="10" hidden="1">{#N/A,#N/A,TRUE,"Forecast &amp; Analysis";#N/A,#N/A,TRUE,"Market Values";#N/A,#N/A,TRUE,"Ratios";#N/A,#N/A,TRUE,"Regressions";#N/A,#N/A,TRUE,"Market Values";#N/A,#N/A,TRUE,"Parameters &amp; Results"}</definedName>
    <definedName name="wrn.rapport._.1._1_1_3_2" hidden="1">{#N/A,#N/A,TRUE,"Forecast &amp; Analysis";#N/A,#N/A,TRUE,"Market Values";#N/A,#N/A,TRUE,"Ratios";#N/A,#N/A,TRUE,"Regressions";#N/A,#N/A,TRUE,"Market Values";#N/A,#N/A,TRUE,"Parameters &amp; Results"}</definedName>
    <definedName name="wrn.rapport._.1._1_1_4" localSheetId="4" hidden="1">{#N/A,#N/A,TRUE,"Forecast &amp; Analysis";#N/A,#N/A,TRUE,"Market Values";#N/A,#N/A,TRUE,"Ratios";#N/A,#N/A,TRUE,"Regressions";#N/A,#N/A,TRUE,"Market Values";#N/A,#N/A,TRUE,"Parameters &amp; Results"}</definedName>
    <definedName name="wrn.rapport._.1._1_1_4" localSheetId="10" hidden="1">{#N/A,#N/A,TRUE,"Forecast &amp; Analysis";#N/A,#N/A,TRUE,"Market Values";#N/A,#N/A,TRUE,"Ratios";#N/A,#N/A,TRUE,"Regressions";#N/A,#N/A,TRUE,"Market Values";#N/A,#N/A,TRUE,"Parameters &amp; Results"}</definedName>
    <definedName name="wrn.rapport._.1._1_1_4" hidden="1">{#N/A,#N/A,TRUE,"Forecast &amp; Analysis";#N/A,#N/A,TRUE,"Market Values";#N/A,#N/A,TRUE,"Ratios";#N/A,#N/A,TRUE,"Regressions";#N/A,#N/A,TRUE,"Market Values";#N/A,#N/A,TRUE,"Parameters &amp; Results"}</definedName>
    <definedName name="wrn.rapport._.1._1_1_5" localSheetId="4" hidden="1">{#N/A,#N/A,TRUE,"Forecast &amp; Analysis";#N/A,#N/A,TRUE,"Market Values";#N/A,#N/A,TRUE,"Ratios";#N/A,#N/A,TRUE,"Regressions";#N/A,#N/A,TRUE,"Market Values";#N/A,#N/A,TRUE,"Parameters &amp; Results"}</definedName>
    <definedName name="wrn.rapport._.1._1_1_5" localSheetId="10" hidden="1">{#N/A,#N/A,TRUE,"Forecast &amp; Analysis";#N/A,#N/A,TRUE,"Market Values";#N/A,#N/A,TRUE,"Ratios";#N/A,#N/A,TRUE,"Regressions";#N/A,#N/A,TRUE,"Market Values";#N/A,#N/A,TRUE,"Parameters &amp; Results"}</definedName>
    <definedName name="wrn.rapport._.1._1_1_5" hidden="1">{#N/A,#N/A,TRUE,"Forecast &amp; Analysis";#N/A,#N/A,TRUE,"Market Values";#N/A,#N/A,TRUE,"Ratios";#N/A,#N/A,TRUE,"Regressions";#N/A,#N/A,TRUE,"Market Values";#N/A,#N/A,TRUE,"Parameters &amp; Results"}</definedName>
    <definedName name="wrn.rapport._.1._1_2" localSheetId="4" hidden="1">{#N/A,#N/A,TRUE,"Forecast &amp; Analysis";#N/A,#N/A,TRUE,"Market Values";#N/A,#N/A,TRUE,"Ratios";#N/A,#N/A,TRUE,"Regressions";#N/A,#N/A,TRUE,"Market Values";#N/A,#N/A,TRUE,"Parameters &amp; Results"}</definedName>
    <definedName name="wrn.rapport._.1._1_2" localSheetId="10" hidden="1">{#N/A,#N/A,TRUE,"Forecast &amp; Analysis";#N/A,#N/A,TRUE,"Market Values";#N/A,#N/A,TRUE,"Ratios";#N/A,#N/A,TRUE,"Regressions";#N/A,#N/A,TRUE,"Market Values";#N/A,#N/A,TRUE,"Parameters &amp; Results"}</definedName>
    <definedName name="wrn.rapport._.1._1_2" hidden="1">{#N/A,#N/A,TRUE,"Forecast &amp; Analysis";#N/A,#N/A,TRUE,"Market Values";#N/A,#N/A,TRUE,"Ratios";#N/A,#N/A,TRUE,"Regressions";#N/A,#N/A,TRUE,"Market Values";#N/A,#N/A,TRUE,"Parameters &amp; Results"}</definedName>
    <definedName name="wrn.rapport._.1._1_2_1" localSheetId="4" hidden="1">{#N/A,#N/A,TRUE,"Forecast &amp; Analysis";#N/A,#N/A,TRUE,"Market Values";#N/A,#N/A,TRUE,"Ratios";#N/A,#N/A,TRUE,"Regressions";#N/A,#N/A,TRUE,"Market Values";#N/A,#N/A,TRUE,"Parameters &amp; Results"}</definedName>
    <definedName name="wrn.rapport._.1._1_2_1" localSheetId="10" hidden="1">{#N/A,#N/A,TRUE,"Forecast &amp; Analysis";#N/A,#N/A,TRUE,"Market Values";#N/A,#N/A,TRUE,"Ratios";#N/A,#N/A,TRUE,"Regressions";#N/A,#N/A,TRUE,"Market Values";#N/A,#N/A,TRUE,"Parameters &amp; Results"}</definedName>
    <definedName name="wrn.rapport._.1._1_2_1" hidden="1">{#N/A,#N/A,TRUE,"Forecast &amp; Analysis";#N/A,#N/A,TRUE,"Market Values";#N/A,#N/A,TRUE,"Ratios";#N/A,#N/A,TRUE,"Regressions";#N/A,#N/A,TRUE,"Market Values";#N/A,#N/A,TRUE,"Parameters &amp; Results"}</definedName>
    <definedName name="wrn.rapport._.1._1_2_1_1" localSheetId="4" hidden="1">{#N/A,#N/A,TRUE,"Forecast &amp; Analysis";#N/A,#N/A,TRUE,"Market Values";#N/A,#N/A,TRUE,"Ratios";#N/A,#N/A,TRUE,"Regressions";#N/A,#N/A,TRUE,"Market Values";#N/A,#N/A,TRUE,"Parameters &amp; Results"}</definedName>
    <definedName name="wrn.rapport._.1._1_2_1_1" localSheetId="10" hidden="1">{#N/A,#N/A,TRUE,"Forecast &amp; Analysis";#N/A,#N/A,TRUE,"Market Values";#N/A,#N/A,TRUE,"Ratios";#N/A,#N/A,TRUE,"Regressions";#N/A,#N/A,TRUE,"Market Values";#N/A,#N/A,TRUE,"Parameters &amp; Results"}</definedName>
    <definedName name="wrn.rapport._.1._1_2_1_1" hidden="1">{#N/A,#N/A,TRUE,"Forecast &amp; Analysis";#N/A,#N/A,TRUE,"Market Values";#N/A,#N/A,TRUE,"Ratios";#N/A,#N/A,TRUE,"Regressions";#N/A,#N/A,TRUE,"Market Values";#N/A,#N/A,TRUE,"Parameters &amp; Results"}</definedName>
    <definedName name="wrn.rapport._.1._1_2_1_2" localSheetId="4" hidden="1">{#N/A,#N/A,TRUE,"Forecast &amp; Analysis";#N/A,#N/A,TRUE,"Market Values";#N/A,#N/A,TRUE,"Ratios";#N/A,#N/A,TRUE,"Regressions";#N/A,#N/A,TRUE,"Market Values";#N/A,#N/A,TRUE,"Parameters &amp; Results"}</definedName>
    <definedName name="wrn.rapport._.1._1_2_1_2" localSheetId="10" hidden="1">{#N/A,#N/A,TRUE,"Forecast &amp; Analysis";#N/A,#N/A,TRUE,"Market Values";#N/A,#N/A,TRUE,"Ratios";#N/A,#N/A,TRUE,"Regressions";#N/A,#N/A,TRUE,"Market Values";#N/A,#N/A,TRUE,"Parameters &amp; Results"}</definedName>
    <definedName name="wrn.rapport._.1._1_2_1_2" hidden="1">{#N/A,#N/A,TRUE,"Forecast &amp; Analysis";#N/A,#N/A,TRUE,"Market Values";#N/A,#N/A,TRUE,"Ratios";#N/A,#N/A,TRUE,"Regressions";#N/A,#N/A,TRUE,"Market Values";#N/A,#N/A,TRUE,"Parameters &amp; Results"}</definedName>
    <definedName name="wrn.rapport._.1._1_2_2" localSheetId="4" hidden="1">{#N/A,#N/A,TRUE,"Forecast &amp; Analysis";#N/A,#N/A,TRUE,"Market Values";#N/A,#N/A,TRUE,"Ratios";#N/A,#N/A,TRUE,"Regressions";#N/A,#N/A,TRUE,"Market Values";#N/A,#N/A,TRUE,"Parameters &amp; Results"}</definedName>
    <definedName name="wrn.rapport._.1._1_2_2" localSheetId="10" hidden="1">{#N/A,#N/A,TRUE,"Forecast &amp; Analysis";#N/A,#N/A,TRUE,"Market Values";#N/A,#N/A,TRUE,"Ratios";#N/A,#N/A,TRUE,"Regressions";#N/A,#N/A,TRUE,"Market Values";#N/A,#N/A,TRUE,"Parameters &amp; Results"}</definedName>
    <definedName name="wrn.rapport._.1._1_2_2" hidden="1">{#N/A,#N/A,TRUE,"Forecast &amp; Analysis";#N/A,#N/A,TRUE,"Market Values";#N/A,#N/A,TRUE,"Ratios";#N/A,#N/A,TRUE,"Regressions";#N/A,#N/A,TRUE,"Market Values";#N/A,#N/A,TRUE,"Parameters &amp; Results"}</definedName>
    <definedName name="wrn.rapport._.1._1_2_2_1" localSheetId="4" hidden="1">{#N/A,#N/A,TRUE,"Forecast &amp; Analysis";#N/A,#N/A,TRUE,"Market Values";#N/A,#N/A,TRUE,"Ratios";#N/A,#N/A,TRUE,"Regressions";#N/A,#N/A,TRUE,"Market Values";#N/A,#N/A,TRUE,"Parameters &amp; Results"}</definedName>
    <definedName name="wrn.rapport._.1._1_2_2_1" localSheetId="10" hidden="1">{#N/A,#N/A,TRUE,"Forecast &amp; Analysis";#N/A,#N/A,TRUE,"Market Values";#N/A,#N/A,TRUE,"Ratios";#N/A,#N/A,TRUE,"Regressions";#N/A,#N/A,TRUE,"Market Values";#N/A,#N/A,TRUE,"Parameters &amp; Results"}</definedName>
    <definedName name="wrn.rapport._.1._1_2_2_1" hidden="1">{#N/A,#N/A,TRUE,"Forecast &amp; Analysis";#N/A,#N/A,TRUE,"Market Values";#N/A,#N/A,TRUE,"Ratios";#N/A,#N/A,TRUE,"Regressions";#N/A,#N/A,TRUE,"Market Values";#N/A,#N/A,TRUE,"Parameters &amp; Results"}</definedName>
    <definedName name="wrn.rapport._.1._1_2_2_2" localSheetId="4" hidden="1">{#N/A,#N/A,TRUE,"Forecast &amp; Analysis";#N/A,#N/A,TRUE,"Market Values";#N/A,#N/A,TRUE,"Ratios";#N/A,#N/A,TRUE,"Regressions";#N/A,#N/A,TRUE,"Market Values";#N/A,#N/A,TRUE,"Parameters &amp; Results"}</definedName>
    <definedName name="wrn.rapport._.1._1_2_2_2" localSheetId="10" hidden="1">{#N/A,#N/A,TRUE,"Forecast &amp; Analysis";#N/A,#N/A,TRUE,"Market Values";#N/A,#N/A,TRUE,"Ratios";#N/A,#N/A,TRUE,"Regressions";#N/A,#N/A,TRUE,"Market Values";#N/A,#N/A,TRUE,"Parameters &amp; Results"}</definedName>
    <definedName name="wrn.rapport._.1._1_2_2_2" hidden="1">{#N/A,#N/A,TRUE,"Forecast &amp; Analysis";#N/A,#N/A,TRUE,"Market Values";#N/A,#N/A,TRUE,"Ratios";#N/A,#N/A,TRUE,"Regressions";#N/A,#N/A,TRUE,"Market Values";#N/A,#N/A,TRUE,"Parameters &amp; Results"}</definedName>
    <definedName name="wrn.rapport._.1._1_2_3" localSheetId="4" hidden="1">{#N/A,#N/A,TRUE,"Forecast &amp; Analysis";#N/A,#N/A,TRUE,"Market Values";#N/A,#N/A,TRUE,"Ratios";#N/A,#N/A,TRUE,"Regressions";#N/A,#N/A,TRUE,"Market Values";#N/A,#N/A,TRUE,"Parameters &amp; Results"}</definedName>
    <definedName name="wrn.rapport._.1._1_2_3" localSheetId="10" hidden="1">{#N/A,#N/A,TRUE,"Forecast &amp; Analysis";#N/A,#N/A,TRUE,"Market Values";#N/A,#N/A,TRUE,"Ratios";#N/A,#N/A,TRUE,"Regressions";#N/A,#N/A,TRUE,"Market Values";#N/A,#N/A,TRUE,"Parameters &amp; Results"}</definedName>
    <definedName name="wrn.rapport._.1._1_2_3" hidden="1">{#N/A,#N/A,TRUE,"Forecast &amp; Analysis";#N/A,#N/A,TRUE,"Market Values";#N/A,#N/A,TRUE,"Ratios";#N/A,#N/A,TRUE,"Regressions";#N/A,#N/A,TRUE,"Market Values";#N/A,#N/A,TRUE,"Parameters &amp; Results"}</definedName>
    <definedName name="wrn.rapport._.1._1_2_3_1" localSheetId="4" hidden="1">{#N/A,#N/A,TRUE,"Forecast &amp; Analysis";#N/A,#N/A,TRUE,"Market Values";#N/A,#N/A,TRUE,"Ratios";#N/A,#N/A,TRUE,"Regressions";#N/A,#N/A,TRUE,"Market Values";#N/A,#N/A,TRUE,"Parameters &amp; Results"}</definedName>
    <definedName name="wrn.rapport._.1._1_2_3_1" localSheetId="10" hidden="1">{#N/A,#N/A,TRUE,"Forecast &amp; Analysis";#N/A,#N/A,TRUE,"Market Values";#N/A,#N/A,TRUE,"Ratios";#N/A,#N/A,TRUE,"Regressions";#N/A,#N/A,TRUE,"Market Values";#N/A,#N/A,TRUE,"Parameters &amp; Results"}</definedName>
    <definedName name="wrn.rapport._.1._1_2_3_1" hidden="1">{#N/A,#N/A,TRUE,"Forecast &amp; Analysis";#N/A,#N/A,TRUE,"Market Values";#N/A,#N/A,TRUE,"Ratios";#N/A,#N/A,TRUE,"Regressions";#N/A,#N/A,TRUE,"Market Values";#N/A,#N/A,TRUE,"Parameters &amp; Results"}</definedName>
    <definedName name="wrn.rapport._.1._1_2_3_2" localSheetId="4" hidden="1">{#N/A,#N/A,TRUE,"Forecast &amp; Analysis";#N/A,#N/A,TRUE,"Market Values";#N/A,#N/A,TRUE,"Ratios";#N/A,#N/A,TRUE,"Regressions";#N/A,#N/A,TRUE,"Market Values";#N/A,#N/A,TRUE,"Parameters &amp; Results"}</definedName>
    <definedName name="wrn.rapport._.1._1_2_3_2" localSheetId="10" hidden="1">{#N/A,#N/A,TRUE,"Forecast &amp; Analysis";#N/A,#N/A,TRUE,"Market Values";#N/A,#N/A,TRUE,"Ratios";#N/A,#N/A,TRUE,"Regressions";#N/A,#N/A,TRUE,"Market Values";#N/A,#N/A,TRUE,"Parameters &amp; Results"}</definedName>
    <definedName name="wrn.rapport._.1._1_2_3_2" hidden="1">{#N/A,#N/A,TRUE,"Forecast &amp; Analysis";#N/A,#N/A,TRUE,"Market Values";#N/A,#N/A,TRUE,"Ratios";#N/A,#N/A,TRUE,"Regressions";#N/A,#N/A,TRUE,"Market Values";#N/A,#N/A,TRUE,"Parameters &amp; Results"}</definedName>
    <definedName name="wrn.rapport._.1._1_2_4" localSheetId="4" hidden="1">{#N/A,#N/A,TRUE,"Forecast &amp; Analysis";#N/A,#N/A,TRUE,"Market Values";#N/A,#N/A,TRUE,"Ratios";#N/A,#N/A,TRUE,"Regressions";#N/A,#N/A,TRUE,"Market Values";#N/A,#N/A,TRUE,"Parameters &amp; Results"}</definedName>
    <definedName name="wrn.rapport._.1._1_2_4" localSheetId="10" hidden="1">{#N/A,#N/A,TRUE,"Forecast &amp; Analysis";#N/A,#N/A,TRUE,"Market Values";#N/A,#N/A,TRUE,"Ratios";#N/A,#N/A,TRUE,"Regressions";#N/A,#N/A,TRUE,"Market Values";#N/A,#N/A,TRUE,"Parameters &amp; Results"}</definedName>
    <definedName name="wrn.rapport._.1._1_2_4" hidden="1">{#N/A,#N/A,TRUE,"Forecast &amp; Analysis";#N/A,#N/A,TRUE,"Market Values";#N/A,#N/A,TRUE,"Ratios";#N/A,#N/A,TRUE,"Regressions";#N/A,#N/A,TRUE,"Market Values";#N/A,#N/A,TRUE,"Parameters &amp; Results"}</definedName>
    <definedName name="wrn.rapport._.1._1_2_5" localSheetId="4" hidden="1">{#N/A,#N/A,TRUE,"Forecast &amp; Analysis";#N/A,#N/A,TRUE,"Market Values";#N/A,#N/A,TRUE,"Ratios";#N/A,#N/A,TRUE,"Regressions";#N/A,#N/A,TRUE,"Market Values";#N/A,#N/A,TRUE,"Parameters &amp; Results"}</definedName>
    <definedName name="wrn.rapport._.1._1_2_5" localSheetId="10" hidden="1">{#N/A,#N/A,TRUE,"Forecast &amp; Analysis";#N/A,#N/A,TRUE,"Market Values";#N/A,#N/A,TRUE,"Ratios";#N/A,#N/A,TRUE,"Regressions";#N/A,#N/A,TRUE,"Market Values";#N/A,#N/A,TRUE,"Parameters &amp; Results"}</definedName>
    <definedName name="wrn.rapport._.1._1_2_5" hidden="1">{#N/A,#N/A,TRUE,"Forecast &amp; Analysis";#N/A,#N/A,TRUE,"Market Values";#N/A,#N/A,TRUE,"Ratios";#N/A,#N/A,TRUE,"Regressions";#N/A,#N/A,TRUE,"Market Values";#N/A,#N/A,TRUE,"Parameters &amp; Results"}</definedName>
    <definedName name="wrn.rapport._.1._1_3" localSheetId="4" hidden="1">{#N/A,#N/A,TRUE,"Forecast &amp; Analysis";#N/A,#N/A,TRUE,"Market Values";#N/A,#N/A,TRUE,"Ratios";#N/A,#N/A,TRUE,"Regressions";#N/A,#N/A,TRUE,"Market Values";#N/A,#N/A,TRUE,"Parameters &amp; Results"}</definedName>
    <definedName name="wrn.rapport._.1._1_3" localSheetId="10" hidden="1">{#N/A,#N/A,TRUE,"Forecast &amp; Analysis";#N/A,#N/A,TRUE,"Market Values";#N/A,#N/A,TRUE,"Ratios";#N/A,#N/A,TRUE,"Regressions";#N/A,#N/A,TRUE,"Market Values";#N/A,#N/A,TRUE,"Parameters &amp; Results"}</definedName>
    <definedName name="wrn.rapport._.1._1_3" hidden="1">{#N/A,#N/A,TRUE,"Forecast &amp; Analysis";#N/A,#N/A,TRUE,"Market Values";#N/A,#N/A,TRUE,"Ratios";#N/A,#N/A,TRUE,"Regressions";#N/A,#N/A,TRUE,"Market Values";#N/A,#N/A,TRUE,"Parameters &amp; Results"}</definedName>
    <definedName name="wrn.rapport._.1._1_3_1" localSheetId="4" hidden="1">{#N/A,#N/A,TRUE,"Forecast &amp; Analysis";#N/A,#N/A,TRUE,"Market Values";#N/A,#N/A,TRUE,"Ratios";#N/A,#N/A,TRUE,"Regressions";#N/A,#N/A,TRUE,"Market Values";#N/A,#N/A,TRUE,"Parameters &amp; Results"}</definedName>
    <definedName name="wrn.rapport._.1._1_3_1" localSheetId="10" hidden="1">{#N/A,#N/A,TRUE,"Forecast &amp; Analysis";#N/A,#N/A,TRUE,"Market Values";#N/A,#N/A,TRUE,"Ratios";#N/A,#N/A,TRUE,"Regressions";#N/A,#N/A,TRUE,"Market Values";#N/A,#N/A,TRUE,"Parameters &amp; Results"}</definedName>
    <definedName name="wrn.rapport._.1._1_3_1" hidden="1">{#N/A,#N/A,TRUE,"Forecast &amp; Analysis";#N/A,#N/A,TRUE,"Market Values";#N/A,#N/A,TRUE,"Ratios";#N/A,#N/A,TRUE,"Regressions";#N/A,#N/A,TRUE,"Market Values";#N/A,#N/A,TRUE,"Parameters &amp; Results"}</definedName>
    <definedName name="wrn.rapport._.1._1_3_1_1" localSheetId="4" hidden="1">{#N/A,#N/A,TRUE,"Forecast &amp; Analysis";#N/A,#N/A,TRUE,"Market Values";#N/A,#N/A,TRUE,"Ratios";#N/A,#N/A,TRUE,"Regressions";#N/A,#N/A,TRUE,"Market Values";#N/A,#N/A,TRUE,"Parameters &amp; Results"}</definedName>
    <definedName name="wrn.rapport._.1._1_3_1_1" localSheetId="10" hidden="1">{#N/A,#N/A,TRUE,"Forecast &amp; Analysis";#N/A,#N/A,TRUE,"Market Values";#N/A,#N/A,TRUE,"Ratios";#N/A,#N/A,TRUE,"Regressions";#N/A,#N/A,TRUE,"Market Values";#N/A,#N/A,TRUE,"Parameters &amp; Results"}</definedName>
    <definedName name="wrn.rapport._.1._1_3_1_1" hidden="1">{#N/A,#N/A,TRUE,"Forecast &amp; Analysis";#N/A,#N/A,TRUE,"Market Values";#N/A,#N/A,TRUE,"Ratios";#N/A,#N/A,TRUE,"Regressions";#N/A,#N/A,TRUE,"Market Values";#N/A,#N/A,TRUE,"Parameters &amp; Results"}</definedName>
    <definedName name="wrn.rapport._.1._1_3_1_2" localSheetId="4" hidden="1">{#N/A,#N/A,TRUE,"Forecast &amp; Analysis";#N/A,#N/A,TRUE,"Market Values";#N/A,#N/A,TRUE,"Ratios";#N/A,#N/A,TRUE,"Regressions";#N/A,#N/A,TRUE,"Market Values";#N/A,#N/A,TRUE,"Parameters &amp; Results"}</definedName>
    <definedName name="wrn.rapport._.1._1_3_1_2" localSheetId="10" hidden="1">{#N/A,#N/A,TRUE,"Forecast &amp; Analysis";#N/A,#N/A,TRUE,"Market Values";#N/A,#N/A,TRUE,"Ratios";#N/A,#N/A,TRUE,"Regressions";#N/A,#N/A,TRUE,"Market Values";#N/A,#N/A,TRUE,"Parameters &amp; Results"}</definedName>
    <definedName name="wrn.rapport._.1._1_3_1_2" hidden="1">{#N/A,#N/A,TRUE,"Forecast &amp; Analysis";#N/A,#N/A,TRUE,"Market Values";#N/A,#N/A,TRUE,"Ratios";#N/A,#N/A,TRUE,"Regressions";#N/A,#N/A,TRUE,"Market Values";#N/A,#N/A,TRUE,"Parameters &amp; Results"}</definedName>
    <definedName name="wrn.rapport._.1._1_3_2" localSheetId="4" hidden="1">{#N/A,#N/A,TRUE,"Forecast &amp; Analysis";#N/A,#N/A,TRUE,"Market Values";#N/A,#N/A,TRUE,"Ratios";#N/A,#N/A,TRUE,"Regressions";#N/A,#N/A,TRUE,"Market Values";#N/A,#N/A,TRUE,"Parameters &amp; Results"}</definedName>
    <definedName name="wrn.rapport._.1._1_3_2" localSheetId="10" hidden="1">{#N/A,#N/A,TRUE,"Forecast &amp; Analysis";#N/A,#N/A,TRUE,"Market Values";#N/A,#N/A,TRUE,"Ratios";#N/A,#N/A,TRUE,"Regressions";#N/A,#N/A,TRUE,"Market Values";#N/A,#N/A,TRUE,"Parameters &amp; Results"}</definedName>
    <definedName name="wrn.rapport._.1._1_3_2" hidden="1">{#N/A,#N/A,TRUE,"Forecast &amp; Analysis";#N/A,#N/A,TRUE,"Market Values";#N/A,#N/A,TRUE,"Ratios";#N/A,#N/A,TRUE,"Regressions";#N/A,#N/A,TRUE,"Market Values";#N/A,#N/A,TRUE,"Parameters &amp; Results"}</definedName>
    <definedName name="wrn.rapport._.1._1_3_2_1" localSheetId="4" hidden="1">{#N/A,#N/A,TRUE,"Forecast &amp; Analysis";#N/A,#N/A,TRUE,"Market Values";#N/A,#N/A,TRUE,"Ratios";#N/A,#N/A,TRUE,"Regressions";#N/A,#N/A,TRUE,"Market Values";#N/A,#N/A,TRUE,"Parameters &amp; Results"}</definedName>
    <definedName name="wrn.rapport._.1._1_3_2_1" localSheetId="10" hidden="1">{#N/A,#N/A,TRUE,"Forecast &amp; Analysis";#N/A,#N/A,TRUE,"Market Values";#N/A,#N/A,TRUE,"Ratios";#N/A,#N/A,TRUE,"Regressions";#N/A,#N/A,TRUE,"Market Values";#N/A,#N/A,TRUE,"Parameters &amp; Results"}</definedName>
    <definedName name="wrn.rapport._.1._1_3_2_1" hidden="1">{#N/A,#N/A,TRUE,"Forecast &amp; Analysis";#N/A,#N/A,TRUE,"Market Values";#N/A,#N/A,TRUE,"Ratios";#N/A,#N/A,TRUE,"Regressions";#N/A,#N/A,TRUE,"Market Values";#N/A,#N/A,TRUE,"Parameters &amp; Results"}</definedName>
    <definedName name="wrn.rapport._.1._1_3_2_2" localSheetId="4" hidden="1">{#N/A,#N/A,TRUE,"Forecast &amp; Analysis";#N/A,#N/A,TRUE,"Market Values";#N/A,#N/A,TRUE,"Ratios";#N/A,#N/A,TRUE,"Regressions";#N/A,#N/A,TRUE,"Market Values";#N/A,#N/A,TRUE,"Parameters &amp; Results"}</definedName>
    <definedName name="wrn.rapport._.1._1_3_2_2" localSheetId="10" hidden="1">{#N/A,#N/A,TRUE,"Forecast &amp; Analysis";#N/A,#N/A,TRUE,"Market Values";#N/A,#N/A,TRUE,"Ratios";#N/A,#N/A,TRUE,"Regressions";#N/A,#N/A,TRUE,"Market Values";#N/A,#N/A,TRUE,"Parameters &amp; Results"}</definedName>
    <definedName name="wrn.rapport._.1._1_3_2_2" hidden="1">{#N/A,#N/A,TRUE,"Forecast &amp; Analysis";#N/A,#N/A,TRUE,"Market Values";#N/A,#N/A,TRUE,"Ratios";#N/A,#N/A,TRUE,"Regressions";#N/A,#N/A,TRUE,"Market Values";#N/A,#N/A,TRUE,"Parameters &amp; Results"}</definedName>
    <definedName name="wrn.rapport._.1._1_3_3" localSheetId="4" hidden="1">{#N/A,#N/A,TRUE,"Forecast &amp; Analysis";#N/A,#N/A,TRUE,"Market Values";#N/A,#N/A,TRUE,"Ratios";#N/A,#N/A,TRUE,"Regressions";#N/A,#N/A,TRUE,"Market Values";#N/A,#N/A,TRUE,"Parameters &amp; Results"}</definedName>
    <definedName name="wrn.rapport._.1._1_3_3" localSheetId="10" hidden="1">{#N/A,#N/A,TRUE,"Forecast &amp; Analysis";#N/A,#N/A,TRUE,"Market Values";#N/A,#N/A,TRUE,"Ratios";#N/A,#N/A,TRUE,"Regressions";#N/A,#N/A,TRUE,"Market Values";#N/A,#N/A,TRUE,"Parameters &amp; Results"}</definedName>
    <definedName name="wrn.rapport._.1._1_3_3" hidden="1">{#N/A,#N/A,TRUE,"Forecast &amp; Analysis";#N/A,#N/A,TRUE,"Market Values";#N/A,#N/A,TRUE,"Ratios";#N/A,#N/A,TRUE,"Regressions";#N/A,#N/A,TRUE,"Market Values";#N/A,#N/A,TRUE,"Parameters &amp; Results"}</definedName>
    <definedName name="wrn.rapport._.1._1_3_3_1" localSheetId="4" hidden="1">{#N/A,#N/A,TRUE,"Forecast &amp; Analysis";#N/A,#N/A,TRUE,"Market Values";#N/A,#N/A,TRUE,"Ratios";#N/A,#N/A,TRUE,"Regressions";#N/A,#N/A,TRUE,"Market Values";#N/A,#N/A,TRUE,"Parameters &amp; Results"}</definedName>
    <definedName name="wrn.rapport._.1._1_3_3_1" localSheetId="10" hidden="1">{#N/A,#N/A,TRUE,"Forecast &amp; Analysis";#N/A,#N/A,TRUE,"Market Values";#N/A,#N/A,TRUE,"Ratios";#N/A,#N/A,TRUE,"Regressions";#N/A,#N/A,TRUE,"Market Values";#N/A,#N/A,TRUE,"Parameters &amp; Results"}</definedName>
    <definedName name="wrn.rapport._.1._1_3_3_1" hidden="1">{#N/A,#N/A,TRUE,"Forecast &amp; Analysis";#N/A,#N/A,TRUE,"Market Values";#N/A,#N/A,TRUE,"Ratios";#N/A,#N/A,TRUE,"Regressions";#N/A,#N/A,TRUE,"Market Values";#N/A,#N/A,TRUE,"Parameters &amp; Results"}</definedName>
    <definedName name="wrn.rapport._.1._1_3_3_2" localSheetId="4" hidden="1">{#N/A,#N/A,TRUE,"Forecast &amp; Analysis";#N/A,#N/A,TRUE,"Market Values";#N/A,#N/A,TRUE,"Ratios";#N/A,#N/A,TRUE,"Regressions";#N/A,#N/A,TRUE,"Market Values";#N/A,#N/A,TRUE,"Parameters &amp; Results"}</definedName>
    <definedName name="wrn.rapport._.1._1_3_3_2" localSheetId="10" hidden="1">{#N/A,#N/A,TRUE,"Forecast &amp; Analysis";#N/A,#N/A,TRUE,"Market Values";#N/A,#N/A,TRUE,"Ratios";#N/A,#N/A,TRUE,"Regressions";#N/A,#N/A,TRUE,"Market Values";#N/A,#N/A,TRUE,"Parameters &amp; Results"}</definedName>
    <definedName name="wrn.rapport._.1._1_3_3_2" hidden="1">{#N/A,#N/A,TRUE,"Forecast &amp; Analysis";#N/A,#N/A,TRUE,"Market Values";#N/A,#N/A,TRUE,"Ratios";#N/A,#N/A,TRUE,"Regressions";#N/A,#N/A,TRUE,"Market Values";#N/A,#N/A,TRUE,"Parameters &amp; Results"}</definedName>
    <definedName name="wrn.rapport._.1._1_3_4" localSheetId="4" hidden="1">{#N/A,#N/A,TRUE,"Forecast &amp; Analysis";#N/A,#N/A,TRUE,"Market Values";#N/A,#N/A,TRUE,"Ratios";#N/A,#N/A,TRUE,"Regressions";#N/A,#N/A,TRUE,"Market Values";#N/A,#N/A,TRUE,"Parameters &amp; Results"}</definedName>
    <definedName name="wrn.rapport._.1._1_3_4" localSheetId="10" hidden="1">{#N/A,#N/A,TRUE,"Forecast &amp; Analysis";#N/A,#N/A,TRUE,"Market Values";#N/A,#N/A,TRUE,"Ratios";#N/A,#N/A,TRUE,"Regressions";#N/A,#N/A,TRUE,"Market Values";#N/A,#N/A,TRUE,"Parameters &amp; Results"}</definedName>
    <definedName name="wrn.rapport._.1._1_3_4" hidden="1">{#N/A,#N/A,TRUE,"Forecast &amp; Analysis";#N/A,#N/A,TRUE,"Market Values";#N/A,#N/A,TRUE,"Ratios";#N/A,#N/A,TRUE,"Regressions";#N/A,#N/A,TRUE,"Market Values";#N/A,#N/A,TRUE,"Parameters &amp; Results"}</definedName>
    <definedName name="wrn.rapport._.1._1_3_5" localSheetId="4" hidden="1">{#N/A,#N/A,TRUE,"Forecast &amp; Analysis";#N/A,#N/A,TRUE,"Market Values";#N/A,#N/A,TRUE,"Ratios";#N/A,#N/A,TRUE,"Regressions";#N/A,#N/A,TRUE,"Market Values";#N/A,#N/A,TRUE,"Parameters &amp; Results"}</definedName>
    <definedName name="wrn.rapport._.1._1_3_5" localSheetId="10" hidden="1">{#N/A,#N/A,TRUE,"Forecast &amp; Analysis";#N/A,#N/A,TRUE,"Market Values";#N/A,#N/A,TRUE,"Ratios";#N/A,#N/A,TRUE,"Regressions";#N/A,#N/A,TRUE,"Market Values";#N/A,#N/A,TRUE,"Parameters &amp; Results"}</definedName>
    <definedName name="wrn.rapport._.1._1_3_5" hidden="1">{#N/A,#N/A,TRUE,"Forecast &amp; Analysis";#N/A,#N/A,TRUE,"Market Values";#N/A,#N/A,TRUE,"Ratios";#N/A,#N/A,TRUE,"Regressions";#N/A,#N/A,TRUE,"Market Values";#N/A,#N/A,TRUE,"Parameters &amp; Results"}</definedName>
    <definedName name="wrn.rapport._.1._1_4" localSheetId="4" hidden="1">{#N/A,#N/A,TRUE,"Forecast &amp; Analysis";#N/A,#N/A,TRUE,"Market Values";#N/A,#N/A,TRUE,"Ratios";#N/A,#N/A,TRUE,"Regressions";#N/A,#N/A,TRUE,"Market Values";#N/A,#N/A,TRUE,"Parameters &amp; Results"}</definedName>
    <definedName name="wrn.rapport._.1._1_4" localSheetId="10" hidden="1">{#N/A,#N/A,TRUE,"Forecast &amp; Analysis";#N/A,#N/A,TRUE,"Market Values";#N/A,#N/A,TRUE,"Ratios";#N/A,#N/A,TRUE,"Regressions";#N/A,#N/A,TRUE,"Market Values";#N/A,#N/A,TRUE,"Parameters &amp; Results"}</definedName>
    <definedName name="wrn.rapport._.1._1_4" hidden="1">{#N/A,#N/A,TRUE,"Forecast &amp; Analysis";#N/A,#N/A,TRUE,"Market Values";#N/A,#N/A,TRUE,"Ratios";#N/A,#N/A,TRUE,"Regressions";#N/A,#N/A,TRUE,"Market Values";#N/A,#N/A,TRUE,"Parameters &amp; Results"}</definedName>
    <definedName name="wrn.rapport._.1._1_4_1" localSheetId="4" hidden="1">{#N/A,#N/A,TRUE,"Forecast &amp; Analysis";#N/A,#N/A,TRUE,"Market Values";#N/A,#N/A,TRUE,"Ratios";#N/A,#N/A,TRUE,"Regressions";#N/A,#N/A,TRUE,"Market Values";#N/A,#N/A,TRUE,"Parameters &amp; Results"}</definedName>
    <definedName name="wrn.rapport._.1._1_4_1" localSheetId="10" hidden="1">{#N/A,#N/A,TRUE,"Forecast &amp; Analysis";#N/A,#N/A,TRUE,"Market Values";#N/A,#N/A,TRUE,"Ratios";#N/A,#N/A,TRUE,"Regressions";#N/A,#N/A,TRUE,"Market Values";#N/A,#N/A,TRUE,"Parameters &amp; Results"}</definedName>
    <definedName name="wrn.rapport._.1._1_4_1" hidden="1">{#N/A,#N/A,TRUE,"Forecast &amp; Analysis";#N/A,#N/A,TRUE,"Market Values";#N/A,#N/A,TRUE,"Ratios";#N/A,#N/A,TRUE,"Regressions";#N/A,#N/A,TRUE,"Market Values";#N/A,#N/A,TRUE,"Parameters &amp; Results"}</definedName>
    <definedName name="wrn.rapport._.1._1_4_1_1" localSheetId="4" hidden="1">{#N/A,#N/A,TRUE,"Forecast &amp; Analysis";#N/A,#N/A,TRUE,"Market Values";#N/A,#N/A,TRUE,"Ratios";#N/A,#N/A,TRUE,"Regressions";#N/A,#N/A,TRUE,"Market Values";#N/A,#N/A,TRUE,"Parameters &amp; Results"}</definedName>
    <definedName name="wrn.rapport._.1._1_4_1_1" localSheetId="10" hidden="1">{#N/A,#N/A,TRUE,"Forecast &amp; Analysis";#N/A,#N/A,TRUE,"Market Values";#N/A,#N/A,TRUE,"Ratios";#N/A,#N/A,TRUE,"Regressions";#N/A,#N/A,TRUE,"Market Values";#N/A,#N/A,TRUE,"Parameters &amp; Results"}</definedName>
    <definedName name="wrn.rapport._.1._1_4_1_1" hidden="1">{#N/A,#N/A,TRUE,"Forecast &amp; Analysis";#N/A,#N/A,TRUE,"Market Values";#N/A,#N/A,TRUE,"Ratios";#N/A,#N/A,TRUE,"Regressions";#N/A,#N/A,TRUE,"Market Values";#N/A,#N/A,TRUE,"Parameters &amp; Results"}</definedName>
    <definedName name="wrn.rapport._.1._1_4_1_2" localSheetId="4" hidden="1">{#N/A,#N/A,TRUE,"Forecast &amp; Analysis";#N/A,#N/A,TRUE,"Market Values";#N/A,#N/A,TRUE,"Ratios";#N/A,#N/A,TRUE,"Regressions";#N/A,#N/A,TRUE,"Market Values";#N/A,#N/A,TRUE,"Parameters &amp; Results"}</definedName>
    <definedName name="wrn.rapport._.1._1_4_1_2" localSheetId="10" hidden="1">{#N/A,#N/A,TRUE,"Forecast &amp; Analysis";#N/A,#N/A,TRUE,"Market Values";#N/A,#N/A,TRUE,"Ratios";#N/A,#N/A,TRUE,"Regressions";#N/A,#N/A,TRUE,"Market Values";#N/A,#N/A,TRUE,"Parameters &amp; Results"}</definedName>
    <definedName name="wrn.rapport._.1._1_4_1_2" hidden="1">{#N/A,#N/A,TRUE,"Forecast &amp; Analysis";#N/A,#N/A,TRUE,"Market Values";#N/A,#N/A,TRUE,"Ratios";#N/A,#N/A,TRUE,"Regressions";#N/A,#N/A,TRUE,"Market Values";#N/A,#N/A,TRUE,"Parameters &amp; Results"}</definedName>
    <definedName name="wrn.rapport._.1._1_4_2" localSheetId="4" hidden="1">{#N/A,#N/A,TRUE,"Forecast &amp; Analysis";#N/A,#N/A,TRUE,"Market Values";#N/A,#N/A,TRUE,"Ratios";#N/A,#N/A,TRUE,"Regressions";#N/A,#N/A,TRUE,"Market Values";#N/A,#N/A,TRUE,"Parameters &amp; Results"}</definedName>
    <definedName name="wrn.rapport._.1._1_4_2" localSheetId="10" hidden="1">{#N/A,#N/A,TRUE,"Forecast &amp; Analysis";#N/A,#N/A,TRUE,"Market Values";#N/A,#N/A,TRUE,"Ratios";#N/A,#N/A,TRUE,"Regressions";#N/A,#N/A,TRUE,"Market Values";#N/A,#N/A,TRUE,"Parameters &amp; Results"}</definedName>
    <definedName name="wrn.rapport._.1._1_4_2" hidden="1">{#N/A,#N/A,TRUE,"Forecast &amp; Analysis";#N/A,#N/A,TRUE,"Market Values";#N/A,#N/A,TRUE,"Ratios";#N/A,#N/A,TRUE,"Regressions";#N/A,#N/A,TRUE,"Market Values";#N/A,#N/A,TRUE,"Parameters &amp; Results"}</definedName>
    <definedName name="wrn.rapport._.1._1_4_2_1" localSheetId="4" hidden="1">{#N/A,#N/A,TRUE,"Forecast &amp; Analysis";#N/A,#N/A,TRUE,"Market Values";#N/A,#N/A,TRUE,"Ratios";#N/A,#N/A,TRUE,"Regressions";#N/A,#N/A,TRUE,"Market Values";#N/A,#N/A,TRUE,"Parameters &amp; Results"}</definedName>
    <definedName name="wrn.rapport._.1._1_4_2_1" localSheetId="10" hidden="1">{#N/A,#N/A,TRUE,"Forecast &amp; Analysis";#N/A,#N/A,TRUE,"Market Values";#N/A,#N/A,TRUE,"Ratios";#N/A,#N/A,TRUE,"Regressions";#N/A,#N/A,TRUE,"Market Values";#N/A,#N/A,TRUE,"Parameters &amp; Results"}</definedName>
    <definedName name="wrn.rapport._.1._1_4_2_1" hidden="1">{#N/A,#N/A,TRUE,"Forecast &amp; Analysis";#N/A,#N/A,TRUE,"Market Values";#N/A,#N/A,TRUE,"Ratios";#N/A,#N/A,TRUE,"Regressions";#N/A,#N/A,TRUE,"Market Values";#N/A,#N/A,TRUE,"Parameters &amp; Results"}</definedName>
    <definedName name="wrn.rapport._.1._1_4_2_2" localSheetId="4" hidden="1">{#N/A,#N/A,TRUE,"Forecast &amp; Analysis";#N/A,#N/A,TRUE,"Market Values";#N/A,#N/A,TRUE,"Ratios";#N/A,#N/A,TRUE,"Regressions";#N/A,#N/A,TRUE,"Market Values";#N/A,#N/A,TRUE,"Parameters &amp; Results"}</definedName>
    <definedName name="wrn.rapport._.1._1_4_2_2" localSheetId="10" hidden="1">{#N/A,#N/A,TRUE,"Forecast &amp; Analysis";#N/A,#N/A,TRUE,"Market Values";#N/A,#N/A,TRUE,"Ratios";#N/A,#N/A,TRUE,"Regressions";#N/A,#N/A,TRUE,"Market Values";#N/A,#N/A,TRUE,"Parameters &amp; Results"}</definedName>
    <definedName name="wrn.rapport._.1._1_4_2_2" hidden="1">{#N/A,#N/A,TRUE,"Forecast &amp; Analysis";#N/A,#N/A,TRUE,"Market Values";#N/A,#N/A,TRUE,"Ratios";#N/A,#N/A,TRUE,"Regressions";#N/A,#N/A,TRUE,"Market Values";#N/A,#N/A,TRUE,"Parameters &amp; Results"}</definedName>
    <definedName name="wrn.rapport._.1._1_4_3" localSheetId="4" hidden="1">{#N/A,#N/A,TRUE,"Forecast &amp; Analysis";#N/A,#N/A,TRUE,"Market Values";#N/A,#N/A,TRUE,"Ratios";#N/A,#N/A,TRUE,"Regressions";#N/A,#N/A,TRUE,"Market Values";#N/A,#N/A,TRUE,"Parameters &amp; Results"}</definedName>
    <definedName name="wrn.rapport._.1._1_4_3" localSheetId="10" hidden="1">{#N/A,#N/A,TRUE,"Forecast &amp; Analysis";#N/A,#N/A,TRUE,"Market Values";#N/A,#N/A,TRUE,"Ratios";#N/A,#N/A,TRUE,"Regressions";#N/A,#N/A,TRUE,"Market Values";#N/A,#N/A,TRUE,"Parameters &amp; Results"}</definedName>
    <definedName name="wrn.rapport._.1._1_4_3" hidden="1">{#N/A,#N/A,TRUE,"Forecast &amp; Analysis";#N/A,#N/A,TRUE,"Market Values";#N/A,#N/A,TRUE,"Ratios";#N/A,#N/A,TRUE,"Regressions";#N/A,#N/A,TRUE,"Market Values";#N/A,#N/A,TRUE,"Parameters &amp; Results"}</definedName>
    <definedName name="wrn.rapport._.1._1_4_3_1" localSheetId="4" hidden="1">{#N/A,#N/A,TRUE,"Forecast &amp; Analysis";#N/A,#N/A,TRUE,"Market Values";#N/A,#N/A,TRUE,"Ratios";#N/A,#N/A,TRUE,"Regressions";#N/A,#N/A,TRUE,"Market Values";#N/A,#N/A,TRUE,"Parameters &amp; Results"}</definedName>
    <definedName name="wrn.rapport._.1._1_4_3_1" localSheetId="10" hidden="1">{#N/A,#N/A,TRUE,"Forecast &amp; Analysis";#N/A,#N/A,TRUE,"Market Values";#N/A,#N/A,TRUE,"Ratios";#N/A,#N/A,TRUE,"Regressions";#N/A,#N/A,TRUE,"Market Values";#N/A,#N/A,TRUE,"Parameters &amp; Results"}</definedName>
    <definedName name="wrn.rapport._.1._1_4_3_1" hidden="1">{#N/A,#N/A,TRUE,"Forecast &amp; Analysis";#N/A,#N/A,TRUE,"Market Values";#N/A,#N/A,TRUE,"Ratios";#N/A,#N/A,TRUE,"Regressions";#N/A,#N/A,TRUE,"Market Values";#N/A,#N/A,TRUE,"Parameters &amp; Results"}</definedName>
    <definedName name="wrn.rapport._.1._1_4_3_2" localSheetId="4" hidden="1">{#N/A,#N/A,TRUE,"Forecast &amp; Analysis";#N/A,#N/A,TRUE,"Market Values";#N/A,#N/A,TRUE,"Ratios";#N/A,#N/A,TRUE,"Regressions";#N/A,#N/A,TRUE,"Market Values";#N/A,#N/A,TRUE,"Parameters &amp; Results"}</definedName>
    <definedName name="wrn.rapport._.1._1_4_3_2" localSheetId="10" hidden="1">{#N/A,#N/A,TRUE,"Forecast &amp; Analysis";#N/A,#N/A,TRUE,"Market Values";#N/A,#N/A,TRUE,"Ratios";#N/A,#N/A,TRUE,"Regressions";#N/A,#N/A,TRUE,"Market Values";#N/A,#N/A,TRUE,"Parameters &amp; Results"}</definedName>
    <definedName name="wrn.rapport._.1._1_4_3_2" hidden="1">{#N/A,#N/A,TRUE,"Forecast &amp; Analysis";#N/A,#N/A,TRUE,"Market Values";#N/A,#N/A,TRUE,"Ratios";#N/A,#N/A,TRUE,"Regressions";#N/A,#N/A,TRUE,"Market Values";#N/A,#N/A,TRUE,"Parameters &amp; Results"}</definedName>
    <definedName name="wrn.rapport._.1._1_4_4" localSheetId="4" hidden="1">{#N/A,#N/A,TRUE,"Forecast &amp; Analysis";#N/A,#N/A,TRUE,"Market Values";#N/A,#N/A,TRUE,"Ratios";#N/A,#N/A,TRUE,"Regressions";#N/A,#N/A,TRUE,"Market Values";#N/A,#N/A,TRUE,"Parameters &amp; Results"}</definedName>
    <definedName name="wrn.rapport._.1._1_4_4" localSheetId="10" hidden="1">{#N/A,#N/A,TRUE,"Forecast &amp; Analysis";#N/A,#N/A,TRUE,"Market Values";#N/A,#N/A,TRUE,"Ratios";#N/A,#N/A,TRUE,"Regressions";#N/A,#N/A,TRUE,"Market Values";#N/A,#N/A,TRUE,"Parameters &amp; Results"}</definedName>
    <definedName name="wrn.rapport._.1._1_4_4" hidden="1">{#N/A,#N/A,TRUE,"Forecast &amp; Analysis";#N/A,#N/A,TRUE,"Market Values";#N/A,#N/A,TRUE,"Ratios";#N/A,#N/A,TRUE,"Regressions";#N/A,#N/A,TRUE,"Market Values";#N/A,#N/A,TRUE,"Parameters &amp; Results"}</definedName>
    <definedName name="wrn.rapport._.1._1_4_5" localSheetId="4" hidden="1">{#N/A,#N/A,TRUE,"Forecast &amp; Analysis";#N/A,#N/A,TRUE,"Market Values";#N/A,#N/A,TRUE,"Ratios";#N/A,#N/A,TRUE,"Regressions";#N/A,#N/A,TRUE,"Market Values";#N/A,#N/A,TRUE,"Parameters &amp; Results"}</definedName>
    <definedName name="wrn.rapport._.1._1_4_5" localSheetId="10" hidden="1">{#N/A,#N/A,TRUE,"Forecast &amp; Analysis";#N/A,#N/A,TRUE,"Market Values";#N/A,#N/A,TRUE,"Ratios";#N/A,#N/A,TRUE,"Regressions";#N/A,#N/A,TRUE,"Market Values";#N/A,#N/A,TRUE,"Parameters &amp; Results"}</definedName>
    <definedName name="wrn.rapport._.1._1_4_5" hidden="1">{#N/A,#N/A,TRUE,"Forecast &amp; Analysis";#N/A,#N/A,TRUE,"Market Values";#N/A,#N/A,TRUE,"Ratios";#N/A,#N/A,TRUE,"Regressions";#N/A,#N/A,TRUE,"Market Values";#N/A,#N/A,TRUE,"Parameters &amp; Results"}</definedName>
    <definedName name="wrn.rapport._.1._1_5" localSheetId="4" hidden="1">{#N/A,#N/A,TRUE,"Forecast &amp; Analysis";#N/A,#N/A,TRUE,"Market Values";#N/A,#N/A,TRUE,"Ratios";#N/A,#N/A,TRUE,"Regressions";#N/A,#N/A,TRUE,"Market Values";#N/A,#N/A,TRUE,"Parameters &amp; Results"}</definedName>
    <definedName name="wrn.rapport._.1._1_5" localSheetId="10" hidden="1">{#N/A,#N/A,TRUE,"Forecast &amp; Analysis";#N/A,#N/A,TRUE,"Market Values";#N/A,#N/A,TRUE,"Ratios";#N/A,#N/A,TRUE,"Regressions";#N/A,#N/A,TRUE,"Market Values";#N/A,#N/A,TRUE,"Parameters &amp; Results"}</definedName>
    <definedName name="wrn.rapport._.1._1_5" hidden="1">{#N/A,#N/A,TRUE,"Forecast &amp; Analysis";#N/A,#N/A,TRUE,"Market Values";#N/A,#N/A,TRUE,"Ratios";#N/A,#N/A,TRUE,"Regressions";#N/A,#N/A,TRUE,"Market Values";#N/A,#N/A,TRUE,"Parameters &amp; Results"}</definedName>
    <definedName name="wrn.rapport._.1._1_5_1" localSheetId="4" hidden="1">{#N/A,#N/A,TRUE,"Forecast &amp; Analysis";#N/A,#N/A,TRUE,"Market Values";#N/A,#N/A,TRUE,"Ratios";#N/A,#N/A,TRUE,"Regressions";#N/A,#N/A,TRUE,"Market Values";#N/A,#N/A,TRUE,"Parameters &amp; Results"}</definedName>
    <definedName name="wrn.rapport._.1._1_5_1" localSheetId="10" hidden="1">{#N/A,#N/A,TRUE,"Forecast &amp; Analysis";#N/A,#N/A,TRUE,"Market Values";#N/A,#N/A,TRUE,"Ratios";#N/A,#N/A,TRUE,"Regressions";#N/A,#N/A,TRUE,"Market Values";#N/A,#N/A,TRUE,"Parameters &amp; Results"}</definedName>
    <definedName name="wrn.rapport._.1._1_5_1" hidden="1">{#N/A,#N/A,TRUE,"Forecast &amp; Analysis";#N/A,#N/A,TRUE,"Market Values";#N/A,#N/A,TRUE,"Ratios";#N/A,#N/A,TRUE,"Regressions";#N/A,#N/A,TRUE,"Market Values";#N/A,#N/A,TRUE,"Parameters &amp; Results"}</definedName>
    <definedName name="wrn.rapport._.1._1_5_1_1" localSheetId="4" hidden="1">{#N/A,#N/A,TRUE,"Forecast &amp; Analysis";#N/A,#N/A,TRUE,"Market Values";#N/A,#N/A,TRUE,"Ratios";#N/A,#N/A,TRUE,"Regressions";#N/A,#N/A,TRUE,"Market Values";#N/A,#N/A,TRUE,"Parameters &amp; Results"}</definedName>
    <definedName name="wrn.rapport._.1._1_5_1_1" localSheetId="10" hidden="1">{#N/A,#N/A,TRUE,"Forecast &amp; Analysis";#N/A,#N/A,TRUE,"Market Values";#N/A,#N/A,TRUE,"Ratios";#N/A,#N/A,TRUE,"Regressions";#N/A,#N/A,TRUE,"Market Values";#N/A,#N/A,TRUE,"Parameters &amp; Results"}</definedName>
    <definedName name="wrn.rapport._.1._1_5_1_1" hidden="1">{#N/A,#N/A,TRUE,"Forecast &amp; Analysis";#N/A,#N/A,TRUE,"Market Values";#N/A,#N/A,TRUE,"Ratios";#N/A,#N/A,TRUE,"Regressions";#N/A,#N/A,TRUE,"Market Values";#N/A,#N/A,TRUE,"Parameters &amp; Results"}</definedName>
    <definedName name="wrn.rapport._.1._1_5_1_2" localSheetId="4" hidden="1">{#N/A,#N/A,TRUE,"Forecast &amp; Analysis";#N/A,#N/A,TRUE,"Market Values";#N/A,#N/A,TRUE,"Ratios";#N/A,#N/A,TRUE,"Regressions";#N/A,#N/A,TRUE,"Market Values";#N/A,#N/A,TRUE,"Parameters &amp; Results"}</definedName>
    <definedName name="wrn.rapport._.1._1_5_1_2" localSheetId="10" hidden="1">{#N/A,#N/A,TRUE,"Forecast &amp; Analysis";#N/A,#N/A,TRUE,"Market Values";#N/A,#N/A,TRUE,"Ratios";#N/A,#N/A,TRUE,"Regressions";#N/A,#N/A,TRUE,"Market Values";#N/A,#N/A,TRUE,"Parameters &amp; Results"}</definedName>
    <definedName name="wrn.rapport._.1._1_5_1_2" hidden="1">{#N/A,#N/A,TRUE,"Forecast &amp; Analysis";#N/A,#N/A,TRUE,"Market Values";#N/A,#N/A,TRUE,"Ratios";#N/A,#N/A,TRUE,"Regressions";#N/A,#N/A,TRUE,"Market Values";#N/A,#N/A,TRUE,"Parameters &amp; Results"}</definedName>
    <definedName name="wrn.rapport._.1._1_5_2" localSheetId="4" hidden="1">{#N/A,#N/A,TRUE,"Forecast &amp; Analysis";#N/A,#N/A,TRUE,"Market Values";#N/A,#N/A,TRUE,"Ratios";#N/A,#N/A,TRUE,"Regressions";#N/A,#N/A,TRUE,"Market Values";#N/A,#N/A,TRUE,"Parameters &amp; Results"}</definedName>
    <definedName name="wrn.rapport._.1._1_5_2" localSheetId="10" hidden="1">{#N/A,#N/A,TRUE,"Forecast &amp; Analysis";#N/A,#N/A,TRUE,"Market Values";#N/A,#N/A,TRUE,"Ratios";#N/A,#N/A,TRUE,"Regressions";#N/A,#N/A,TRUE,"Market Values";#N/A,#N/A,TRUE,"Parameters &amp; Results"}</definedName>
    <definedName name="wrn.rapport._.1._1_5_2" hidden="1">{#N/A,#N/A,TRUE,"Forecast &amp; Analysis";#N/A,#N/A,TRUE,"Market Values";#N/A,#N/A,TRUE,"Ratios";#N/A,#N/A,TRUE,"Regressions";#N/A,#N/A,TRUE,"Market Values";#N/A,#N/A,TRUE,"Parameters &amp; Results"}</definedName>
    <definedName name="wrn.rapport._.1._1_5_2_1" localSheetId="4" hidden="1">{#N/A,#N/A,TRUE,"Forecast &amp; Analysis";#N/A,#N/A,TRUE,"Market Values";#N/A,#N/A,TRUE,"Ratios";#N/A,#N/A,TRUE,"Regressions";#N/A,#N/A,TRUE,"Market Values";#N/A,#N/A,TRUE,"Parameters &amp; Results"}</definedName>
    <definedName name="wrn.rapport._.1._1_5_2_1" localSheetId="10" hidden="1">{#N/A,#N/A,TRUE,"Forecast &amp; Analysis";#N/A,#N/A,TRUE,"Market Values";#N/A,#N/A,TRUE,"Ratios";#N/A,#N/A,TRUE,"Regressions";#N/A,#N/A,TRUE,"Market Values";#N/A,#N/A,TRUE,"Parameters &amp; Results"}</definedName>
    <definedName name="wrn.rapport._.1._1_5_2_1" hidden="1">{#N/A,#N/A,TRUE,"Forecast &amp; Analysis";#N/A,#N/A,TRUE,"Market Values";#N/A,#N/A,TRUE,"Ratios";#N/A,#N/A,TRUE,"Regressions";#N/A,#N/A,TRUE,"Market Values";#N/A,#N/A,TRUE,"Parameters &amp; Results"}</definedName>
    <definedName name="wrn.rapport._.1._1_5_2_2" localSheetId="4" hidden="1">{#N/A,#N/A,TRUE,"Forecast &amp; Analysis";#N/A,#N/A,TRUE,"Market Values";#N/A,#N/A,TRUE,"Ratios";#N/A,#N/A,TRUE,"Regressions";#N/A,#N/A,TRUE,"Market Values";#N/A,#N/A,TRUE,"Parameters &amp; Results"}</definedName>
    <definedName name="wrn.rapport._.1._1_5_2_2" localSheetId="10" hidden="1">{#N/A,#N/A,TRUE,"Forecast &amp; Analysis";#N/A,#N/A,TRUE,"Market Values";#N/A,#N/A,TRUE,"Ratios";#N/A,#N/A,TRUE,"Regressions";#N/A,#N/A,TRUE,"Market Values";#N/A,#N/A,TRUE,"Parameters &amp; Results"}</definedName>
    <definedName name="wrn.rapport._.1._1_5_2_2" hidden="1">{#N/A,#N/A,TRUE,"Forecast &amp; Analysis";#N/A,#N/A,TRUE,"Market Values";#N/A,#N/A,TRUE,"Ratios";#N/A,#N/A,TRUE,"Regressions";#N/A,#N/A,TRUE,"Market Values";#N/A,#N/A,TRUE,"Parameters &amp; Results"}</definedName>
    <definedName name="wrn.rapport._.1._1_5_3" localSheetId="4" hidden="1">{#N/A,#N/A,TRUE,"Forecast &amp; Analysis";#N/A,#N/A,TRUE,"Market Values";#N/A,#N/A,TRUE,"Ratios";#N/A,#N/A,TRUE,"Regressions";#N/A,#N/A,TRUE,"Market Values";#N/A,#N/A,TRUE,"Parameters &amp; Results"}</definedName>
    <definedName name="wrn.rapport._.1._1_5_3" localSheetId="10" hidden="1">{#N/A,#N/A,TRUE,"Forecast &amp; Analysis";#N/A,#N/A,TRUE,"Market Values";#N/A,#N/A,TRUE,"Ratios";#N/A,#N/A,TRUE,"Regressions";#N/A,#N/A,TRUE,"Market Values";#N/A,#N/A,TRUE,"Parameters &amp; Results"}</definedName>
    <definedName name="wrn.rapport._.1._1_5_3" hidden="1">{#N/A,#N/A,TRUE,"Forecast &amp; Analysis";#N/A,#N/A,TRUE,"Market Values";#N/A,#N/A,TRUE,"Ratios";#N/A,#N/A,TRUE,"Regressions";#N/A,#N/A,TRUE,"Market Values";#N/A,#N/A,TRUE,"Parameters &amp; Results"}</definedName>
    <definedName name="wrn.rapport._.1._1_5_3_1" localSheetId="4" hidden="1">{#N/A,#N/A,TRUE,"Forecast &amp; Analysis";#N/A,#N/A,TRUE,"Market Values";#N/A,#N/A,TRUE,"Ratios";#N/A,#N/A,TRUE,"Regressions";#N/A,#N/A,TRUE,"Market Values";#N/A,#N/A,TRUE,"Parameters &amp; Results"}</definedName>
    <definedName name="wrn.rapport._.1._1_5_3_1" localSheetId="10" hidden="1">{#N/A,#N/A,TRUE,"Forecast &amp; Analysis";#N/A,#N/A,TRUE,"Market Values";#N/A,#N/A,TRUE,"Ratios";#N/A,#N/A,TRUE,"Regressions";#N/A,#N/A,TRUE,"Market Values";#N/A,#N/A,TRUE,"Parameters &amp; Results"}</definedName>
    <definedName name="wrn.rapport._.1._1_5_3_1" hidden="1">{#N/A,#N/A,TRUE,"Forecast &amp; Analysis";#N/A,#N/A,TRUE,"Market Values";#N/A,#N/A,TRUE,"Ratios";#N/A,#N/A,TRUE,"Regressions";#N/A,#N/A,TRUE,"Market Values";#N/A,#N/A,TRUE,"Parameters &amp; Results"}</definedName>
    <definedName name="wrn.rapport._.1._1_5_3_2" localSheetId="4" hidden="1">{#N/A,#N/A,TRUE,"Forecast &amp; Analysis";#N/A,#N/A,TRUE,"Market Values";#N/A,#N/A,TRUE,"Ratios";#N/A,#N/A,TRUE,"Regressions";#N/A,#N/A,TRUE,"Market Values";#N/A,#N/A,TRUE,"Parameters &amp; Results"}</definedName>
    <definedName name="wrn.rapport._.1._1_5_3_2" localSheetId="10" hidden="1">{#N/A,#N/A,TRUE,"Forecast &amp; Analysis";#N/A,#N/A,TRUE,"Market Values";#N/A,#N/A,TRUE,"Ratios";#N/A,#N/A,TRUE,"Regressions";#N/A,#N/A,TRUE,"Market Values";#N/A,#N/A,TRUE,"Parameters &amp; Results"}</definedName>
    <definedName name="wrn.rapport._.1._1_5_3_2" hidden="1">{#N/A,#N/A,TRUE,"Forecast &amp; Analysis";#N/A,#N/A,TRUE,"Market Values";#N/A,#N/A,TRUE,"Ratios";#N/A,#N/A,TRUE,"Regressions";#N/A,#N/A,TRUE,"Market Values";#N/A,#N/A,TRUE,"Parameters &amp; Results"}</definedName>
    <definedName name="wrn.rapport._.1._1_5_4" localSheetId="4" hidden="1">{#N/A,#N/A,TRUE,"Forecast &amp; Analysis";#N/A,#N/A,TRUE,"Market Values";#N/A,#N/A,TRUE,"Ratios";#N/A,#N/A,TRUE,"Regressions";#N/A,#N/A,TRUE,"Market Values";#N/A,#N/A,TRUE,"Parameters &amp; Results"}</definedName>
    <definedName name="wrn.rapport._.1._1_5_4" localSheetId="10" hidden="1">{#N/A,#N/A,TRUE,"Forecast &amp; Analysis";#N/A,#N/A,TRUE,"Market Values";#N/A,#N/A,TRUE,"Ratios";#N/A,#N/A,TRUE,"Regressions";#N/A,#N/A,TRUE,"Market Values";#N/A,#N/A,TRUE,"Parameters &amp; Results"}</definedName>
    <definedName name="wrn.rapport._.1._1_5_4" hidden="1">{#N/A,#N/A,TRUE,"Forecast &amp; Analysis";#N/A,#N/A,TRUE,"Market Values";#N/A,#N/A,TRUE,"Ratios";#N/A,#N/A,TRUE,"Regressions";#N/A,#N/A,TRUE,"Market Values";#N/A,#N/A,TRUE,"Parameters &amp; Results"}</definedName>
    <definedName name="wrn.rapport._.1._1_5_5" localSheetId="4" hidden="1">{#N/A,#N/A,TRUE,"Forecast &amp; Analysis";#N/A,#N/A,TRUE,"Market Values";#N/A,#N/A,TRUE,"Ratios";#N/A,#N/A,TRUE,"Regressions";#N/A,#N/A,TRUE,"Market Values";#N/A,#N/A,TRUE,"Parameters &amp; Results"}</definedName>
    <definedName name="wrn.rapport._.1._1_5_5" localSheetId="10" hidden="1">{#N/A,#N/A,TRUE,"Forecast &amp; Analysis";#N/A,#N/A,TRUE,"Market Values";#N/A,#N/A,TRUE,"Ratios";#N/A,#N/A,TRUE,"Regressions";#N/A,#N/A,TRUE,"Market Values";#N/A,#N/A,TRUE,"Parameters &amp; Results"}</definedName>
    <definedName name="wrn.rapport._.1._1_5_5" hidden="1">{#N/A,#N/A,TRUE,"Forecast &amp; Analysis";#N/A,#N/A,TRUE,"Market Values";#N/A,#N/A,TRUE,"Ratios";#N/A,#N/A,TRUE,"Regressions";#N/A,#N/A,TRUE,"Market Values";#N/A,#N/A,TRUE,"Parameters &amp; Results"}</definedName>
    <definedName name="wrn.rapport._.1._2" localSheetId="4" hidden="1">{#N/A,#N/A,TRUE,"Forecast &amp; Analysis";#N/A,#N/A,TRUE,"Market Values";#N/A,#N/A,TRUE,"Ratios";#N/A,#N/A,TRUE,"Regressions";#N/A,#N/A,TRUE,"Market Values";#N/A,#N/A,TRUE,"Parameters &amp; Results"}</definedName>
    <definedName name="wrn.rapport._.1._2" localSheetId="10" hidden="1">{#N/A,#N/A,TRUE,"Forecast &amp; Analysis";#N/A,#N/A,TRUE,"Market Values";#N/A,#N/A,TRUE,"Ratios";#N/A,#N/A,TRUE,"Regressions";#N/A,#N/A,TRUE,"Market Values";#N/A,#N/A,TRUE,"Parameters &amp; Results"}</definedName>
    <definedName name="wrn.rapport._.1._2" hidden="1">{#N/A,#N/A,TRUE,"Forecast &amp; Analysis";#N/A,#N/A,TRUE,"Market Values";#N/A,#N/A,TRUE,"Ratios";#N/A,#N/A,TRUE,"Regressions";#N/A,#N/A,TRUE,"Market Values";#N/A,#N/A,TRUE,"Parameters &amp; Results"}</definedName>
    <definedName name="wrn.rapport._.1._2_1" localSheetId="4" hidden="1">{#N/A,#N/A,TRUE,"Forecast &amp; Analysis";#N/A,#N/A,TRUE,"Market Values";#N/A,#N/A,TRUE,"Ratios";#N/A,#N/A,TRUE,"Regressions";#N/A,#N/A,TRUE,"Market Values";#N/A,#N/A,TRUE,"Parameters &amp; Results"}</definedName>
    <definedName name="wrn.rapport._.1._2_1" localSheetId="10" hidden="1">{#N/A,#N/A,TRUE,"Forecast &amp; Analysis";#N/A,#N/A,TRUE,"Market Values";#N/A,#N/A,TRUE,"Ratios";#N/A,#N/A,TRUE,"Regressions";#N/A,#N/A,TRUE,"Market Values";#N/A,#N/A,TRUE,"Parameters &amp; Results"}</definedName>
    <definedName name="wrn.rapport._.1._2_1" hidden="1">{#N/A,#N/A,TRUE,"Forecast &amp; Analysis";#N/A,#N/A,TRUE,"Market Values";#N/A,#N/A,TRUE,"Ratios";#N/A,#N/A,TRUE,"Regressions";#N/A,#N/A,TRUE,"Market Values";#N/A,#N/A,TRUE,"Parameters &amp; Results"}</definedName>
    <definedName name="wrn.rapport._.1._2_1_1" localSheetId="4" hidden="1">{#N/A,#N/A,TRUE,"Forecast &amp; Analysis";#N/A,#N/A,TRUE,"Market Values";#N/A,#N/A,TRUE,"Ratios";#N/A,#N/A,TRUE,"Regressions";#N/A,#N/A,TRUE,"Market Values";#N/A,#N/A,TRUE,"Parameters &amp; Results"}</definedName>
    <definedName name="wrn.rapport._.1._2_1_1" localSheetId="10" hidden="1">{#N/A,#N/A,TRUE,"Forecast &amp; Analysis";#N/A,#N/A,TRUE,"Market Values";#N/A,#N/A,TRUE,"Ratios";#N/A,#N/A,TRUE,"Regressions";#N/A,#N/A,TRUE,"Market Values";#N/A,#N/A,TRUE,"Parameters &amp; Results"}</definedName>
    <definedName name="wrn.rapport._.1._2_1_1" hidden="1">{#N/A,#N/A,TRUE,"Forecast &amp; Analysis";#N/A,#N/A,TRUE,"Market Values";#N/A,#N/A,TRUE,"Ratios";#N/A,#N/A,TRUE,"Regressions";#N/A,#N/A,TRUE,"Market Values";#N/A,#N/A,TRUE,"Parameters &amp; Results"}</definedName>
    <definedName name="wrn.rapport._.1._2_1_1_1" localSheetId="4" hidden="1">{#N/A,#N/A,TRUE,"Forecast &amp; Analysis";#N/A,#N/A,TRUE,"Market Values";#N/A,#N/A,TRUE,"Ratios";#N/A,#N/A,TRUE,"Regressions";#N/A,#N/A,TRUE,"Market Values";#N/A,#N/A,TRUE,"Parameters &amp; Results"}</definedName>
    <definedName name="wrn.rapport._.1._2_1_1_1" localSheetId="10" hidden="1">{#N/A,#N/A,TRUE,"Forecast &amp; Analysis";#N/A,#N/A,TRUE,"Market Values";#N/A,#N/A,TRUE,"Ratios";#N/A,#N/A,TRUE,"Regressions";#N/A,#N/A,TRUE,"Market Values";#N/A,#N/A,TRUE,"Parameters &amp; Results"}</definedName>
    <definedName name="wrn.rapport._.1._2_1_1_1" hidden="1">{#N/A,#N/A,TRUE,"Forecast &amp; Analysis";#N/A,#N/A,TRUE,"Market Values";#N/A,#N/A,TRUE,"Ratios";#N/A,#N/A,TRUE,"Regressions";#N/A,#N/A,TRUE,"Market Values";#N/A,#N/A,TRUE,"Parameters &amp; Results"}</definedName>
    <definedName name="wrn.rapport._.1._2_1_1_2" localSheetId="4" hidden="1">{#N/A,#N/A,TRUE,"Forecast &amp; Analysis";#N/A,#N/A,TRUE,"Market Values";#N/A,#N/A,TRUE,"Ratios";#N/A,#N/A,TRUE,"Regressions";#N/A,#N/A,TRUE,"Market Values";#N/A,#N/A,TRUE,"Parameters &amp; Results"}</definedName>
    <definedName name="wrn.rapport._.1._2_1_1_2" localSheetId="10" hidden="1">{#N/A,#N/A,TRUE,"Forecast &amp; Analysis";#N/A,#N/A,TRUE,"Market Values";#N/A,#N/A,TRUE,"Ratios";#N/A,#N/A,TRUE,"Regressions";#N/A,#N/A,TRUE,"Market Values";#N/A,#N/A,TRUE,"Parameters &amp; Results"}</definedName>
    <definedName name="wrn.rapport._.1._2_1_1_2" hidden="1">{#N/A,#N/A,TRUE,"Forecast &amp; Analysis";#N/A,#N/A,TRUE,"Market Values";#N/A,#N/A,TRUE,"Ratios";#N/A,#N/A,TRUE,"Regressions";#N/A,#N/A,TRUE,"Market Values";#N/A,#N/A,TRUE,"Parameters &amp; Results"}</definedName>
    <definedName name="wrn.rapport._.1._2_1_2" localSheetId="4" hidden="1">{#N/A,#N/A,TRUE,"Forecast &amp; Analysis";#N/A,#N/A,TRUE,"Market Values";#N/A,#N/A,TRUE,"Ratios";#N/A,#N/A,TRUE,"Regressions";#N/A,#N/A,TRUE,"Market Values";#N/A,#N/A,TRUE,"Parameters &amp; Results"}</definedName>
    <definedName name="wrn.rapport._.1._2_1_2" localSheetId="10" hidden="1">{#N/A,#N/A,TRUE,"Forecast &amp; Analysis";#N/A,#N/A,TRUE,"Market Values";#N/A,#N/A,TRUE,"Ratios";#N/A,#N/A,TRUE,"Regressions";#N/A,#N/A,TRUE,"Market Values";#N/A,#N/A,TRUE,"Parameters &amp; Results"}</definedName>
    <definedName name="wrn.rapport._.1._2_1_2" hidden="1">{#N/A,#N/A,TRUE,"Forecast &amp; Analysis";#N/A,#N/A,TRUE,"Market Values";#N/A,#N/A,TRUE,"Ratios";#N/A,#N/A,TRUE,"Regressions";#N/A,#N/A,TRUE,"Market Values";#N/A,#N/A,TRUE,"Parameters &amp; Results"}</definedName>
    <definedName name="wrn.rapport._.1._2_1_2_1" localSheetId="4" hidden="1">{#N/A,#N/A,TRUE,"Forecast &amp; Analysis";#N/A,#N/A,TRUE,"Market Values";#N/A,#N/A,TRUE,"Ratios";#N/A,#N/A,TRUE,"Regressions";#N/A,#N/A,TRUE,"Market Values";#N/A,#N/A,TRUE,"Parameters &amp; Results"}</definedName>
    <definedName name="wrn.rapport._.1._2_1_2_1" localSheetId="10" hidden="1">{#N/A,#N/A,TRUE,"Forecast &amp; Analysis";#N/A,#N/A,TRUE,"Market Values";#N/A,#N/A,TRUE,"Ratios";#N/A,#N/A,TRUE,"Regressions";#N/A,#N/A,TRUE,"Market Values";#N/A,#N/A,TRUE,"Parameters &amp; Results"}</definedName>
    <definedName name="wrn.rapport._.1._2_1_2_1" hidden="1">{#N/A,#N/A,TRUE,"Forecast &amp; Analysis";#N/A,#N/A,TRUE,"Market Values";#N/A,#N/A,TRUE,"Ratios";#N/A,#N/A,TRUE,"Regressions";#N/A,#N/A,TRUE,"Market Values";#N/A,#N/A,TRUE,"Parameters &amp; Results"}</definedName>
    <definedName name="wrn.rapport._.1._2_1_2_2" localSheetId="4" hidden="1">{#N/A,#N/A,TRUE,"Forecast &amp; Analysis";#N/A,#N/A,TRUE,"Market Values";#N/A,#N/A,TRUE,"Ratios";#N/A,#N/A,TRUE,"Regressions";#N/A,#N/A,TRUE,"Market Values";#N/A,#N/A,TRUE,"Parameters &amp; Results"}</definedName>
    <definedName name="wrn.rapport._.1._2_1_2_2" localSheetId="10" hidden="1">{#N/A,#N/A,TRUE,"Forecast &amp; Analysis";#N/A,#N/A,TRUE,"Market Values";#N/A,#N/A,TRUE,"Ratios";#N/A,#N/A,TRUE,"Regressions";#N/A,#N/A,TRUE,"Market Values";#N/A,#N/A,TRUE,"Parameters &amp; Results"}</definedName>
    <definedName name="wrn.rapport._.1._2_1_2_2" hidden="1">{#N/A,#N/A,TRUE,"Forecast &amp; Analysis";#N/A,#N/A,TRUE,"Market Values";#N/A,#N/A,TRUE,"Ratios";#N/A,#N/A,TRUE,"Regressions";#N/A,#N/A,TRUE,"Market Values";#N/A,#N/A,TRUE,"Parameters &amp; Results"}</definedName>
    <definedName name="wrn.rapport._.1._2_1_3" localSheetId="4" hidden="1">{#N/A,#N/A,TRUE,"Forecast &amp; Analysis";#N/A,#N/A,TRUE,"Market Values";#N/A,#N/A,TRUE,"Ratios";#N/A,#N/A,TRUE,"Regressions";#N/A,#N/A,TRUE,"Market Values";#N/A,#N/A,TRUE,"Parameters &amp; Results"}</definedName>
    <definedName name="wrn.rapport._.1._2_1_3" localSheetId="10" hidden="1">{#N/A,#N/A,TRUE,"Forecast &amp; Analysis";#N/A,#N/A,TRUE,"Market Values";#N/A,#N/A,TRUE,"Ratios";#N/A,#N/A,TRUE,"Regressions";#N/A,#N/A,TRUE,"Market Values";#N/A,#N/A,TRUE,"Parameters &amp; Results"}</definedName>
    <definedName name="wrn.rapport._.1._2_1_3" hidden="1">{#N/A,#N/A,TRUE,"Forecast &amp; Analysis";#N/A,#N/A,TRUE,"Market Values";#N/A,#N/A,TRUE,"Ratios";#N/A,#N/A,TRUE,"Regressions";#N/A,#N/A,TRUE,"Market Values";#N/A,#N/A,TRUE,"Parameters &amp; Results"}</definedName>
    <definedName name="wrn.rapport._.1._2_1_3_1" localSheetId="4" hidden="1">{#N/A,#N/A,TRUE,"Forecast &amp; Analysis";#N/A,#N/A,TRUE,"Market Values";#N/A,#N/A,TRUE,"Ratios";#N/A,#N/A,TRUE,"Regressions";#N/A,#N/A,TRUE,"Market Values";#N/A,#N/A,TRUE,"Parameters &amp; Results"}</definedName>
    <definedName name="wrn.rapport._.1._2_1_3_1" localSheetId="10" hidden="1">{#N/A,#N/A,TRUE,"Forecast &amp; Analysis";#N/A,#N/A,TRUE,"Market Values";#N/A,#N/A,TRUE,"Ratios";#N/A,#N/A,TRUE,"Regressions";#N/A,#N/A,TRUE,"Market Values";#N/A,#N/A,TRUE,"Parameters &amp; Results"}</definedName>
    <definedName name="wrn.rapport._.1._2_1_3_1" hidden="1">{#N/A,#N/A,TRUE,"Forecast &amp; Analysis";#N/A,#N/A,TRUE,"Market Values";#N/A,#N/A,TRUE,"Ratios";#N/A,#N/A,TRUE,"Regressions";#N/A,#N/A,TRUE,"Market Values";#N/A,#N/A,TRUE,"Parameters &amp; Results"}</definedName>
    <definedName name="wrn.rapport._.1._2_1_3_2" localSheetId="4" hidden="1">{#N/A,#N/A,TRUE,"Forecast &amp; Analysis";#N/A,#N/A,TRUE,"Market Values";#N/A,#N/A,TRUE,"Ratios";#N/A,#N/A,TRUE,"Regressions";#N/A,#N/A,TRUE,"Market Values";#N/A,#N/A,TRUE,"Parameters &amp; Results"}</definedName>
    <definedName name="wrn.rapport._.1._2_1_3_2" localSheetId="10" hidden="1">{#N/A,#N/A,TRUE,"Forecast &amp; Analysis";#N/A,#N/A,TRUE,"Market Values";#N/A,#N/A,TRUE,"Ratios";#N/A,#N/A,TRUE,"Regressions";#N/A,#N/A,TRUE,"Market Values";#N/A,#N/A,TRUE,"Parameters &amp; Results"}</definedName>
    <definedName name="wrn.rapport._.1._2_1_3_2" hidden="1">{#N/A,#N/A,TRUE,"Forecast &amp; Analysis";#N/A,#N/A,TRUE,"Market Values";#N/A,#N/A,TRUE,"Ratios";#N/A,#N/A,TRUE,"Regressions";#N/A,#N/A,TRUE,"Market Values";#N/A,#N/A,TRUE,"Parameters &amp; Results"}</definedName>
    <definedName name="wrn.rapport._.1._2_1_4" localSheetId="4" hidden="1">{#N/A,#N/A,TRUE,"Forecast &amp; Analysis";#N/A,#N/A,TRUE,"Market Values";#N/A,#N/A,TRUE,"Ratios";#N/A,#N/A,TRUE,"Regressions";#N/A,#N/A,TRUE,"Market Values";#N/A,#N/A,TRUE,"Parameters &amp; Results"}</definedName>
    <definedName name="wrn.rapport._.1._2_1_4" localSheetId="10" hidden="1">{#N/A,#N/A,TRUE,"Forecast &amp; Analysis";#N/A,#N/A,TRUE,"Market Values";#N/A,#N/A,TRUE,"Ratios";#N/A,#N/A,TRUE,"Regressions";#N/A,#N/A,TRUE,"Market Values";#N/A,#N/A,TRUE,"Parameters &amp; Results"}</definedName>
    <definedName name="wrn.rapport._.1._2_1_4" hidden="1">{#N/A,#N/A,TRUE,"Forecast &amp; Analysis";#N/A,#N/A,TRUE,"Market Values";#N/A,#N/A,TRUE,"Ratios";#N/A,#N/A,TRUE,"Regressions";#N/A,#N/A,TRUE,"Market Values";#N/A,#N/A,TRUE,"Parameters &amp; Results"}</definedName>
    <definedName name="wrn.rapport._.1._2_1_5" localSheetId="4" hidden="1">{#N/A,#N/A,TRUE,"Forecast &amp; Analysis";#N/A,#N/A,TRUE,"Market Values";#N/A,#N/A,TRUE,"Ratios";#N/A,#N/A,TRUE,"Regressions";#N/A,#N/A,TRUE,"Market Values";#N/A,#N/A,TRUE,"Parameters &amp; Results"}</definedName>
    <definedName name="wrn.rapport._.1._2_1_5" localSheetId="10" hidden="1">{#N/A,#N/A,TRUE,"Forecast &amp; Analysis";#N/A,#N/A,TRUE,"Market Values";#N/A,#N/A,TRUE,"Ratios";#N/A,#N/A,TRUE,"Regressions";#N/A,#N/A,TRUE,"Market Values";#N/A,#N/A,TRUE,"Parameters &amp; Results"}</definedName>
    <definedName name="wrn.rapport._.1._2_1_5" hidden="1">{#N/A,#N/A,TRUE,"Forecast &amp; Analysis";#N/A,#N/A,TRUE,"Market Values";#N/A,#N/A,TRUE,"Ratios";#N/A,#N/A,TRUE,"Regressions";#N/A,#N/A,TRUE,"Market Values";#N/A,#N/A,TRUE,"Parameters &amp; Results"}</definedName>
    <definedName name="wrn.rapport._.1._2_2" localSheetId="4" hidden="1">{#N/A,#N/A,TRUE,"Forecast &amp; Analysis";#N/A,#N/A,TRUE,"Market Values";#N/A,#N/A,TRUE,"Ratios";#N/A,#N/A,TRUE,"Regressions";#N/A,#N/A,TRUE,"Market Values";#N/A,#N/A,TRUE,"Parameters &amp; Results"}</definedName>
    <definedName name="wrn.rapport._.1._2_2" localSheetId="10" hidden="1">{#N/A,#N/A,TRUE,"Forecast &amp; Analysis";#N/A,#N/A,TRUE,"Market Values";#N/A,#N/A,TRUE,"Ratios";#N/A,#N/A,TRUE,"Regressions";#N/A,#N/A,TRUE,"Market Values";#N/A,#N/A,TRUE,"Parameters &amp; Results"}</definedName>
    <definedName name="wrn.rapport._.1._2_2" hidden="1">{#N/A,#N/A,TRUE,"Forecast &amp; Analysis";#N/A,#N/A,TRUE,"Market Values";#N/A,#N/A,TRUE,"Ratios";#N/A,#N/A,TRUE,"Regressions";#N/A,#N/A,TRUE,"Market Values";#N/A,#N/A,TRUE,"Parameters &amp; Results"}</definedName>
    <definedName name="wrn.rapport._.1._2_2_1" localSheetId="4" hidden="1">{#N/A,#N/A,TRUE,"Forecast &amp; Analysis";#N/A,#N/A,TRUE,"Market Values";#N/A,#N/A,TRUE,"Ratios";#N/A,#N/A,TRUE,"Regressions";#N/A,#N/A,TRUE,"Market Values";#N/A,#N/A,TRUE,"Parameters &amp; Results"}</definedName>
    <definedName name="wrn.rapport._.1._2_2_1" localSheetId="10" hidden="1">{#N/A,#N/A,TRUE,"Forecast &amp; Analysis";#N/A,#N/A,TRUE,"Market Values";#N/A,#N/A,TRUE,"Ratios";#N/A,#N/A,TRUE,"Regressions";#N/A,#N/A,TRUE,"Market Values";#N/A,#N/A,TRUE,"Parameters &amp; Results"}</definedName>
    <definedName name="wrn.rapport._.1._2_2_1" hidden="1">{#N/A,#N/A,TRUE,"Forecast &amp; Analysis";#N/A,#N/A,TRUE,"Market Values";#N/A,#N/A,TRUE,"Ratios";#N/A,#N/A,TRUE,"Regressions";#N/A,#N/A,TRUE,"Market Values";#N/A,#N/A,TRUE,"Parameters &amp; Results"}</definedName>
    <definedName name="wrn.rapport._.1._2_2_2" localSheetId="4" hidden="1">{#N/A,#N/A,TRUE,"Forecast &amp; Analysis";#N/A,#N/A,TRUE,"Market Values";#N/A,#N/A,TRUE,"Ratios";#N/A,#N/A,TRUE,"Regressions";#N/A,#N/A,TRUE,"Market Values";#N/A,#N/A,TRUE,"Parameters &amp; Results"}</definedName>
    <definedName name="wrn.rapport._.1._2_2_2" localSheetId="10" hidden="1">{#N/A,#N/A,TRUE,"Forecast &amp; Analysis";#N/A,#N/A,TRUE,"Market Values";#N/A,#N/A,TRUE,"Ratios";#N/A,#N/A,TRUE,"Regressions";#N/A,#N/A,TRUE,"Market Values";#N/A,#N/A,TRUE,"Parameters &amp; Results"}</definedName>
    <definedName name="wrn.rapport._.1._2_2_2" hidden="1">{#N/A,#N/A,TRUE,"Forecast &amp; Analysis";#N/A,#N/A,TRUE,"Market Values";#N/A,#N/A,TRUE,"Ratios";#N/A,#N/A,TRUE,"Regressions";#N/A,#N/A,TRUE,"Market Values";#N/A,#N/A,TRUE,"Parameters &amp; Results"}</definedName>
    <definedName name="wrn.rapport._.1._2_3" localSheetId="4" hidden="1">{#N/A,#N/A,TRUE,"Forecast &amp; Analysis";#N/A,#N/A,TRUE,"Market Values";#N/A,#N/A,TRUE,"Ratios";#N/A,#N/A,TRUE,"Regressions";#N/A,#N/A,TRUE,"Market Values";#N/A,#N/A,TRUE,"Parameters &amp; Results"}</definedName>
    <definedName name="wrn.rapport._.1._2_3" localSheetId="10" hidden="1">{#N/A,#N/A,TRUE,"Forecast &amp; Analysis";#N/A,#N/A,TRUE,"Market Values";#N/A,#N/A,TRUE,"Ratios";#N/A,#N/A,TRUE,"Regressions";#N/A,#N/A,TRUE,"Market Values";#N/A,#N/A,TRUE,"Parameters &amp; Results"}</definedName>
    <definedName name="wrn.rapport._.1._2_3" hidden="1">{#N/A,#N/A,TRUE,"Forecast &amp; Analysis";#N/A,#N/A,TRUE,"Market Values";#N/A,#N/A,TRUE,"Ratios";#N/A,#N/A,TRUE,"Regressions";#N/A,#N/A,TRUE,"Market Values";#N/A,#N/A,TRUE,"Parameters &amp; Results"}</definedName>
    <definedName name="wrn.rapport._.1._2_3_1" localSheetId="4" hidden="1">{#N/A,#N/A,TRUE,"Forecast &amp; Analysis";#N/A,#N/A,TRUE,"Market Values";#N/A,#N/A,TRUE,"Ratios";#N/A,#N/A,TRUE,"Regressions";#N/A,#N/A,TRUE,"Market Values";#N/A,#N/A,TRUE,"Parameters &amp; Results"}</definedName>
    <definedName name="wrn.rapport._.1._2_3_1" localSheetId="10" hidden="1">{#N/A,#N/A,TRUE,"Forecast &amp; Analysis";#N/A,#N/A,TRUE,"Market Values";#N/A,#N/A,TRUE,"Ratios";#N/A,#N/A,TRUE,"Regressions";#N/A,#N/A,TRUE,"Market Values";#N/A,#N/A,TRUE,"Parameters &amp; Results"}</definedName>
    <definedName name="wrn.rapport._.1._2_3_1" hidden="1">{#N/A,#N/A,TRUE,"Forecast &amp; Analysis";#N/A,#N/A,TRUE,"Market Values";#N/A,#N/A,TRUE,"Ratios";#N/A,#N/A,TRUE,"Regressions";#N/A,#N/A,TRUE,"Market Values";#N/A,#N/A,TRUE,"Parameters &amp; Results"}</definedName>
    <definedName name="wrn.rapport._.1._2_3_2" localSheetId="4" hidden="1">{#N/A,#N/A,TRUE,"Forecast &amp; Analysis";#N/A,#N/A,TRUE,"Market Values";#N/A,#N/A,TRUE,"Ratios";#N/A,#N/A,TRUE,"Regressions";#N/A,#N/A,TRUE,"Market Values";#N/A,#N/A,TRUE,"Parameters &amp; Results"}</definedName>
    <definedName name="wrn.rapport._.1._2_3_2" localSheetId="10" hidden="1">{#N/A,#N/A,TRUE,"Forecast &amp; Analysis";#N/A,#N/A,TRUE,"Market Values";#N/A,#N/A,TRUE,"Ratios";#N/A,#N/A,TRUE,"Regressions";#N/A,#N/A,TRUE,"Market Values";#N/A,#N/A,TRUE,"Parameters &amp; Results"}</definedName>
    <definedName name="wrn.rapport._.1._2_3_2" hidden="1">{#N/A,#N/A,TRUE,"Forecast &amp; Analysis";#N/A,#N/A,TRUE,"Market Values";#N/A,#N/A,TRUE,"Ratios";#N/A,#N/A,TRUE,"Regressions";#N/A,#N/A,TRUE,"Market Values";#N/A,#N/A,TRUE,"Parameters &amp; Results"}</definedName>
    <definedName name="wrn.rapport._.1._2_4" localSheetId="4" hidden="1">{#N/A,#N/A,TRUE,"Forecast &amp; Analysis";#N/A,#N/A,TRUE,"Market Values";#N/A,#N/A,TRUE,"Ratios";#N/A,#N/A,TRUE,"Regressions";#N/A,#N/A,TRUE,"Market Values";#N/A,#N/A,TRUE,"Parameters &amp; Results"}</definedName>
    <definedName name="wrn.rapport._.1._2_4" localSheetId="10" hidden="1">{#N/A,#N/A,TRUE,"Forecast &amp; Analysis";#N/A,#N/A,TRUE,"Market Values";#N/A,#N/A,TRUE,"Ratios";#N/A,#N/A,TRUE,"Regressions";#N/A,#N/A,TRUE,"Market Values";#N/A,#N/A,TRUE,"Parameters &amp; Results"}</definedName>
    <definedName name="wrn.rapport._.1._2_4" hidden="1">{#N/A,#N/A,TRUE,"Forecast &amp; Analysis";#N/A,#N/A,TRUE,"Market Values";#N/A,#N/A,TRUE,"Ratios";#N/A,#N/A,TRUE,"Regressions";#N/A,#N/A,TRUE,"Market Values";#N/A,#N/A,TRUE,"Parameters &amp; Results"}</definedName>
    <definedName name="wrn.rapport._.1._2_5" localSheetId="4" hidden="1">{#N/A,#N/A,TRUE,"Forecast &amp; Analysis";#N/A,#N/A,TRUE,"Market Values";#N/A,#N/A,TRUE,"Ratios";#N/A,#N/A,TRUE,"Regressions";#N/A,#N/A,TRUE,"Market Values";#N/A,#N/A,TRUE,"Parameters &amp; Results"}</definedName>
    <definedName name="wrn.rapport._.1._2_5" localSheetId="10" hidden="1">{#N/A,#N/A,TRUE,"Forecast &amp; Analysis";#N/A,#N/A,TRUE,"Market Values";#N/A,#N/A,TRUE,"Ratios";#N/A,#N/A,TRUE,"Regressions";#N/A,#N/A,TRUE,"Market Values";#N/A,#N/A,TRUE,"Parameters &amp; Results"}</definedName>
    <definedName name="wrn.rapport._.1._2_5" hidden="1">{#N/A,#N/A,TRUE,"Forecast &amp; Analysis";#N/A,#N/A,TRUE,"Market Values";#N/A,#N/A,TRUE,"Ratios";#N/A,#N/A,TRUE,"Regressions";#N/A,#N/A,TRUE,"Market Values";#N/A,#N/A,TRUE,"Parameters &amp; Results"}</definedName>
    <definedName name="wrn.rapport._.1._3" localSheetId="4" hidden="1">{#N/A,#N/A,TRUE,"Forecast &amp; Analysis";#N/A,#N/A,TRUE,"Market Values";#N/A,#N/A,TRUE,"Ratios";#N/A,#N/A,TRUE,"Regressions";#N/A,#N/A,TRUE,"Market Values";#N/A,#N/A,TRUE,"Parameters &amp; Results"}</definedName>
    <definedName name="wrn.rapport._.1._3" localSheetId="10" hidden="1">{#N/A,#N/A,TRUE,"Forecast &amp; Analysis";#N/A,#N/A,TRUE,"Market Values";#N/A,#N/A,TRUE,"Ratios";#N/A,#N/A,TRUE,"Regressions";#N/A,#N/A,TRUE,"Market Values";#N/A,#N/A,TRUE,"Parameters &amp; Results"}</definedName>
    <definedName name="wrn.rapport._.1._3" hidden="1">{#N/A,#N/A,TRUE,"Forecast &amp; Analysis";#N/A,#N/A,TRUE,"Market Values";#N/A,#N/A,TRUE,"Ratios";#N/A,#N/A,TRUE,"Regressions";#N/A,#N/A,TRUE,"Market Values";#N/A,#N/A,TRUE,"Parameters &amp; Results"}</definedName>
    <definedName name="wrn.rapport._.1._3_1" localSheetId="4" hidden="1">{#N/A,#N/A,TRUE,"Forecast &amp; Analysis";#N/A,#N/A,TRUE,"Market Values";#N/A,#N/A,TRUE,"Ratios";#N/A,#N/A,TRUE,"Regressions";#N/A,#N/A,TRUE,"Market Values";#N/A,#N/A,TRUE,"Parameters &amp; Results"}</definedName>
    <definedName name="wrn.rapport._.1._3_1" localSheetId="10" hidden="1">{#N/A,#N/A,TRUE,"Forecast &amp; Analysis";#N/A,#N/A,TRUE,"Market Values";#N/A,#N/A,TRUE,"Ratios";#N/A,#N/A,TRUE,"Regressions";#N/A,#N/A,TRUE,"Market Values";#N/A,#N/A,TRUE,"Parameters &amp; Results"}</definedName>
    <definedName name="wrn.rapport._.1._3_1" hidden="1">{#N/A,#N/A,TRUE,"Forecast &amp; Analysis";#N/A,#N/A,TRUE,"Market Values";#N/A,#N/A,TRUE,"Ratios";#N/A,#N/A,TRUE,"Regressions";#N/A,#N/A,TRUE,"Market Values";#N/A,#N/A,TRUE,"Parameters &amp; Results"}</definedName>
    <definedName name="wrn.rapport._.1._3_1_1" localSheetId="4" hidden="1">{#N/A,#N/A,TRUE,"Forecast &amp; Analysis";#N/A,#N/A,TRUE,"Market Values";#N/A,#N/A,TRUE,"Ratios";#N/A,#N/A,TRUE,"Regressions";#N/A,#N/A,TRUE,"Market Values";#N/A,#N/A,TRUE,"Parameters &amp; Results"}</definedName>
    <definedName name="wrn.rapport._.1._3_1_1" localSheetId="10" hidden="1">{#N/A,#N/A,TRUE,"Forecast &amp; Analysis";#N/A,#N/A,TRUE,"Market Values";#N/A,#N/A,TRUE,"Ratios";#N/A,#N/A,TRUE,"Regressions";#N/A,#N/A,TRUE,"Market Values";#N/A,#N/A,TRUE,"Parameters &amp; Results"}</definedName>
    <definedName name="wrn.rapport._.1._3_1_1" hidden="1">{#N/A,#N/A,TRUE,"Forecast &amp; Analysis";#N/A,#N/A,TRUE,"Market Values";#N/A,#N/A,TRUE,"Ratios";#N/A,#N/A,TRUE,"Regressions";#N/A,#N/A,TRUE,"Market Values";#N/A,#N/A,TRUE,"Parameters &amp; Results"}</definedName>
    <definedName name="wrn.rapport._.1._3_1_2" localSheetId="4" hidden="1">{#N/A,#N/A,TRUE,"Forecast &amp; Analysis";#N/A,#N/A,TRUE,"Market Values";#N/A,#N/A,TRUE,"Ratios";#N/A,#N/A,TRUE,"Regressions";#N/A,#N/A,TRUE,"Market Values";#N/A,#N/A,TRUE,"Parameters &amp; Results"}</definedName>
    <definedName name="wrn.rapport._.1._3_1_2" localSheetId="10" hidden="1">{#N/A,#N/A,TRUE,"Forecast &amp; Analysis";#N/A,#N/A,TRUE,"Market Values";#N/A,#N/A,TRUE,"Ratios";#N/A,#N/A,TRUE,"Regressions";#N/A,#N/A,TRUE,"Market Values";#N/A,#N/A,TRUE,"Parameters &amp; Results"}</definedName>
    <definedName name="wrn.rapport._.1._3_1_2" hidden="1">{#N/A,#N/A,TRUE,"Forecast &amp; Analysis";#N/A,#N/A,TRUE,"Market Values";#N/A,#N/A,TRUE,"Ratios";#N/A,#N/A,TRUE,"Regressions";#N/A,#N/A,TRUE,"Market Values";#N/A,#N/A,TRUE,"Parameters &amp; Results"}</definedName>
    <definedName name="wrn.rapport._.1._3_2" localSheetId="4" hidden="1">{#N/A,#N/A,TRUE,"Forecast &amp; Analysis";#N/A,#N/A,TRUE,"Market Values";#N/A,#N/A,TRUE,"Ratios";#N/A,#N/A,TRUE,"Regressions";#N/A,#N/A,TRUE,"Market Values";#N/A,#N/A,TRUE,"Parameters &amp; Results"}</definedName>
    <definedName name="wrn.rapport._.1._3_2" localSheetId="10" hidden="1">{#N/A,#N/A,TRUE,"Forecast &amp; Analysis";#N/A,#N/A,TRUE,"Market Values";#N/A,#N/A,TRUE,"Ratios";#N/A,#N/A,TRUE,"Regressions";#N/A,#N/A,TRUE,"Market Values";#N/A,#N/A,TRUE,"Parameters &amp; Results"}</definedName>
    <definedName name="wrn.rapport._.1._3_2" hidden="1">{#N/A,#N/A,TRUE,"Forecast &amp; Analysis";#N/A,#N/A,TRUE,"Market Values";#N/A,#N/A,TRUE,"Ratios";#N/A,#N/A,TRUE,"Regressions";#N/A,#N/A,TRUE,"Market Values";#N/A,#N/A,TRUE,"Parameters &amp; Results"}</definedName>
    <definedName name="wrn.rapport._.1._3_2_1" localSheetId="4" hidden="1">{#N/A,#N/A,TRUE,"Forecast &amp; Analysis";#N/A,#N/A,TRUE,"Market Values";#N/A,#N/A,TRUE,"Ratios";#N/A,#N/A,TRUE,"Regressions";#N/A,#N/A,TRUE,"Market Values";#N/A,#N/A,TRUE,"Parameters &amp; Results"}</definedName>
    <definedName name="wrn.rapport._.1._3_2_1" localSheetId="10" hidden="1">{#N/A,#N/A,TRUE,"Forecast &amp; Analysis";#N/A,#N/A,TRUE,"Market Values";#N/A,#N/A,TRUE,"Ratios";#N/A,#N/A,TRUE,"Regressions";#N/A,#N/A,TRUE,"Market Values";#N/A,#N/A,TRUE,"Parameters &amp; Results"}</definedName>
    <definedName name="wrn.rapport._.1._3_2_1" hidden="1">{#N/A,#N/A,TRUE,"Forecast &amp; Analysis";#N/A,#N/A,TRUE,"Market Values";#N/A,#N/A,TRUE,"Ratios";#N/A,#N/A,TRUE,"Regressions";#N/A,#N/A,TRUE,"Market Values";#N/A,#N/A,TRUE,"Parameters &amp; Results"}</definedName>
    <definedName name="wrn.rapport._.1._3_2_2" localSheetId="4" hidden="1">{#N/A,#N/A,TRUE,"Forecast &amp; Analysis";#N/A,#N/A,TRUE,"Market Values";#N/A,#N/A,TRUE,"Ratios";#N/A,#N/A,TRUE,"Regressions";#N/A,#N/A,TRUE,"Market Values";#N/A,#N/A,TRUE,"Parameters &amp; Results"}</definedName>
    <definedName name="wrn.rapport._.1._3_2_2" localSheetId="10" hidden="1">{#N/A,#N/A,TRUE,"Forecast &amp; Analysis";#N/A,#N/A,TRUE,"Market Values";#N/A,#N/A,TRUE,"Ratios";#N/A,#N/A,TRUE,"Regressions";#N/A,#N/A,TRUE,"Market Values";#N/A,#N/A,TRUE,"Parameters &amp; Results"}</definedName>
    <definedName name="wrn.rapport._.1._3_2_2" hidden="1">{#N/A,#N/A,TRUE,"Forecast &amp; Analysis";#N/A,#N/A,TRUE,"Market Values";#N/A,#N/A,TRUE,"Ratios";#N/A,#N/A,TRUE,"Regressions";#N/A,#N/A,TRUE,"Market Values";#N/A,#N/A,TRUE,"Parameters &amp; Results"}</definedName>
    <definedName name="wrn.rapport._.1._3_3" localSheetId="4" hidden="1">{#N/A,#N/A,TRUE,"Forecast &amp; Analysis";#N/A,#N/A,TRUE,"Market Values";#N/A,#N/A,TRUE,"Ratios";#N/A,#N/A,TRUE,"Regressions";#N/A,#N/A,TRUE,"Market Values";#N/A,#N/A,TRUE,"Parameters &amp; Results"}</definedName>
    <definedName name="wrn.rapport._.1._3_3" localSheetId="10" hidden="1">{#N/A,#N/A,TRUE,"Forecast &amp; Analysis";#N/A,#N/A,TRUE,"Market Values";#N/A,#N/A,TRUE,"Ratios";#N/A,#N/A,TRUE,"Regressions";#N/A,#N/A,TRUE,"Market Values";#N/A,#N/A,TRUE,"Parameters &amp; Results"}</definedName>
    <definedName name="wrn.rapport._.1._3_3" hidden="1">{#N/A,#N/A,TRUE,"Forecast &amp; Analysis";#N/A,#N/A,TRUE,"Market Values";#N/A,#N/A,TRUE,"Ratios";#N/A,#N/A,TRUE,"Regressions";#N/A,#N/A,TRUE,"Market Values";#N/A,#N/A,TRUE,"Parameters &amp; Results"}</definedName>
    <definedName name="wrn.rapport._.1._3_3_1" localSheetId="4" hidden="1">{#N/A,#N/A,TRUE,"Forecast &amp; Analysis";#N/A,#N/A,TRUE,"Market Values";#N/A,#N/A,TRUE,"Ratios";#N/A,#N/A,TRUE,"Regressions";#N/A,#N/A,TRUE,"Market Values";#N/A,#N/A,TRUE,"Parameters &amp; Results"}</definedName>
    <definedName name="wrn.rapport._.1._3_3_1" localSheetId="10" hidden="1">{#N/A,#N/A,TRUE,"Forecast &amp; Analysis";#N/A,#N/A,TRUE,"Market Values";#N/A,#N/A,TRUE,"Ratios";#N/A,#N/A,TRUE,"Regressions";#N/A,#N/A,TRUE,"Market Values";#N/A,#N/A,TRUE,"Parameters &amp; Results"}</definedName>
    <definedName name="wrn.rapport._.1._3_3_1" hidden="1">{#N/A,#N/A,TRUE,"Forecast &amp; Analysis";#N/A,#N/A,TRUE,"Market Values";#N/A,#N/A,TRUE,"Ratios";#N/A,#N/A,TRUE,"Regressions";#N/A,#N/A,TRUE,"Market Values";#N/A,#N/A,TRUE,"Parameters &amp; Results"}</definedName>
    <definedName name="wrn.rapport._.1._3_3_2" localSheetId="4" hidden="1">{#N/A,#N/A,TRUE,"Forecast &amp; Analysis";#N/A,#N/A,TRUE,"Market Values";#N/A,#N/A,TRUE,"Ratios";#N/A,#N/A,TRUE,"Regressions";#N/A,#N/A,TRUE,"Market Values";#N/A,#N/A,TRUE,"Parameters &amp; Results"}</definedName>
    <definedName name="wrn.rapport._.1._3_3_2" localSheetId="10" hidden="1">{#N/A,#N/A,TRUE,"Forecast &amp; Analysis";#N/A,#N/A,TRUE,"Market Values";#N/A,#N/A,TRUE,"Ratios";#N/A,#N/A,TRUE,"Regressions";#N/A,#N/A,TRUE,"Market Values";#N/A,#N/A,TRUE,"Parameters &amp; Results"}</definedName>
    <definedName name="wrn.rapport._.1._3_3_2" hidden="1">{#N/A,#N/A,TRUE,"Forecast &amp; Analysis";#N/A,#N/A,TRUE,"Market Values";#N/A,#N/A,TRUE,"Ratios";#N/A,#N/A,TRUE,"Regressions";#N/A,#N/A,TRUE,"Market Values";#N/A,#N/A,TRUE,"Parameters &amp; Results"}</definedName>
    <definedName name="wrn.rapport._.1._3_4" localSheetId="4" hidden="1">{#N/A,#N/A,TRUE,"Forecast &amp; Analysis";#N/A,#N/A,TRUE,"Market Values";#N/A,#N/A,TRUE,"Ratios";#N/A,#N/A,TRUE,"Regressions";#N/A,#N/A,TRUE,"Market Values";#N/A,#N/A,TRUE,"Parameters &amp; Results"}</definedName>
    <definedName name="wrn.rapport._.1._3_4" localSheetId="10" hidden="1">{#N/A,#N/A,TRUE,"Forecast &amp; Analysis";#N/A,#N/A,TRUE,"Market Values";#N/A,#N/A,TRUE,"Ratios";#N/A,#N/A,TRUE,"Regressions";#N/A,#N/A,TRUE,"Market Values";#N/A,#N/A,TRUE,"Parameters &amp; Results"}</definedName>
    <definedName name="wrn.rapport._.1._3_4" hidden="1">{#N/A,#N/A,TRUE,"Forecast &amp; Analysis";#N/A,#N/A,TRUE,"Market Values";#N/A,#N/A,TRUE,"Ratios";#N/A,#N/A,TRUE,"Regressions";#N/A,#N/A,TRUE,"Market Values";#N/A,#N/A,TRUE,"Parameters &amp; Results"}</definedName>
    <definedName name="wrn.rapport._.1._3_5" localSheetId="4" hidden="1">{#N/A,#N/A,TRUE,"Forecast &amp; Analysis";#N/A,#N/A,TRUE,"Market Values";#N/A,#N/A,TRUE,"Ratios";#N/A,#N/A,TRUE,"Regressions";#N/A,#N/A,TRUE,"Market Values";#N/A,#N/A,TRUE,"Parameters &amp; Results"}</definedName>
    <definedName name="wrn.rapport._.1._3_5" localSheetId="10" hidden="1">{#N/A,#N/A,TRUE,"Forecast &amp; Analysis";#N/A,#N/A,TRUE,"Market Values";#N/A,#N/A,TRUE,"Ratios";#N/A,#N/A,TRUE,"Regressions";#N/A,#N/A,TRUE,"Market Values";#N/A,#N/A,TRUE,"Parameters &amp; Results"}</definedName>
    <definedName name="wrn.rapport._.1._3_5" hidden="1">{#N/A,#N/A,TRUE,"Forecast &amp; Analysis";#N/A,#N/A,TRUE,"Market Values";#N/A,#N/A,TRUE,"Ratios";#N/A,#N/A,TRUE,"Regressions";#N/A,#N/A,TRUE,"Market Values";#N/A,#N/A,TRUE,"Parameters &amp; Results"}</definedName>
    <definedName name="wrn.rapport._.1._4" localSheetId="4" hidden="1">{#N/A,#N/A,TRUE,"Forecast &amp; Analysis";#N/A,#N/A,TRUE,"Market Values";#N/A,#N/A,TRUE,"Ratios";#N/A,#N/A,TRUE,"Regressions";#N/A,#N/A,TRUE,"Market Values";#N/A,#N/A,TRUE,"Parameters &amp; Results"}</definedName>
    <definedName name="wrn.rapport._.1._4" localSheetId="10" hidden="1">{#N/A,#N/A,TRUE,"Forecast &amp; Analysis";#N/A,#N/A,TRUE,"Market Values";#N/A,#N/A,TRUE,"Ratios";#N/A,#N/A,TRUE,"Regressions";#N/A,#N/A,TRUE,"Market Values";#N/A,#N/A,TRUE,"Parameters &amp; Results"}</definedName>
    <definedName name="wrn.rapport._.1._4" hidden="1">{#N/A,#N/A,TRUE,"Forecast &amp; Analysis";#N/A,#N/A,TRUE,"Market Values";#N/A,#N/A,TRUE,"Ratios";#N/A,#N/A,TRUE,"Regressions";#N/A,#N/A,TRUE,"Market Values";#N/A,#N/A,TRUE,"Parameters &amp; Results"}</definedName>
    <definedName name="wrn.rapport._.1._4_1" localSheetId="4" hidden="1">{#N/A,#N/A,TRUE,"Forecast &amp; Analysis";#N/A,#N/A,TRUE,"Market Values";#N/A,#N/A,TRUE,"Ratios";#N/A,#N/A,TRUE,"Regressions";#N/A,#N/A,TRUE,"Market Values";#N/A,#N/A,TRUE,"Parameters &amp; Results"}</definedName>
    <definedName name="wrn.rapport._.1._4_1" localSheetId="10" hidden="1">{#N/A,#N/A,TRUE,"Forecast &amp; Analysis";#N/A,#N/A,TRUE,"Market Values";#N/A,#N/A,TRUE,"Ratios";#N/A,#N/A,TRUE,"Regressions";#N/A,#N/A,TRUE,"Market Values";#N/A,#N/A,TRUE,"Parameters &amp; Results"}</definedName>
    <definedName name="wrn.rapport._.1._4_1" hidden="1">{#N/A,#N/A,TRUE,"Forecast &amp; Analysis";#N/A,#N/A,TRUE,"Market Values";#N/A,#N/A,TRUE,"Ratios";#N/A,#N/A,TRUE,"Regressions";#N/A,#N/A,TRUE,"Market Values";#N/A,#N/A,TRUE,"Parameters &amp; Results"}</definedName>
    <definedName name="wrn.rapport._.1._4_1_1" localSheetId="4" hidden="1">{#N/A,#N/A,TRUE,"Forecast &amp; Analysis";#N/A,#N/A,TRUE,"Market Values";#N/A,#N/A,TRUE,"Ratios";#N/A,#N/A,TRUE,"Regressions";#N/A,#N/A,TRUE,"Market Values";#N/A,#N/A,TRUE,"Parameters &amp; Results"}</definedName>
    <definedName name="wrn.rapport._.1._4_1_1" localSheetId="10" hidden="1">{#N/A,#N/A,TRUE,"Forecast &amp; Analysis";#N/A,#N/A,TRUE,"Market Values";#N/A,#N/A,TRUE,"Ratios";#N/A,#N/A,TRUE,"Regressions";#N/A,#N/A,TRUE,"Market Values";#N/A,#N/A,TRUE,"Parameters &amp; Results"}</definedName>
    <definedName name="wrn.rapport._.1._4_1_1" hidden="1">{#N/A,#N/A,TRUE,"Forecast &amp; Analysis";#N/A,#N/A,TRUE,"Market Values";#N/A,#N/A,TRUE,"Ratios";#N/A,#N/A,TRUE,"Regressions";#N/A,#N/A,TRUE,"Market Values";#N/A,#N/A,TRUE,"Parameters &amp; Results"}</definedName>
    <definedName name="wrn.rapport._.1._4_1_2" localSheetId="4" hidden="1">{#N/A,#N/A,TRUE,"Forecast &amp; Analysis";#N/A,#N/A,TRUE,"Market Values";#N/A,#N/A,TRUE,"Ratios";#N/A,#N/A,TRUE,"Regressions";#N/A,#N/A,TRUE,"Market Values";#N/A,#N/A,TRUE,"Parameters &amp; Results"}</definedName>
    <definedName name="wrn.rapport._.1._4_1_2" localSheetId="10" hidden="1">{#N/A,#N/A,TRUE,"Forecast &amp; Analysis";#N/A,#N/A,TRUE,"Market Values";#N/A,#N/A,TRUE,"Ratios";#N/A,#N/A,TRUE,"Regressions";#N/A,#N/A,TRUE,"Market Values";#N/A,#N/A,TRUE,"Parameters &amp; Results"}</definedName>
    <definedName name="wrn.rapport._.1._4_1_2" hidden="1">{#N/A,#N/A,TRUE,"Forecast &amp; Analysis";#N/A,#N/A,TRUE,"Market Values";#N/A,#N/A,TRUE,"Ratios";#N/A,#N/A,TRUE,"Regressions";#N/A,#N/A,TRUE,"Market Values";#N/A,#N/A,TRUE,"Parameters &amp; Results"}</definedName>
    <definedName name="wrn.rapport._.1._4_2" localSheetId="4" hidden="1">{#N/A,#N/A,TRUE,"Forecast &amp; Analysis";#N/A,#N/A,TRUE,"Market Values";#N/A,#N/A,TRUE,"Ratios";#N/A,#N/A,TRUE,"Regressions";#N/A,#N/A,TRUE,"Market Values";#N/A,#N/A,TRUE,"Parameters &amp; Results"}</definedName>
    <definedName name="wrn.rapport._.1._4_2" localSheetId="10" hidden="1">{#N/A,#N/A,TRUE,"Forecast &amp; Analysis";#N/A,#N/A,TRUE,"Market Values";#N/A,#N/A,TRUE,"Ratios";#N/A,#N/A,TRUE,"Regressions";#N/A,#N/A,TRUE,"Market Values";#N/A,#N/A,TRUE,"Parameters &amp; Results"}</definedName>
    <definedName name="wrn.rapport._.1._4_2" hidden="1">{#N/A,#N/A,TRUE,"Forecast &amp; Analysis";#N/A,#N/A,TRUE,"Market Values";#N/A,#N/A,TRUE,"Ratios";#N/A,#N/A,TRUE,"Regressions";#N/A,#N/A,TRUE,"Market Values";#N/A,#N/A,TRUE,"Parameters &amp; Results"}</definedName>
    <definedName name="wrn.rapport._.1._4_2_1" localSheetId="4" hidden="1">{#N/A,#N/A,TRUE,"Forecast &amp; Analysis";#N/A,#N/A,TRUE,"Market Values";#N/A,#N/A,TRUE,"Ratios";#N/A,#N/A,TRUE,"Regressions";#N/A,#N/A,TRUE,"Market Values";#N/A,#N/A,TRUE,"Parameters &amp; Results"}</definedName>
    <definedName name="wrn.rapport._.1._4_2_1" localSheetId="10" hidden="1">{#N/A,#N/A,TRUE,"Forecast &amp; Analysis";#N/A,#N/A,TRUE,"Market Values";#N/A,#N/A,TRUE,"Ratios";#N/A,#N/A,TRUE,"Regressions";#N/A,#N/A,TRUE,"Market Values";#N/A,#N/A,TRUE,"Parameters &amp; Results"}</definedName>
    <definedName name="wrn.rapport._.1._4_2_1" hidden="1">{#N/A,#N/A,TRUE,"Forecast &amp; Analysis";#N/A,#N/A,TRUE,"Market Values";#N/A,#N/A,TRUE,"Ratios";#N/A,#N/A,TRUE,"Regressions";#N/A,#N/A,TRUE,"Market Values";#N/A,#N/A,TRUE,"Parameters &amp; Results"}</definedName>
    <definedName name="wrn.rapport._.1._4_2_2" localSheetId="4" hidden="1">{#N/A,#N/A,TRUE,"Forecast &amp; Analysis";#N/A,#N/A,TRUE,"Market Values";#N/A,#N/A,TRUE,"Ratios";#N/A,#N/A,TRUE,"Regressions";#N/A,#N/A,TRUE,"Market Values";#N/A,#N/A,TRUE,"Parameters &amp; Results"}</definedName>
    <definedName name="wrn.rapport._.1._4_2_2" localSheetId="10" hidden="1">{#N/A,#N/A,TRUE,"Forecast &amp; Analysis";#N/A,#N/A,TRUE,"Market Values";#N/A,#N/A,TRUE,"Ratios";#N/A,#N/A,TRUE,"Regressions";#N/A,#N/A,TRUE,"Market Values";#N/A,#N/A,TRUE,"Parameters &amp; Results"}</definedName>
    <definedName name="wrn.rapport._.1._4_2_2" hidden="1">{#N/A,#N/A,TRUE,"Forecast &amp; Analysis";#N/A,#N/A,TRUE,"Market Values";#N/A,#N/A,TRUE,"Ratios";#N/A,#N/A,TRUE,"Regressions";#N/A,#N/A,TRUE,"Market Values";#N/A,#N/A,TRUE,"Parameters &amp; Results"}</definedName>
    <definedName name="wrn.rapport._.1._4_3" localSheetId="4" hidden="1">{#N/A,#N/A,TRUE,"Forecast &amp; Analysis";#N/A,#N/A,TRUE,"Market Values";#N/A,#N/A,TRUE,"Ratios";#N/A,#N/A,TRUE,"Regressions";#N/A,#N/A,TRUE,"Market Values";#N/A,#N/A,TRUE,"Parameters &amp; Results"}</definedName>
    <definedName name="wrn.rapport._.1._4_3" localSheetId="10" hidden="1">{#N/A,#N/A,TRUE,"Forecast &amp; Analysis";#N/A,#N/A,TRUE,"Market Values";#N/A,#N/A,TRUE,"Ratios";#N/A,#N/A,TRUE,"Regressions";#N/A,#N/A,TRUE,"Market Values";#N/A,#N/A,TRUE,"Parameters &amp; Results"}</definedName>
    <definedName name="wrn.rapport._.1._4_3" hidden="1">{#N/A,#N/A,TRUE,"Forecast &amp; Analysis";#N/A,#N/A,TRUE,"Market Values";#N/A,#N/A,TRUE,"Ratios";#N/A,#N/A,TRUE,"Regressions";#N/A,#N/A,TRUE,"Market Values";#N/A,#N/A,TRUE,"Parameters &amp; Results"}</definedName>
    <definedName name="wrn.rapport._.1._4_3_1" localSheetId="4" hidden="1">{#N/A,#N/A,TRUE,"Forecast &amp; Analysis";#N/A,#N/A,TRUE,"Market Values";#N/A,#N/A,TRUE,"Ratios";#N/A,#N/A,TRUE,"Regressions";#N/A,#N/A,TRUE,"Market Values";#N/A,#N/A,TRUE,"Parameters &amp; Results"}</definedName>
    <definedName name="wrn.rapport._.1._4_3_1" localSheetId="10" hidden="1">{#N/A,#N/A,TRUE,"Forecast &amp; Analysis";#N/A,#N/A,TRUE,"Market Values";#N/A,#N/A,TRUE,"Ratios";#N/A,#N/A,TRUE,"Regressions";#N/A,#N/A,TRUE,"Market Values";#N/A,#N/A,TRUE,"Parameters &amp; Results"}</definedName>
    <definedName name="wrn.rapport._.1._4_3_1" hidden="1">{#N/A,#N/A,TRUE,"Forecast &amp; Analysis";#N/A,#N/A,TRUE,"Market Values";#N/A,#N/A,TRUE,"Ratios";#N/A,#N/A,TRUE,"Regressions";#N/A,#N/A,TRUE,"Market Values";#N/A,#N/A,TRUE,"Parameters &amp; Results"}</definedName>
    <definedName name="wrn.rapport._.1._4_3_2" localSheetId="4" hidden="1">{#N/A,#N/A,TRUE,"Forecast &amp; Analysis";#N/A,#N/A,TRUE,"Market Values";#N/A,#N/A,TRUE,"Ratios";#N/A,#N/A,TRUE,"Regressions";#N/A,#N/A,TRUE,"Market Values";#N/A,#N/A,TRUE,"Parameters &amp; Results"}</definedName>
    <definedName name="wrn.rapport._.1._4_3_2" localSheetId="10" hidden="1">{#N/A,#N/A,TRUE,"Forecast &amp; Analysis";#N/A,#N/A,TRUE,"Market Values";#N/A,#N/A,TRUE,"Ratios";#N/A,#N/A,TRUE,"Regressions";#N/A,#N/A,TRUE,"Market Values";#N/A,#N/A,TRUE,"Parameters &amp; Results"}</definedName>
    <definedName name="wrn.rapport._.1._4_3_2" hidden="1">{#N/A,#N/A,TRUE,"Forecast &amp; Analysis";#N/A,#N/A,TRUE,"Market Values";#N/A,#N/A,TRUE,"Ratios";#N/A,#N/A,TRUE,"Regressions";#N/A,#N/A,TRUE,"Market Values";#N/A,#N/A,TRUE,"Parameters &amp; Results"}</definedName>
    <definedName name="wrn.rapport._.1._4_4" localSheetId="4" hidden="1">{#N/A,#N/A,TRUE,"Forecast &amp; Analysis";#N/A,#N/A,TRUE,"Market Values";#N/A,#N/A,TRUE,"Ratios";#N/A,#N/A,TRUE,"Regressions";#N/A,#N/A,TRUE,"Market Values";#N/A,#N/A,TRUE,"Parameters &amp; Results"}</definedName>
    <definedName name="wrn.rapport._.1._4_4" localSheetId="10" hidden="1">{#N/A,#N/A,TRUE,"Forecast &amp; Analysis";#N/A,#N/A,TRUE,"Market Values";#N/A,#N/A,TRUE,"Ratios";#N/A,#N/A,TRUE,"Regressions";#N/A,#N/A,TRUE,"Market Values";#N/A,#N/A,TRUE,"Parameters &amp; Results"}</definedName>
    <definedName name="wrn.rapport._.1._4_4" hidden="1">{#N/A,#N/A,TRUE,"Forecast &amp; Analysis";#N/A,#N/A,TRUE,"Market Values";#N/A,#N/A,TRUE,"Ratios";#N/A,#N/A,TRUE,"Regressions";#N/A,#N/A,TRUE,"Market Values";#N/A,#N/A,TRUE,"Parameters &amp; Results"}</definedName>
    <definedName name="wrn.rapport._.1._4_5" localSheetId="4" hidden="1">{#N/A,#N/A,TRUE,"Forecast &amp; Analysis";#N/A,#N/A,TRUE,"Market Values";#N/A,#N/A,TRUE,"Ratios";#N/A,#N/A,TRUE,"Regressions";#N/A,#N/A,TRUE,"Market Values";#N/A,#N/A,TRUE,"Parameters &amp; Results"}</definedName>
    <definedName name="wrn.rapport._.1._4_5" localSheetId="10" hidden="1">{#N/A,#N/A,TRUE,"Forecast &amp; Analysis";#N/A,#N/A,TRUE,"Market Values";#N/A,#N/A,TRUE,"Ratios";#N/A,#N/A,TRUE,"Regressions";#N/A,#N/A,TRUE,"Market Values";#N/A,#N/A,TRUE,"Parameters &amp; Results"}</definedName>
    <definedName name="wrn.rapport._.1._4_5" hidden="1">{#N/A,#N/A,TRUE,"Forecast &amp; Analysis";#N/A,#N/A,TRUE,"Market Values";#N/A,#N/A,TRUE,"Ratios";#N/A,#N/A,TRUE,"Regressions";#N/A,#N/A,TRUE,"Market Values";#N/A,#N/A,TRUE,"Parameters &amp; Results"}</definedName>
    <definedName name="wrn.rapport._.1._5" localSheetId="4" hidden="1">{#N/A,#N/A,TRUE,"Forecast &amp; Analysis";#N/A,#N/A,TRUE,"Market Values";#N/A,#N/A,TRUE,"Ratios";#N/A,#N/A,TRUE,"Regressions";#N/A,#N/A,TRUE,"Market Values";#N/A,#N/A,TRUE,"Parameters &amp; Results"}</definedName>
    <definedName name="wrn.rapport._.1._5" localSheetId="10" hidden="1">{#N/A,#N/A,TRUE,"Forecast &amp; Analysis";#N/A,#N/A,TRUE,"Market Values";#N/A,#N/A,TRUE,"Ratios";#N/A,#N/A,TRUE,"Regressions";#N/A,#N/A,TRUE,"Market Values";#N/A,#N/A,TRUE,"Parameters &amp; Results"}</definedName>
    <definedName name="wrn.rapport._.1._5" hidden="1">{#N/A,#N/A,TRUE,"Forecast &amp; Analysis";#N/A,#N/A,TRUE,"Market Values";#N/A,#N/A,TRUE,"Ratios";#N/A,#N/A,TRUE,"Regressions";#N/A,#N/A,TRUE,"Market Values";#N/A,#N/A,TRUE,"Parameters &amp; Results"}</definedName>
    <definedName name="wrn.rapport._.1._5_1" localSheetId="4" hidden="1">{#N/A,#N/A,TRUE,"Forecast &amp; Analysis";#N/A,#N/A,TRUE,"Market Values";#N/A,#N/A,TRUE,"Ratios";#N/A,#N/A,TRUE,"Regressions";#N/A,#N/A,TRUE,"Market Values";#N/A,#N/A,TRUE,"Parameters &amp; Results"}</definedName>
    <definedName name="wrn.rapport._.1._5_1" localSheetId="10" hidden="1">{#N/A,#N/A,TRUE,"Forecast &amp; Analysis";#N/A,#N/A,TRUE,"Market Values";#N/A,#N/A,TRUE,"Ratios";#N/A,#N/A,TRUE,"Regressions";#N/A,#N/A,TRUE,"Market Values";#N/A,#N/A,TRUE,"Parameters &amp; Results"}</definedName>
    <definedName name="wrn.rapport._.1._5_1" hidden="1">{#N/A,#N/A,TRUE,"Forecast &amp; Analysis";#N/A,#N/A,TRUE,"Market Values";#N/A,#N/A,TRUE,"Ratios";#N/A,#N/A,TRUE,"Regressions";#N/A,#N/A,TRUE,"Market Values";#N/A,#N/A,TRUE,"Parameters &amp; Results"}</definedName>
    <definedName name="wrn.rapport._.1._5_1_1" localSheetId="4" hidden="1">{#N/A,#N/A,TRUE,"Forecast &amp; Analysis";#N/A,#N/A,TRUE,"Market Values";#N/A,#N/A,TRUE,"Ratios";#N/A,#N/A,TRUE,"Regressions";#N/A,#N/A,TRUE,"Market Values";#N/A,#N/A,TRUE,"Parameters &amp; Results"}</definedName>
    <definedName name="wrn.rapport._.1._5_1_1" localSheetId="10" hidden="1">{#N/A,#N/A,TRUE,"Forecast &amp; Analysis";#N/A,#N/A,TRUE,"Market Values";#N/A,#N/A,TRUE,"Ratios";#N/A,#N/A,TRUE,"Regressions";#N/A,#N/A,TRUE,"Market Values";#N/A,#N/A,TRUE,"Parameters &amp; Results"}</definedName>
    <definedName name="wrn.rapport._.1._5_1_1" hidden="1">{#N/A,#N/A,TRUE,"Forecast &amp; Analysis";#N/A,#N/A,TRUE,"Market Values";#N/A,#N/A,TRUE,"Ratios";#N/A,#N/A,TRUE,"Regressions";#N/A,#N/A,TRUE,"Market Values";#N/A,#N/A,TRUE,"Parameters &amp; Results"}</definedName>
    <definedName name="wrn.rapport._.1._5_1_2" localSheetId="4" hidden="1">{#N/A,#N/A,TRUE,"Forecast &amp; Analysis";#N/A,#N/A,TRUE,"Market Values";#N/A,#N/A,TRUE,"Ratios";#N/A,#N/A,TRUE,"Regressions";#N/A,#N/A,TRUE,"Market Values";#N/A,#N/A,TRUE,"Parameters &amp; Results"}</definedName>
    <definedName name="wrn.rapport._.1._5_1_2" localSheetId="10" hidden="1">{#N/A,#N/A,TRUE,"Forecast &amp; Analysis";#N/A,#N/A,TRUE,"Market Values";#N/A,#N/A,TRUE,"Ratios";#N/A,#N/A,TRUE,"Regressions";#N/A,#N/A,TRUE,"Market Values";#N/A,#N/A,TRUE,"Parameters &amp; Results"}</definedName>
    <definedName name="wrn.rapport._.1._5_1_2" hidden="1">{#N/A,#N/A,TRUE,"Forecast &amp; Analysis";#N/A,#N/A,TRUE,"Market Values";#N/A,#N/A,TRUE,"Ratios";#N/A,#N/A,TRUE,"Regressions";#N/A,#N/A,TRUE,"Market Values";#N/A,#N/A,TRUE,"Parameters &amp; Results"}</definedName>
    <definedName name="wrn.rapport._.1._5_2" localSheetId="4" hidden="1">{#N/A,#N/A,TRUE,"Forecast &amp; Analysis";#N/A,#N/A,TRUE,"Market Values";#N/A,#N/A,TRUE,"Ratios";#N/A,#N/A,TRUE,"Regressions";#N/A,#N/A,TRUE,"Market Values";#N/A,#N/A,TRUE,"Parameters &amp; Results"}</definedName>
    <definedName name="wrn.rapport._.1._5_2" localSheetId="10" hidden="1">{#N/A,#N/A,TRUE,"Forecast &amp; Analysis";#N/A,#N/A,TRUE,"Market Values";#N/A,#N/A,TRUE,"Ratios";#N/A,#N/A,TRUE,"Regressions";#N/A,#N/A,TRUE,"Market Values";#N/A,#N/A,TRUE,"Parameters &amp; Results"}</definedName>
    <definedName name="wrn.rapport._.1._5_2" hidden="1">{#N/A,#N/A,TRUE,"Forecast &amp; Analysis";#N/A,#N/A,TRUE,"Market Values";#N/A,#N/A,TRUE,"Ratios";#N/A,#N/A,TRUE,"Regressions";#N/A,#N/A,TRUE,"Market Values";#N/A,#N/A,TRUE,"Parameters &amp; Results"}</definedName>
    <definedName name="wrn.rapport._.1._5_2_1" localSheetId="4" hidden="1">{#N/A,#N/A,TRUE,"Forecast &amp; Analysis";#N/A,#N/A,TRUE,"Market Values";#N/A,#N/A,TRUE,"Ratios";#N/A,#N/A,TRUE,"Regressions";#N/A,#N/A,TRUE,"Market Values";#N/A,#N/A,TRUE,"Parameters &amp; Results"}</definedName>
    <definedName name="wrn.rapport._.1._5_2_1" localSheetId="10" hidden="1">{#N/A,#N/A,TRUE,"Forecast &amp; Analysis";#N/A,#N/A,TRUE,"Market Values";#N/A,#N/A,TRUE,"Ratios";#N/A,#N/A,TRUE,"Regressions";#N/A,#N/A,TRUE,"Market Values";#N/A,#N/A,TRUE,"Parameters &amp; Results"}</definedName>
    <definedName name="wrn.rapport._.1._5_2_1" hidden="1">{#N/A,#N/A,TRUE,"Forecast &amp; Analysis";#N/A,#N/A,TRUE,"Market Values";#N/A,#N/A,TRUE,"Ratios";#N/A,#N/A,TRUE,"Regressions";#N/A,#N/A,TRUE,"Market Values";#N/A,#N/A,TRUE,"Parameters &amp; Results"}</definedName>
    <definedName name="wrn.rapport._.1._5_2_2" localSheetId="4" hidden="1">{#N/A,#N/A,TRUE,"Forecast &amp; Analysis";#N/A,#N/A,TRUE,"Market Values";#N/A,#N/A,TRUE,"Ratios";#N/A,#N/A,TRUE,"Regressions";#N/A,#N/A,TRUE,"Market Values";#N/A,#N/A,TRUE,"Parameters &amp; Results"}</definedName>
    <definedName name="wrn.rapport._.1._5_2_2" localSheetId="10" hidden="1">{#N/A,#N/A,TRUE,"Forecast &amp; Analysis";#N/A,#N/A,TRUE,"Market Values";#N/A,#N/A,TRUE,"Ratios";#N/A,#N/A,TRUE,"Regressions";#N/A,#N/A,TRUE,"Market Values";#N/A,#N/A,TRUE,"Parameters &amp; Results"}</definedName>
    <definedName name="wrn.rapport._.1._5_2_2" hidden="1">{#N/A,#N/A,TRUE,"Forecast &amp; Analysis";#N/A,#N/A,TRUE,"Market Values";#N/A,#N/A,TRUE,"Ratios";#N/A,#N/A,TRUE,"Regressions";#N/A,#N/A,TRUE,"Market Values";#N/A,#N/A,TRUE,"Parameters &amp; Results"}</definedName>
    <definedName name="wrn.rapport._.1._5_3" localSheetId="4" hidden="1">{#N/A,#N/A,TRUE,"Forecast &amp; Analysis";#N/A,#N/A,TRUE,"Market Values";#N/A,#N/A,TRUE,"Ratios";#N/A,#N/A,TRUE,"Regressions";#N/A,#N/A,TRUE,"Market Values";#N/A,#N/A,TRUE,"Parameters &amp; Results"}</definedName>
    <definedName name="wrn.rapport._.1._5_3" localSheetId="10" hidden="1">{#N/A,#N/A,TRUE,"Forecast &amp; Analysis";#N/A,#N/A,TRUE,"Market Values";#N/A,#N/A,TRUE,"Ratios";#N/A,#N/A,TRUE,"Regressions";#N/A,#N/A,TRUE,"Market Values";#N/A,#N/A,TRUE,"Parameters &amp; Results"}</definedName>
    <definedName name="wrn.rapport._.1._5_3" hidden="1">{#N/A,#N/A,TRUE,"Forecast &amp; Analysis";#N/A,#N/A,TRUE,"Market Values";#N/A,#N/A,TRUE,"Ratios";#N/A,#N/A,TRUE,"Regressions";#N/A,#N/A,TRUE,"Market Values";#N/A,#N/A,TRUE,"Parameters &amp; Results"}</definedName>
    <definedName name="wrn.rapport._.1._5_3_1" localSheetId="4" hidden="1">{#N/A,#N/A,TRUE,"Forecast &amp; Analysis";#N/A,#N/A,TRUE,"Market Values";#N/A,#N/A,TRUE,"Ratios";#N/A,#N/A,TRUE,"Regressions";#N/A,#N/A,TRUE,"Market Values";#N/A,#N/A,TRUE,"Parameters &amp; Results"}</definedName>
    <definedName name="wrn.rapport._.1._5_3_1" localSheetId="10" hidden="1">{#N/A,#N/A,TRUE,"Forecast &amp; Analysis";#N/A,#N/A,TRUE,"Market Values";#N/A,#N/A,TRUE,"Ratios";#N/A,#N/A,TRUE,"Regressions";#N/A,#N/A,TRUE,"Market Values";#N/A,#N/A,TRUE,"Parameters &amp; Results"}</definedName>
    <definedName name="wrn.rapport._.1._5_3_1" hidden="1">{#N/A,#N/A,TRUE,"Forecast &amp; Analysis";#N/A,#N/A,TRUE,"Market Values";#N/A,#N/A,TRUE,"Ratios";#N/A,#N/A,TRUE,"Regressions";#N/A,#N/A,TRUE,"Market Values";#N/A,#N/A,TRUE,"Parameters &amp; Results"}</definedName>
    <definedName name="wrn.rapport._.1._5_3_2" localSheetId="4" hidden="1">{#N/A,#N/A,TRUE,"Forecast &amp; Analysis";#N/A,#N/A,TRUE,"Market Values";#N/A,#N/A,TRUE,"Ratios";#N/A,#N/A,TRUE,"Regressions";#N/A,#N/A,TRUE,"Market Values";#N/A,#N/A,TRUE,"Parameters &amp; Results"}</definedName>
    <definedName name="wrn.rapport._.1._5_3_2" localSheetId="10" hidden="1">{#N/A,#N/A,TRUE,"Forecast &amp; Analysis";#N/A,#N/A,TRUE,"Market Values";#N/A,#N/A,TRUE,"Ratios";#N/A,#N/A,TRUE,"Regressions";#N/A,#N/A,TRUE,"Market Values";#N/A,#N/A,TRUE,"Parameters &amp; Results"}</definedName>
    <definedName name="wrn.rapport._.1._5_3_2" hidden="1">{#N/A,#N/A,TRUE,"Forecast &amp; Analysis";#N/A,#N/A,TRUE,"Market Values";#N/A,#N/A,TRUE,"Ratios";#N/A,#N/A,TRUE,"Regressions";#N/A,#N/A,TRUE,"Market Values";#N/A,#N/A,TRUE,"Parameters &amp; Results"}</definedName>
    <definedName name="wrn.rapport._.1._5_4" localSheetId="4" hidden="1">{#N/A,#N/A,TRUE,"Forecast &amp; Analysis";#N/A,#N/A,TRUE,"Market Values";#N/A,#N/A,TRUE,"Ratios";#N/A,#N/A,TRUE,"Regressions";#N/A,#N/A,TRUE,"Market Values";#N/A,#N/A,TRUE,"Parameters &amp; Results"}</definedName>
    <definedName name="wrn.rapport._.1._5_4" localSheetId="10" hidden="1">{#N/A,#N/A,TRUE,"Forecast &amp; Analysis";#N/A,#N/A,TRUE,"Market Values";#N/A,#N/A,TRUE,"Ratios";#N/A,#N/A,TRUE,"Regressions";#N/A,#N/A,TRUE,"Market Values";#N/A,#N/A,TRUE,"Parameters &amp; Results"}</definedName>
    <definedName name="wrn.rapport._.1._5_4" hidden="1">{#N/A,#N/A,TRUE,"Forecast &amp; Analysis";#N/A,#N/A,TRUE,"Market Values";#N/A,#N/A,TRUE,"Ratios";#N/A,#N/A,TRUE,"Regressions";#N/A,#N/A,TRUE,"Market Values";#N/A,#N/A,TRUE,"Parameters &amp; Results"}</definedName>
    <definedName name="wrn.rapport._.1._5_5" localSheetId="4" hidden="1">{#N/A,#N/A,TRUE,"Forecast &amp; Analysis";#N/A,#N/A,TRUE,"Market Values";#N/A,#N/A,TRUE,"Ratios";#N/A,#N/A,TRUE,"Regressions";#N/A,#N/A,TRUE,"Market Values";#N/A,#N/A,TRUE,"Parameters &amp; Results"}</definedName>
    <definedName name="wrn.rapport._.1._5_5" localSheetId="10" hidden="1">{#N/A,#N/A,TRUE,"Forecast &amp; Analysis";#N/A,#N/A,TRUE,"Market Values";#N/A,#N/A,TRUE,"Ratios";#N/A,#N/A,TRUE,"Regressions";#N/A,#N/A,TRUE,"Market Values";#N/A,#N/A,TRUE,"Parameters &amp; Results"}</definedName>
    <definedName name="wrn.rapport._.1._5_5" hidden="1">{#N/A,#N/A,TRUE,"Forecast &amp; Analysis";#N/A,#N/A,TRUE,"Market Values";#N/A,#N/A,TRUE,"Ratios";#N/A,#N/A,TRUE,"Regressions";#N/A,#N/A,TRUE,"Market Values";#N/A,#N/A,TRUE,"Parameters &amp; Results"}</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199" i="2" l="1"/>
  <c r="M198" i="2"/>
  <c r="Q199" i="2"/>
  <c r="Q198" i="2"/>
  <c r="J3894" i="15"/>
  <c r="M197" i="2"/>
  <c r="Q200" i="2"/>
  <c r="V3870" i="15"/>
  <c r="U3870" i="15"/>
  <c r="V3869" i="15"/>
  <c r="U3869" i="15"/>
  <c r="V3868" i="15"/>
  <c r="U3868" i="15"/>
  <c r="V3867" i="15"/>
  <c r="U3867" i="15"/>
  <c r="V3866" i="15"/>
  <c r="U3866" i="15"/>
  <c r="V3865" i="15"/>
  <c r="U3865" i="15"/>
  <c r="V3864" i="15"/>
  <c r="U3864" i="15"/>
  <c r="V3863" i="15"/>
  <c r="U3863" i="15"/>
  <c r="V3862" i="15"/>
  <c r="U3862" i="15"/>
  <c r="V3861" i="15"/>
  <c r="U3861" i="15"/>
  <c r="V3860" i="15"/>
  <c r="U3860" i="15"/>
  <c r="V3859" i="15"/>
  <c r="U3859" i="15"/>
  <c r="V3858" i="15"/>
  <c r="U3858" i="15"/>
  <c r="V3857" i="15"/>
  <c r="U3857" i="15"/>
  <c r="V3856" i="15"/>
  <c r="U3856" i="15"/>
  <c r="V3855" i="15"/>
  <c r="U3855" i="15"/>
  <c r="V3854" i="15"/>
  <c r="U3854" i="15"/>
  <c r="V3853" i="15"/>
  <c r="U3853" i="15"/>
  <c r="V3852" i="15"/>
  <c r="U3852" i="15"/>
  <c r="V3851" i="15"/>
  <c r="U3851" i="15"/>
  <c r="V3850" i="15"/>
  <c r="U3850" i="15"/>
  <c r="V3849" i="15"/>
  <c r="U3849" i="15"/>
  <c r="V3848" i="15"/>
  <c r="U3848" i="15"/>
  <c r="V3847" i="15"/>
  <c r="U3847" i="15"/>
  <c r="V3846" i="15"/>
  <c r="U3846" i="15"/>
  <c r="V3845" i="15"/>
  <c r="U3845" i="15"/>
  <c r="V3844" i="15"/>
  <c r="U3844" i="15"/>
  <c r="V3843" i="15"/>
  <c r="U3843" i="15"/>
  <c r="V3842" i="15"/>
  <c r="U3842" i="15"/>
  <c r="V3841" i="15"/>
  <c r="U3841" i="15"/>
  <c r="V3840" i="15"/>
  <c r="U3840" i="15"/>
  <c r="V3839" i="15"/>
  <c r="U3839" i="15"/>
  <c r="V3838" i="15"/>
  <c r="U3838" i="15"/>
  <c r="V3837" i="15"/>
  <c r="U3837" i="15"/>
  <c r="V3836" i="15"/>
  <c r="U3836" i="15"/>
  <c r="V3835" i="15"/>
  <c r="U3835" i="15"/>
  <c r="V3834" i="15"/>
  <c r="U3834" i="15"/>
  <c r="V3833" i="15"/>
  <c r="U3833" i="15"/>
  <c r="V3832" i="15"/>
  <c r="U3832" i="15"/>
  <c r="V3831" i="15"/>
  <c r="U3831" i="15"/>
  <c r="V3830" i="15"/>
  <c r="U3830" i="15"/>
  <c r="V3829" i="15"/>
  <c r="U3829" i="15"/>
  <c r="V3828" i="15"/>
  <c r="U3828" i="15"/>
  <c r="V3827" i="15"/>
  <c r="U3827" i="15"/>
  <c r="V3826" i="15"/>
  <c r="U3826" i="15"/>
  <c r="V3825" i="15"/>
  <c r="U3825" i="15"/>
  <c r="V3824" i="15"/>
  <c r="U3824" i="15"/>
  <c r="V3823" i="15"/>
  <c r="U3823" i="15"/>
  <c r="V3822" i="15"/>
  <c r="U3822" i="15"/>
  <c r="V3821" i="15"/>
  <c r="U3821" i="15"/>
  <c r="V3820" i="15"/>
  <c r="U3820" i="15"/>
  <c r="V3819" i="15"/>
  <c r="U3819" i="15"/>
  <c r="V3818" i="15"/>
  <c r="U3818" i="15"/>
  <c r="V3817" i="15"/>
  <c r="U3817" i="15"/>
  <c r="V3816" i="15"/>
  <c r="U3816" i="15"/>
  <c r="V3815" i="15"/>
  <c r="U3815" i="15"/>
  <c r="V3814" i="15"/>
  <c r="U3814" i="15"/>
  <c r="V3813" i="15"/>
  <c r="U3813" i="15"/>
  <c r="V3812" i="15"/>
  <c r="U3812" i="15"/>
  <c r="V3811" i="15"/>
  <c r="U3811" i="15"/>
  <c r="V3810" i="15"/>
  <c r="U3810" i="15"/>
  <c r="V3809" i="15"/>
  <c r="U3809" i="15"/>
  <c r="V3808" i="15"/>
  <c r="U3808" i="15"/>
  <c r="V3807" i="15"/>
  <c r="U3807" i="15"/>
  <c r="V3806" i="15"/>
  <c r="U3806" i="15"/>
  <c r="V3805" i="15"/>
  <c r="U3805" i="15"/>
  <c r="V3804" i="15"/>
  <c r="U3804" i="15"/>
  <c r="V3803" i="15"/>
  <c r="U3803" i="15"/>
  <c r="V3802" i="15"/>
  <c r="U3802" i="15"/>
  <c r="V3801" i="15"/>
  <c r="U3801" i="15"/>
  <c r="V3800" i="15"/>
  <c r="U3800" i="15"/>
  <c r="V3799" i="15"/>
  <c r="U3799" i="15"/>
  <c r="V3798" i="15"/>
  <c r="U3798" i="15"/>
  <c r="V3797" i="15"/>
  <c r="U3797" i="15"/>
  <c r="V3796" i="15"/>
  <c r="U3796" i="15"/>
  <c r="V3795" i="15"/>
  <c r="U3795" i="15"/>
  <c r="V3794" i="15"/>
  <c r="U3794" i="15"/>
  <c r="V3793" i="15"/>
  <c r="U3793" i="15"/>
  <c r="V3792" i="15"/>
  <c r="U3792" i="15"/>
  <c r="V3791" i="15"/>
  <c r="U3791" i="15"/>
  <c r="V3790" i="15"/>
  <c r="U3790" i="15"/>
  <c r="V3789" i="15"/>
  <c r="U3789" i="15"/>
  <c r="V3788" i="15"/>
  <c r="U3788" i="15"/>
  <c r="V3787" i="15"/>
  <c r="U3787" i="15"/>
  <c r="V3786" i="15"/>
  <c r="U3786" i="15"/>
  <c r="V3785" i="15"/>
  <c r="U3785" i="15"/>
  <c r="V3784" i="15"/>
  <c r="U3784" i="15"/>
  <c r="V3783" i="15"/>
  <c r="U3783" i="15"/>
  <c r="V3782" i="15"/>
  <c r="U3782" i="15"/>
  <c r="V3781" i="15"/>
  <c r="U3781" i="15"/>
  <c r="V3780" i="15"/>
  <c r="U3780" i="15"/>
  <c r="V3779" i="15"/>
  <c r="U3779" i="15"/>
  <c r="V3778" i="15"/>
  <c r="U3778" i="15"/>
  <c r="V3777" i="15"/>
  <c r="U3777" i="15"/>
  <c r="V3776" i="15"/>
  <c r="U3776" i="15"/>
  <c r="V3775" i="15"/>
  <c r="U3775" i="15"/>
  <c r="V3774" i="15"/>
  <c r="U3774" i="15"/>
  <c r="V3773" i="15"/>
  <c r="U3773" i="15"/>
  <c r="V3772" i="15"/>
  <c r="U3772" i="15"/>
  <c r="V3771" i="15"/>
  <c r="U3771" i="15"/>
  <c r="V3770" i="15"/>
  <c r="U3770" i="15"/>
  <c r="V3769" i="15"/>
  <c r="U3769" i="15"/>
  <c r="V3768" i="15"/>
  <c r="U3768" i="15"/>
  <c r="V3767" i="15"/>
  <c r="U3767" i="15"/>
  <c r="V3766" i="15"/>
  <c r="U3766" i="15"/>
  <c r="V3765" i="15"/>
  <c r="U3765" i="15"/>
  <c r="V3764" i="15"/>
  <c r="U3764" i="15"/>
  <c r="V3763" i="15"/>
  <c r="U3763" i="15"/>
  <c r="V3762" i="15"/>
  <c r="U3762" i="15"/>
  <c r="V3761" i="15"/>
  <c r="U3761" i="15"/>
  <c r="V3760" i="15"/>
  <c r="U3760" i="15"/>
  <c r="V3759" i="15"/>
  <c r="U3759" i="15"/>
  <c r="V3758" i="15"/>
  <c r="U3758" i="15"/>
  <c r="V3757" i="15"/>
  <c r="U3757" i="15"/>
  <c r="V3756" i="15"/>
  <c r="U3756" i="15"/>
  <c r="V3755" i="15"/>
  <c r="U3755" i="15"/>
  <c r="V3754" i="15"/>
  <c r="U3754" i="15"/>
  <c r="V3753" i="15"/>
  <c r="U3753" i="15"/>
  <c r="V3752" i="15"/>
  <c r="U3752" i="15"/>
  <c r="V3751" i="15"/>
  <c r="U3751" i="15"/>
  <c r="V3750" i="15"/>
  <c r="U3750" i="15"/>
  <c r="V3749" i="15"/>
  <c r="U3749" i="15"/>
  <c r="V3748" i="15"/>
  <c r="U3748" i="15"/>
  <c r="V3747" i="15"/>
  <c r="U3747" i="15"/>
  <c r="V3746" i="15"/>
  <c r="U3746" i="15"/>
  <c r="V3745" i="15"/>
  <c r="U3745" i="15"/>
  <c r="V3744" i="15"/>
  <c r="U3744" i="15"/>
  <c r="V3743" i="15"/>
  <c r="U3743" i="15"/>
  <c r="V3742" i="15"/>
  <c r="U3742" i="15"/>
  <c r="V3741" i="15"/>
  <c r="U3741" i="15"/>
  <c r="V3740" i="15"/>
  <c r="U3740" i="15"/>
  <c r="V3739" i="15"/>
  <c r="U3739" i="15"/>
  <c r="V3738" i="15"/>
  <c r="U3738" i="15"/>
  <c r="V3737" i="15"/>
  <c r="U3737" i="15"/>
  <c r="V3736" i="15"/>
  <c r="U3736" i="15"/>
  <c r="V3735" i="15"/>
  <c r="U3735" i="15"/>
  <c r="V3734" i="15"/>
  <c r="U3734" i="15"/>
  <c r="V3733" i="15"/>
  <c r="U3733" i="15"/>
  <c r="V3732" i="15"/>
  <c r="U3732" i="15"/>
  <c r="V3731" i="15"/>
  <c r="U3731" i="15"/>
  <c r="V3730" i="15"/>
  <c r="U3730" i="15"/>
  <c r="V3729" i="15"/>
  <c r="U3729" i="15"/>
  <c r="V3728" i="15"/>
  <c r="U3728" i="15"/>
  <c r="V3727" i="15"/>
  <c r="U3727" i="15"/>
  <c r="V3726" i="15"/>
  <c r="U3726" i="15"/>
  <c r="V3725" i="15"/>
  <c r="U3725" i="15"/>
  <c r="V3724" i="15"/>
  <c r="U3724" i="15"/>
  <c r="V3723" i="15"/>
  <c r="U3723" i="15"/>
  <c r="V3722" i="15"/>
  <c r="U3722" i="15"/>
  <c r="V3721" i="15"/>
  <c r="U3721" i="15"/>
  <c r="V3720" i="15"/>
  <c r="U3720" i="15"/>
  <c r="V3719" i="15"/>
  <c r="U3719" i="15"/>
  <c r="V3718" i="15"/>
  <c r="U3718" i="15"/>
  <c r="V3717" i="15"/>
  <c r="U3717" i="15"/>
  <c r="V3716" i="15"/>
  <c r="U3716" i="15"/>
  <c r="V3715" i="15"/>
  <c r="U3715" i="15"/>
  <c r="V3714" i="15"/>
  <c r="U3714" i="15"/>
  <c r="V3713" i="15"/>
  <c r="U3713" i="15"/>
  <c r="V3712" i="15"/>
  <c r="U3712" i="15"/>
  <c r="V3711" i="15"/>
  <c r="U3711" i="15"/>
  <c r="V3710" i="15"/>
  <c r="U3710" i="15"/>
  <c r="V3709" i="15"/>
  <c r="U3709" i="15"/>
  <c r="V3708" i="15"/>
  <c r="U3708" i="15"/>
  <c r="V3707" i="15"/>
  <c r="U3707" i="15"/>
  <c r="V3706" i="15"/>
  <c r="U3706" i="15"/>
  <c r="V3705" i="15"/>
  <c r="U3705" i="15"/>
  <c r="V3704" i="15"/>
  <c r="U3704" i="15"/>
  <c r="V3703" i="15"/>
  <c r="U3703" i="15"/>
  <c r="V3702" i="15"/>
  <c r="U3702" i="15"/>
  <c r="V3701" i="15"/>
  <c r="U3701" i="15"/>
  <c r="V3700" i="15"/>
  <c r="U3700" i="15"/>
  <c r="V3699" i="15"/>
  <c r="U3699" i="15"/>
  <c r="V3698" i="15"/>
  <c r="U3698" i="15"/>
  <c r="V3697" i="15"/>
  <c r="U3697" i="15"/>
  <c r="V3696" i="15"/>
  <c r="U3696" i="15"/>
  <c r="V3695" i="15"/>
  <c r="U3695" i="15"/>
  <c r="V3694" i="15"/>
  <c r="U3694" i="15"/>
  <c r="V3693" i="15"/>
  <c r="U3693" i="15"/>
  <c r="V3692" i="15"/>
  <c r="U3692" i="15"/>
  <c r="V3691" i="15"/>
  <c r="U3691" i="15"/>
  <c r="V3690" i="15"/>
  <c r="U3690" i="15"/>
  <c r="V3689" i="15"/>
  <c r="U3689" i="15"/>
  <c r="V3688" i="15"/>
  <c r="U3688" i="15"/>
  <c r="V3687" i="15"/>
  <c r="U3687" i="15"/>
  <c r="V3686" i="15"/>
  <c r="U3686" i="15"/>
  <c r="V3685" i="15"/>
  <c r="U3685" i="15"/>
  <c r="V3684" i="15"/>
  <c r="U3684" i="15"/>
  <c r="V3683" i="15"/>
  <c r="U3683" i="15"/>
  <c r="V3682" i="15"/>
  <c r="U3682" i="15"/>
  <c r="V3681" i="15"/>
  <c r="U3681" i="15"/>
  <c r="V3680" i="15"/>
  <c r="U3680" i="15"/>
  <c r="V3679" i="15"/>
  <c r="U3679" i="15"/>
  <c r="V3678" i="15"/>
  <c r="U3678" i="15"/>
  <c r="V3677" i="15"/>
  <c r="U3677" i="15"/>
  <c r="V3676" i="15"/>
  <c r="U3676" i="15"/>
  <c r="V3675" i="15"/>
  <c r="U3675" i="15"/>
  <c r="V3674" i="15"/>
  <c r="U3674" i="15"/>
  <c r="V3673" i="15"/>
  <c r="U3673" i="15"/>
  <c r="V3672" i="15"/>
  <c r="U3672" i="15"/>
  <c r="V3671" i="15"/>
  <c r="U3671" i="15"/>
  <c r="V3670" i="15"/>
  <c r="U3670" i="15"/>
  <c r="V3669" i="15"/>
  <c r="U3669" i="15"/>
  <c r="V3668" i="15"/>
  <c r="U3668" i="15"/>
  <c r="V3667" i="15"/>
  <c r="U3667" i="15"/>
  <c r="V3666" i="15"/>
  <c r="U3666" i="15"/>
  <c r="V3665" i="15"/>
  <c r="U3665" i="15"/>
  <c r="V3664" i="15"/>
  <c r="U3664" i="15"/>
  <c r="V3663" i="15"/>
  <c r="U3663" i="15"/>
  <c r="V3662" i="15"/>
  <c r="U3662" i="15"/>
  <c r="V3661" i="15"/>
  <c r="U3661" i="15"/>
  <c r="V3660" i="15"/>
  <c r="U3660" i="15"/>
  <c r="V3659" i="15"/>
  <c r="U3659" i="15"/>
  <c r="V3658" i="15"/>
  <c r="U3658" i="15"/>
  <c r="V3657" i="15"/>
  <c r="U3657" i="15"/>
  <c r="V3656" i="15"/>
  <c r="U3656" i="15"/>
  <c r="V3655" i="15"/>
  <c r="U3655" i="15"/>
  <c r="V3654" i="15"/>
  <c r="U3654" i="15"/>
  <c r="V3653" i="15"/>
  <c r="U3653" i="15"/>
  <c r="V3652" i="15"/>
  <c r="U3652" i="15"/>
  <c r="V3651" i="15"/>
  <c r="U3651" i="15"/>
  <c r="V3650" i="15"/>
  <c r="U3650" i="15"/>
  <c r="V3649" i="15"/>
  <c r="U3649" i="15"/>
  <c r="V3648" i="15"/>
  <c r="U3648" i="15"/>
  <c r="V3647" i="15"/>
  <c r="U3647" i="15"/>
  <c r="V3646" i="15"/>
  <c r="U3646" i="15"/>
  <c r="V3645" i="15"/>
  <c r="U3645" i="15"/>
  <c r="V3644" i="15"/>
  <c r="U3644" i="15"/>
  <c r="V3643" i="15"/>
  <c r="U3643" i="15"/>
  <c r="V3642" i="15"/>
  <c r="U3642" i="15"/>
  <c r="V3641" i="15"/>
  <c r="U3641" i="15"/>
  <c r="V3640" i="15"/>
  <c r="U3640" i="15"/>
  <c r="V3639" i="15"/>
  <c r="U3639" i="15"/>
  <c r="V3638" i="15"/>
  <c r="U3638" i="15"/>
  <c r="V3637" i="15"/>
  <c r="U3637" i="15"/>
  <c r="V3636" i="15"/>
  <c r="U3636" i="15"/>
  <c r="V3635" i="15"/>
  <c r="U3635" i="15"/>
  <c r="V3634" i="15"/>
  <c r="U3634" i="15"/>
  <c r="V3633" i="15"/>
  <c r="U3633" i="15"/>
  <c r="V3632" i="15"/>
  <c r="U3632" i="15"/>
  <c r="V3631" i="15"/>
  <c r="U3631" i="15"/>
  <c r="V3630" i="15"/>
  <c r="U3630" i="15"/>
  <c r="V3629" i="15"/>
  <c r="U3629" i="15"/>
  <c r="V3628" i="15"/>
  <c r="U3628" i="15"/>
  <c r="V3627" i="15"/>
  <c r="U3627" i="15"/>
  <c r="V3626" i="15"/>
  <c r="U3626" i="15"/>
  <c r="V3625" i="15"/>
  <c r="U3625" i="15"/>
  <c r="V3624" i="15"/>
  <c r="U3624" i="15"/>
  <c r="V3623" i="15"/>
  <c r="U3623" i="15"/>
  <c r="V3622" i="15"/>
  <c r="U3622" i="15"/>
  <c r="V3621" i="15"/>
  <c r="U3621" i="15"/>
  <c r="V3620" i="15"/>
  <c r="U3620" i="15"/>
  <c r="V3619" i="15"/>
  <c r="U3619" i="15"/>
  <c r="V3618" i="15"/>
  <c r="U3618" i="15"/>
  <c r="V3617" i="15"/>
  <c r="U3617" i="15"/>
  <c r="V3616" i="15"/>
  <c r="U3616" i="15"/>
  <c r="V3615" i="15"/>
  <c r="U3615" i="15"/>
  <c r="V3614" i="15"/>
  <c r="U3614" i="15"/>
  <c r="V3613" i="15"/>
  <c r="U3613" i="15"/>
  <c r="V3612" i="15"/>
  <c r="U3612" i="15"/>
  <c r="V3611" i="15"/>
  <c r="U3611" i="15"/>
  <c r="V3610" i="15"/>
  <c r="U3610" i="15"/>
  <c r="V3609" i="15"/>
  <c r="U3609" i="15"/>
  <c r="V3608" i="15"/>
  <c r="U3608" i="15"/>
  <c r="V3607" i="15"/>
  <c r="U3607" i="15"/>
  <c r="V3606" i="15"/>
  <c r="U3606" i="15"/>
  <c r="V3605" i="15"/>
  <c r="U3605" i="15"/>
  <c r="V3604" i="15"/>
  <c r="U3604" i="15"/>
  <c r="V3603" i="15"/>
  <c r="U3603" i="15"/>
  <c r="V3602" i="15"/>
  <c r="U3602" i="15"/>
  <c r="V3601" i="15"/>
  <c r="U3601" i="15"/>
  <c r="V3600" i="15"/>
  <c r="U3600" i="15"/>
  <c r="V3599" i="15"/>
  <c r="U3599" i="15"/>
  <c r="V3598" i="15"/>
  <c r="U3598" i="15"/>
  <c r="V3597" i="15"/>
  <c r="U3597" i="15"/>
  <c r="V3596" i="15"/>
  <c r="U3596" i="15"/>
  <c r="V3595" i="15"/>
  <c r="U3595" i="15"/>
  <c r="V3594" i="15"/>
  <c r="U3594" i="15"/>
  <c r="V3593" i="15"/>
  <c r="U3593" i="15"/>
  <c r="V3592" i="15"/>
  <c r="U3592" i="15"/>
  <c r="V3591" i="15"/>
  <c r="U3591" i="15"/>
  <c r="V3590" i="15"/>
  <c r="U3590" i="15"/>
  <c r="V3589" i="15"/>
  <c r="U3589" i="15"/>
  <c r="V3588" i="15"/>
  <c r="U3588" i="15"/>
  <c r="V3587" i="15"/>
  <c r="U3587" i="15"/>
  <c r="V3586" i="15"/>
  <c r="U3586" i="15"/>
  <c r="V3585" i="15"/>
  <c r="U3585" i="15"/>
  <c r="V3584" i="15"/>
  <c r="U3584" i="15"/>
  <c r="V3583" i="15"/>
  <c r="U3583" i="15"/>
  <c r="V3582" i="15"/>
  <c r="U3582" i="15"/>
  <c r="V3581" i="15"/>
  <c r="U3581" i="15"/>
  <c r="V3580" i="15"/>
  <c r="U3580" i="15"/>
  <c r="V3579" i="15"/>
  <c r="U3579" i="15"/>
  <c r="V3578" i="15"/>
  <c r="U3578" i="15"/>
  <c r="V3577" i="15"/>
  <c r="U3577" i="15"/>
  <c r="V3576" i="15"/>
  <c r="U3576" i="15"/>
  <c r="V3575" i="15"/>
  <c r="U3575" i="15"/>
  <c r="V3574" i="15"/>
  <c r="U3574" i="15"/>
  <c r="V3573" i="15"/>
  <c r="U3573" i="15"/>
  <c r="V3572" i="15"/>
  <c r="U3572" i="15"/>
  <c r="V3571" i="15"/>
  <c r="U3571" i="15"/>
  <c r="V3570" i="15"/>
  <c r="U3570" i="15"/>
  <c r="V3569" i="15"/>
  <c r="U3569" i="15"/>
  <c r="V3568" i="15"/>
  <c r="U3568" i="15"/>
  <c r="V3567" i="15"/>
  <c r="U3567" i="15"/>
  <c r="V3566" i="15"/>
  <c r="U3566" i="15"/>
  <c r="V3565" i="15"/>
  <c r="U3565" i="15"/>
  <c r="V3564" i="15"/>
  <c r="U3564" i="15"/>
  <c r="V3563" i="15"/>
  <c r="U3563" i="15"/>
  <c r="V3562" i="15"/>
  <c r="U3562" i="15"/>
  <c r="V3561" i="15"/>
  <c r="U3561" i="15"/>
  <c r="V3560" i="15"/>
  <c r="U3560" i="15"/>
  <c r="V3559" i="15"/>
  <c r="U3559" i="15"/>
  <c r="V3558" i="15"/>
  <c r="U3558" i="15"/>
  <c r="V3557" i="15"/>
  <c r="U3557" i="15"/>
  <c r="V3556" i="15"/>
  <c r="U3556" i="15"/>
  <c r="V3555" i="15"/>
  <c r="U3555" i="15"/>
  <c r="V3554" i="15"/>
  <c r="U3554" i="15"/>
  <c r="V3553" i="15"/>
  <c r="U3553" i="15"/>
  <c r="V3552" i="15"/>
  <c r="U3552" i="15"/>
  <c r="V3551" i="15"/>
  <c r="U3551" i="15"/>
  <c r="V3550" i="15"/>
  <c r="U3550" i="15"/>
  <c r="V3549" i="15"/>
  <c r="U3549" i="15"/>
  <c r="V3548" i="15"/>
  <c r="U3548" i="15"/>
  <c r="V3547" i="15"/>
  <c r="U3547" i="15"/>
  <c r="V3546" i="15"/>
  <c r="U3546" i="15"/>
  <c r="V3545" i="15"/>
  <c r="U3545" i="15"/>
  <c r="V3544" i="15"/>
  <c r="U3544" i="15"/>
  <c r="V3543" i="15"/>
  <c r="U3543" i="15"/>
  <c r="V3542" i="15"/>
  <c r="U3542" i="15"/>
  <c r="V3541" i="15"/>
  <c r="U3541" i="15"/>
  <c r="V3540" i="15"/>
  <c r="U3540" i="15"/>
  <c r="V3539" i="15"/>
  <c r="U3539" i="15"/>
  <c r="V3538" i="15"/>
  <c r="U3538" i="15"/>
  <c r="V3537" i="15"/>
  <c r="U3537" i="15"/>
  <c r="V3536" i="15"/>
  <c r="U3536" i="15"/>
  <c r="V3535" i="15"/>
  <c r="U3535" i="15"/>
  <c r="V3534" i="15"/>
  <c r="U3534" i="15"/>
  <c r="V3533" i="15"/>
  <c r="U3533" i="15"/>
  <c r="V3532" i="15"/>
  <c r="U3532" i="15"/>
  <c r="V3531" i="15"/>
  <c r="U3531" i="15"/>
  <c r="V3530" i="15"/>
  <c r="U3530" i="15"/>
  <c r="V3529" i="15"/>
  <c r="U3529" i="15"/>
  <c r="V3528" i="15"/>
  <c r="U3528" i="15"/>
  <c r="V3527" i="15"/>
  <c r="U3527" i="15"/>
  <c r="V3526" i="15"/>
  <c r="U3526" i="15"/>
  <c r="V3525" i="15"/>
  <c r="U3525" i="15"/>
  <c r="V3524" i="15"/>
  <c r="U3524" i="15"/>
  <c r="V3523" i="15"/>
  <c r="U3523" i="15"/>
  <c r="V3522" i="15"/>
  <c r="U3522" i="15"/>
  <c r="V3521" i="15"/>
  <c r="U3521" i="15"/>
  <c r="V3520" i="15"/>
  <c r="U3520" i="15"/>
  <c r="V3519" i="15"/>
  <c r="U3519" i="15"/>
  <c r="V3518" i="15"/>
  <c r="U3518" i="15"/>
  <c r="V3517" i="15"/>
  <c r="U3517" i="15"/>
  <c r="V3516" i="15"/>
  <c r="U3516" i="15"/>
  <c r="V3515" i="15"/>
  <c r="U3515" i="15"/>
  <c r="V3514" i="15"/>
  <c r="U3514" i="15"/>
  <c r="V3513" i="15"/>
  <c r="U3513" i="15"/>
  <c r="V3512" i="15"/>
  <c r="U3512" i="15"/>
  <c r="V3511" i="15"/>
  <c r="U3511" i="15"/>
  <c r="V3510" i="15"/>
  <c r="U3510" i="15"/>
  <c r="V3509" i="15"/>
  <c r="U3509" i="15"/>
  <c r="V3508" i="15"/>
  <c r="U3508" i="15"/>
  <c r="V3507" i="15"/>
  <c r="U3507" i="15"/>
  <c r="V3506" i="15"/>
  <c r="U3506" i="15"/>
  <c r="V3505" i="15"/>
  <c r="U3505" i="15"/>
  <c r="V3504" i="15"/>
  <c r="U3504" i="15"/>
  <c r="V3503" i="15"/>
  <c r="U3503" i="15"/>
  <c r="V3502" i="15"/>
  <c r="U3502" i="15"/>
  <c r="V3501" i="15"/>
  <c r="U3501" i="15"/>
  <c r="V3500" i="15"/>
  <c r="U3500" i="15"/>
  <c r="V3499" i="15"/>
  <c r="U3499" i="15"/>
  <c r="V3498" i="15"/>
  <c r="U3498" i="15"/>
  <c r="V3497" i="15"/>
  <c r="U3497" i="15"/>
  <c r="V3496" i="15"/>
  <c r="U3496" i="15"/>
  <c r="V3495" i="15"/>
  <c r="U3495" i="15"/>
  <c r="V3494" i="15"/>
  <c r="U3494" i="15"/>
  <c r="V3493" i="15"/>
  <c r="U3493" i="15"/>
  <c r="V3492" i="15"/>
  <c r="U3492" i="15"/>
  <c r="V3491" i="15"/>
  <c r="U3491" i="15"/>
  <c r="V3490" i="15"/>
  <c r="U3490" i="15"/>
  <c r="V3489" i="15"/>
  <c r="U3489" i="15"/>
  <c r="V3488" i="15"/>
  <c r="U3488" i="15"/>
  <c r="V3487" i="15"/>
  <c r="U3487" i="15"/>
  <c r="V3486" i="15"/>
  <c r="U3486" i="15"/>
  <c r="V3485" i="15"/>
  <c r="U3485" i="15"/>
  <c r="V3484" i="15"/>
  <c r="U3484" i="15"/>
  <c r="V3483" i="15"/>
  <c r="U3483" i="15"/>
  <c r="V3482" i="15"/>
  <c r="U3482" i="15"/>
  <c r="V3481" i="15"/>
  <c r="U3481" i="15"/>
  <c r="V3480" i="15"/>
  <c r="U3480" i="15"/>
  <c r="V3479" i="15"/>
  <c r="U3479" i="15"/>
  <c r="V3478" i="15"/>
  <c r="U3478" i="15"/>
  <c r="V3477" i="15"/>
  <c r="U3477" i="15"/>
  <c r="V3476" i="15"/>
  <c r="U3476" i="15"/>
  <c r="V3475" i="15"/>
  <c r="U3475" i="15"/>
  <c r="V3474" i="15"/>
  <c r="U3474" i="15"/>
  <c r="V3473" i="15"/>
  <c r="U3473" i="15"/>
  <c r="V3472" i="15"/>
  <c r="U3472" i="15"/>
  <c r="V3471" i="15"/>
  <c r="U3471" i="15"/>
  <c r="V3470" i="15"/>
  <c r="U3470" i="15"/>
  <c r="V3469" i="15"/>
  <c r="U3469" i="15"/>
  <c r="V3468" i="15"/>
  <c r="U3468" i="15"/>
  <c r="V3467" i="15"/>
  <c r="U3467" i="15"/>
  <c r="V3466" i="15"/>
  <c r="U3466" i="15"/>
  <c r="V3465" i="15"/>
  <c r="U3465" i="15"/>
  <c r="V3464" i="15"/>
  <c r="U3464" i="15"/>
  <c r="V3463" i="15"/>
  <c r="U3463" i="15"/>
  <c r="V3462" i="15"/>
  <c r="U3462" i="15"/>
  <c r="V3461" i="15"/>
  <c r="U3461" i="15"/>
  <c r="V3460" i="15"/>
  <c r="U3460" i="15"/>
  <c r="V3459" i="15"/>
  <c r="U3459" i="15"/>
  <c r="V3458" i="15"/>
  <c r="U3458" i="15"/>
  <c r="V3457" i="15"/>
  <c r="U3457" i="15"/>
  <c r="V3456" i="15"/>
  <c r="U3456" i="15"/>
  <c r="V3455" i="15"/>
  <c r="U3455" i="15"/>
  <c r="V3454" i="15"/>
  <c r="U3454" i="15"/>
  <c r="V3453" i="15"/>
  <c r="U3453" i="15"/>
  <c r="V3452" i="15"/>
  <c r="U3452" i="15"/>
  <c r="V3451" i="15"/>
  <c r="U3451" i="15"/>
  <c r="V3450" i="15"/>
  <c r="U3450" i="15"/>
  <c r="V3449" i="15"/>
  <c r="U3449" i="15"/>
  <c r="V3448" i="15"/>
  <c r="U3448" i="15"/>
  <c r="V3447" i="15"/>
  <c r="U3447" i="15"/>
  <c r="V3446" i="15"/>
  <c r="U3446" i="15"/>
  <c r="V3445" i="15"/>
  <c r="U3445" i="15"/>
  <c r="V3444" i="15"/>
  <c r="U3444" i="15"/>
  <c r="V3443" i="15"/>
  <c r="U3443" i="15"/>
  <c r="V3442" i="15"/>
  <c r="U3442" i="15"/>
  <c r="V3441" i="15"/>
  <c r="U3441" i="15"/>
  <c r="V3440" i="15"/>
  <c r="U3440" i="15"/>
  <c r="V3439" i="15"/>
  <c r="U3439" i="15"/>
  <c r="V3438" i="15"/>
  <c r="U3438" i="15"/>
  <c r="V3437" i="15"/>
  <c r="U3437" i="15"/>
  <c r="V3436" i="15"/>
  <c r="U3436" i="15"/>
  <c r="V3435" i="15"/>
  <c r="U3435" i="15"/>
  <c r="V3434" i="15"/>
  <c r="U3434" i="15"/>
  <c r="V3433" i="15"/>
  <c r="U3433" i="15"/>
  <c r="V3432" i="15"/>
  <c r="U3432" i="15"/>
  <c r="V3431" i="15"/>
  <c r="U3431" i="15"/>
  <c r="V3430" i="15"/>
  <c r="U3430" i="15"/>
  <c r="V3429" i="15"/>
  <c r="U3429" i="15"/>
  <c r="V3428" i="15"/>
  <c r="U3428" i="15"/>
  <c r="V3427" i="15"/>
  <c r="U3427" i="15"/>
  <c r="V3426" i="15"/>
  <c r="U3426" i="15"/>
  <c r="V3425" i="15"/>
  <c r="U3425" i="15"/>
  <c r="V3424" i="15"/>
  <c r="U3424" i="15"/>
  <c r="V3423" i="15"/>
  <c r="U3423" i="15"/>
  <c r="V3422" i="15"/>
  <c r="U3422" i="15"/>
  <c r="V3421" i="15"/>
  <c r="U3421" i="15"/>
  <c r="V3420" i="15"/>
  <c r="U3420" i="15"/>
  <c r="V3419" i="15"/>
  <c r="U3419" i="15"/>
  <c r="V3418" i="15"/>
  <c r="U3418" i="15"/>
  <c r="V3417" i="15"/>
  <c r="U3417" i="15"/>
  <c r="V3416" i="15"/>
  <c r="U3416" i="15"/>
  <c r="V3415" i="15"/>
  <c r="U3415" i="15"/>
  <c r="V3414" i="15"/>
  <c r="U3414" i="15"/>
  <c r="V3413" i="15"/>
  <c r="U3413" i="15"/>
  <c r="V3412" i="15"/>
  <c r="U3412" i="15"/>
  <c r="V3411" i="15"/>
  <c r="U3411" i="15"/>
  <c r="V3410" i="15"/>
  <c r="U3410" i="15"/>
  <c r="V3409" i="15"/>
  <c r="U3409" i="15"/>
  <c r="V3408" i="15"/>
  <c r="U3408" i="15"/>
  <c r="V3407" i="15"/>
  <c r="U3407" i="15"/>
  <c r="V3406" i="15"/>
  <c r="U3406" i="15"/>
  <c r="V3405" i="15"/>
  <c r="U3405" i="15"/>
  <c r="V3404" i="15"/>
  <c r="U3404" i="15"/>
  <c r="V3403" i="15"/>
  <c r="U3403" i="15"/>
  <c r="V3402" i="15"/>
  <c r="U3402" i="15"/>
  <c r="V3401" i="15"/>
  <c r="U3401" i="15"/>
  <c r="V3400" i="15"/>
  <c r="U3400" i="15"/>
  <c r="V3399" i="15"/>
  <c r="U3399" i="15"/>
  <c r="V3398" i="15"/>
  <c r="U3398" i="15"/>
  <c r="V3397" i="15"/>
  <c r="U3397" i="15"/>
  <c r="V3396" i="15"/>
  <c r="U3396" i="15"/>
  <c r="V3395" i="15"/>
  <c r="U3395" i="15"/>
  <c r="V3394" i="15"/>
  <c r="U3394" i="15"/>
  <c r="V3393" i="15"/>
  <c r="U3393" i="15"/>
  <c r="V3392" i="15"/>
  <c r="U3392" i="15"/>
  <c r="V3391" i="15"/>
  <c r="U3391" i="15"/>
  <c r="V3390" i="15"/>
  <c r="U3390" i="15"/>
  <c r="V3389" i="15"/>
  <c r="U3389" i="15"/>
  <c r="V3388" i="15"/>
  <c r="U3388" i="15"/>
  <c r="V3387" i="15"/>
  <c r="U3387" i="15"/>
  <c r="V3386" i="15"/>
  <c r="U3386" i="15"/>
  <c r="V3385" i="15"/>
  <c r="U3385" i="15"/>
  <c r="V3384" i="15"/>
  <c r="U3384" i="15"/>
  <c r="V3383" i="15"/>
  <c r="U3383" i="15"/>
  <c r="V3382" i="15"/>
  <c r="U3382" i="15"/>
  <c r="V3381" i="15"/>
  <c r="U3381" i="15"/>
  <c r="V3380" i="15"/>
  <c r="U3380" i="15"/>
  <c r="V3379" i="15"/>
  <c r="U3379" i="15"/>
  <c r="V3378" i="15"/>
  <c r="U3378" i="15"/>
  <c r="V3377" i="15"/>
  <c r="U3377" i="15"/>
  <c r="V3376" i="15"/>
  <c r="U3376" i="15"/>
  <c r="V3375" i="15"/>
  <c r="U3375" i="15"/>
  <c r="V3374" i="15"/>
  <c r="U3374" i="15"/>
  <c r="V3373" i="15"/>
  <c r="U3373" i="15"/>
  <c r="V3372" i="15"/>
  <c r="U3372" i="15"/>
  <c r="V3371" i="15"/>
  <c r="U3371" i="15"/>
  <c r="V3370" i="15"/>
  <c r="U3370" i="15"/>
  <c r="V3369" i="15"/>
  <c r="U3369" i="15"/>
  <c r="V3368" i="15"/>
  <c r="U3368" i="15"/>
  <c r="V3367" i="15"/>
  <c r="U3367" i="15"/>
  <c r="V3366" i="15"/>
  <c r="U3366" i="15"/>
  <c r="V3365" i="15"/>
  <c r="U3365" i="15"/>
  <c r="V3364" i="15"/>
  <c r="U3364" i="15"/>
  <c r="V3363" i="15"/>
  <c r="U3363" i="15"/>
  <c r="V3362" i="15"/>
  <c r="U3362" i="15"/>
  <c r="V3361" i="15"/>
  <c r="U3361" i="15"/>
  <c r="V3360" i="15"/>
  <c r="U3360" i="15"/>
  <c r="V3359" i="15"/>
  <c r="U3359" i="15"/>
  <c r="V3358" i="15"/>
  <c r="U3358" i="15"/>
  <c r="V3357" i="15"/>
  <c r="U3357" i="15"/>
  <c r="V3356" i="15"/>
  <c r="U3356" i="15"/>
  <c r="V3355" i="15"/>
  <c r="U3355" i="15"/>
  <c r="V3354" i="15"/>
  <c r="U3354" i="15"/>
  <c r="V3353" i="15"/>
  <c r="U3353" i="15"/>
  <c r="V3352" i="15"/>
  <c r="U3352" i="15"/>
  <c r="V3351" i="15"/>
  <c r="U3351" i="15"/>
  <c r="V3350" i="15"/>
  <c r="U3350" i="15"/>
  <c r="V3349" i="15"/>
  <c r="U3349" i="15"/>
  <c r="V3348" i="15"/>
  <c r="U3348" i="15"/>
  <c r="V3347" i="15"/>
  <c r="U3347" i="15"/>
  <c r="V3346" i="15"/>
  <c r="U3346" i="15"/>
  <c r="V3345" i="15"/>
  <c r="U3345" i="15"/>
  <c r="V3344" i="15"/>
  <c r="U3344" i="15"/>
  <c r="V3343" i="15"/>
  <c r="U3343" i="15"/>
  <c r="V3342" i="15"/>
  <c r="U3342" i="15"/>
  <c r="V3341" i="15"/>
  <c r="U3341" i="15"/>
  <c r="V3340" i="15"/>
  <c r="U3340" i="15"/>
  <c r="V3339" i="15"/>
  <c r="U3339" i="15"/>
  <c r="V3338" i="15"/>
  <c r="U3338" i="15"/>
  <c r="V3337" i="15"/>
  <c r="U3337" i="15"/>
  <c r="V3336" i="15"/>
  <c r="U3336" i="15"/>
  <c r="V3335" i="15"/>
  <c r="U3335" i="15"/>
  <c r="V3334" i="15"/>
  <c r="U3334" i="15"/>
  <c r="V3333" i="15"/>
  <c r="U3333" i="15"/>
  <c r="V3332" i="15"/>
  <c r="U3332" i="15"/>
  <c r="V3331" i="15"/>
  <c r="U3331" i="15"/>
  <c r="V3330" i="15"/>
  <c r="U3330" i="15"/>
  <c r="V3329" i="15"/>
  <c r="U3329" i="15"/>
  <c r="V3328" i="15"/>
  <c r="U3328" i="15"/>
  <c r="V3327" i="15"/>
  <c r="U3327" i="15"/>
  <c r="V3326" i="15"/>
  <c r="U3326" i="15"/>
  <c r="V3325" i="15"/>
  <c r="U3325" i="15"/>
  <c r="V3324" i="15"/>
  <c r="U3324" i="15"/>
  <c r="V3323" i="15"/>
  <c r="U3323" i="15"/>
  <c r="V3322" i="15"/>
  <c r="U3322" i="15"/>
  <c r="V3321" i="15"/>
  <c r="U3321" i="15"/>
  <c r="V3320" i="15"/>
  <c r="U3320" i="15"/>
  <c r="V3319" i="15"/>
  <c r="U3319" i="15"/>
  <c r="V3318" i="15"/>
  <c r="U3318" i="15"/>
  <c r="V3317" i="15"/>
  <c r="U3317" i="15"/>
  <c r="V3316" i="15"/>
  <c r="U3316" i="15"/>
  <c r="V3315" i="15"/>
  <c r="U3315" i="15"/>
  <c r="V3314" i="15"/>
  <c r="U3314" i="15"/>
  <c r="V3313" i="15"/>
  <c r="U3313" i="15"/>
  <c r="V3312" i="15"/>
  <c r="U3312" i="15"/>
  <c r="V3311" i="15"/>
  <c r="U3311" i="15"/>
  <c r="V3310" i="15"/>
  <c r="U3310" i="15"/>
  <c r="V3309" i="15"/>
  <c r="U3309" i="15"/>
  <c r="V3308" i="15"/>
  <c r="U3308" i="15"/>
  <c r="V3307" i="15"/>
  <c r="U3307" i="15"/>
  <c r="V3306" i="15"/>
  <c r="U3306" i="15"/>
  <c r="V3305" i="15"/>
  <c r="U3305" i="15"/>
  <c r="V3304" i="15"/>
  <c r="U3304" i="15"/>
  <c r="V3303" i="15"/>
  <c r="U3303" i="15"/>
  <c r="V3302" i="15"/>
  <c r="U3302" i="15"/>
  <c r="V3301" i="15"/>
  <c r="U3301" i="15"/>
  <c r="V3300" i="15"/>
  <c r="U3300" i="15"/>
  <c r="V3299" i="15"/>
  <c r="U3299" i="15"/>
  <c r="V3298" i="15"/>
  <c r="U3298" i="15"/>
  <c r="V3297" i="15"/>
  <c r="U3297" i="15"/>
  <c r="V3296" i="15"/>
  <c r="U3296" i="15"/>
  <c r="V3295" i="15"/>
  <c r="U3295" i="15"/>
  <c r="V3294" i="15"/>
  <c r="U3294" i="15"/>
  <c r="V3293" i="15"/>
  <c r="U3293" i="15"/>
  <c r="V3292" i="15"/>
  <c r="U3292" i="15"/>
  <c r="V3291" i="15"/>
  <c r="U3291" i="15"/>
  <c r="V3290" i="15"/>
  <c r="U3290" i="15"/>
  <c r="V3289" i="15"/>
  <c r="U3289" i="15"/>
  <c r="V3288" i="15"/>
  <c r="U3288" i="15"/>
  <c r="V3287" i="15"/>
  <c r="U3287" i="15"/>
  <c r="V3286" i="15"/>
  <c r="U3286" i="15"/>
  <c r="V3285" i="15"/>
  <c r="U3285" i="15"/>
  <c r="V3284" i="15"/>
  <c r="U3284" i="15"/>
  <c r="V3283" i="15"/>
  <c r="U3283" i="15"/>
  <c r="V3282" i="15"/>
  <c r="U3282" i="15"/>
  <c r="V3281" i="15"/>
  <c r="U3281" i="15"/>
  <c r="V3280" i="15"/>
  <c r="U3280" i="15"/>
  <c r="V3279" i="15"/>
  <c r="U3279" i="15"/>
  <c r="V3278" i="15"/>
  <c r="U3278" i="15"/>
  <c r="V3277" i="15"/>
  <c r="U3277" i="15"/>
  <c r="V3276" i="15"/>
  <c r="U3276" i="15"/>
  <c r="V3275" i="15"/>
  <c r="U3275" i="15"/>
  <c r="V3274" i="15"/>
  <c r="U3274" i="15"/>
  <c r="V3273" i="15"/>
  <c r="U3273" i="15"/>
  <c r="V3272" i="15"/>
  <c r="U3272" i="15"/>
  <c r="V3271" i="15"/>
  <c r="U3271" i="15"/>
  <c r="V3270" i="15"/>
  <c r="U3270" i="15"/>
  <c r="V3269" i="15"/>
  <c r="U3269" i="15"/>
  <c r="V3268" i="15"/>
  <c r="U3268" i="15"/>
  <c r="V3267" i="15"/>
  <c r="U3267" i="15"/>
  <c r="V3266" i="15"/>
  <c r="U3266" i="15"/>
  <c r="V3265" i="15"/>
  <c r="U3265" i="15"/>
  <c r="V3264" i="15"/>
  <c r="U3264" i="15"/>
  <c r="V3263" i="15"/>
  <c r="U3263" i="15"/>
  <c r="V3262" i="15"/>
  <c r="U3262" i="15"/>
  <c r="V3261" i="15"/>
  <c r="U3261" i="15"/>
  <c r="V3260" i="15"/>
  <c r="U3260" i="15"/>
  <c r="V3259" i="15"/>
  <c r="U3259" i="15"/>
  <c r="V3258" i="15"/>
  <c r="U3258" i="15"/>
  <c r="V3257" i="15"/>
  <c r="U3257" i="15"/>
  <c r="V3256" i="15"/>
  <c r="U3256" i="15"/>
  <c r="V3255" i="15"/>
  <c r="U3255" i="15"/>
  <c r="V3254" i="15"/>
  <c r="U3254" i="15"/>
  <c r="V3253" i="15"/>
  <c r="U3253" i="15"/>
  <c r="V3252" i="15"/>
  <c r="U3252" i="15"/>
  <c r="V3251" i="15"/>
  <c r="U3251" i="15"/>
  <c r="V3250" i="15"/>
  <c r="U3250" i="15"/>
  <c r="V3249" i="15"/>
  <c r="U3249" i="15"/>
  <c r="V3248" i="15"/>
  <c r="U3248" i="15"/>
  <c r="V3247" i="15"/>
  <c r="U3247" i="15"/>
  <c r="V3246" i="15"/>
  <c r="U3246" i="15"/>
  <c r="V3245" i="15"/>
  <c r="U3245" i="15"/>
  <c r="V3244" i="15"/>
  <c r="U3244" i="15"/>
  <c r="V3243" i="15"/>
  <c r="U3243" i="15"/>
  <c r="V3242" i="15"/>
  <c r="U3242" i="15"/>
  <c r="V3241" i="15"/>
  <c r="U3241" i="15"/>
  <c r="V3240" i="15"/>
  <c r="U3240" i="15"/>
  <c r="V3239" i="15"/>
  <c r="U3239" i="15"/>
  <c r="V3238" i="15"/>
  <c r="U3238" i="15"/>
  <c r="V3237" i="15"/>
  <c r="U3237" i="15"/>
  <c r="V3236" i="15"/>
  <c r="U3236" i="15"/>
  <c r="V3235" i="15"/>
  <c r="U3235" i="15"/>
  <c r="V3234" i="15"/>
  <c r="U3234" i="15"/>
  <c r="V3233" i="15"/>
  <c r="U3233" i="15"/>
  <c r="V3232" i="15"/>
  <c r="U3232" i="15"/>
  <c r="V3231" i="15"/>
  <c r="U3231" i="15"/>
  <c r="V3230" i="15"/>
  <c r="U3230" i="15"/>
  <c r="V3229" i="15"/>
  <c r="U3229" i="15"/>
  <c r="V3228" i="15"/>
  <c r="U3228" i="15"/>
  <c r="V3227" i="15"/>
  <c r="U3227" i="15"/>
  <c r="V3226" i="15"/>
  <c r="U3226" i="15"/>
  <c r="V3225" i="15"/>
  <c r="U3225" i="15"/>
  <c r="V3224" i="15"/>
  <c r="U3224" i="15"/>
  <c r="V3223" i="15"/>
  <c r="U3223" i="15"/>
  <c r="V3222" i="15"/>
  <c r="U3222" i="15"/>
  <c r="V3221" i="15"/>
  <c r="U3221" i="15"/>
  <c r="V3220" i="15"/>
  <c r="U3220" i="15"/>
  <c r="V3219" i="15"/>
  <c r="U3219" i="15"/>
  <c r="V3218" i="15"/>
  <c r="U3218" i="15"/>
  <c r="V3217" i="15"/>
  <c r="U3217" i="15"/>
  <c r="V3216" i="15"/>
  <c r="U3216" i="15"/>
  <c r="V3215" i="15"/>
  <c r="U3215" i="15"/>
  <c r="V3214" i="15"/>
  <c r="U3214" i="15"/>
  <c r="V3213" i="15"/>
  <c r="U3213" i="15"/>
  <c r="V3212" i="15"/>
  <c r="U3212" i="15"/>
  <c r="V3211" i="15"/>
  <c r="U3211" i="15"/>
  <c r="V3210" i="15"/>
  <c r="U3210" i="15"/>
  <c r="V3209" i="15"/>
  <c r="U3209" i="15"/>
  <c r="V3208" i="15"/>
  <c r="U3208" i="15"/>
  <c r="V3207" i="15"/>
  <c r="U3207" i="15"/>
  <c r="V3206" i="15"/>
  <c r="U3206" i="15"/>
  <c r="V3205" i="15"/>
  <c r="U3205" i="15"/>
  <c r="V3204" i="15"/>
  <c r="U3204" i="15"/>
  <c r="V3203" i="15"/>
  <c r="U3203" i="15"/>
  <c r="V3202" i="15"/>
  <c r="U3202" i="15"/>
  <c r="V3201" i="15"/>
  <c r="U3201" i="15"/>
  <c r="V3200" i="15"/>
  <c r="U3200" i="15"/>
  <c r="V3199" i="15"/>
  <c r="U3199" i="15"/>
  <c r="V3198" i="15"/>
  <c r="U3198" i="15"/>
  <c r="V3197" i="15"/>
  <c r="U3197" i="15"/>
  <c r="V3196" i="15"/>
  <c r="U3196" i="15"/>
  <c r="V3195" i="15"/>
  <c r="U3195" i="15"/>
  <c r="V3194" i="15"/>
  <c r="U3194" i="15"/>
  <c r="V3193" i="15"/>
  <c r="U3193" i="15"/>
  <c r="V3192" i="15"/>
  <c r="U3192" i="15"/>
  <c r="V3191" i="15"/>
  <c r="U3191" i="15"/>
  <c r="V3190" i="15"/>
  <c r="U3190" i="15"/>
  <c r="V3189" i="15"/>
  <c r="U3189" i="15"/>
  <c r="V3188" i="15"/>
  <c r="U3188" i="15"/>
  <c r="V3187" i="15"/>
  <c r="U3187" i="15"/>
  <c r="V3186" i="15"/>
  <c r="U3186" i="15"/>
  <c r="V3185" i="15"/>
  <c r="U3185" i="15"/>
  <c r="V3184" i="15"/>
  <c r="U3184" i="15"/>
  <c r="V3183" i="15"/>
  <c r="U3183" i="15"/>
  <c r="V3182" i="15"/>
  <c r="U3182" i="15"/>
  <c r="V3181" i="15"/>
  <c r="U3181" i="15"/>
  <c r="V3180" i="15"/>
  <c r="U3180" i="15"/>
  <c r="V3179" i="15"/>
  <c r="U3179" i="15"/>
  <c r="V3178" i="15"/>
  <c r="U3178" i="15"/>
  <c r="V3177" i="15"/>
  <c r="U3177" i="15"/>
  <c r="V3176" i="15"/>
  <c r="U3176" i="15"/>
  <c r="V3175" i="15"/>
  <c r="U3175" i="15"/>
  <c r="V3174" i="15"/>
  <c r="U3174" i="15"/>
  <c r="V3173" i="15"/>
  <c r="U3173" i="15"/>
  <c r="V3172" i="15"/>
  <c r="U3172" i="15"/>
  <c r="V3171" i="15"/>
  <c r="U3171" i="15"/>
  <c r="V3170" i="15"/>
  <c r="U3170" i="15"/>
  <c r="V3169" i="15"/>
  <c r="U3169" i="15"/>
  <c r="V3168" i="15"/>
  <c r="U3168" i="15"/>
  <c r="V3167" i="15"/>
  <c r="U3167" i="15"/>
  <c r="V3166" i="15"/>
  <c r="U3166" i="15"/>
  <c r="V3165" i="15"/>
  <c r="U3165" i="15"/>
  <c r="V3164" i="15"/>
  <c r="U3164" i="15"/>
  <c r="V3163" i="15"/>
  <c r="U3163" i="15"/>
  <c r="V3162" i="15"/>
  <c r="U3162" i="15"/>
  <c r="V3161" i="15"/>
  <c r="U3161" i="15"/>
  <c r="V3160" i="15"/>
  <c r="U3160" i="15"/>
  <c r="V3159" i="15"/>
  <c r="U3159" i="15"/>
  <c r="V3158" i="15"/>
  <c r="U3158" i="15"/>
  <c r="V3157" i="15"/>
  <c r="U3157" i="15"/>
  <c r="V3156" i="15"/>
  <c r="U3156" i="15"/>
  <c r="V3155" i="15"/>
  <c r="U3155" i="15"/>
  <c r="V3154" i="15"/>
  <c r="U3154" i="15"/>
  <c r="V3153" i="15"/>
  <c r="U3153" i="15"/>
  <c r="V3152" i="15"/>
  <c r="U3152" i="15"/>
  <c r="V3151" i="15"/>
  <c r="U3151" i="15"/>
  <c r="V3150" i="15"/>
  <c r="U3150" i="15"/>
  <c r="V3149" i="15"/>
  <c r="U3149" i="15"/>
  <c r="V3148" i="15"/>
  <c r="U3148" i="15"/>
  <c r="V3147" i="15"/>
  <c r="U3147" i="15"/>
  <c r="V3146" i="15"/>
  <c r="U3146" i="15"/>
  <c r="V3145" i="15"/>
  <c r="U3145" i="15"/>
  <c r="V3144" i="15"/>
  <c r="U3144" i="15"/>
  <c r="V3143" i="15"/>
  <c r="U3143" i="15"/>
  <c r="V3142" i="15"/>
  <c r="U3142" i="15"/>
  <c r="V3141" i="15"/>
  <c r="U3141" i="15"/>
  <c r="V3140" i="15"/>
  <c r="U3140" i="15"/>
  <c r="V3139" i="15"/>
  <c r="U3139" i="15"/>
  <c r="V3138" i="15"/>
  <c r="U3138" i="15"/>
  <c r="V3137" i="15"/>
  <c r="U3137" i="15"/>
  <c r="V3136" i="15"/>
  <c r="U3136" i="15"/>
  <c r="V3135" i="15"/>
  <c r="U3135" i="15"/>
  <c r="V3134" i="15"/>
  <c r="U3134" i="15"/>
  <c r="V3133" i="15"/>
  <c r="U3133" i="15"/>
  <c r="V3132" i="15"/>
  <c r="U3132" i="15"/>
  <c r="V3131" i="15"/>
  <c r="U3131" i="15"/>
  <c r="V3130" i="15"/>
  <c r="U3130" i="15"/>
  <c r="V3129" i="15"/>
  <c r="U3129" i="15"/>
  <c r="V3128" i="15"/>
  <c r="U3128" i="15"/>
  <c r="V3127" i="15"/>
  <c r="U3127" i="15"/>
  <c r="V3126" i="15"/>
  <c r="U3126" i="15"/>
  <c r="V3125" i="15"/>
  <c r="U3125" i="15"/>
  <c r="V3124" i="15"/>
  <c r="U3124" i="15"/>
  <c r="V3123" i="15"/>
  <c r="U3123" i="15"/>
  <c r="V3122" i="15"/>
  <c r="U3122" i="15"/>
  <c r="V3121" i="15"/>
  <c r="U3121" i="15"/>
  <c r="V3120" i="15"/>
  <c r="U3120" i="15"/>
  <c r="V3119" i="15"/>
  <c r="U3119" i="15"/>
  <c r="V3118" i="15"/>
  <c r="U3118" i="15"/>
  <c r="V3117" i="15"/>
  <c r="U3117" i="15"/>
  <c r="V3116" i="15"/>
  <c r="U3116" i="15"/>
  <c r="V3115" i="15"/>
  <c r="U3115" i="15"/>
  <c r="V3114" i="15"/>
  <c r="U3114" i="15"/>
  <c r="V3113" i="15"/>
  <c r="U3113" i="15"/>
  <c r="V3112" i="15"/>
  <c r="U3112" i="15"/>
  <c r="V3111" i="15"/>
  <c r="U3111" i="15"/>
  <c r="V3110" i="15"/>
  <c r="U3110" i="15"/>
  <c r="V3109" i="15"/>
  <c r="U3109" i="15"/>
  <c r="V3108" i="15"/>
  <c r="U3108" i="15"/>
  <c r="V3107" i="15"/>
  <c r="U3107" i="15"/>
  <c r="V3106" i="15"/>
  <c r="U3106" i="15"/>
  <c r="V3105" i="15"/>
  <c r="U3105" i="15"/>
  <c r="V3104" i="15"/>
  <c r="U3104" i="15"/>
  <c r="V3103" i="15"/>
  <c r="U3103" i="15"/>
  <c r="V3102" i="15"/>
  <c r="U3102" i="15"/>
  <c r="V3101" i="15"/>
  <c r="U3101" i="15"/>
  <c r="V3100" i="15"/>
  <c r="U3100" i="15"/>
  <c r="V3099" i="15"/>
  <c r="U3099" i="15"/>
  <c r="V3098" i="15"/>
  <c r="U3098" i="15"/>
  <c r="V3097" i="15"/>
  <c r="U3097" i="15"/>
  <c r="V3096" i="15"/>
  <c r="U3096" i="15"/>
  <c r="V3095" i="15"/>
  <c r="U3095" i="15"/>
  <c r="V3094" i="15"/>
  <c r="U3094" i="15"/>
  <c r="V3093" i="15"/>
  <c r="U3093" i="15"/>
  <c r="V3092" i="15"/>
  <c r="U3092" i="15"/>
  <c r="V3091" i="15"/>
  <c r="U3091" i="15"/>
  <c r="V3090" i="15"/>
  <c r="U3090" i="15"/>
  <c r="V3089" i="15"/>
  <c r="U3089" i="15"/>
  <c r="V3088" i="15"/>
  <c r="U3088" i="15"/>
  <c r="V3087" i="15"/>
  <c r="U3087" i="15"/>
  <c r="V3086" i="15"/>
  <c r="U3086" i="15"/>
  <c r="V3085" i="15"/>
  <c r="U3085" i="15"/>
  <c r="V3084" i="15"/>
  <c r="U3084" i="15"/>
  <c r="V3083" i="15"/>
  <c r="U3083" i="15"/>
  <c r="V3082" i="15"/>
  <c r="U3082" i="15"/>
  <c r="V3081" i="15"/>
  <c r="U3081" i="15"/>
  <c r="V3080" i="15"/>
  <c r="U3080" i="15"/>
  <c r="V3079" i="15"/>
  <c r="U3079" i="15"/>
  <c r="V3078" i="15"/>
  <c r="U3078" i="15"/>
  <c r="V3077" i="15"/>
  <c r="U3077" i="15"/>
  <c r="V3076" i="15"/>
  <c r="U3076" i="15"/>
  <c r="V3075" i="15"/>
  <c r="U3075" i="15"/>
  <c r="V3074" i="15"/>
  <c r="U3074" i="15"/>
  <c r="V3073" i="15"/>
  <c r="U3073" i="15"/>
  <c r="V3072" i="15"/>
  <c r="U3072" i="15"/>
  <c r="V3071" i="15"/>
  <c r="U3071" i="15"/>
  <c r="V3070" i="15"/>
  <c r="U3070" i="15"/>
  <c r="V3069" i="15"/>
  <c r="U3069" i="15"/>
  <c r="V3068" i="15"/>
  <c r="U3068" i="15"/>
  <c r="V3067" i="15"/>
  <c r="U3067" i="15"/>
  <c r="V3066" i="15"/>
  <c r="U3066" i="15"/>
  <c r="V3065" i="15"/>
  <c r="U3065" i="15"/>
  <c r="V3064" i="15"/>
  <c r="U3064" i="15"/>
  <c r="V3063" i="15"/>
  <c r="U3063" i="15"/>
  <c r="V3062" i="15"/>
  <c r="U3062" i="15"/>
  <c r="V3061" i="15"/>
  <c r="U3061" i="15"/>
  <c r="V3060" i="15"/>
  <c r="U3060" i="15"/>
  <c r="V3059" i="15"/>
  <c r="U3059" i="15"/>
  <c r="V3058" i="15"/>
  <c r="U3058" i="15"/>
  <c r="V3057" i="15"/>
  <c r="U3057" i="15"/>
  <c r="V3056" i="15"/>
  <c r="U3056" i="15"/>
  <c r="V3055" i="15"/>
  <c r="U3055" i="15"/>
  <c r="V3054" i="15"/>
  <c r="U3054" i="15"/>
  <c r="V3053" i="15"/>
  <c r="U3053" i="15"/>
  <c r="V3052" i="15"/>
  <c r="U3052" i="15"/>
  <c r="V3051" i="15"/>
  <c r="U3051" i="15"/>
  <c r="V3050" i="15"/>
  <c r="U3050" i="15"/>
  <c r="V3049" i="15"/>
  <c r="U3049" i="15"/>
  <c r="V3048" i="15"/>
  <c r="U3048" i="15"/>
  <c r="V3047" i="15"/>
  <c r="U3047" i="15"/>
  <c r="V3046" i="15"/>
  <c r="U3046" i="15"/>
  <c r="V3045" i="15"/>
  <c r="U3045" i="15"/>
  <c r="V3044" i="15"/>
  <c r="U3044" i="15"/>
  <c r="V3043" i="15"/>
  <c r="U3043" i="15"/>
  <c r="V3042" i="15"/>
  <c r="U3042" i="15"/>
  <c r="V3041" i="15"/>
  <c r="U3041" i="15"/>
  <c r="V3040" i="15"/>
  <c r="U3040" i="15"/>
  <c r="V3039" i="15"/>
  <c r="U3039" i="15"/>
  <c r="V3038" i="15"/>
  <c r="U3038" i="15"/>
  <c r="V3037" i="15"/>
  <c r="U3037" i="15"/>
  <c r="V3036" i="15"/>
  <c r="U3036" i="15"/>
  <c r="V3035" i="15"/>
  <c r="U3035" i="15"/>
  <c r="V3034" i="15"/>
  <c r="U3034" i="15"/>
  <c r="V3033" i="15"/>
  <c r="U3033" i="15"/>
  <c r="V3032" i="15"/>
  <c r="U3032" i="15"/>
  <c r="V3031" i="15"/>
  <c r="U3031" i="15"/>
  <c r="V3030" i="15"/>
  <c r="U3030" i="15"/>
  <c r="V3029" i="15"/>
  <c r="U3029" i="15"/>
  <c r="V3028" i="15"/>
  <c r="U3028" i="15"/>
  <c r="V3027" i="15"/>
  <c r="U3027" i="15"/>
  <c r="V3026" i="15"/>
  <c r="U3026" i="15"/>
  <c r="V3025" i="15"/>
  <c r="U3025" i="15"/>
  <c r="V3024" i="15"/>
  <c r="U3024" i="15"/>
  <c r="V3023" i="15"/>
  <c r="U3023" i="15"/>
  <c r="V3022" i="15"/>
  <c r="U3022" i="15"/>
  <c r="V3021" i="15"/>
  <c r="U3021" i="15"/>
  <c r="V3020" i="15"/>
  <c r="U3020" i="15"/>
  <c r="V3019" i="15"/>
  <c r="U3019" i="15"/>
  <c r="V3018" i="15"/>
  <c r="U3018" i="15"/>
  <c r="V3017" i="15"/>
  <c r="U3017" i="15"/>
  <c r="V3016" i="15"/>
  <c r="U3016" i="15"/>
  <c r="V3015" i="15"/>
  <c r="U3015" i="15"/>
  <c r="V3014" i="15"/>
  <c r="U3014" i="15"/>
  <c r="V3013" i="15"/>
  <c r="U3013" i="15"/>
  <c r="V3012" i="15"/>
  <c r="U3012" i="15"/>
  <c r="V3011" i="15"/>
  <c r="U3011" i="15"/>
  <c r="V3010" i="15"/>
  <c r="U3010" i="15"/>
  <c r="V3009" i="15"/>
  <c r="U3009" i="15"/>
  <c r="V3008" i="15"/>
  <c r="U3008" i="15"/>
  <c r="V3007" i="15"/>
  <c r="U3007" i="15"/>
  <c r="V3006" i="15"/>
  <c r="U3006" i="15"/>
  <c r="V3005" i="15"/>
  <c r="U3005" i="15"/>
  <c r="V3004" i="15"/>
  <c r="U3004" i="15"/>
  <c r="V3003" i="15"/>
  <c r="U3003" i="15"/>
  <c r="V3002" i="15"/>
  <c r="U3002" i="15"/>
  <c r="V3001" i="15"/>
  <c r="U3001" i="15"/>
  <c r="V3000" i="15"/>
  <c r="U3000" i="15"/>
  <c r="V2999" i="15"/>
  <c r="U2999" i="15"/>
  <c r="V2998" i="15"/>
  <c r="U2998" i="15"/>
  <c r="V2997" i="15"/>
  <c r="U2997" i="15"/>
  <c r="V2996" i="15"/>
  <c r="U2996" i="15"/>
  <c r="V2995" i="15"/>
  <c r="U2995" i="15"/>
  <c r="V2994" i="15"/>
  <c r="U2994" i="15"/>
  <c r="V2993" i="15"/>
  <c r="U2993" i="15"/>
  <c r="V2992" i="15"/>
  <c r="U2992" i="15"/>
  <c r="V2991" i="15"/>
  <c r="U2991" i="15"/>
  <c r="V2990" i="15"/>
  <c r="U2990" i="15"/>
  <c r="V2989" i="15"/>
  <c r="U2989" i="15"/>
  <c r="V2988" i="15"/>
  <c r="U2988" i="15"/>
  <c r="V2987" i="15"/>
  <c r="U2987" i="15"/>
  <c r="V2986" i="15"/>
  <c r="U2986" i="15"/>
  <c r="V2985" i="15"/>
  <c r="U2985" i="15"/>
  <c r="V2984" i="15"/>
  <c r="U2984" i="15"/>
  <c r="V2983" i="15"/>
  <c r="U2983" i="15"/>
  <c r="V2982" i="15"/>
  <c r="U2982" i="15"/>
  <c r="V2981" i="15"/>
  <c r="U2981" i="15"/>
  <c r="V2980" i="15"/>
  <c r="U2980" i="15"/>
  <c r="V2979" i="15"/>
  <c r="U2979" i="15"/>
  <c r="V2978" i="15"/>
  <c r="U2978" i="15"/>
  <c r="V2977" i="15"/>
  <c r="U2977" i="15"/>
  <c r="V2976" i="15"/>
  <c r="U2976" i="15"/>
  <c r="V2975" i="15"/>
  <c r="U2975" i="15"/>
  <c r="V2974" i="15"/>
  <c r="U2974" i="15"/>
  <c r="V2973" i="15"/>
  <c r="U2973" i="15"/>
  <c r="V2972" i="15"/>
  <c r="U2972" i="15"/>
  <c r="V2971" i="15"/>
  <c r="U2971" i="15"/>
  <c r="V2970" i="15"/>
  <c r="U2970" i="15"/>
  <c r="V2969" i="15"/>
  <c r="U2969" i="15"/>
  <c r="V2968" i="15"/>
  <c r="U2968" i="15"/>
  <c r="V2967" i="15"/>
  <c r="U2967" i="15"/>
  <c r="V2966" i="15"/>
  <c r="U2966" i="15"/>
  <c r="V2965" i="15"/>
  <c r="U2965" i="15"/>
  <c r="V2964" i="15"/>
  <c r="U2964" i="15"/>
  <c r="V2963" i="15"/>
  <c r="U2963" i="15"/>
  <c r="V2962" i="15"/>
  <c r="U2962" i="15"/>
  <c r="V2961" i="15"/>
  <c r="U2961" i="15"/>
  <c r="V2960" i="15"/>
  <c r="U2960" i="15"/>
  <c r="V2959" i="15"/>
  <c r="U2959" i="15"/>
  <c r="V2958" i="15"/>
  <c r="U2958" i="15"/>
  <c r="V2957" i="15"/>
  <c r="U2957" i="15"/>
  <c r="V2956" i="15"/>
  <c r="U2956" i="15"/>
  <c r="V2955" i="15"/>
  <c r="U2955" i="15"/>
  <c r="V2954" i="15"/>
  <c r="U2954" i="15"/>
  <c r="V2953" i="15"/>
  <c r="U2953" i="15"/>
  <c r="V2952" i="15"/>
  <c r="U2952" i="15"/>
  <c r="V2951" i="15"/>
  <c r="U2951" i="15"/>
  <c r="V2950" i="15"/>
  <c r="U2950" i="15"/>
  <c r="V2949" i="15"/>
  <c r="U2949" i="15"/>
  <c r="V2948" i="15"/>
  <c r="U2948" i="15"/>
  <c r="V2947" i="15"/>
  <c r="U2947" i="15"/>
  <c r="V2946" i="15"/>
  <c r="U2946" i="15"/>
  <c r="V2945" i="15"/>
  <c r="U2945" i="15"/>
  <c r="V2944" i="15"/>
  <c r="U2944" i="15"/>
  <c r="V2943" i="15"/>
  <c r="U2943" i="15"/>
  <c r="V2942" i="15"/>
  <c r="U2942" i="15"/>
  <c r="V2941" i="15"/>
  <c r="U2941" i="15"/>
  <c r="V2940" i="15"/>
  <c r="U2940" i="15"/>
  <c r="V2939" i="15"/>
  <c r="U2939" i="15"/>
  <c r="V2938" i="15"/>
  <c r="U2938" i="15"/>
  <c r="V2937" i="15"/>
  <c r="U2937" i="15"/>
  <c r="V2936" i="15"/>
  <c r="U2936" i="15"/>
  <c r="V2935" i="15"/>
  <c r="U2935" i="15"/>
  <c r="V2934" i="15"/>
  <c r="U2934" i="15"/>
  <c r="V2933" i="15"/>
  <c r="U2933" i="15"/>
  <c r="V2932" i="15"/>
  <c r="U2932" i="15"/>
  <c r="V2931" i="15"/>
  <c r="U2931" i="15"/>
  <c r="V2930" i="15"/>
  <c r="U2930" i="15"/>
  <c r="V2929" i="15"/>
  <c r="U2929" i="15"/>
  <c r="V2928" i="15"/>
  <c r="U2928" i="15"/>
  <c r="V2927" i="15"/>
  <c r="U2927" i="15"/>
  <c r="V2926" i="15"/>
  <c r="U2926" i="15"/>
  <c r="V2925" i="15"/>
  <c r="U2925" i="15"/>
  <c r="V2924" i="15"/>
  <c r="U2924" i="15"/>
  <c r="V2923" i="15"/>
  <c r="U2923" i="15"/>
  <c r="V2922" i="15"/>
  <c r="U2922" i="15"/>
  <c r="V2921" i="15"/>
  <c r="U2921" i="15"/>
  <c r="V2920" i="15"/>
  <c r="U2920" i="15"/>
  <c r="V2919" i="15"/>
  <c r="U2919" i="15"/>
  <c r="V2918" i="15"/>
  <c r="U2918" i="15"/>
  <c r="V2917" i="15"/>
  <c r="U2917" i="15"/>
  <c r="V2916" i="15"/>
  <c r="U2916" i="15"/>
  <c r="V2915" i="15"/>
  <c r="U2915" i="15"/>
  <c r="V2914" i="15"/>
  <c r="U2914" i="15"/>
  <c r="V2913" i="15"/>
  <c r="U2913" i="15"/>
  <c r="V2912" i="15"/>
  <c r="U2912" i="15"/>
  <c r="V2911" i="15"/>
  <c r="U2911" i="15"/>
  <c r="V2910" i="15"/>
  <c r="U2910" i="15"/>
  <c r="V2909" i="15"/>
  <c r="U2909" i="15"/>
  <c r="V2908" i="15"/>
  <c r="U2908" i="15"/>
  <c r="V2907" i="15"/>
  <c r="U2907" i="15"/>
  <c r="V2906" i="15"/>
  <c r="U2906" i="15"/>
  <c r="V2905" i="15"/>
  <c r="U2905" i="15"/>
  <c r="V2904" i="15"/>
  <c r="U2904" i="15"/>
  <c r="V2903" i="15"/>
  <c r="U2903" i="15"/>
  <c r="V2902" i="15"/>
  <c r="U2902" i="15"/>
  <c r="V2901" i="15"/>
  <c r="U2901" i="15"/>
  <c r="V2900" i="15"/>
  <c r="U2900" i="15"/>
  <c r="V2899" i="15"/>
  <c r="U2899" i="15"/>
  <c r="V2898" i="15"/>
  <c r="U2898" i="15"/>
  <c r="V2897" i="15"/>
  <c r="U2897" i="15"/>
  <c r="V2896" i="15"/>
  <c r="U2896" i="15"/>
  <c r="V2895" i="15"/>
  <c r="U2895" i="15"/>
  <c r="V2894" i="15"/>
  <c r="U2894" i="15"/>
  <c r="V2893" i="15"/>
  <c r="U2893" i="15"/>
  <c r="V2892" i="15"/>
  <c r="U2892" i="15"/>
  <c r="V2891" i="15"/>
  <c r="U2891" i="15"/>
  <c r="V2890" i="15"/>
  <c r="U2890" i="15"/>
  <c r="V2889" i="15"/>
  <c r="U2889" i="15"/>
  <c r="V2888" i="15"/>
  <c r="U2888" i="15"/>
  <c r="V2887" i="15"/>
  <c r="U2887" i="15"/>
  <c r="V2886" i="15"/>
  <c r="U2886" i="15"/>
  <c r="V2885" i="15"/>
  <c r="U2885" i="15"/>
  <c r="V2884" i="15"/>
  <c r="U2884" i="15"/>
  <c r="V2883" i="15"/>
  <c r="U2883" i="15"/>
  <c r="V2882" i="15"/>
  <c r="U2882" i="15"/>
  <c r="V2881" i="15"/>
  <c r="U2881" i="15"/>
  <c r="V2880" i="15"/>
  <c r="U2880" i="15"/>
  <c r="V2879" i="15"/>
  <c r="U2879" i="15"/>
  <c r="V2878" i="15"/>
  <c r="U2878" i="15"/>
  <c r="V2877" i="15"/>
  <c r="U2877" i="15"/>
  <c r="V2876" i="15"/>
  <c r="U2876" i="15"/>
  <c r="V2875" i="15"/>
  <c r="U2875" i="15"/>
  <c r="V2874" i="15"/>
  <c r="U2874" i="15"/>
  <c r="V2873" i="15"/>
  <c r="U2873" i="15"/>
  <c r="V2872" i="15"/>
  <c r="U2872" i="15"/>
  <c r="V2871" i="15"/>
  <c r="U2871" i="15"/>
  <c r="V2870" i="15"/>
  <c r="U2870" i="15"/>
  <c r="V2869" i="15"/>
  <c r="U2869" i="15"/>
  <c r="V2868" i="15"/>
  <c r="U2868" i="15"/>
  <c r="V2867" i="15"/>
  <c r="U2867" i="15"/>
  <c r="V2866" i="15"/>
  <c r="U2866" i="15"/>
  <c r="V2865" i="15"/>
  <c r="U2865" i="15"/>
  <c r="V2864" i="15"/>
  <c r="U2864" i="15"/>
  <c r="V2863" i="15"/>
  <c r="U2863" i="15"/>
  <c r="V2862" i="15"/>
  <c r="U2862" i="15"/>
  <c r="V2861" i="15"/>
  <c r="U2861" i="15"/>
  <c r="V2860" i="15"/>
  <c r="U2860" i="15"/>
  <c r="V2859" i="15"/>
  <c r="U2859" i="15"/>
  <c r="V2858" i="15"/>
  <c r="U2858" i="15"/>
  <c r="V2857" i="15"/>
  <c r="U2857" i="15"/>
  <c r="V2856" i="15"/>
  <c r="U2856" i="15"/>
  <c r="V2855" i="15"/>
  <c r="U2855" i="15"/>
  <c r="V2854" i="15"/>
  <c r="U2854" i="15"/>
  <c r="V2853" i="15"/>
  <c r="U2853" i="15"/>
  <c r="V2852" i="15"/>
  <c r="U2852" i="15"/>
  <c r="V2851" i="15"/>
  <c r="U2851" i="15"/>
  <c r="V2850" i="15"/>
  <c r="U2850" i="15"/>
  <c r="V2849" i="15"/>
  <c r="U2849" i="15"/>
  <c r="V2848" i="15"/>
  <c r="U2848" i="15"/>
  <c r="V2847" i="15"/>
  <c r="U2847" i="15"/>
  <c r="V2846" i="15"/>
  <c r="U2846" i="15"/>
  <c r="V2845" i="15"/>
  <c r="U2845" i="15"/>
  <c r="V2844" i="15"/>
  <c r="U2844" i="15"/>
  <c r="V2843" i="15"/>
  <c r="U2843" i="15"/>
  <c r="V2842" i="15"/>
  <c r="U2842" i="15"/>
  <c r="V2841" i="15"/>
  <c r="U2841" i="15"/>
  <c r="V2840" i="15"/>
  <c r="U2840" i="15"/>
  <c r="V2839" i="15"/>
  <c r="U2839" i="15"/>
  <c r="V2838" i="15"/>
  <c r="U2838" i="15"/>
  <c r="V2837" i="15"/>
  <c r="U2837" i="15"/>
  <c r="V2836" i="15"/>
  <c r="U2836" i="15"/>
  <c r="V2835" i="15"/>
  <c r="U2835" i="15"/>
  <c r="V2834" i="15"/>
  <c r="U2834" i="15"/>
  <c r="V2833" i="15"/>
  <c r="U2833" i="15"/>
  <c r="V2832" i="15"/>
  <c r="U2832" i="15"/>
  <c r="V2831" i="15"/>
  <c r="U2831" i="15"/>
  <c r="V2830" i="15"/>
  <c r="U2830" i="15"/>
  <c r="V2829" i="15"/>
  <c r="U2829" i="15"/>
  <c r="V2828" i="15"/>
  <c r="U2828" i="15"/>
  <c r="V2827" i="15"/>
  <c r="U2827" i="15"/>
  <c r="V2826" i="15"/>
  <c r="U2826" i="15"/>
  <c r="V2825" i="15"/>
  <c r="U2825" i="15"/>
  <c r="V2824" i="15"/>
  <c r="U2824" i="15"/>
  <c r="V2823" i="15"/>
  <c r="U2823" i="15"/>
  <c r="V2822" i="15"/>
  <c r="U2822" i="15"/>
  <c r="V2821" i="15"/>
  <c r="U2821" i="15"/>
  <c r="V2820" i="15"/>
  <c r="U2820" i="15"/>
  <c r="V2819" i="15"/>
  <c r="U2819" i="15"/>
  <c r="V2818" i="15"/>
  <c r="U2818" i="15"/>
  <c r="V2817" i="15"/>
  <c r="U2817" i="15"/>
  <c r="V2816" i="15"/>
  <c r="U2816" i="15"/>
  <c r="V2815" i="15"/>
  <c r="U2815" i="15"/>
  <c r="V2814" i="15"/>
  <c r="U2814" i="15"/>
  <c r="V2813" i="15"/>
  <c r="U2813" i="15"/>
  <c r="V2812" i="15"/>
  <c r="U2812" i="15"/>
  <c r="V2811" i="15"/>
  <c r="U2811" i="15"/>
  <c r="V2810" i="15"/>
  <c r="U2810" i="15"/>
  <c r="V2809" i="15"/>
  <c r="U2809" i="15"/>
  <c r="V2808" i="15"/>
  <c r="U2808" i="15"/>
  <c r="V2807" i="15"/>
  <c r="U2807" i="15"/>
  <c r="V2806" i="15"/>
  <c r="U2806" i="15"/>
  <c r="V2805" i="15"/>
  <c r="U2805" i="15"/>
  <c r="V2804" i="15"/>
  <c r="U2804" i="15"/>
  <c r="V2803" i="15"/>
  <c r="U2803" i="15"/>
  <c r="V2802" i="15"/>
  <c r="U2802" i="15"/>
  <c r="V2801" i="15"/>
  <c r="U2801" i="15"/>
  <c r="V2800" i="15"/>
  <c r="U2800" i="15"/>
  <c r="V2799" i="15"/>
  <c r="U2799" i="15"/>
  <c r="V2798" i="15"/>
  <c r="U2798" i="15"/>
  <c r="V2797" i="15"/>
  <c r="U2797" i="15"/>
  <c r="V2796" i="15"/>
  <c r="U2796" i="15"/>
  <c r="V2795" i="15"/>
  <c r="U2795" i="15"/>
  <c r="V2794" i="15"/>
  <c r="U2794" i="15"/>
  <c r="V2793" i="15"/>
  <c r="U2793" i="15"/>
  <c r="V2792" i="15"/>
  <c r="U2792" i="15"/>
  <c r="V2791" i="15"/>
  <c r="U2791" i="15"/>
  <c r="V2790" i="15"/>
  <c r="U2790" i="15"/>
  <c r="V2789" i="15"/>
  <c r="U2789" i="15"/>
  <c r="V2788" i="15"/>
  <c r="U2788" i="15"/>
  <c r="V2787" i="15"/>
  <c r="U2787" i="15"/>
  <c r="V2786" i="15"/>
  <c r="U2786" i="15"/>
  <c r="V2785" i="15"/>
  <c r="U2785" i="15"/>
  <c r="V2784" i="15"/>
  <c r="U2784" i="15"/>
  <c r="V2783" i="15"/>
  <c r="U2783" i="15"/>
  <c r="V2782" i="15"/>
  <c r="U2782" i="15"/>
  <c r="V2781" i="15"/>
  <c r="U2781" i="15"/>
  <c r="V2780" i="15"/>
  <c r="U2780" i="15"/>
  <c r="V2779" i="15"/>
  <c r="U2779" i="15"/>
  <c r="V2778" i="15"/>
  <c r="U2778" i="15"/>
  <c r="V2777" i="15"/>
  <c r="U2777" i="15"/>
  <c r="V2776" i="15"/>
  <c r="U2776" i="15"/>
  <c r="V2775" i="15"/>
  <c r="U2775" i="15"/>
  <c r="V2774" i="15"/>
  <c r="U2774" i="15"/>
  <c r="V2773" i="15"/>
  <c r="U2773" i="15"/>
  <c r="V2772" i="15"/>
  <c r="U2772" i="15"/>
  <c r="V2771" i="15"/>
  <c r="U2771" i="15"/>
  <c r="V2770" i="15"/>
  <c r="U2770" i="15"/>
  <c r="V2769" i="15"/>
  <c r="U2769" i="15"/>
  <c r="V2768" i="15"/>
  <c r="U2768" i="15"/>
  <c r="V2767" i="15"/>
  <c r="U2767" i="15"/>
  <c r="V2766" i="15"/>
  <c r="U2766" i="15"/>
  <c r="V2765" i="15"/>
  <c r="U2765" i="15"/>
  <c r="V2764" i="15"/>
  <c r="U2764" i="15"/>
  <c r="V2763" i="15"/>
  <c r="U2763" i="15"/>
  <c r="V2762" i="15"/>
  <c r="U2762" i="15"/>
  <c r="V2761" i="15"/>
  <c r="U2761" i="15"/>
  <c r="V2760" i="15"/>
  <c r="U2760" i="15"/>
  <c r="V2759" i="15"/>
  <c r="U2759" i="15"/>
  <c r="V2758" i="15"/>
  <c r="U2758" i="15"/>
  <c r="V2757" i="15"/>
  <c r="U2757" i="15"/>
  <c r="V2756" i="15"/>
  <c r="U2756" i="15"/>
  <c r="V2755" i="15"/>
  <c r="U2755" i="15"/>
  <c r="V2754" i="15"/>
  <c r="U2754" i="15"/>
  <c r="V2753" i="15"/>
  <c r="U2753" i="15"/>
  <c r="V2752" i="15"/>
  <c r="U2752" i="15"/>
  <c r="V2751" i="15"/>
  <c r="U2751" i="15"/>
  <c r="V2750" i="15"/>
  <c r="U2750" i="15"/>
  <c r="V2749" i="15"/>
  <c r="U2749" i="15"/>
  <c r="V2748" i="15"/>
  <c r="U2748" i="15"/>
  <c r="V2747" i="15"/>
  <c r="U2747" i="15"/>
  <c r="V2746" i="15"/>
  <c r="U2746" i="15"/>
  <c r="V2745" i="15"/>
  <c r="U2745" i="15"/>
  <c r="V2744" i="15"/>
  <c r="U2744" i="15"/>
  <c r="V2743" i="15"/>
  <c r="U2743" i="15"/>
  <c r="V2742" i="15"/>
  <c r="U2742" i="15"/>
  <c r="V2741" i="15"/>
  <c r="U2741" i="15"/>
  <c r="V2740" i="15"/>
  <c r="U2740" i="15"/>
  <c r="V2739" i="15"/>
  <c r="U2739" i="15"/>
  <c r="V2738" i="15"/>
  <c r="U2738" i="15"/>
  <c r="V2737" i="15"/>
  <c r="U2737" i="15"/>
  <c r="V2736" i="15"/>
  <c r="U2736" i="15"/>
  <c r="V2735" i="15"/>
  <c r="U2735" i="15"/>
  <c r="V2734" i="15"/>
  <c r="U2734" i="15"/>
  <c r="V2733" i="15"/>
  <c r="U2733" i="15"/>
  <c r="V2732" i="15"/>
  <c r="U2732" i="15"/>
  <c r="V2731" i="15"/>
  <c r="U2731" i="15"/>
  <c r="V2730" i="15"/>
  <c r="U2730" i="15"/>
  <c r="V2729" i="15"/>
  <c r="U2729" i="15"/>
  <c r="V2728" i="15"/>
  <c r="U2728" i="15"/>
  <c r="V2727" i="15"/>
  <c r="U2727" i="15"/>
  <c r="V2726" i="15"/>
  <c r="U2726" i="15"/>
  <c r="V2725" i="15"/>
  <c r="U2725" i="15"/>
  <c r="V2724" i="15"/>
  <c r="U2724" i="15"/>
  <c r="V2723" i="15"/>
  <c r="U2723" i="15"/>
  <c r="V2722" i="15"/>
  <c r="U2722" i="15"/>
  <c r="V2721" i="15"/>
  <c r="U2721" i="15"/>
  <c r="V2720" i="15"/>
  <c r="U2720" i="15"/>
  <c r="V2719" i="15"/>
  <c r="U2719" i="15"/>
  <c r="V2718" i="15"/>
  <c r="U2718" i="15"/>
  <c r="V2717" i="15"/>
  <c r="U2717" i="15"/>
  <c r="V2716" i="15"/>
  <c r="U2716" i="15"/>
  <c r="V2715" i="15"/>
  <c r="U2715" i="15"/>
  <c r="V2714" i="15"/>
  <c r="U2714" i="15"/>
  <c r="V2713" i="15"/>
  <c r="U2713" i="15"/>
  <c r="V2712" i="15"/>
  <c r="U2712" i="15"/>
  <c r="V2711" i="15"/>
  <c r="U2711" i="15"/>
  <c r="V2710" i="15"/>
  <c r="U2710" i="15"/>
  <c r="V2709" i="15"/>
  <c r="U2709" i="15"/>
  <c r="V2708" i="15"/>
  <c r="U2708" i="15"/>
  <c r="V2707" i="15"/>
  <c r="U2707" i="15"/>
  <c r="V2706" i="15"/>
  <c r="U2706" i="15"/>
  <c r="V2705" i="15"/>
  <c r="U2705" i="15"/>
  <c r="V2704" i="15"/>
  <c r="U2704" i="15"/>
  <c r="V2703" i="15"/>
  <c r="U2703" i="15"/>
  <c r="V2702" i="15"/>
  <c r="U2702" i="15"/>
  <c r="V2701" i="15"/>
  <c r="U2701" i="15"/>
  <c r="V2700" i="15"/>
  <c r="U2700" i="15"/>
  <c r="V2699" i="15"/>
  <c r="U2699" i="15"/>
  <c r="V2698" i="15"/>
  <c r="U2698" i="15"/>
  <c r="V2697" i="15"/>
  <c r="U2697" i="15"/>
  <c r="V2696" i="15"/>
  <c r="U2696" i="15"/>
  <c r="V2695" i="15"/>
  <c r="U2695" i="15"/>
  <c r="V2694" i="15"/>
  <c r="U2694" i="15"/>
  <c r="V2693" i="15"/>
  <c r="U2693" i="15"/>
  <c r="V2692" i="15"/>
  <c r="U2692" i="15"/>
  <c r="V2691" i="15"/>
  <c r="U2691" i="15"/>
  <c r="V2690" i="15"/>
  <c r="U2690" i="15"/>
  <c r="V2689" i="15"/>
  <c r="U2689" i="15"/>
  <c r="V2688" i="15"/>
  <c r="U2688" i="15"/>
  <c r="V2687" i="15"/>
  <c r="U2687" i="15"/>
  <c r="V2686" i="15"/>
  <c r="U2686" i="15"/>
  <c r="V2685" i="15"/>
  <c r="U2685" i="15"/>
  <c r="V2684" i="15"/>
  <c r="U2684" i="15"/>
  <c r="V2683" i="15"/>
  <c r="U2683" i="15"/>
  <c r="V2682" i="15"/>
  <c r="U2682" i="15"/>
  <c r="V2681" i="15"/>
  <c r="U2681" i="15"/>
  <c r="V2680" i="15"/>
  <c r="U2680" i="15"/>
  <c r="V2679" i="15"/>
  <c r="U2679" i="15"/>
  <c r="V2678" i="15"/>
  <c r="U2678" i="15"/>
  <c r="V2677" i="15"/>
  <c r="U2677" i="15"/>
  <c r="V2676" i="15"/>
  <c r="U2676" i="15"/>
  <c r="V2675" i="15"/>
  <c r="U2675" i="15"/>
  <c r="V2674" i="15"/>
  <c r="U2674" i="15"/>
  <c r="V2673" i="15"/>
  <c r="U2673" i="15"/>
  <c r="V2672" i="15"/>
  <c r="U2672" i="15"/>
  <c r="V2671" i="15"/>
  <c r="U2671" i="15"/>
  <c r="V2670" i="15"/>
  <c r="U2670" i="15"/>
  <c r="V2669" i="15"/>
  <c r="U2669" i="15"/>
  <c r="V2668" i="15"/>
  <c r="U2668" i="15"/>
  <c r="V2667" i="15"/>
  <c r="U2667" i="15"/>
  <c r="V2666" i="15"/>
  <c r="U2666" i="15"/>
  <c r="V2665" i="15"/>
  <c r="U2665" i="15"/>
  <c r="V2664" i="15"/>
  <c r="U2664" i="15"/>
  <c r="V2663" i="15"/>
  <c r="U2663" i="15"/>
  <c r="V2662" i="15"/>
  <c r="U2662" i="15"/>
  <c r="V2661" i="15"/>
  <c r="U2661" i="15"/>
  <c r="V2660" i="15"/>
  <c r="U2660" i="15"/>
  <c r="V2659" i="15"/>
  <c r="U2659" i="15"/>
  <c r="V2658" i="15"/>
  <c r="U2658" i="15"/>
  <c r="V2657" i="15"/>
  <c r="U2657" i="15"/>
  <c r="V2656" i="15"/>
  <c r="U2656" i="15"/>
  <c r="V2655" i="15"/>
  <c r="U2655" i="15"/>
  <c r="V2654" i="15"/>
  <c r="U2654" i="15"/>
  <c r="V2653" i="15"/>
  <c r="U2653" i="15"/>
  <c r="V2652" i="15"/>
  <c r="U2652" i="15"/>
  <c r="V2651" i="15"/>
  <c r="U2651" i="15"/>
  <c r="V2650" i="15"/>
  <c r="U2650" i="15"/>
  <c r="V2649" i="15"/>
  <c r="U2649" i="15"/>
  <c r="V2648" i="15"/>
  <c r="U2648" i="15"/>
  <c r="V2647" i="15"/>
  <c r="U2647" i="15"/>
  <c r="V2646" i="15"/>
  <c r="U2646" i="15"/>
  <c r="V2645" i="15"/>
  <c r="U2645" i="15"/>
  <c r="V2644" i="15"/>
  <c r="U2644" i="15"/>
  <c r="V2643" i="15"/>
  <c r="U2643" i="15"/>
  <c r="V2642" i="15"/>
  <c r="U2642" i="15"/>
  <c r="V2641" i="15"/>
  <c r="U2641" i="15"/>
  <c r="V2640" i="15"/>
  <c r="U2640" i="15"/>
  <c r="V2639" i="15"/>
  <c r="U2639" i="15"/>
  <c r="V2638" i="15"/>
  <c r="U2638" i="15"/>
  <c r="V2637" i="15"/>
  <c r="U2637" i="15"/>
  <c r="V2636" i="15"/>
  <c r="U2636" i="15"/>
  <c r="V2635" i="15"/>
  <c r="U2635" i="15"/>
  <c r="V2634" i="15"/>
  <c r="U2634" i="15"/>
  <c r="V2633" i="15"/>
  <c r="U2633" i="15"/>
  <c r="V2632" i="15"/>
  <c r="U2632" i="15"/>
  <c r="V2631" i="15"/>
  <c r="U2631" i="15"/>
  <c r="V2630" i="15"/>
  <c r="U2630" i="15"/>
  <c r="V2629" i="15"/>
  <c r="U2629" i="15"/>
  <c r="V2628" i="15"/>
  <c r="U2628" i="15"/>
  <c r="V2627" i="15"/>
  <c r="U2627" i="15"/>
  <c r="V2626" i="15"/>
  <c r="U2626" i="15"/>
  <c r="V2625" i="15"/>
  <c r="U2625" i="15"/>
  <c r="V2624" i="15"/>
  <c r="U2624" i="15"/>
  <c r="V2623" i="15"/>
  <c r="U2623" i="15"/>
  <c r="V2622" i="15"/>
  <c r="U2622" i="15"/>
  <c r="V2621" i="15"/>
  <c r="U2621" i="15"/>
  <c r="V2620" i="15"/>
  <c r="U2620" i="15"/>
  <c r="V2619" i="15"/>
  <c r="U2619" i="15"/>
  <c r="V2618" i="15"/>
  <c r="U2618" i="15"/>
  <c r="V2617" i="15"/>
  <c r="U2617" i="15"/>
  <c r="V2616" i="15"/>
  <c r="U2616" i="15"/>
  <c r="V2615" i="15"/>
  <c r="U2615" i="15"/>
  <c r="V2614" i="15"/>
  <c r="U2614" i="15"/>
  <c r="V2613" i="15"/>
  <c r="U2613" i="15"/>
  <c r="V2612" i="15"/>
  <c r="U2612" i="15"/>
  <c r="V2611" i="15"/>
  <c r="U2611" i="15"/>
  <c r="V2610" i="15"/>
  <c r="U2610" i="15"/>
  <c r="V2609" i="15"/>
  <c r="U2609" i="15"/>
  <c r="V2608" i="15"/>
  <c r="U2608" i="15"/>
  <c r="V2607" i="15"/>
  <c r="U2607" i="15"/>
  <c r="V2606" i="15"/>
  <c r="U2606" i="15"/>
  <c r="V2605" i="15"/>
  <c r="U2605" i="15"/>
  <c r="V2604" i="15"/>
  <c r="U2604" i="15"/>
  <c r="V2603" i="15"/>
  <c r="U2603" i="15"/>
  <c r="V2602" i="15"/>
  <c r="U2602" i="15"/>
  <c r="V2601" i="15"/>
  <c r="U2601" i="15"/>
  <c r="V2600" i="15"/>
  <c r="U2600" i="15"/>
  <c r="V2599" i="15"/>
  <c r="U2599" i="15"/>
  <c r="V2598" i="15"/>
  <c r="U2598" i="15"/>
  <c r="V2597" i="15"/>
  <c r="U2597" i="15"/>
  <c r="V2596" i="15"/>
  <c r="U2596" i="15"/>
  <c r="V2595" i="15"/>
  <c r="U2595" i="15"/>
  <c r="V2594" i="15"/>
  <c r="U2594" i="15"/>
  <c r="V2593" i="15"/>
  <c r="U2593" i="15"/>
  <c r="V2592" i="15"/>
  <c r="U2592" i="15"/>
  <c r="V2591" i="15"/>
  <c r="U2591" i="15"/>
  <c r="V2590" i="15"/>
  <c r="U2590" i="15"/>
  <c r="V2589" i="15"/>
  <c r="U2589" i="15"/>
  <c r="V2588" i="15"/>
  <c r="U2588" i="15"/>
  <c r="V2587" i="15"/>
  <c r="U2587" i="15"/>
  <c r="V2586" i="15"/>
  <c r="U2586" i="15"/>
  <c r="V2585" i="15"/>
  <c r="U2585" i="15"/>
  <c r="V2584" i="15"/>
  <c r="U2584" i="15"/>
  <c r="V2583" i="15"/>
  <c r="U2583" i="15"/>
  <c r="V2582" i="15"/>
  <c r="U2582" i="15"/>
  <c r="V2581" i="15"/>
  <c r="U2581" i="15"/>
  <c r="V2580" i="15"/>
  <c r="U2580" i="15"/>
  <c r="V2579" i="15"/>
  <c r="U2579" i="15"/>
  <c r="V2578" i="15"/>
  <c r="U2578" i="15"/>
  <c r="V2577" i="15"/>
  <c r="U2577" i="15"/>
  <c r="V2576" i="15"/>
  <c r="U2576" i="15"/>
  <c r="V2575" i="15"/>
  <c r="U2575" i="15"/>
  <c r="V2574" i="15"/>
  <c r="U2574" i="15"/>
  <c r="V2573" i="15"/>
  <c r="U2573" i="15"/>
  <c r="V2572" i="15"/>
  <c r="U2572" i="15"/>
  <c r="V2571" i="15"/>
  <c r="U2571" i="15"/>
  <c r="V2570" i="15"/>
  <c r="U2570" i="15"/>
  <c r="V2569" i="15"/>
  <c r="U2569" i="15"/>
  <c r="V2568" i="15"/>
  <c r="U2568" i="15"/>
  <c r="V2567" i="15"/>
  <c r="U2567" i="15"/>
  <c r="V2566" i="15"/>
  <c r="U2566" i="15"/>
  <c r="V2565" i="15"/>
  <c r="U2565" i="15"/>
  <c r="V2564" i="15"/>
  <c r="U2564" i="15"/>
  <c r="V2563" i="15"/>
  <c r="U2563" i="15"/>
  <c r="V2562" i="15"/>
  <c r="U2562" i="15"/>
  <c r="V2561" i="15"/>
  <c r="U2561" i="15"/>
  <c r="V2560" i="15"/>
  <c r="U2560" i="15"/>
  <c r="V2559" i="15"/>
  <c r="U2559" i="15"/>
  <c r="V2558" i="15"/>
  <c r="U2558" i="15"/>
  <c r="V2557" i="15"/>
  <c r="U2557" i="15"/>
  <c r="V2556" i="15"/>
  <c r="U2556" i="15"/>
  <c r="V2555" i="15"/>
  <c r="U2555" i="15"/>
  <c r="V2554" i="15"/>
  <c r="U2554" i="15"/>
  <c r="V2553" i="15"/>
  <c r="U2553" i="15"/>
  <c r="V2552" i="15"/>
  <c r="U2552" i="15"/>
  <c r="V2551" i="15"/>
  <c r="U2551" i="15"/>
  <c r="V2550" i="15"/>
  <c r="U2550" i="15"/>
  <c r="V2549" i="15"/>
  <c r="U2549" i="15"/>
  <c r="V2548" i="15"/>
  <c r="U2548" i="15"/>
  <c r="V2547" i="15"/>
  <c r="U2547" i="15"/>
  <c r="V2546" i="15"/>
  <c r="U2546" i="15"/>
  <c r="V2545" i="15"/>
  <c r="U2545" i="15"/>
  <c r="V2544" i="15"/>
  <c r="U2544" i="15"/>
  <c r="V2543" i="15"/>
  <c r="U2543" i="15"/>
  <c r="V2542" i="15"/>
  <c r="U2542" i="15"/>
  <c r="V2541" i="15"/>
  <c r="U2541" i="15"/>
  <c r="V2540" i="15"/>
  <c r="U2540" i="15"/>
  <c r="V2539" i="15"/>
  <c r="U2539" i="15"/>
  <c r="V2538" i="15"/>
  <c r="U2538" i="15"/>
  <c r="V2537" i="15"/>
  <c r="U2537" i="15"/>
  <c r="V2536" i="15"/>
  <c r="U2536" i="15"/>
  <c r="V2535" i="15"/>
  <c r="U2535" i="15"/>
  <c r="V2534" i="15"/>
  <c r="U2534" i="15"/>
  <c r="V2533" i="15"/>
  <c r="U2533" i="15"/>
  <c r="V2532" i="15"/>
  <c r="U2532" i="15"/>
  <c r="V2531" i="15"/>
  <c r="U2531" i="15"/>
  <c r="V2530" i="15"/>
  <c r="U2530" i="15"/>
  <c r="V2529" i="15"/>
  <c r="U2529" i="15"/>
  <c r="V2528" i="15"/>
  <c r="U2528" i="15"/>
  <c r="V2527" i="15"/>
  <c r="U2527" i="15"/>
  <c r="V2526" i="15"/>
  <c r="U2526" i="15"/>
  <c r="V2525" i="15"/>
  <c r="U2525" i="15"/>
  <c r="V2524" i="15"/>
  <c r="U2524" i="15"/>
  <c r="V2523" i="15"/>
  <c r="U2523" i="15"/>
  <c r="V2522" i="15"/>
  <c r="U2522" i="15"/>
  <c r="V2521" i="15"/>
  <c r="U2521" i="15"/>
  <c r="V2520" i="15"/>
  <c r="U2520" i="15"/>
  <c r="V2519" i="15"/>
  <c r="U2519" i="15"/>
  <c r="V2518" i="15"/>
  <c r="U2518" i="15"/>
  <c r="V2517" i="15"/>
  <c r="U2517" i="15"/>
  <c r="V2516" i="15"/>
  <c r="U2516" i="15"/>
  <c r="V2515" i="15"/>
  <c r="U2515" i="15"/>
  <c r="V2514" i="15"/>
  <c r="U2514" i="15"/>
  <c r="V2513" i="15"/>
  <c r="U2513" i="15"/>
  <c r="V2512" i="15"/>
  <c r="U2512" i="15"/>
  <c r="V2511" i="15"/>
  <c r="U2511" i="15"/>
  <c r="V2510" i="15"/>
  <c r="U2510" i="15"/>
  <c r="V2509" i="15"/>
  <c r="U2509" i="15"/>
  <c r="V2508" i="15"/>
  <c r="U2508" i="15"/>
  <c r="V2507" i="15"/>
  <c r="U2507" i="15"/>
  <c r="V2506" i="15"/>
  <c r="U2506" i="15"/>
  <c r="V2505" i="15"/>
  <c r="U2505" i="15"/>
  <c r="V2504" i="15"/>
  <c r="U2504" i="15"/>
  <c r="V2503" i="15"/>
  <c r="U2503" i="15"/>
  <c r="V2502" i="15"/>
  <c r="U2502" i="15"/>
  <c r="V2501" i="15"/>
  <c r="U2501" i="15"/>
  <c r="V2500" i="15"/>
  <c r="U2500" i="15"/>
  <c r="V2499" i="15"/>
  <c r="U2499" i="15"/>
  <c r="V2498" i="15"/>
  <c r="U2498" i="15"/>
  <c r="V2497" i="15"/>
  <c r="U2497" i="15"/>
  <c r="V2496" i="15"/>
  <c r="U2496" i="15"/>
  <c r="V2495" i="15"/>
  <c r="U2495" i="15"/>
  <c r="V2494" i="15"/>
  <c r="U2494" i="15"/>
  <c r="V2493" i="15"/>
  <c r="U2493" i="15"/>
  <c r="V2492" i="15"/>
  <c r="U2492" i="15"/>
  <c r="V2491" i="15"/>
  <c r="U2491" i="15"/>
  <c r="V2490" i="15"/>
  <c r="U2490" i="15"/>
  <c r="V2489" i="15"/>
  <c r="U2489" i="15"/>
  <c r="V2488" i="15"/>
  <c r="U2488" i="15"/>
  <c r="V2487" i="15"/>
  <c r="U2487" i="15"/>
  <c r="V2486" i="15"/>
  <c r="U2486" i="15"/>
  <c r="V2485" i="15"/>
  <c r="U2485" i="15"/>
  <c r="V2484" i="15"/>
  <c r="U2484" i="15"/>
  <c r="V2483" i="15"/>
  <c r="U2483" i="15"/>
  <c r="V2482" i="15"/>
  <c r="U2482" i="15"/>
  <c r="V2481" i="15"/>
  <c r="U2481" i="15"/>
  <c r="V2480" i="15"/>
  <c r="U2480" i="15"/>
  <c r="V2479" i="15"/>
  <c r="U2479" i="15"/>
  <c r="V2478" i="15"/>
  <c r="U2478" i="15"/>
  <c r="V2477" i="15"/>
  <c r="U2477" i="15"/>
  <c r="V2476" i="15"/>
  <c r="U2476" i="15"/>
  <c r="V2475" i="15"/>
  <c r="U2475" i="15"/>
  <c r="V2474" i="15"/>
  <c r="U2474" i="15"/>
  <c r="V2473" i="15"/>
  <c r="U2473" i="15"/>
  <c r="V2472" i="15"/>
  <c r="U2472" i="15"/>
  <c r="V2471" i="15"/>
  <c r="U2471" i="15"/>
  <c r="V2470" i="15"/>
  <c r="U2470" i="15"/>
  <c r="V2469" i="15"/>
  <c r="U2469" i="15"/>
  <c r="V2468" i="15"/>
  <c r="U2468" i="15"/>
  <c r="V2467" i="15"/>
  <c r="U2467" i="15"/>
  <c r="V2466" i="15"/>
  <c r="U2466" i="15"/>
  <c r="V2465" i="15"/>
  <c r="U2465" i="15"/>
  <c r="V2464" i="15"/>
  <c r="U2464" i="15"/>
  <c r="V2463" i="15"/>
  <c r="U2463" i="15"/>
  <c r="V2462" i="15"/>
  <c r="U2462" i="15"/>
  <c r="V2461" i="15"/>
  <c r="U2461" i="15"/>
  <c r="V2460" i="15"/>
  <c r="U2460" i="15"/>
  <c r="V2459" i="15"/>
  <c r="U2459" i="15"/>
  <c r="V2458" i="15"/>
  <c r="U2458" i="15"/>
  <c r="V2457" i="15"/>
  <c r="U2457" i="15"/>
  <c r="V2456" i="15"/>
  <c r="U2456" i="15"/>
  <c r="V2455" i="15"/>
  <c r="U2455" i="15"/>
  <c r="V2454" i="15"/>
  <c r="U2454" i="15"/>
  <c r="V2453" i="15"/>
  <c r="U2453" i="15"/>
  <c r="V2452" i="15"/>
  <c r="U2452" i="15"/>
  <c r="V2451" i="15"/>
  <c r="U2451" i="15"/>
  <c r="V2450" i="15"/>
  <c r="U2450" i="15"/>
  <c r="V2449" i="15"/>
  <c r="U2449" i="15"/>
  <c r="V2448" i="15"/>
  <c r="U2448" i="15"/>
  <c r="V2447" i="15"/>
  <c r="U2447" i="15"/>
  <c r="V2446" i="15"/>
  <c r="U2446" i="15"/>
  <c r="V2445" i="15"/>
  <c r="U2445" i="15"/>
  <c r="V2444" i="15"/>
  <c r="U2444" i="15"/>
  <c r="V2443" i="15"/>
  <c r="U2443" i="15"/>
  <c r="V2442" i="15"/>
  <c r="U2442" i="15"/>
  <c r="V2441" i="15"/>
  <c r="U2441" i="15"/>
  <c r="V2440" i="15"/>
  <c r="U2440" i="15"/>
  <c r="V2439" i="15"/>
  <c r="U2439" i="15"/>
  <c r="V2438" i="15"/>
  <c r="U2438" i="15"/>
  <c r="V2437" i="15"/>
  <c r="U2437" i="15"/>
  <c r="V2436" i="15"/>
  <c r="U2436" i="15"/>
  <c r="V2435" i="15"/>
  <c r="U2435" i="15"/>
  <c r="V2434" i="15"/>
  <c r="U2434" i="15"/>
  <c r="V2433" i="15"/>
  <c r="U2433" i="15"/>
  <c r="V2432" i="15"/>
  <c r="U2432" i="15"/>
  <c r="V2431" i="15"/>
  <c r="U2431" i="15"/>
  <c r="V2430" i="15"/>
  <c r="U2430" i="15"/>
  <c r="V2429" i="15"/>
  <c r="U2429" i="15"/>
  <c r="V2428" i="15"/>
  <c r="U2428" i="15"/>
  <c r="V2427" i="15"/>
  <c r="U2427" i="15"/>
  <c r="V2426" i="15"/>
  <c r="U2426" i="15"/>
  <c r="V2425" i="15"/>
  <c r="U2425" i="15"/>
  <c r="V2424" i="15"/>
  <c r="U2424" i="15"/>
  <c r="V2423" i="15"/>
  <c r="U2423" i="15"/>
  <c r="V2422" i="15"/>
  <c r="U2422" i="15"/>
  <c r="V2421" i="15"/>
  <c r="U2421" i="15"/>
  <c r="V2420" i="15"/>
  <c r="U2420" i="15"/>
  <c r="V2419" i="15"/>
  <c r="U2419" i="15"/>
  <c r="V2418" i="15"/>
  <c r="U2418" i="15"/>
  <c r="V2417" i="15"/>
  <c r="U2417" i="15"/>
  <c r="V2416" i="15"/>
  <c r="U2416" i="15"/>
  <c r="V2415" i="15"/>
  <c r="U2415" i="15"/>
  <c r="V2414" i="15"/>
  <c r="U2414" i="15"/>
  <c r="V2413" i="15"/>
  <c r="U2413" i="15"/>
  <c r="V2412" i="15"/>
  <c r="U2412" i="15"/>
  <c r="V2411" i="15"/>
  <c r="U2411" i="15"/>
  <c r="V2410" i="15"/>
  <c r="U2410" i="15"/>
  <c r="V2409" i="15"/>
  <c r="U2409" i="15"/>
  <c r="V2408" i="15"/>
  <c r="U2408" i="15"/>
  <c r="V2407" i="15"/>
  <c r="U2407" i="15"/>
  <c r="V2406" i="15"/>
  <c r="U2406" i="15"/>
  <c r="V2405" i="15"/>
  <c r="U2405" i="15"/>
  <c r="V2404" i="15"/>
  <c r="U2404" i="15"/>
  <c r="V2403" i="15"/>
  <c r="U2403" i="15"/>
  <c r="V2402" i="15"/>
  <c r="U2402" i="15"/>
  <c r="V2401" i="15"/>
  <c r="U2401" i="15"/>
  <c r="V2400" i="15"/>
  <c r="U2400" i="15"/>
  <c r="V2399" i="15"/>
  <c r="U2399" i="15"/>
  <c r="V2398" i="15"/>
  <c r="U2398" i="15"/>
  <c r="V2397" i="15"/>
  <c r="U2397" i="15"/>
  <c r="V2396" i="15"/>
  <c r="U2396" i="15"/>
  <c r="V2395" i="15"/>
  <c r="U2395" i="15"/>
  <c r="V2394" i="15"/>
  <c r="U2394" i="15"/>
  <c r="V2393" i="15"/>
  <c r="U2393" i="15"/>
  <c r="V2392" i="15"/>
  <c r="U2392" i="15"/>
  <c r="V2391" i="15"/>
  <c r="U2391" i="15"/>
  <c r="V2390" i="15"/>
  <c r="U2390" i="15"/>
  <c r="V2389" i="15"/>
  <c r="U2389" i="15"/>
  <c r="V2388" i="15"/>
  <c r="U2388" i="15"/>
  <c r="V2387" i="15"/>
  <c r="U2387" i="15"/>
  <c r="V2386" i="15"/>
  <c r="U2386" i="15"/>
  <c r="V2385" i="15"/>
  <c r="U2385" i="15"/>
  <c r="V2384" i="15"/>
  <c r="U2384" i="15"/>
  <c r="V2383" i="15"/>
  <c r="U2383" i="15"/>
  <c r="V2382" i="15"/>
  <c r="U2382" i="15"/>
  <c r="V2381" i="15"/>
  <c r="U2381" i="15"/>
  <c r="V2380" i="15"/>
  <c r="U2380" i="15"/>
  <c r="V2379" i="15"/>
  <c r="U2379" i="15"/>
  <c r="V2378" i="15"/>
  <c r="U2378" i="15"/>
  <c r="V2377" i="15"/>
  <c r="U2377" i="15"/>
  <c r="V2376" i="15"/>
  <c r="U2376" i="15"/>
  <c r="V2375" i="15"/>
  <c r="U2375" i="15"/>
  <c r="V2374" i="15"/>
  <c r="U2374" i="15"/>
  <c r="V2373" i="15"/>
  <c r="U2373" i="15"/>
  <c r="V2372" i="15"/>
  <c r="U2372" i="15"/>
  <c r="V2371" i="15"/>
  <c r="U2371" i="15"/>
  <c r="V2370" i="15"/>
  <c r="U2370" i="15"/>
  <c r="V2369" i="15"/>
  <c r="U2369" i="15"/>
  <c r="V2368" i="15"/>
  <c r="U2368" i="15"/>
  <c r="V2367" i="15"/>
  <c r="U2367" i="15"/>
  <c r="V2366" i="15"/>
  <c r="U2366" i="15"/>
  <c r="V2365" i="15"/>
  <c r="U2365" i="15"/>
  <c r="V2364" i="15"/>
  <c r="U2364" i="15"/>
  <c r="V2363" i="15"/>
  <c r="U2363" i="15"/>
  <c r="V2362" i="15"/>
  <c r="U2362" i="15"/>
  <c r="V2361" i="15"/>
  <c r="U2361" i="15"/>
  <c r="V2360" i="15"/>
  <c r="U2360" i="15"/>
  <c r="V2359" i="15"/>
  <c r="U2359" i="15"/>
  <c r="V2358" i="15"/>
  <c r="U2358" i="15"/>
  <c r="V2357" i="15"/>
  <c r="U2357" i="15"/>
  <c r="V2356" i="15"/>
  <c r="U2356" i="15"/>
  <c r="V2355" i="15"/>
  <c r="U2355" i="15"/>
  <c r="V2354" i="15"/>
  <c r="U2354" i="15"/>
  <c r="V2353" i="15"/>
  <c r="U2353" i="15"/>
  <c r="V2352" i="15"/>
  <c r="U2352" i="15"/>
  <c r="V2351" i="15"/>
  <c r="U2351" i="15"/>
  <c r="V2350" i="15"/>
  <c r="U2350" i="15"/>
  <c r="V2349" i="15"/>
  <c r="U2349" i="15"/>
  <c r="V2348" i="15"/>
  <c r="U2348" i="15"/>
  <c r="V2347" i="15"/>
  <c r="U2347" i="15"/>
  <c r="V2346" i="15"/>
  <c r="U2346" i="15"/>
  <c r="V2345" i="15"/>
  <c r="U2345" i="15"/>
  <c r="V2344" i="15"/>
  <c r="U2344" i="15"/>
  <c r="V2343" i="15"/>
  <c r="U2343" i="15"/>
  <c r="V2342" i="15"/>
  <c r="U2342" i="15"/>
  <c r="V2341" i="15"/>
  <c r="U2341" i="15"/>
  <c r="V2340" i="15"/>
  <c r="U2340" i="15"/>
  <c r="V2339" i="15"/>
  <c r="U2339" i="15"/>
  <c r="V2338" i="15"/>
  <c r="U2338" i="15"/>
  <c r="V2337" i="15"/>
  <c r="U2337" i="15"/>
  <c r="V2336" i="15"/>
  <c r="U2336" i="15"/>
  <c r="V2335" i="15"/>
  <c r="U2335" i="15"/>
  <c r="V2334" i="15"/>
  <c r="U2334" i="15"/>
  <c r="V2333" i="15"/>
  <c r="U2333" i="15"/>
  <c r="V2332" i="15"/>
  <c r="U2332" i="15"/>
  <c r="V2331" i="15"/>
  <c r="U2331" i="15"/>
  <c r="V2330" i="15"/>
  <c r="U2330" i="15"/>
  <c r="V2329" i="15"/>
  <c r="U2329" i="15"/>
  <c r="V2328" i="15"/>
  <c r="U2328" i="15"/>
  <c r="V2327" i="15"/>
  <c r="U2327" i="15"/>
  <c r="V2326" i="15"/>
  <c r="U2326" i="15"/>
  <c r="V2325" i="15"/>
  <c r="U2325" i="15"/>
  <c r="V2324" i="15"/>
  <c r="U2324" i="15"/>
  <c r="V2323" i="15"/>
  <c r="U2323" i="15"/>
  <c r="V2322" i="15"/>
  <c r="U2322" i="15"/>
  <c r="V2321" i="15"/>
  <c r="U2321" i="15"/>
  <c r="V2320" i="15"/>
  <c r="U2320" i="15"/>
  <c r="V2319" i="15"/>
  <c r="U2319" i="15"/>
  <c r="V2318" i="15"/>
  <c r="U2318" i="15"/>
  <c r="V2317" i="15"/>
  <c r="U2317" i="15"/>
  <c r="V2316" i="15"/>
  <c r="U2316" i="15"/>
  <c r="V2315" i="15"/>
  <c r="U2315" i="15"/>
  <c r="V2314" i="15"/>
  <c r="U2314" i="15"/>
  <c r="V2313" i="15"/>
  <c r="U2313" i="15"/>
  <c r="V2312" i="15"/>
  <c r="U2312" i="15"/>
  <c r="V2311" i="15"/>
  <c r="U2311" i="15"/>
  <c r="V2310" i="15"/>
  <c r="U2310" i="15"/>
  <c r="V2309" i="15"/>
  <c r="U2309" i="15"/>
  <c r="V2308" i="15"/>
  <c r="U2308" i="15"/>
  <c r="V2307" i="15"/>
  <c r="U2307" i="15"/>
  <c r="V2306" i="15"/>
  <c r="U2306" i="15"/>
  <c r="V2305" i="15"/>
  <c r="U2305" i="15"/>
  <c r="V2304" i="15"/>
  <c r="U2304" i="15"/>
  <c r="V2303" i="15"/>
  <c r="U2303" i="15"/>
  <c r="V2302" i="15"/>
  <c r="U2302" i="15"/>
  <c r="V2301" i="15"/>
  <c r="U2301" i="15"/>
  <c r="V2300" i="15"/>
  <c r="U2300" i="15"/>
  <c r="V2299" i="15"/>
  <c r="U2299" i="15"/>
  <c r="V2298" i="15"/>
  <c r="U2298" i="15"/>
  <c r="V2297" i="15"/>
  <c r="U2297" i="15"/>
  <c r="V2296" i="15"/>
  <c r="U2296" i="15"/>
  <c r="V2295" i="15"/>
  <c r="U2295" i="15"/>
  <c r="V2294" i="15"/>
  <c r="U2294" i="15"/>
  <c r="V2293" i="15"/>
  <c r="U2293" i="15"/>
  <c r="V2292" i="15"/>
  <c r="U2292" i="15"/>
  <c r="V2291" i="15"/>
  <c r="U2291" i="15"/>
  <c r="V2290" i="15"/>
  <c r="U2290" i="15"/>
  <c r="V2289" i="15"/>
  <c r="U2289" i="15"/>
  <c r="V2288" i="15"/>
  <c r="U2288" i="15"/>
  <c r="V2287" i="15"/>
  <c r="U2287" i="15"/>
  <c r="V2286" i="15"/>
  <c r="U2286" i="15"/>
  <c r="V2285" i="15"/>
  <c r="U2285" i="15"/>
  <c r="V2284" i="15"/>
  <c r="U2284" i="15"/>
  <c r="V2283" i="15"/>
  <c r="U2283" i="15"/>
  <c r="V2282" i="15"/>
  <c r="U2282" i="15"/>
  <c r="V2281" i="15"/>
  <c r="U2281" i="15"/>
  <c r="V2280" i="15"/>
  <c r="U2280" i="15"/>
  <c r="V2279" i="15"/>
  <c r="U2279" i="15"/>
  <c r="V2278" i="15"/>
  <c r="U2278" i="15"/>
  <c r="V2277" i="15"/>
  <c r="U2277" i="15"/>
  <c r="V2276" i="15"/>
  <c r="U2276" i="15"/>
  <c r="V2275" i="15"/>
  <c r="U2275" i="15"/>
  <c r="V2274" i="15"/>
  <c r="U2274" i="15"/>
  <c r="V2273" i="15"/>
  <c r="U2273" i="15"/>
  <c r="V2272" i="15"/>
  <c r="U2272" i="15"/>
  <c r="V2271" i="15"/>
  <c r="U2271" i="15"/>
  <c r="V2270" i="15"/>
  <c r="U2270" i="15"/>
  <c r="V2269" i="15"/>
  <c r="U2269" i="15"/>
  <c r="V2268" i="15"/>
  <c r="U2268" i="15"/>
  <c r="V2267" i="15"/>
  <c r="U2267" i="15"/>
  <c r="V2266" i="15"/>
  <c r="U2266" i="15"/>
  <c r="V2265" i="15"/>
  <c r="U2265" i="15"/>
  <c r="V2264" i="15"/>
  <c r="U2264" i="15"/>
  <c r="V2263" i="15"/>
  <c r="U2263" i="15"/>
  <c r="V2262" i="15"/>
  <c r="U2262" i="15"/>
  <c r="V2261" i="15"/>
  <c r="U2261" i="15"/>
  <c r="V2260" i="15"/>
  <c r="U2260" i="15"/>
  <c r="V2259" i="15"/>
  <c r="U2259" i="15"/>
  <c r="V2258" i="15"/>
  <c r="U2258" i="15"/>
  <c r="V2257" i="15"/>
  <c r="U2257" i="15"/>
  <c r="V2256" i="15"/>
  <c r="U2256" i="15"/>
  <c r="V2255" i="15"/>
  <c r="U2255" i="15"/>
  <c r="V2254" i="15"/>
  <c r="U2254" i="15"/>
  <c r="V2253" i="15"/>
  <c r="U2253" i="15"/>
  <c r="V2252" i="15"/>
  <c r="U2252" i="15"/>
  <c r="V2251" i="15"/>
  <c r="U2251" i="15"/>
  <c r="V2250" i="15"/>
  <c r="U2250" i="15"/>
  <c r="V2249" i="15"/>
  <c r="U2249" i="15"/>
  <c r="V2248" i="15"/>
  <c r="U2248" i="15"/>
  <c r="V2247" i="15"/>
  <c r="U2247" i="15"/>
  <c r="V2246" i="15"/>
  <c r="U2246" i="15"/>
  <c r="V2245" i="15"/>
  <c r="U2245" i="15"/>
  <c r="V2244" i="15"/>
  <c r="U2244" i="15"/>
  <c r="V2243" i="15"/>
  <c r="U2243" i="15"/>
  <c r="V2242" i="15"/>
  <c r="U2242" i="15"/>
  <c r="V2241" i="15"/>
  <c r="U2241" i="15"/>
  <c r="V2240" i="15"/>
  <c r="U2240" i="15"/>
  <c r="V2239" i="15"/>
  <c r="U2239" i="15"/>
  <c r="V2238" i="15"/>
  <c r="U2238" i="15"/>
  <c r="V2237" i="15"/>
  <c r="U2237" i="15"/>
  <c r="V2236" i="15"/>
  <c r="U2236" i="15"/>
  <c r="V2235" i="15"/>
  <c r="U2235" i="15"/>
  <c r="V2234" i="15"/>
  <c r="U2234" i="15"/>
  <c r="V2233" i="15"/>
  <c r="U2233" i="15"/>
  <c r="V2232" i="15"/>
  <c r="U2232" i="15"/>
  <c r="V2231" i="15"/>
  <c r="U2231" i="15"/>
  <c r="V2230" i="15"/>
  <c r="U2230" i="15"/>
  <c r="V2229" i="15"/>
  <c r="U2229" i="15"/>
  <c r="V2228" i="15"/>
  <c r="U2228" i="15"/>
  <c r="V2227" i="15"/>
  <c r="U2227" i="15"/>
  <c r="V2226" i="15"/>
  <c r="U2226" i="15"/>
  <c r="V2225" i="15"/>
  <c r="U2225" i="15"/>
  <c r="V2224" i="15"/>
  <c r="U2224" i="15"/>
  <c r="V2223" i="15"/>
  <c r="U2223" i="15"/>
  <c r="V2222" i="15"/>
  <c r="U2222" i="15"/>
  <c r="V2221" i="15"/>
  <c r="U2221" i="15"/>
  <c r="V2220" i="15"/>
  <c r="U2220" i="15"/>
  <c r="V2219" i="15"/>
  <c r="U2219" i="15"/>
  <c r="V2218" i="15"/>
  <c r="U2218" i="15"/>
  <c r="V2217" i="15"/>
  <c r="U2217" i="15"/>
  <c r="V2216" i="15"/>
  <c r="U2216" i="15"/>
  <c r="V2215" i="15"/>
  <c r="U2215" i="15"/>
  <c r="V2214" i="15"/>
  <c r="U2214" i="15"/>
  <c r="V2213" i="15"/>
  <c r="U2213" i="15"/>
  <c r="V2212" i="15"/>
  <c r="U2212" i="15"/>
  <c r="V2211" i="15"/>
  <c r="U2211" i="15"/>
  <c r="V2210" i="15"/>
  <c r="U2210" i="15"/>
  <c r="V2209" i="15"/>
  <c r="U2209" i="15"/>
  <c r="V2208" i="15"/>
  <c r="U2208" i="15"/>
  <c r="V2207" i="15"/>
  <c r="U2207" i="15"/>
  <c r="V2206" i="15"/>
  <c r="U2206" i="15"/>
  <c r="V2205" i="15"/>
  <c r="U2205" i="15"/>
  <c r="V2204" i="15"/>
  <c r="U2204" i="15"/>
  <c r="V2203" i="15"/>
  <c r="U2203" i="15"/>
  <c r="V2202" i="15"/>
  <c r="U2202" i="15"/>
  <c r="V2201" i="15"/>
  <c r="U2201" i="15"/>
  <c r="V2200" i="15"/>
  <c r="U2200" i="15"/>
  <c r="V2199" i="15"/>
  <c r="U2199" i="15"/>
  <c r="V2198" i="15"/>
  <c r="U2198" i="15"/>
  <c r="V2197" i="15"/>
  <c r="U2197" i="15"/>
  <c r="V2196" i="15"/>
  <c r="U2196" i="15"/>
  <c r="V2195" i="15"/>
  <c r="U2195" i="15"/>
  <c r="V2194" i="15"/>
  <c r="U2194" i="15"/>
  <c r="V2193" i="15"/>
  <c r="U2193" i="15"/>
  <c r="V2192" i="15"/>
  <c r="U2192" i="15"/>
  <c r="V2191" i="15"/>
  <c r="U2191" i="15"/>
  <c r="V2190" i="15"/>
  <c r="U2190" i="15"/>
  <c r="V2189" i="15"/>
  <c r="U2189" i="15"/>
  <c r="V2188" i="15"/>
  <c r="U2188" i="15"/>
  <c r="V2187" i="15"/>
  <c r="U2187" i="15"/>
  <c r="V2186" i="15"/>
  <c r="U2186" i="15"/>
  <c r="V2185" i="15"/>
  <c r="U2185" i="15"/>
  <c r="V2184" i="15"/>
  <c r="U2184" i="15"/>
  <c r="V2183" i="15"/>
  <c r="U2183" i="15"/>
  <c r="V2182" i="15"/>
  <c r="U2182" i="15"/>
  <c r="V2181" i="15"/>
  <c r="U2181" i="15"/>
  <c r="V2180" i="15"/>
  <c r="U2180" i="15"/>
  <c r="V2179" i="15"/>
  <c r="U2179" i="15"/>
  <c r="V2178" i="15"/>
  <c r="U2178" i="15"/>
  <c r="V2177" i="15"/>
  <c r="U2177" i="15"/>
  <c r="V2176" i="15"/>
  <c r="U2176" i="15"/>
  <c r="V2175" i="15"/>
  <c r="U2175" i="15"/>
  <c r="V2174" i="15"/>
  <c r="U2174" i="15"/>
  <c r="V2173" i="15"/>
  <c r="U2173" i="15"/>
  <c r="V2172" i="15"/>
  <c r="U2172" i="15"/>
  <c r="V2171" i="15"/>
  <c r="U2171" i="15"/>
  <c r="V2170" i="15"/>
  <c r="U2170" i="15"/>
  <c r="V2169" i="15"/>
  <c r="U2169" i="15"/>
  <c r="V2168" i="15"/>
  <c r="U2168" i="15"/>
  <c r="V2167" i="15"/>
  <c r="U2167" i="15"/>
  <c r="V2166" i="15"/>
  <c r="U2166" i="15"/>
  <c r="V2165" i="15"/>
  <c r="U2165" i="15"/>
  <c r="V2164" i="15"/>
  <c r="U2164" i="15"/>
  <c r="V2163" i="15"/>
  <c r="U2163" i="15"/>
  <c r="V2162" i="15"/>
  <c r="U2162" i="15"/>
  <c r="V2161" i="15"/>
  <c r="U2161" i="15"/>
  <c r="V2160" i="15"/>
  <c r="U2160" i="15"/>
  <c r="V2159" i="15"/>
  <c r="U2159" i="15"/>
  <c r="V2158" i="15"/>
  <c r="U2158" i="15"/>
  <c r="V2157" i="15"/>
  <c r="U2157" i="15"/>
  <c r="V2156" i="15"/>
  <c r="U2156" i="15"/>
  <c r="V2155" i="15"/>
  <c r="U2155" i="15"/>
  <c r="V2154" i="15"/>
  <c r="U2154" i="15"/>
  <c r="V2153" i="15"/>
  <c r="U2153" i="15"/>
  <c r="V2152" i="15"/>
  <c r="U2152" i="15"/>
  <c r="V2151" i="15"/>
  <c r="U2151" i="15"/>
  <c r="V2150" i="15"/>
  <c r="U2150" i="15"/>
  <c r="V2149" i="15"/>
  <c r="U2149" i="15"/>
  <c r="V2148" i="15"/>
  <c r="U2148" i="15"/>
  <c r="V2147" i="15"/>
  <c r="U2147" i="15"/>
  <c r="V2146" i="15"/>
  <c r="U2146" i="15"/>
  <c r="V2145" i="15"/>
  <c r="U2145" i="15"/>
  <c r="V2144" i="15"/>
  <c r="U2144" i="15"/>
  <c r="V2143" i="15"/>
  <c r="U2143" i="15"/>
  <c r="V2142" i="15"/>
  <c r="U2142" i="15"/>
  <c r="V2141" i="15"/>
  <c r="U2141" i="15"/>
  <c r="V2140" i="15"/>
  <c r="U2140" i="15"/>
  <c r="V2139" i="15"/>
  <c r="U2139" i="15"/>
  <c r="V2138" i="15"/>
  <c r="U2138" i="15"/>
  <c r="V2137" i="15"/>
  <c r="U2137" i="15"/>
  <c r="V2136" i="15"/>
  <c r="U2136" i="15"/>
  <c r="V2135" i="15"/>
  <c r="U2135" i="15"/>
  <c r="V2134" i="15"/>
  <c r="U2134" i="15"/>
  <c r="V2133" i="15"/>
  <c r="U2133" i="15"/>
  <c r="V2132" i="15"/>
  <c r="U2132" i="15"/>
  <c r="V2131" i="15"/>
  <c r="U2131" i="15"/>
  <c r="V2130" i="15"/>
  <c r="U2130" i="15"/>
  <c r="V2129" i="15"/>
  <c r="U2129" i="15"/>
  <c r="V2128" i="15"/>
  <c r="U2128" i="15"/>
  <c r="V2127" i="15"/>
  <c r="U2127" i="15"/>
  <c r="V2126" i="15"/>
  <c r="U2126" i="15"/>
  <c r="V2125" i="15"/>
  <c r="U2125" i="15"/>
  <c r="V2124" i="15"/>
  <c r="U2124" i="15"/>
  <c r="V2123" i="15"/>
  <c r="U2123" i="15"/>
  <c r="V2122" i="15"/>
  <c r="U2122" i="15"/>
  <c r="V2121" i="15"/>
  <c r="U2121" i="15"/>
  <c r="V2120" i="15"/>
  <c r="U2120" i="15"/>
  <c r="V2119" i="15"/>
  <c r="U2119" i="15"/>
  <c r="V2118" i="15"/>
  <c r="U2118" i="15"/>
  <c r="V2117" i="15"/>
  <c r="U2117" i="15"/>
  <c r="V2116" i="15"/>
  <c r="U2116" i="15"/>
  <c r="V2115" i="15"/>
  <c r="U2115" i="15"/>
  <c r="V2114" i="15"/>
  <c r="U2114" i="15"/>
  <c r="V2113" i="15"/>
  <c r="U2113" i="15"/>
  <c r="V2112" i="15"/>
  <c r="U2112" i="15"/>
  <c r="V2111" i="15"/>
  <c r="U2111" i="15"/>
  <c r="V2110" i="15"/>
  <c r="U2110" i="15"/>
  <c r="V2109" i="15"/>
  <c r="U2109" i="15"/>
  <c r="V2108" i="15"/>
  <c r="U2108" i="15"/>
  <c r="V2107" i="15"/>
  <c r="U2107" i="15"/>
  <c r="V2106" i="15"/>
  <c r="U2106" i="15"/>
  <c r="V2105" i="15"/>
  <c r="U2105" i="15"/>
  <c r="V2104" i="15"/>
  <c r="U2104" i="15"/>
  <c r="V2103" i="15"/>
  <c r="U2103" i="15"/>
  <c r="V2102" i="15"/>
  <c r="U2102" i="15"/>
  <c r="V2101" i="15"/>
  <c r="U2101" i="15"/>
  <c r="V2100" i="15"/>
  <c r="U2100" i="15"/>
  <c r="V2099" i="15"/>
  <c r="U2099" i="15"/>
  <c r="V2098" i="15"/>
  <c r="U2098" i="15"/>
  <c r="V2097" i="15"/>
  <c r="U2097" i="15"/>
  <c r="V2096" i="15"/>
  <c r="U2096" i="15"/>
  <c r="V2095" i="15"/>
  <c r="U2095" i="15"/>
  <c r="V2094" i="15"/>
  <c r="U2094" i="15"/>
  <c r="V2093" i="15"/>
  <c r="U2093" i="15"/>
  <c r="V2092" i="15"/>
  <c r="U2092" i="15"/>
  <c r="V2091" i="15"/>
  <c r="U2091" i="15"/>
  <c r="V2090" i="15"/>
  <c r="U2090" i="15"/>
  <c r="V2089" i="15"/>
  <c r="U2089" i="15"/>
  <c r="V2088" i="15"/>
  <c r="U2088" i="15"/>
  <c r="V2087" i="15"/>
  <c r="U2087" i="15"/>
  <c r="V2086" i="15"/>
  <c r="U2086" i="15"/>
  <c r="V2085" i="15"/>
  <c r="U2085" i="15"/>
  <c r="V2084" i="15"/>
  <c r="U2084" i="15"/>
  <c r="V2083" i="15"/>
  <c r="U2083" i="15"/>
  <c r="V2082" i="15"/>
  <c r="U2082" i="15"/>
  <c r="V2081" i="15"/>
  <c r="U2081" i="15"/>
  <c r="V2080" i="15"/>
  <c r="U2080" i="15"/>
  <c r="V2079" i="15"/>
  <c r="U2079" i="15"/>
  <c r="V2078" i="15"/>
  <c r="U2078" i="15"/>
  <c r="V2077" i="15"/>
  <c r="U2077" i="15"/>
  <c r="V2076" i="15"/>
  <c r="U2076" i="15"/>
  <c r="V2075" i="15"/>
  <c r="U2075" i="15"/>
  <c r="V2074" i="15"/>
  <c r="U2074" i="15"/>
  <c r="V2073" i="15"/>
  <c r="U2073" i="15"/>
  <c r="V2072" i="15"/>
  <c r="U2072" i="15"/>
  <c r="V2071" i="15"/>
  <c r="U2071" i="15"/>
  <c r="V2070" i="15"/>
  <c r="U2070" i="15"/>
  <c r="V2069" i="15"/>
  <c r="U2069" i="15"/>
  <c r="V2068" i="15"/>
  <c r="U2068" i="15"/>
  <c r="V2067" i="15"/>
  <c r="U2067" i="15"/>
  <c r="V2066" i="15"/>
  <c r="U2066" i="15"/>
  <c r="V2065" i="15"/>
  <c r="U2065" i="15"/>
  <c r="V2064" i="15"/>
  <c r="U2064" i="15"/>
  <c r="V2063" i="15"/>
  <c r="U2063" i="15"/>
  <c r="V2062" i="15"/>
  <c r="U2062" i="15"/>
  <c r="V2061" i="15"/>
  <c r="U2061" i="15"/>
  <c r="V2060" i="15"/>
  <c r="U2060" i="15"/>
  <c r="V2059" i="15"/>
  <c r="U2059" i="15"/>
  <c r="V2058" i="15"/>
  <c r="U2058" i="15"/>
  <c r="V2057" i="15"/>
  <c r="U2057" i="15"/>
  <c r="V2056" i="15"/>
  <c r="U2056" i="15"/>
  <c r="V2055" i="15"/>
  <c r="U2055" i="15"/>
  <c r="V2054" i="15"/>
  <c r="U2054" i="15"/>
  <c r="V2053" i="15"/>
  <c r="U2053" i="15"/>
  <c r="V2052" i="15"/>
  <c r="U2052" i="15"/>
  <c r="V2051" i="15"/>
  <c r="U2051" i="15"/>
  <c r="V2050" i="15"/>
  <c r="U2050" i="15"/>
  <c r="V2049" i="15"/>
  <c r="U2049" i="15"/>
  <c r="V2048" i="15"/>
  <c r="U2048" i="15"/>
  <c r="V2047" i="15"/>
  <c r="U2047" i="15"/>
  <c r="V2046" i="15"/>
  <c r="U2046" i="15"/>
  <c r="V2045" i="15"/>
  <c r="U2045" i="15"/>
  <c r="V2044" i="15"/>
  <c r="U2044" i="15"/>
  <c r="V2043" i="15"/>
  <c r="U2043" i="15"/>
  <c r="V2042" i="15"/>
  <c r="U2042" i="15"/>
  <c r="V2041" i="15"/>
  <c r="U2041" i="15"/>
  <c r="V2040" i="15"/>
  <c r="U2040" i="15"/>
  <c r="V2039" i="15"/>
  <c r="U2039" i="15"/>
  <c r="V2038" i="15"/>
  <c r="U2038" i="15"/>
  <c r="V2037" i="15"/>
  <c r="U2037" i="15"/>
  <c r="V2036" i="15"/>
  <c r="U2036" i="15"/>
  <c r="V2035" i="15"/>
  <c r="U2035" i="15"/>
  <c r="V2034" i="15"/>
  <c r="U2034" i="15"/>
  <c r="V2033" i="15"/>
  <c r="U2033" i="15"/>
  <c r="V2032" i="15"/>
  <c r="U2032" i="15"/>
  <c r="V2031" i="15"/>
  <c r="U2031" i="15"/>
  <c r="V2030" i="15"/>
  <c r="U2030" i="15"/>
  <c r="V2029" i="15"/>
  <c r="U2029" i="15"/>
  <c r="V2028" i="15"/>
  <c r="U2028" i="15"/>
  <c r="V2027" i="15"/>
  <c r="U2027" i="15"/>
  <c r="V2026" i="15"/>
  <c r="U2026" i="15"/>
  <c r="V2025" i="15"/>
  <c r="U2025" i="15"/>
  <c r="V2024" i="15"/>
  <c r="U2024" i="15"/>
  <c r="V2023" i="15"/>
  <c r="U2023" i="15"/>
  <c r="V2022" i="15"/>
  <c r="U2022" i="15"/>
  <c r="V2021" i="15"/>
  <c r="U2021" i="15"/>
  <c r="V2020" i="15"/>
  <c r="U2020" i="15"/>
  <c r="V2019" i="15"/>
  <c r="U2019" i="15"/>
  <c r="V2018" i="15"/>
  <c r="U2018" i="15"/>
  <c r="V2017" i="15"/>
  <c r="U2017" i="15"/>
  <c r="V2016" i="15"/>
  <c r="U2016" i="15"/>
  <c r="V2015" i="15"/>
  <c r="U2015" i="15"/>
  <c r="V2014" i="15"/>
  <c r="U2014" i="15"/>
  <c r="V2013" i="15"/>
  <c r="U2013" i="15"/>
  <c r="V2012" i="15"/>
  <c r="U2012" i="15"/>
  <c r="V2011" i="15"/>
  <c r="U2011" i="15"/>
  <c r="V2010" i="15"/>
  <c r="U2010" i="15"/>
  <c r="V2009" i="15"/>
  <c r="U2009" i="15"/>
  <c r="V2008" i="15"/>
  <c r="U2008" i="15"/>
  <c r="V2007" i="15"/>
  <c r="U2007" i="15"/>
  <c r="V2006" i="15"/>
  <c r="U2006" i="15"/>
  <c r="V2005" i="15"/>
  <c r="U2005" i="15"/>
  <c r="V2004" i="15"/>
  <c r="U2004" i="15"/>
  <c r="V2003" i="15"/>
  <c r="U2003" i="15"/>
  <c r="V2002" i="15"/>
  <c r="U2002" i="15"/>
  <c r="V2001" i="15"/>
  <c r="U2001" i="15"/>
  <c r="V2000" i="15"/>
  <c r="U2000" i="15"/>
  <c r="V1999" i="15"/>
  <c r="U1999" i="15"/>
  <c r="V1998" i="15"/>
  <c r="U1998" i="15"/>
  <c r="V1997" i="15"/>
  <c r="U1997" i="15"/>
  <c r="V1996" i="15"/>
  <c r="U1996" i="15"/>
  <c r="V1995" i="15"/>
  <c r="U1995" i="15"/>
  <c r="V1994" i="15"/>
  <c r="U1994" i="15"/>
  <c r="V1993" i="15"/>
  <c r="U1993" i="15"/>
  <c r="V1992" i="15"/>
  <c r="U1992" i="15"/>
  <c r="V1991" i="15"/>
  <c r="U1991" i="15"/>
  <c r="V1990" i="15"/>
  <c r="U1990" i="15"/>
  <c r="V1989" i="15"/>
  <c r="U1989" i="15"/>
  <c r="V1988" i="15"/>
  <c r="U1988" i="15"/>
  <c r="V1987" i="15"/>
  <c r="U1987" i="15"/>
  <c r="V1986" i="15"/>
  <c r="U1986" i="15"/>
  <c r="V1985" i="15"/>
  <c r="U1985" i="15"/>
  <c r="V1984" i="15"/>
  <c r="U1984" i="15"/>
  <c r="V1983" i="15"/>
  <c r="U1983" i="15"/>
  <c r="V1982" i="15"/>
  <c r="U1982" i="15"/>
  <c r="V1981" i="15"/>
  <c r="U1981" i="15"/>
  <c r="V1980" i="15"/>
  <c r="U1980" i="15"/>
  <c r="V1979" i="15"/>
  <c r="U1979" i="15"/>
  <c r="V1978" i="15"/>
  <c r="U1978" i="15"/>
  <c r="V1977" i="15"/>
  <c r="U1977" i="15"/>
  <c r="V1976" i="15"/>
  <c r="U1976" i="15"/>
  <c r="V1975" i="15"/>
  <c r="U1975" i="15"/>
  <c r="V1974" i="15"/>
  <c r="U1974" i="15"/>
  <c r="V1973" i="15"/>
  <c r="U1973" i="15"/>
  <c r="V1972" i="15"/>
  <c r="U1972" i="15"/>
  <c r="V1971" i="15"/>
  <c r="U1971" i="15"/>
  <c r="V1970" i="15"/>
  <c r="U1970" i="15"/>
  <c r="V1969" i="15"/>
  <c r="U1969" i="15"/>
  <c r="V1968" i="15"/>
  <c r="U1968" i="15"/>
  <c r="V1967" i="15"/>
  <c r="U1967" i="15"/>
  <c r="V1966" i="15"/>
  <c r="U1966" i="15"/>
  <c r="V1965" i="15"/>
  <c r="U1965" i="15"/>
  <c r="V1964" i="15"/>
  <c r="U1964" i="15"/>
  <c r="V1963" i="15"/>
  <c r="U1963" i="15"/>
  <c r="V1962" i="15"/>
  <c r="U1962" i="15"/>
  <c r="V1961" i="15"/>
  <c r="U1961" i="15"/>
  <c r="V1960" i="15"/>
  <c r="U1960" i="15"/>
  <c r="V1959" i="15"/>
  <c r="U1959" i="15"/>
  <c r="V1958" i="15"/>
  <c r="U1958" i="15"/>
  <c r="V1957" i="15"/>
  <c r="U1957" i="15"/>
  <c r="V1956" i="15"/>
  <c r="U1956" i="15"/>
  <c r="V1955" i="15"/>
  <c r="U1955" i="15"/>
  <c r="V1954" i="15"/>
  <c r="U1954" i="15"/>
  <c r="V1953" i="15"/>
  <c r="U1953" i="15"/>
  <c r="V1952" i="15"/>
  <c r="U1952" i="15"/>
  <c r="V1951" i="15"/>
  <c r="U1951" i="15"/>
  <c r="V1950" i="15"/>
  <c r="U1950" i="15"/>
  <c r="V1949" i="15"/>
  <c r="U1949" i="15"/>
  <c r="V1948" i="15"/>
  <c r="U1948" i="15"/>
  <c r="V1947" i="15"/>
  <c r="U1947" i="15"/>
  <c r="V1946" i="15"/>
  <c r="U1946" i="15"/>
  <c r="V1945" i="15"/>
  <c r="U1945" i="15"/>
  <c r="V1944" i="15"/>
  <c r="U1944" i="15"/>
  <c r="V1943" i="15"/>
  <c r="U1943" i="15"/>
  <c r="V1942" i="15"/>
  <c r="U1942" i="15"/>
  <c r="V1941" i="15"/>
  <c r="U1941" i="15"/>
  <c r="V1940" i="15"/>
  <c r="U1940" i="15"/>
  <c r="V1939" i="15"/>
  <c r="U1939" i="15"/>
  <c r="V1938" i="15"/>
  <c r="U1938" i="15"/>
  <c r="V1937" i="15"/>
  <c r="U1937" i="15"/>
  <c r="V1936" i="15"/>
  <c r="U1936" i="15"/>
  <c r="V1935" i="15"/>
  <c r="U1935" i="15"/>
  <c r="V1934" i="15"/>
  <c r="U1934" i="15"/>
  <c r="V1933" i="15"/>
  <c r="U1933" i="15"/>
  <c r="V1932" i="15"/>
  <c r="U1932" i="15"/>
  <c r="V1931" i="15"/>
  <c r="U1931" i="15"/>
  <c r="V1930" i="15"/>
  <c r="U1930" i="15"/>
  <c r="V1929" i="15"/>
  <c r="U1929" i="15"/>
  <c r="V1928" i="15"/>
  <c r="U1928" i="15"/>
  <c r="V1927" i="15"/>
  <c r="U1927" i="15"/>
  <c r="V1926" i="15"/>
  <c r="U1926" i="15"/>
  <c r="V1925" i="15"/>
  <c r="U1925" i="15"/>
  <c r="V1924" i="15"/>
  <c r="U1924" i="15"/>
  <c r="V1923" i="15"/>
  <c r="U1923" i="15"/>
  <c r="V1922" i="15"/>
  <c r="U1922" i="15"/>
  <c r="V1921" i="15"/>
  <c r="U1921" i="15"/>
  <c r="V1920" i="15"/>
  <c r="U1920" i="15"/>
  <c r="V1919" i="15"/>
  <c r="U1919" i="15"/>
  <c r="V1918" i="15"/>
  <c r="U1918" i="15"/>
  <c r="V1917" i="15"/>
  <c r="U1917" i="15"/>
  <c r="V1916" i="15"/>
  <c r="U1916" i="15"/>
  <c r="V1915" i="15"/>
  <c r="U1915" i="15"/>
  <c r="V1914" i="15"/>
  <c r="U1914" i="15"/>
  <c r="V1913" i="15"/>
  <c r="U1913" i="15"/>
  <c r="V1912" i="15"/>
  <c r="U1912" i="15"/>
  <c r="V1911" i="15"/>
  <c r="U1911" i="15"/>
  <c r="V1910" i="15"/>
  <c r="U1910" i="15"/>
  <c r="V1909" i="15"/>
  <c r="U1909" i="15"/>
  <c r="V1908" i="15"/>
  <c r="U1908" i="15"/>
  <c r="V1907" i="15"/>
  <c r="U1907" i="15"/>
  <c r="V1906" i="15"/>
  <c r="U1906" i="15"/>
  <c r="V1905" i="15"/>
  <c r="U1905" i="15"/>
  <c r="V1904" i="15"/>
  <c r="U1904" i="15"/>
  <c r="V1903" i="15"/>
  <c r="U1903" i="15"/>
  <c r="V1902" i="15"/>
  <c r="U1902" i="15"/>
  <c r="V1901" i="15"/>
  <c r="U1901" i="15"/>
  <c r="V1900" i="15"/>
  <c r="U1900" i="15"/>
  <c r="V1899" i="15"/>
  <c r="U1899" i="15"/>
  <c r="V1898" i="15"/>
  <c r="U1898" i="15"/>
  <c r="V1897" i="15"/>
  <c r="U1897" i="15"/>
  <c r="V1896" i="15"/>
  <c r="U1896" i="15"/>
  <c r="V1895" i="15"/>
  <c r="U1895" i="15"/>
  <c r="V1894" i="15"/>
  <c r="U1894" i="15"/>
  <c r="V1893" i="15"/>
  <c r="U1893" i="15"/>
  <c r="V1892" i="15"/>
  <c r="U1892" i="15"/>
  <c r="V1891" i="15"/>
  <c r="U1891" i="15"/>
  <c r="V1890" i="15"/>
  <c r="U1890" i="15"/>
  <c r="V1889" i="15"/>
  <c r="U1889" i="15"/>
  <c r="V1888" i="15"/>
  <c r="U1888" i="15"/>
  <c r="V1887" i="15"/>
  <c r="U1887" i="15"/>
  <c r="V1886" i="15"/>
  <c r="U1886" i="15"/>
  <c r="V1885" i="15"/>
  <c r="U1885" i="15"/>
  <c r="V1884" i="15"/>
  <c r="U1884" i="15"/>
  <c r="V1883" i="15"/>
  <c r="U1883" i="15"/>
  <c r="V1882" i="15"/>
  <c r="U1882" i="15"/>
  <c r="V1881" i="15"/>
  <c r="U1881" i="15"/>
  <c r="V1880" i="15"/>
  <c r="U1880" i="15"/>
  <c r="V1879" i="15"/>
  <c r="U1879" i="15"/>
  <c r="V1878" i="15"/>
  <c r="U1878" i="15"/>
  <c r="V1877" i="15"/>
  <c r="U1877" i="15"/>
  <c r="V1876" i="15"/>
  <c r="U1876" i="15"/>
  <c r="V1875" i="15"/>
  <c r="U1875" i="15"/>
  <c r="V1874" i="15"/>
  <c r="U1874" i="15"/>
  <c r="V1873" i="15"/>
  <c r="U1873" i="15"/>
  <c r="V1872" i="15"/>
  <c r="U1872" i="15"/>
  <c r="V1871" i="15"/>
  <c r="U1871" i="15"/>
  <c r="V1870" i="15"/>
  <c r="U1870" i="15"/>
  <c r="V1869" i="15"/>
  <c r="U1869" i="15"/>
  <c r="V1868" i="15"/>
  <c r="U1868" i="15"/>
  <c r="V1867" i="15"/>
  <c r="U1867" i="15"/>
  <c r="V1866" i="15"/>
  <c r="U1866" i="15"/>
  <c r="V1865" i="15"/>
  <c r="U1865" i="15"/>
  <c r="V1864" i="15"/>
  <c r="U1864" i="15"/>
  <c r="V1863" i="15"/>
  <c r="U1863" i="15"/>
  <c r="V1862" i="15"/>
  <c r="U1862" i="15"/>
  <c r="V1861" i="15"/>
  <c r="U1861" i="15"/>
  <c r="V1860" i="15"/>
  <c r="U1860" i="15"/>
  <c r="V1859" i="15"/>
  <c r="U1859" i="15"/>
  <c r="V1858" i="15"/>
  <c r="U1858" i="15"/>
  <c r="V1857" i="15"/>
  <c r="U1857" i="15"/>
  <c r="V1856" i="15"/>
  <c r="U1856" i="15"/>
  <c r="V1855" i="15"/>
  <c r="U1855" i="15"/>
  <c r="V1854" i="15"/>
  <c r="U1854" i="15"/>
  <c r="V1853" i="15"/>
  <c r="U1853" i="15"/>
  <c r="V1852" i="15"/>
  <c r="U1852" i="15"/>
  <c r="V1851" i="15"/>
  <c r="U1851" i="15"/>
  <c r="V1850" i="15"/>
  <c r="U1850" i="15"/>
  <c r="V1849" i="15"/>
  <c r="U1849" i="15"/>
  <c r="V1848" i="15"/>
  <c r="U1848" i="15"/>
  <c r="V1847" i="15"/>
  <c r="U1847" i="15"/>
  <c r="V1846" i="15"/>
  <c r="U1846" i="15"/>
  <c r="V1845" i="15"/>
  <c r="U1845" i="15"/>
  <c r="V1844" i="15"/>
  <c r="U1844" i="15"/>
  <c r="V1843" i="15"/>
  <c r="U1843" i="15"/>
  <c r="V1842" i="15"/>
  <c r="U1842" i="15"/>
  <c r="V1841" i="15"/>
  <c r="U1841" i="15"/>
  <c r="V1840" i="15"/>
  <c r="U1840" i="15"/>
  <c r="V1839" i="15"/>
  <c r="U1839" i="15"/>
  <c r="V1838" i="15"/>
  <c r="U1838" i="15"/>
  <c r="V1837" i="15"/>
  <c r="U1837" i="15"/>
  <c r="V1836" i="15"/>
  <c r="U1836" i="15"/>
  <c r="V1835" i="15"/>
  <c r="U1835" i="15"/>
  <c r="V1834" i="15"/>
  <c r="U1834" i="15"/>
  <c r="V1833" i="15"/>
  <c r="U1833" i="15"/>
  <c r="V1832" i="15"/>
  <c r="U1832" i="15"/>
  <c r="V1831" i="15"/>
  <c r="U1831" i="15"/>
  <c r="V1830" i="15"/>
  <c r="U1830" i="15"/>
  <c r="V1829" i="15"/>
  <c r="U1829" i="15"/>
  <c r="V1828" i="15"/>
  <c r="U1828" i="15"/>
  <c r="V1827" i="15"/>
  <c r="U1827" i="15"/>
  <c r="V1826" i="15"/>
  <c r="U1826" i="15"/>
  <c r="V1825" i="15"/>
  <c r="U1825" i="15"/>
  <c r="V1824" i="15"/>
  <c r="U1824" i="15"/>
  <c r="V1823" i="15"/>
  <c r="U1823" i="15"/>
  <c r="V1822" i="15"/>
  <c r="U1822" i="15"/>
  <c r="V1821" i="15"/>
  <c r="U1821" i="15"/>
  <c r="V1820" i="15"/>
  <c r="U1820" i="15"/>
  <c r="V1819" i="15"/>
  <c r="U1819" i="15"/>
  <c r="V1818" i="15"/>
  <c r="U1818" i="15"/>
  <c r="V1817" i="15"/>
  <c r="U1817" i="15"/>
  <c r="V1816" i="15"/>
  <c r="U1816" i="15"/>
  <c r="V1815" i="15"/>
  <c r="U1815" i="15"/>
  <c r="V1814" i="15"/>
  <c r="U1814" i="15"/>
  <c r="V1813" i="15"/>
  <c r="U1813" i="15"/>
  <c r="V1812" i="15"/>
  <c r="U1812" i="15"/>
  <c r="V1811" i="15"/>
  <c r="U1811" i="15"/>
  <c r="V1810" i="15"/>
  <c r="U1810" i="15"/>
  <c r="V1809" i="15"/>
  <c r="U1809" i="15"/>
  <c r="V1808" i="15"/>
  <c r="U1808" i="15"/>
  <c r="V1807" i="15"/>
  <c r="U1807" i="15"/>
  <c r="V1806" i="15"/>
  <c r="U1806" i="15"/>
  <c r="V1805" i="15"/>
  <c r="U1805" i="15"/>
  <c r="V1804" i="15"/>
  <c r="U1804" i="15"/>
  <c r="V1803" i="15"/>
  <c r="U1803" i="15"/>
  <c r="V1802" i="15"/>
  <c r="U1802" i="15"/>
  <c r="V1801" i="15"/>
  <c r="U1801" i="15"/>
  <c r="V1800" i="15"/>
  <c r="U1800" i="15"/>
  <c r="V1799" i="15"/>
  <c r="U1799" i="15"/>
  <c r="V1798" i="15"/>
  <c r="U1798" i="15"/>
  <c r="V1797" i="15"/>
  <c r="U1797" i="15"/>
  <c r="V1796" i="15"/>
  <c r="U1796" i="15"/>
  <c r="V1795" i="15"/>
  <c r="U1795" i="15"/>
  <c r="V1794" i="15"/>
  <c r="U1794" i="15"/>
  <c r="V1793" i="15"/>
  <c r="U1793" i="15"/>
  <c r="V1792" i="15"/>
  <c r="U1792" i="15"/>
  <c r="V1791" i="15"/>
  <c r="U1791" i="15"/>
  <c r="V1790" i="15"/>
  <c r="U1790" i="15"/>
  <c r="V1789" i="15"/>
  <c r="U1789" i="15"/>
  <c r="V1788" i="15"/>
  <c r="U1788" i="15"/>
  <c r="V1787" i="15"/>
  <c r="U1787" i="15"/>
  <c r="V1786" i="15"/>
  <c r="U1786" i="15"/>
  <c r="V1785" i="15"/>
  <c r="U1785" i="15"/>
  <c r="V1784" i="15"/>
  <c r="U1784" i="15"/>
  <c r="V1783" i="15"/>
  <c r="U1783" i="15"/>
  <c r="V1782" i="15"/>
  <c r="U1782" i="15"/>
  <c r="V1781" i="15"/>
  <c r="U1781" i="15"/>
  <c r="V1780" i="15"/>
  <c r="U1780" i="15"/>
  <c r="V1779" i="15"/>
  <c r="U1779" i="15"/>
  <c r="V1778" i="15"/>
  <c r="U1778" i="15"/>
  <c r="V1777" i="15"/>
  <c r="U1777" i="15"/>
  <c r="V1776" i="15"/>
  <c r="U1776" i="15"/>
  <c r="V1775" i="15"/>
  <c r="U1775" i="15"/>
  <c r="V1774" i="15"/>
  <c r="U1774" i="15"/>
  <c r="V1773" i="15"/>
  <c r="U1773" i="15"/>
  <c r="V1772" i="15"/>
  <c r="U1772" i="15"/>
  <c r="V1771" i="15"/>
  <c r="U1771" i="15"/>
  <c r="V1770" i="15"/>
  <c r="U1770" i="15"/>
  <c r="V1769" i="15"/>
  <c r="U1769" i="15"/>
  <c r="V1768" i="15"/>
  <c r="U1768" i="15"/>
  <c r="V1767" i="15"/>
  <c r="U1767" i="15"/>
  <c r="V1766" i="15"/>
  <c r="U1766" i="15"/>
  <c r="V1765" i="15"/>
  <c r="U1765" i="15"/>
  <c r="V1764" i="15"/>
  <c r="U1764" i="15"/>
  <c r="V1763" i="15"/>
  <c r="U1763" i="15"/>
  <c r="V1762" i="15"/>
  <c r="U1762" i="15"/>
  <c r="V1761" i="15"/>
  <c r="U1761" i="15"/>
  <c r="V1760" i="15"/>
  <c r="U1760" i="15"/>
  <c r="V1759" i="15"/>
  <c r="U1759" i="15"/>
  <c r="V1758" i="15"/>
  <c r="U1758" i="15"/>
  <c r="V1757" i="15"/>
  <c r="U1757" i="15"/>
  <c r="V1756" i="15"/>
  <c r="U1756" i="15"/>
  <c r="V1755" i="15"/>
  <c r="U1755" i="15"/>
  <c r="V1754" i="15"/>
  <c r="U1754" i="15"/>
  <c r="V1753" i="15"/>
  <c r="U1753" i="15"/>
  <c r="V1752" i="15"/>
  <c r="U1752" i="15"/>
  <c r="V1751" i="15"/>
  <c r="U1751" i="15"/>
  <c r="V1750" i="15"/>
  <c r="U1750" i="15"/>
  <c r="V1749" i="15"/>
  <c r="U1749" i="15"/>
  <c r="V1748" i="15"/>
  <c r="U1748" i="15"/>
  <c r="V1747" i="15"/>
  <c r="U1747" i="15"/>
  <c r="V1746" i="15"/>
  <c r="U1746" i="15"/>
  <c r="V1745" i="15"/>
  <c r="U1745" i="15"/>
  <c r="V1744" i="15"/>
  <c r="U1744" i="15"/>
  <c r="V1743" i="15"/>
  <c r="U1743" i="15"/>
  <c r="V1742" i="15"/>
  <c r="U1742" i="15"/>
  <c r="V1741" i="15"/>
  <c r="U1741" i="15"/>
  <c r="V1740" i="15"/>
  <c r="U1740" i="15"/>
  <c r="V1739" i="15"/>
  <c r="U1739" i="15"/>
  <c r="V1738" i="15"/>
  <c r="U1738" i="15"/>
  <c r="V1737" i="15"/>
  <c r="U1737" i="15"/>
  <c r="V1736" i="15"/>
  <c r="U1736" i="15"/>
  <c r="V1735" i="15"/>
  <c r="U1735" i="15"/>
  <c r="V1734" i="15"/>
  <c r="U1734" i="15"/>
  <c r="V1733" i="15"/>
  <c r="U1733" i="15"/>
  <c r="V1732" i="15"/>
  <c r="U1732" i="15"/>
  <c r="V1731" i="15"/>
  <c r="U1731" i="15"/>
  <c r="V1730" i="15"/>
  <c r="U1730" i="15"/>
  <c r="V1729" i="15"/>
  <c r="U1729" i="15"/>
  <c r="V1728" i="15"/>
  <c r="U1728" i="15"/>
  <c r="V1727" i="15"/>
  <c r="U1727" i="15"/>
  <c r="V1726" i="15"/>
  <c r="U1726" i="15"/>
  <c r="V1725" i="15"/>
  <c r="U1725" i="15"/>
  <c r="V1724" i="15"/>
  <c r="U1724" i="15"/>
  <c r="V1723" i="15"/>
  <c r="U1723" i="15"/>
  <c r="V1722" i="15"/>
  <c r="U1722" i="15"/>
  <c r="V1721" i="15"/>
  <c r="U1721" i="15"/>
  <c r="V1720" i="15"/>
  <c r="U1720" i="15"/>
  <c r="V1719" i="15"/>
  <c r="U1719" i="15"/>
  <c r="V1718" i="15"/>
  <c r="U1718" i="15"/>
  <c r="V1717" i="15"/>
  <c r="U1717" i="15"/>
  <c r="V1716" i="15"/>
  <c r="U1716" i="15"/>
  <c r="V1715" i="15"/>
  <c r="U1715" i="15"/>
  <c r="V1714" i="15"/>
  <c r="U1714" i="15"/>
  <c r="V1713" i="15"/>
  <c r="U1713" i="15"/>
  <c r="V1712" i="15"/>
  <c r="U1712" i="15"/>
  <c r="V1711" i="15"/>
  <c r="U1711" i="15"/>
  <c r="V1710" i="15"/>
  <c r="U1710" i="15"/>
  <c r="V1709" i="15"/>
  <c r="U1709" i="15"/>
  <c r="V1708" i="15"/>
  <c r="U1708" i="15"/>
  <c r="V1707" i="15"/>
  <c r="U1707" i="15"/>
  <c r="V1706" i="15"/>
  <c r="U1706" i="15"/>
  <c r="V1705" i="15"/>
  <c r="U1705" i="15"/>
  <c r="V1704" i="15"/>
  <c r="U1704" i="15"/>
  <c r="V1703" i="15"/>
  <c r="U1703" i="15"/>
  <c r="V1702" i="15"/>
  <c r="U1702" i="15"/>
  <c r="V1701" i="15"/>
  <c r="U1701" i="15"/>
  <c r="V1700" i="15"/>
  <c r="U1700" i="15"/>
  <c r="V1699" i="15"/>
  <c r="U1699" i="15"/>
  <c r="V1698" i="15"/>
  <c r="U1698" i="15"/>
  <c r="V1697" i="15"/>
  <c r="U1697" i="15"/>
  <c r="V1696" i="15"/>
  <c r="U1696" i="15"/>
  <c r="V1695" i="15"/>
  <c r="U1695" i="15"/>
  <c r="V1694" i="15"/>
  <c r="U1694" i="15"/>
  <c r="V1693" i="15"/>
  <c r="U1693" i="15"/>
  <c r="V1692" i="15"/>
  <c r="U1692" i="15"/>
  <c r="V1691" i="15"/>
  <c r="U1691" i="15"/>
  <c r="V1690" i="15"/>
  <c r="U1690" i="15"/>
  <c r="V1689" i="15"/>
  <c r="U1689" i="15"/>
  <c r="V1688" i="15"/>
  <c r="U1688" i="15"/>
  <c r="V1687" i="15"/>
  <c r="U1687" i="15"/>
  <c r="V1686" i="15"/>
  <c r="U1686" i="15"/>
  <c r="V1685" i="15"/>
  <c r="U1685" i="15"/>
  <c r="V1684" i="15"/>
  <c r="U1684" i="15"/>
  <c r="V1683" i="15"/>
  <c r="U1683" i="15"/>
  <c r="V1682" i="15"/>
  <c r="U1682" i="15"/>
  <c r="V1681" i="15"/>
  <c r="U1681" i="15"/>
  <c r="V1680" i="15"/>
  <c r="U1680" i="15"/>
  <c r="V1679" i="15"/>
  <c r="U1679" i="15"/>
  <c r="V1678" i="15"/>
  <c r="U1678" i="15"/>
  <c r="V1677" i="15"/>
  <c r="U1677" i="15"/>
  <c r="V1676" i="15"/>
  <c r="U1676" i="15"/>
  <c r="V1675" i="15"/>
  <c r="U1675" i="15"/>
  <c r="V1674" i="15"/>
  <c r="U1674" i="15"/>
  <c r="V1673" i="15"/>
  <c r="U1673" i="15"/>
  <c r="V1672" i="15"/>
  <c r="U1672" i="15"/>
  <c r="V1671" i="15"/>
  <c r="U1671" i="15"/>
  <c r="V1670" i="15"/>
  <c r="U1670" i="15"/>
  <c r="V1669" i="15"/>
  <c r="U1669" i="15"/>
  <c r="V1668" i="15"/>
  <c r="U1668" i="15"/>
  <c r="V1667" i="15"/>
  <c r="U1667" i="15"/>
  <c r="V1666" i="15"/>
  <c r="U1666" i="15"/>
  <c r="V1665" i="15"/>
  <c r="U1665" i="15"/>
  <c r="V1664" i="15"/>
  <c r="U1664" i="15"/>
  <c r="V1663" i="15"/>
  <c r="U1663" i="15"/>
  <c r="V1662" i="15"/>
  <c r="U1662" i="15"/>
  <c r="V1661" i="15"/>
  <c r="U1661" i="15"/>
  <c r="V1660" i="15"/>
  <c r="U1660" i="15"/>
  <c r="V1659" i="15"/>
  <c r="U1659" i="15"/>
  <c r="V1658" i="15"/>
  <c r="U1658" i="15"/>
  <c r="V1657" i="15"/>
  <c r="U1657" i="15"/>
  <c r="V1656" i="15"/>
  <c r="U1656" i="15"/>
  <c r="V1655" i="15"/>
  <c r="U1655" i="15"/>
  <c r="V1654" i="15"/>
  <c r="U1654" i="15"/>
  <c r="V1653" i="15"/>
  <c r="U1653" i="15"/>
  <c r="V1652" i="15"/>
  <c r="U1652" i="15"/>
  <c r="V1651" i="15"/>
  <c r="U1651" i="15"/>
  <c r="V1650" i="15"/>
  <c r="U1650" i="15"/>
  <c r="V1649" i="15"/>
  <c r="U1649" i="15"/>
  <c r="V1648" i="15"/>
  <c r="U1648" i="15"/>
  <c r="V1647" i="15"/>
  <c r="U1647" i="15"/>
  <c r="V1646" i="15"/>
  <c r="U1646" i="15"/>
  <c r="V1645" i="15"/>
  <c r="U1645" i="15"/>
  <c r="V1644" i="15"/>
  <c r="U1644" i="15"/>
  <c r="V1643" i="15"/>
  <c r="U1643" i="15"/>
  <c r="V1642" i="15"/>
  <c r="U1642" i="15"/>
  <c r="V1641" i="15"/>
  <c r="U1641" i="15"/>
  <c r="V1640" i="15"/>
  <c r="U1640" i="15"/>
  <c r="V1639" i="15"/>
  <c r="U1639" i="15"/>
  <c r="V1638" i="15"/>
  <c r="U1638" i="15"/>
  <c r="V1637" i="15"/>
  <c r="U1637" i="15"/>
  <c r="V1636" i="15"/>
  <c r="U1636" i="15"/>
  <c r="V1635" i="15"/>
  <c r="U1635" i="15"/>
  <c r="V1634" i="15"/>
  <c r="U1634" i="15"/>
  <c r="V1633" i="15"/>
  <c r="U1633" i="15"/>
  <c r="V1632" i="15"/>
  <c r="U1632" i="15"/>
  <c r="V1631" i="15"/>
  <c r="U1631" i="15"/>
  <c r="V1630" i="15"/>
  <c r="U1630" i="15"/>
  <c r="V1629" i="15"/>
  <c r="U1629" i="15"/>
  <c r="V1628" i="15"/>
  <c r="U1628" i="15"/>
  <c r="V1627" i="15"/>
  <c r="U1627" i="15"/>
  <c r="V1626" i="15"/>
  <c r="U1626" i="15"/>
  <c r="V1625" i="15"/>
  <c r="U1625" i="15"/>
  <c r="V1624" i="15"/>
  <c r="U1624" i="15"/>
  <c r="V1623" i="15"/>
  <c r="U1623" i="15"/>
  <c r="V1622" i="15"/>
  <c r="U1622" i="15"/>
  <c r="V1621" i="15"/>
  <c r="U1621" i="15"/>
  <c r="V1620" i="15"/>
  <c r="U1620" i="15"/>
  <c r="V1619" i="15"/>
  <c r="U1619" i="15"/>
  <c r="V1618" i="15"/>
  <c r="U1618" i="15"/>
  <c r="V1617" i="15"/>
  <c r="U1617" i="15"/>
  <c r="V1616" i="15"/>
  <c r="U1616" i="15"/>
  <c r="V1615" i="15"/>
  <c r="U1615" i="15"/>
  <c r="V1614" i="15"/>
  <c r="U1614" i="15"/>
  <c r="V1613" i="15"/>
  <c r="U1613" i="15"/>
  <c r="V1612" i="15"/>
  <c r="U1612" i="15"/>
  <c r="V1611" i="15"/>
  <c r="U1611" i="15"/>
  <c r="V1610" i="15"/>
  <c r="U1610" i="15"/>
  <c r="V1609" i="15"/>
  <c r="U1609" i="15"/>
  <c r="V1608" i="15"/>
  <c r="U1608" i="15"/>
  <c r="V1607" i="15"/>
  <c r="U1607" i="15"/>
  <c r="V1606" i="15"/>
  <c r="U1606" i="15"/>
  <c r="V1605" i="15"/>
  <c r="U1605" i="15"/>
  <c r="V1604" i="15"/>
  <c r="U1604" i="15"/>
  <c r="V1603" i="15"/>
  <c r="U1603" i="15"/>
  <c r="V1602" i="15"/>
  <c r="U1602" i="15"/>
  <c r="V1601" i="15"/>
  <c r="U1601" i="15"/>
  <c r="V1600" i="15"/>
  <c r="U1600" i="15"/>
  <c r="V1599" i="15"/>
  <c r="U1599" i="15"/>
  <c r="V1598" i="15"/>
  <c r="U1598" i="15"/>
  <c r="V1597" i="15"/>
  <c r="U1597" i="15"/>
  <c r="V1596" i="15"/>
  <c r="U1596" i="15"/>
  <c r="V1595" i="15"/>
  <c r="U1595" i="15"/>
  <c r="V1594" i="15"/>
  <c r="U1594" i="15"/>
  <c r="V1593" i="15"/>
  <c r="U1593" i="15"/>
  <c r="V1592" i="15"/>
  <c r="U1592" i="15"/>
  <c r="V1591" i="15"/>
  <c r="U1591" i="15"/>
  <c r="V1590" i="15"/>
  <c r="U1590" i="15"/>
  <c r="V1589" i="15"/>
  <c r="U1589" i="15"/>
  <c r="V1588" i="15"/>
  <c r="U1588" i="15"/>
  <c r="V1587" i="15"/>
  <c r="U1587" i="15"/>
  <c r="V1586" i="15"/>
  <c r="U1586" i="15"/>
  <c r="V1585" i="15"/>
  <c r="U1585" i="15"/>
  <c r="V1584" i="15"/>
  <c r="U1584" i="15"/>
  <c r="V1583" i="15"/>
  <c r="U1583" i="15"/>
  <c r="V1582" i="15"/>
  <c r="U1582" i="15"/>
  <c r="V1581" i="15"/>
  <c r="U1581" i="15"/>
  <c r="V1580" i="15"/>
  <c r="U1580" i="15"/>
  <c r="V1579" i="15"/>
  <c r="U1579" i="15"/>
  <c r="V1578" i="15"/>
  <c r="U1578" i="15"/>
  <c r="V1577" i="15"/>
  <c r="U1577" i="15"/>
  <c r="V1576" i="15"/>
  <c r="U1576" i="15"/>
  <c r="V1575" i="15"/>
  <c r="U1575" i="15"/>
  <c r="V1574" i="15"/>
  <c r="U1574" i="15"/>
  <c r="V1573" i="15"/>
  <c r="U1573" i="15"/>
  <c r="V1572" i="15"/>
  <c r="U1572" i="15"/>
  <c r="V1571" i="15"/>
  <c r="U1571" i="15"/>
  <c r="V1570" i="15"/>
  <c r="U1570" i="15"/>
  <c r="V1569" i="15"/>
  <c r="U1569" i="15"/>
  <c r="V1568" i="15"/>
  <c r="U1568" i="15"/>
  <c r="V1567" i="15"/>
  <c r="U1567" i="15"/>
  <c r="V1566" i="15"/>
  <c r="U1566" i="15"/>
  <c r="V1565" i="15"/>
  <c r="U1565" i="15"/>
  <c r="V1564" i="15"/>
  <c r="U1564" i="15"/>
  <c r="V1563" i="15"/>
  <c r="U1563" i="15"/>
  <c r="V1562" i="15"/>
  <c r="U1562" i="15"/>
  <c r="V1561" i="15"/>
  <c r="U1561" i="15"/>
  <c r="V1560" i="15"/>
  <c r="U1560" i="15"/>
  <c r="V1559" i="15"/>
  <c r="U1559" i="15"/>
  <c r="V1558" i="15"/>
  <c r="U1558" i="15"/>
  <c r="V1557" i="15"/>
  <c r="U1557" i="15"/>
  <c r="V1556" i="15"/>
  <c r="U1556" i="15"/>
  <c r="V1555" i="15"/>
  <c r="U1555" i="15"/>
  <c r="V1554" i="15"/>
  <c r="U1554" i="15"/>
  <c r="V1553" i="15"/>
  <c r="U1553" i="15"/>
  <c r="V1552" i="15"/>
  <c r="U1552" i="15"/>
  <c r="V1551" i="15"/>
  <c r="U1551" i="15"/>
  <c r="V1550" i="15"/>
  <c r="U1550" i="15"/>
  <c r="V1549" i="15"/>
  <c r="U1549" i="15"/>
  <c r="V1548" i="15"/>
  <c r="U1548" i="15"/>
  <c r="V1547" i="15"/>
  <c r="U1547" i="15"/>
  <c r="V1546" i="15"/>
  <c r="U1546" i="15"/>
  <c r="V1545" i="15"/>
  <c r="U1545" i="15"/>
  <c r="V1544" i="15"/>
  <c r="U1544" i="15"/>
  <c r="V1543" i="15"/>
  <c r="U1543" i="15"/>
  <c r="V1542" i="15"/>
  <c r="U1542" i="15"/>
  <c r="V1541" i="15"/>
  <c r="U1541" i="15"/>
  <c r="V1540" i="15"/>
  <c r="U1540" i="15"/>
  <c r="V1539" i="15"/>
  <c r="U1539" i="15"/>
  <c r="V1538" i="15"/>
  <c r="U1538" i="15"/>
  <c r="V1537" i="15"/>
  <c r="U1537" i="15"/>
  <c r="V1536" i="15"/>
  <c r="U1536" i="15"/>
  <c r="V1535" i="15"/>
  <c r="U1535" i="15"/>
  <c r="V1534" i="15"/>
  <c r="U1534" i="15"/>
  <c r="V1533" i="15"/>
  <c r="U1533" i="15"/>
  <c r="V1532" i="15"/>
  <c r="U1532" i="15"/>
  <c r="V1531" i="15"/>
  <c r="U1531" i="15"/>
  <c r="V1530" i="15"/>
  <c r="U1530" i="15"/>
  <c r="V1529" i="15"/>
  <c r="U1529" i="15"/>
  <c r="V1528" i="15"/>
  <c r="U1528" i="15"/>
  <c r="V1527" i="15"/>
  <c r="U1527" i="15"/>
  <c r="V1526" i="15"/>
  <c r="U1526" i="15"/>
  <c r="V1525" i="15"/>
  <c r="U1525" i="15"/>
  <c r="V1524" i="15"/>
  <c r="U1524" i="15"/>
  <c r="V1523" i="15"/>
  <c r="U1523" i="15"/>
  <c r="V1522" i="15"/>
  <c r="U1522" i="15"/>
  <c r="V1521" i="15"/>
  <c r="U1521" i="15"/>
  <c r="V1520" i="15"/>
  <c r="U1520" i="15"/>
  <c r="V1519" i="15"/>
  <c r="U1519" i="15"/>
  <c r="V1518" i="15"/>
  <c r="U1518" i="15"/>
  <c r="V1517" i="15"/>
  <c r="U1517" i="15"/>
  <c r="V1516" i="15"/>
  <c r="U1516" i="15"/>
  <c r="V1515" i="15"/>
  <c r="U1515" i="15"/>
  <c r="V1514" i="15"/>
  <c r="U1514" i="15"/>
  <c r="V1513" i="15"/>
  <c r="U1513" i="15"/>
  <c r="V1512" i="15"/>
  <c r="U1512" i="15"/>
  <c r="V1511" i="15"/>
  <c r="U1511" i="15"/>
  <c r="V1510" i="15"/>
  <c r="U1510" i="15"/>
  <c r="V1509" i="15"/>
  <c r="U1509" i="15"/>
  <c r="V1508" i="15"/>
  <c r="U1508" i="15"/>
  <c r="V1507" i="15"/>
  <c r="U1507" i="15"/>
  <c r="V1506" i="15"/>
  <c r="U1506" i="15"/>
  <c r="V1505" i="15"/>
  <c r="U1505" i="15"/>
  <c r="V1504" i="15"/>
  <c r="U1504" i="15"/>
  <c r="V1503" i="15"/>
  <c r="U1503" i="15"/>
  <c r="V1502" i="15"/>
  <c r="U1502" i="15"/>
  <c r="V1501" i="15"/>
  <c r="U1501" i="15"/>
  <c r="V1500" i="15"/>
  <c r="U1500" i="15"/>
  <c r="V1499" i="15"/>
  <c r="U1499" i="15"/>
  <c r="V1498" i="15"/>
  <c r="U1498" i="15"/>
  <c r="V1497" i="15"/>
  <c r="U1497" i="15"/>
  <c r="V1496" i="15"/>
  <c r="U1496" i="15"/>
  <c r="V1495" i="15"/>
  <c r="U1495" i="15"/>
  <c r="V1494" i="15"/>
  <c r="U1494" i="15"/>
  <c r="V1493" i="15"/>
  <c r="U1493" i="15"/>
  <c r="V1492" i="15"/>
  <c r="U1492" i="15"/>
  <c r="V1491" i="15"/>
  <c r="U1491" i="15"/>
  <c r="V1490" i="15"/>
  <c r="U1490" i="15"/>
  <c r="V1489" i="15"/>
  <c r="U1489" i="15"/>
  <c r="V1488" i="15"/>
  <c r="U1488" i="15"/>
  <c r="V1487" i="15"/>
  <c r="U1487" i="15"/>
  <c r="V1486" i="15"/>
  <c r="U1486" i="15"/>
  <c r="V1485" i="15"/>
  <c r="U1485" i="15"/>
  <c r="V1484" i="15"/>
  <c r="U1484" i="15"/>
  <c r="V1483" i="15"/>
  <c r="U1483" i="15"/>
  <c r="V1482" i="15"/>
  <c r="U1482" i="15"/>
  <c r="V1481" i="15"/>
  <c r="U1481" i="15"/>
  <c r="V1480" i="15"/>
  <c r="U1480" i="15"/>
  <c r="V1479" i="15"/>
  <c r="U1479" i="15"/>
  <c r="V1478" i="15"/>
  <c r="U1478" i="15"/>
  <c r="V1477" i="15"/>
  <c r="U1477" i="15"/>
  <c r="V1476" i="15"/>
  <c r="U1476" i="15"/>
  <c r="V1475" i="15"/>
  <c r="U1475" i="15"/>
  <c r="V1474" i="15"/>
  <c r="U1474" i="15"/>
  <c r="V1473" i="15"/>
  <c r="U1473" i="15"/>
  <c r="V1472" i="15"/>
  <c r="U1472" i="15"/>
  <c r="V1471" i="15"/>
  <c r="U1471" i="15"/>
  <c r="V1470" i="15"/>
  <c r="U1470" i="15"/>
  <c r="V1469" i="15"/>
  <c r="U1469" i="15"/>
  <c r="V1468" i="15"/>
  <c r="U1468" i="15"/>
  <c r="V1467" i="15"/>
  <c r="U1467" i="15"/>
  <c r="V1466" i="15"/>
  <c r="U1466" i="15"/>
  <c r="V1465" i="15"/>
  <c r="U1465" i="15"/>
  <c r="V1464" i="15"/>
  <c r="U1464" i="15"/>
  <c r="V1463" i="15"/>
  <c r="U1463" i="15"/>
  <c r="V1462" i="15"/>
  <c r="U1462" i="15"/>
  <c r="V1461" i="15"/>
  <c r="U1461" i="15"/>
  <c r="V1460" i="15"/>
  <c r="U1460" i="15"/>
  <c r="V1459" i="15"/>
  <c r="U1459" i="15"/>
  <c r="V1458" i="15"/>
  <c r="U1458" i="15"/>
  <c r="V1457" i="15"/>
  <c r="U1457" i="15"/>
  <c r="V1456" i="15"/>
  <c r="U1456" i="15"/>
  <c r="V1455" i="15"/>
  <c r="U1455" i="15"/>
  <c r="V1454" i="15"/>
  <c r="U1454" i="15"/>
  <c r="V1453" i="15"/>
  <c r="U1453" i="15"/>
  <c r="V1452" i="15"/>
  <c r="U1452" i="15"/>
  <c r="V1451" i="15"/>
  <c r="U1451" i="15"/>
  <c r="V1450" i="15"/>
  <c r="U1450" i="15"/>
  <c r="V1449" i="15"/>
  <c r="U1449" i="15"/>
  <c r="V1448" i="15"/>
  <c r="U1448" i="15"/>
  <c r="V1447" i="15"/>
  <c r="U1447" i="15"/>
  <c r="V1446" i="15"/>
  <c r="U1446" i="15"/>
  <c r="V1445" i="15"/>
  <c r="U1445" i="15"/>
  <c r="V1444" i="15"/>
  <c r="U1444" i="15"/>
  <c r="V1443" i="15"/>
  <c r="U1443" i="15"/>
  <c r="V1442" i="15"/>
  <c r="U1442" i="15"/>
  <c r="V1441" i="15"/>
  <c r="U1441" i="15"/>
  <c r="V1440" i="15"/>
  <c r="U1440" i="15"/>
  <c r="V1439" i="15"/>
  <c r="U1439" i="15"/>
  <c r="V1438" i="15"/>
  <c r="U1438" i="15"/>
  <c r="V1437" i="15"/>
  <c r="U1437" i="15"/>
  <c r="V1436" i="15"/>
  <c r="U1436" i="15"/>
  <c r="V1435" i="15"/>
  <c r="U1435" i="15"/>
  <c r="V1434" i="15"/>
  <c r="U1434" i="15"/>
  <c r="V1433" i="15"/>
  <c r="U1433" i="15"/>
  <c r="V1432" i="15"/>
  <c r="U1432" i="15"/>
  <c r="V1431" i="15"/>
  <c r="U1431" i="15"/>
  <c r="V1430" i="15"/>
  <c r="U1430" i="15"/>
  <c r="V1429" i="15"/>
  <c r="U1429" i="15"/>
  <c r="V1428" i="15"/>
  <c r="U1428" i="15"/>
  <c r="V1427" i="15"/>
  <c r="U1427" i="15"/>
  <c r="V1426" i="15"/>
  <c r="U1426" i="15"/>
  <c r="V1425" i="15"/>
  <c r="U1425" i="15"/>
  <c r="V1424" i="15"/>
  <c r="U1424" i="15"/>
  <c r="V1423" i="15"/>
  <c r="U1423" i="15"/>
  <c r="V1422" i="15"/>
  <c r="U1422" i="15"/>
  <c r="V1421" i="15"/>
  <c r="U1421" i="15"/>
  <c r="V1420" i="15"/>
  <c r="U1420" i="15"/>
  <c r="V1419" i="15"/>
  <c r="U1419" i="15"/>
  <c r="V1418" i="15"/>
  <c r="U1418" i="15"/>
  <c r="V1417" i="15"/>
  <c r="U1417" i="15"/>
  <c r="V1416" i="15"/>
  <c r="U1416" i="15"/>
  <c r="V1415" i="15"/>
  <c r="U1415" i="15"/>
  <c r="V1414" i="15"/>
  <c r="U1414" i="15"/>
  <c r="V1413" i="15"/>
  <c r="U1413" i="15"/>
  <c r="V1412" i="15"/>
  <c r="U1412" i="15"/>
  <c r="V1411" i="15"/>
  <c r="U1411" i="15"/>
  <c r="V1410" i="15"/>
  <c r="U1410" i="15"/>
  <c r="V1409" i="15"/>
  <c r="U1409" i="15"/>
  <c r="V1408" i="15"/>
  <c r="U1408" i="15"/>
  <c r="V1407" i="15"/>
  <c r="U1407" i="15"/>
  <c r="V1406" i="15"/>
  <c r="U1406" i="15"/>
  <c r="V1405" i="15"/>
  <c r="U1405" i="15"/>
  <c r="V1404" i="15"/>
  <c r="U1404" i="15"/>
  <c r="V1403" i="15"/>
  <c r="U1403" i="15"/>
  <c r="V1402" i="15"/>
  <c r="U1402" i="15"/>
  <c r="V1401" i="15"/>
  <c r="U1401" i="15"/>
  <c r="V1400" i="15"/>
  <c r="U1400" i="15"/>
  <c r="V1399" i="15"/>
  <c r="U1399" i="15"/>
  <c r="V1398" i="15"/>
  <c r="U1398" i="15"/>
  <c r="V1397" i="15"/>
  <c r="U1397" i="15"/>
  <c r="V1396" i="15"/>
  <c r="U1396" i="15"/>
  <c r="V1395" i="15"/>
  <c r="U1395" i="15"/>
  <c r="V1394" i="15"/>
  <c r="U1394" i="15"/>
  <c r="V1393" i="15"/>
  <c r="U1393" i="15"/>
  <c r="V1392" i="15"/>
  <c r="U1392" i="15"/>
  <c r="V1391" i="15"/>
  <c r="U1391" i="15"/>
  <c r="V1390" i="15"/>
  <c r="U1390" i="15"/>
  <c r="V1389" i="15"/>
  <c r="U1389" i="15"/>
  <c r="V1388" i="15"/>
  <c r="U1388" i="15"/>
  <c r="V1387" i="15"/>
  <c r="U1387" i="15"/>
  <c r="V1386" i="15"/>
  <c r="U1386" i="15"/>
  <c r="V1385" i="15"/>
  <c r="U1385" i="15"/>
  <c r="V1384" i="15"/>
  <c r="U1384" i="15"/>
  <c r="V1383" i="15"/>
  <c r="U1383" i="15"/>
  <c r="V1382" i="15"/>
  <c r="U1382" i="15"/>
  <c r="V1381" i="15"/>
  <c r="U1381" i="15"/>
  <c r="V1380" i="15"/>
  <c r="U1380" i="15"/>
  <c r="V1379" i="15"/>
  <c r="U1379" i="15"/>
  <c r="V1378" i="15"/>
  <c r="U1378" i="15"/>
  <c r="V1377" i="15"/>
  <c r="U1377" i="15"/>
  <c r="V1376" i="15"/>
  <c r="U1376" i="15"/>
  <c r="V1375" i="15"/>
  <c r="U1375" i="15"/>
  <c r="V1374" i="15"/>
  <c r="U1374" i="15"/>
  <c r="V1373" i="15"/>
  <c r="U1373" i="15"/>
  <c r="V1372" i="15"/>
  <c r="U1372" i="15"/>
  <c r="V1371" i="15"/>
  <c r="U1371" i="15"/>
  <c r="V1370" i="15"/>
  <c r="U1370" i="15"/>
  <c r="V1369" i="15"/>
  <c r="U1369" i="15"/>
  <c r="V1368" i="15"/>
  <c r="U1368" i="15"/>
  <c r="V1367" i="15"/>
  <c r="U1367" i="15"/>
  <c r="V1366" i="15"/>
  <c r="U1366" i="15"/>
  <c r="V1365" i="15"/>
  <c r="U1365" i="15"/>
  <c r="V1364" i="15"/>
  <c r="U1364" i="15"/>
  <c r="V1363" i="15"/>
  <c r="U1363" i="15"/>
  <c r="V1362" i="15"/>
  <c r="U1362" i="15"/>
  <c r="V1361" i="15"/>
  <c r="U1361" i="15"/>
  <c r="V1360" i="15"/>
  <c r="U1360" i="15"/>
  <c r="V1359" i="15"/>
  <c r="U1359" i="15"/>
  <c r="V1358" i="15"/>
  <c r="U1358" i="15"/>
  <c r="V1357" i="15"/>
  <c r="U1357" i="15"/>
  <c r="V1356" i="15"/>
  <c r="U1356" i="15"/>
  <c r="V1355" i="15"/>
  <c r="U1355" i="15"/>
  <c r="V1354" i="15"/>
  <c r="U1354" i="15"/>
  <c r="V1353" i="15"/>
  <c r="U1353" i="15"/>
  <c r="V1352" i="15"/>
  <c r="U1352" i="15"/>
  <c r="V1351" i="15"/>
  <c r="U1351" i="15"/>
  <c r="V1350" i="15"/>
  <c r="U1350" i="15"/>
  <c r="V1349" i="15"/>
  <c r="U1349" i="15"/>
  <c r="V1348" i="15"/>
  <c r="U1348" i="15"/>
  <c r="V1347" i="15"/>
  <c r="U1347" i="15"/>
  <c r="V1346" i="15"/>
  <c r="U1346" i="15"/>
  <c r="V1345" i="15"/>
  <c r="U1345" i="15"/>
  <c r="V1344" i="15"/>
  <c r="U1344" i="15"/>
  <c r="V1343" i="15"/>
  <c r="U1343" i="15"/>
  <c r="V1342" i="15"/>
  <c r="U1342" i="15"/>
  <c r="V1341" i="15"/>
  <c r="U1341" i="15"/>
  <c r="V1340" i="15"/>
  <c r="U1340" i="15"/>
  <c r="V1339" i="15"/>
  <c r="U1339" i="15"/>
  <c r="V1338" i="15"/>
  <c r="U1338" i="15"/>
  <c r="V1337" i="15"/>
  <c r="U1337" i="15"/>
  <c r="V1336" i="15"/>
  <c r="U1336" i="15"/>
  <c r="V1335" i="15"/>
  <c r="U1335" i="15"/>
  <c r="V1334" i="15"/>
  <c r="U1334" i="15"/>
  <c r="V1333" i="15"/>
  <c r="U1333" i="15"/>
  <c r="V1332" i="15"/>
  <c r="U1332" i="15"/>
  <c r="V1331" i="15"/>
  <c r="U1331" i="15"/>
  <c r="V1330" i="15"/>
  <c r="U1330" i="15"/>
  <c r="V1329" i="15"/>
  <c r="U1329" i="15"/>
  <c r="V1328" i="15"/>
  <c r="U1328" i="15"/>
  <c r="V1327" i="15"/>
  <c r="U1327" i="15"/>
  <c r="V1326" i="15"/>
  <c r="U1326" i="15"/>
  <c r="V1325" i="15"/>
  <c r="U1325" i="15"/>
  <c r="V1324" i="15"/>
  <c r="U1324" i="15"/>
  <c r="V1323" i="15"/>
  <c r="U1323" i="15"/>
  <c r="V1322" i="15"/>
  <c r="U1322" i="15"/>
  <c r="V1321" i="15"/>
  <c r="U1321" i="15"/>
  <c r="V1320" i="15"/>
  <c r="U1320" i="15"/>
  <c r="V1319" i="15"/>
  <c r="U1319" i="15"/>
  <c r="V1318" i="15"/>
  <c r="U1318" i="15"/>
  <c r="V1317" i="15"/>
  <c r="U1317" i="15"/>
  <c r="V1316" i="15"/>
  <c r="U1316" i="15"/>
  <c r="V1315" i="15"/>
  <c r="U1315" i="15"/>
  <c r="V1314" i="15"/>
  <c r="U1314" i="15"/>
  <c r="V1313" i="15"/>
  <c r="U1313" i="15"/>
  <c r="V1312" i="15"/>
  <c r="U1312" i="15"/>
  <c r="V1311" i="15"/>
  <c r="U1311" i="15"/>
  <c r="V1310" i="15"/>
  <c r="U1310" i="15"/>
  <c r="V1309" i="15"/>
  <c r="U1309" i="15"/>
  <c r="V1308" i="15"/>
  <c r="U1308" i="15"/>
  <c r="V1307" i="15"/>
  <c r="U1307" i="15"/>
  <c r="V1306" i="15"/>
  <c r="U1306" i="15"/>
  <c r="V1305" i="15"/>
  <c r="U1305" i="15"/>
  <c r="V1304" i="15"/>
  <c r="U1304" i="15"/>
  <c r="V1303" i="15"/>
  <c r="U1303" i="15"/>
  <c r="V1302" i="15"/>
  <c r="U1302" i="15"/>
  <c r="V1301" i="15"/>
  <c r="U1301" i="15"/>
  <c r="V1300" i="15"/>
  <c r="U1300" i="15"/>
  <c r="V1299" i="15"/>
  <c r="U1299" i="15"/>
  <c r="V1298" i="15"/>
  <c r="U1298" i="15"/>
  <c r="V1297" i="15"/>
  <c r="U1297" i="15"/>
  <c r="V1296" i="15"/>
  <c r="U1296" i="15"/>
  <c r="V1295" i="15"/>
  <c r="U1295" i="15"/>
  <c r="V1294" i="15"/>
  <c r="U1294" i="15"/>
  <c r="V1293" i="15"/>
  <c r="U1293" i="15"/>
  <c r="V1292" i="15"/>
  <c r="U1292" i="15"/>
  <c r="V1291" i="15"/>
  <c r="U1291" i="15"/>
  <c r="V1290" i="15"/>
  <c r="U1290" i="15"/>
  <c r="V1289" i="15"/>
  <c r="U1289" i="15"/>
  <c r="V1288" i="15"/>
  <c r="U1288" i="15"/>
  <c r="V1287" i="15"/>
  <c r="U1287" i="15"/>
  <c r="V1286" i="15"/>
  <c r="U1286" i="15"/>
  <c r="V1285" i="15"/>
  <c r="U1285" i="15"/>
  <c r="V1284" i="15"/>
  <c r="U1284" i="15"/>
  <c r="V1283" i="15"/>
  <c r="U1283" i="15"/>
  <c r="V1282" i="15"/>
  <c r="U1282" i="15"/>
  <c r="V1281" i="15"/>
  <c r="U1281" i="15"/>
  <c r="V1280" i="15"/>
  <c r="U1280" i="15"/>
  <c r="V1279" i="15"/>
  <c r="U1279" i="15"/>
  <c r="V1278" i="15"/>
  <c r="U1278" i="15"/>
  <c r="V1277" i="15"/>
  <c r="U1277" i="15"/>
  <c r="V1276" i="15"/>
  <c r="U1276" i="15"/>
  <c r="V1275" i="15"/>
  <c r="U1275" i="15"/>
  <c r="V1274" i="15"/>
  <c r="U1274" i="15"/>
  <c r="V1273" i="15"/>
  <c r="U1273" i="15"/>
  <c r="V1272" i="15"/>
  <c r="U1272" i="15"/>
  <c r="V1271" i="15"/>
  <c r="U1271" i="15"/>
  <c r="V1270" i="15"/>
  <c r="U1270" i="15"/>
  <c r="V1269" i="15"/>
  <c r="U1269" i="15"/>
  <c r="V1268" i="15"/>
  <c r="U1268" i="15"/>
  <c r="V1267" i="15"/>
  <c r="U1267" i="15"/>
  <c r="V1266" i="15"/>
  <c r="U1266" i="15"/>
  <c r="V1265" i="15"/>
  <c r="U1265" i="15"/>
  <c r="V1264" i="15"/>
  <c r="U1264" i="15"/>
  <c r="V1263" i="15"/>
  <c r="U1263" i="15"/>
  <c r="V1262" i="15"/>
  <c r="U1262" i="15"/>
  <c r="V1261" i="15"/>
  <c r="U1261" i="15"/>
  <c r="V1260" i="15"/>
  <c r="U1260" i="15"/>
  <c r="V1259" i="15"/>
  <c r="U1259" i="15"/>
  <c r="V1258" i="15"/>
  <c r="U1258" i="15"/>
  <c r="V1257" i="15"/>
  <c r="U1257" i="15"/>
  <c r="V1256" i="15"/>
  <c r="U1256" i="15"/>
  <c r="V1255" i="15"/>
  <c r="U1255" i="15"/>
  <c r="V1254" i="15"/>
  <c r="U1254" i="15"/>
  <c r="V1253" i="15"/>
  <c r="U1253" i="15"/>
  <c r="V1252" i="15"/>
  <c r="U1252" i="15"/>
  <c r="V1251" i="15"/>
  <c r="U1251" i="15"/>
  <c r="V1250" i="15"/>
  <c r="U1250" i="15"/>
  <c r="V1249" i="15"/>
  <c r="U1249" i="15"/>
  <c r="V1248" i="15"/>
  <c r="U1248" i="15"/>
  <c r="V1247" i="15"/>
  <c r="U1247" i="15"/>
  <c r="V1246" i="15"/>
  <c r="U1246" i="15"/>
  <c r="V1245" i="15"/>
  <c r="U1245" i="15"/>
  <c r="V1244" i="15"/>
  <c r="U1244" i="15"/>
  <c r="V1243" i="15"/>
  <c r="U1243" i="15"/>
  <c r="V1242" i="15"/>
  <c r="U1242" i="15"/>
  <c r="V1241" i="15"/>
  <c r="U1241" i="15"/>
  <c r="V1240" i="15"/>
  <c r="U1240" i="15"/>
  <c r="V1239" i="15"/>
  <c r="U1239" i="15"/>
  <c r="V1238" i="15"/>
  <c r="U1238" i="15"/>
  <c r="V1237" i="15"/>
  <c r="U1237" i="15"/>
  <c r="V1236" i="15"/>
  <c r="U1236" i="15"/>
  <c r="V1235" i="15"/>
  <c r="U1235" i="15"/>
  <c r="V1234" i="15"/>
  <c r="U1234" i="15"/>
  <c r="V1233" i="15"/>
  <c r="U1233" i="15"/>
  <c r="V1232" i="15"/>
  <c r="U1232" i="15"/>
  <c r="V1231" i="15"/>
  <c r="U1231" i="15"/>
  <c r="V1230" i="15"/>
  <c r="U1230" i="15"/>
  <c r="V1229" i="15"/>
  <c r="U1229" i="15"/>
  <c r="V1228" i="15"/>
  <c r="U1228" i="15"/>
  <c r="V1227" i="15"/>
  <c r="U1227" i="15"/>
  <c r="V1226" i="15"/>
  <c r="U1226" i="15"/>
  <c r="V1225" i="15"/>
  <c r="U1225" i="15"/>
  <c r="V1224" i="15"/>
  <c r="U1224" i="15"/>
  <c r="V1223" i="15"/>
  <c r="U1223" i="15"/>
  <c r="V1222" i="15"/>
  <c r="U1222" i="15"/>
  <c r="V1221" i="15"/>
  <c r="U1221" i="15"/>
  <c r="V1220" i="15"/>
  <c r="U1220" i="15"/>
  <c r="V1219" i="15"/>
  <c r="U1219" i="15"/>
  <c r="V1218" i="15"/>
  <c r="U1218" i="15"/>
  <c r="V1217" i="15"/>
  <c r="U1217" i="15"/>
  <c r="V1216" i="15"/>
  <c r="U1216" i="15"/>
  <c r="V1215" i="15"/>
  <c r="U1215" i="15"/>
  <c r="V1214" i="15"/>
  <c r="U1214" i="15"/>
  <c r="V1213" i="15"/>
  <c r="U1213" i="15"/>
  <c r="V1212" i="15"/>
  <c r="U1212" i="15"/>
  <c r="V1211" i="15"/>
  <c r="U1211" i="15"/>
  <c r="V1210" i="15"/>
  <c r="U1210" i="15"/>
  <c r="V1209" i="15"/>
  <c r="U1209" i="15"/>
  <c r="V1208" i="15"/>
  <c r="U1208" i="15"/>
  <c r="V1207" i="15"/>
  <c r="U1207" i="15"/>
  <c r="V1206" i="15"/>
  <c r="U1206" i="15"/>
  <c r="V1205" i="15"/>
  <c r="U1205" i="15"/>
  <c r="V1204" i="15"/>
  <c r="U1204" i="15"/>
  <c r="V1203" i="15"/>
  <c r="U1203" i="15"/>
  <c r="V1202" i="15"/>
  <c r="U1202" i="15"/>
  <c r="V1201" i="15"/>
  <c r="U1201" i="15"/>
  <c r="V1200" i="15"/>
  <c r="U1200" i="15"/>
  <c r="V1199" i="15"/>
  <c r="U1199" i="15"/>
  <c r="V1198" i="15"/>
  <c r="U1198" i="15"/>
  <c r="V1197" i="15"/>
  <c r="U1197" i="15"/>
  <c r="V1196" i="15"/>
  <c r="U1196" i="15"/>
  <c r="V1195" i="15"/>
  <c r="U1195" i="15"/>
  <c r="V1194" i="15"/>
  <c r="U1194" i="15"/>
  <c r="V1193" i="15"/>
  <c r="U1193" i="15"/>
  <c r="V1192" i="15"/>
  <c r="U1192" i="15"/>
  <c r="V1191" i="15"/>
  <c r="U1191" i="15"/>
  <c r="V1190" i="15"/>
  <c r="U1190" i="15"/>
  <c r="V1189" i="15"/>
  <c r="U1189" i="15"/>
  <c r="V1188" i="15"/>
  <c r="U1188" i="15"/>
  <c r="V1187" i="15"/>
  <c r="U1187" i="15"/>
  <c r="V1186" i="15"/>
  <c r="U1186" i="15"/>
  <c r="V1185" i="15"/>
  <c r="U1185" i="15"/>
  <c r="V1184" i="15"/>
  <c r="U1184" i="15"/>
  <c r="V1183" i="15"/>
  <c r="U1183" i="15"/>
  <c r="V1182" i="15"/>
  <c r="U1182" i="15"/>
  <c r="V1181" i="15"/>
  <c r="U1181" i="15"/>
  <c r="V1180" i="15"/>
  <c r="U1180" i="15"/>
  <c r="V1179" i="15"/>
  <c r="U1179" i="15"/>
  <c r="V1178" i="15"/>
  <c r="U1178" i="15"/>
  <c r="V1177" i="15"/>
  <c r="U1177" i="15"/>
  <c r="V1176" i="15"/>
  <c r="U1176" i="15"/>
  <c r="V1175" i="15"/>
  <c r="U1175" i="15"/>
  <c r="V1174" i="15"/>
  <c r="U1174" i="15"/>
  <c r="V1173" i="15"/>
  <c r="U1173" i="15"/>
  <c r="V1172" i="15"/>
  <c r="U1172" i="15"/>
  <c r="V1171" i="15"/>
  <c r="U1171" i="15"/>
  <c r="V1170" i="15"/>
  <c r="U1170" i="15"/>
  <c r="V1169" i="15"/>
  <c r="U1169" i="15"/>
  <c r="V1168" i="15"/>
  <c r="U1168" i="15"/>
  <c r="V1167" i="15"/>
  <c r="U1167" i="15"/>
  <c r="V1166" i="15"/>
  <c r="U1166" i="15"/>
  <c r="V1165" i="15"/>
  <c r="U1165" i="15"/>
  <c r="V1164" i="15"/>
  <c r="U1164" i="15"/>
  <c r="V1163" i="15"/>
  <c r="U1163" i="15"/>
  <c r="V1162" i="15"/>
  <c r="U1162" i="15"/>
  <c r="V1161" i="15"/>
  <c r="U1161" i="15"/>
  <c r="V1160" i="15"/>
  <c r="U1160" i="15"/>
  <c r="V1159" i="15"/>
  <c r="U1159" i="15"/>
  <c r="V1158" i="15"/>
  <c r="U1158" i="15"/>
  <c r="V1157" i="15"/>
  <c r="U1157" i="15"/>
  <c r="V1156" i="15"/>
  <c r="U1156" i="15"/>
  <c r="V1155" i="15"/>
  <c r="U1155" i="15"/>
  <c r="V1154" i="15"/>
  <c r="U1154" i="15"/>
  <c r="V1153" i="15"/>
  <c r="U1153" i="15"/>
  <c r="V1152" i="15"/>
  <c r="U1152" i="15"/>
  <c r="V1151" i="15"/>
  <c r="U1151" i="15"/>
  <c r="V1150" i="15"/>
  <c r="U1150" i="15"/>
  <c r="V1149" i="15"/>
  <c r="U1149" i="15"/>
  <c r="V1148" i="15"/>
  <c r="U1148" i="15"/>
  <c r="V1147" i="15"/>
  <c r="U1147" i="15"/>
  <c r="V1146" i="15"/>
  <c r="U1146" i="15"/>
  <c r="V1145" i="15"/>
  <c r="U1145" i="15"/>
  <c r="V1144" i="15"/>
  <c r="U1144" i="15"/>
  <c r="V1143" i="15"/>
  <c r="U1143" i="15"/>
  <c r="V1142" i="15"/>
  <c r="U1142" i="15"/>
  <c r="V1141" i="15"/>
  <c r="U1141" i="15"/>
  <c r="V1140" i="15"/>
  <c r="U1140" i="15"/>
  <c r="V1139" i="15"/>
  <c r="U1139" i="15"/>
  <c r="V1138" i="15"/>
  <c r="U1138" i="15"/>
  <c r="V1137" i="15"/>
  <c r="U1137" i="15"/>
  <c r="V1136" i="15"/>
  <c r="U1136" i="15"/>
  <c r="V1135" i="15"/>
  <c r="U1135" i="15"/>
  <c r="V1134" i="15"/>
  <c r="U1134" i="15"/>
  <c r="V1133" i="15"/>
  <c r="U1133" i="15"/>
  <c r="V1132" i="15"/>
  <c r="U1132" i="15"/>
  <c r="V1131" i="15"/>
  <c r="U1131" i="15"/>
  <c r="V1130" i="15"/>
  <c r="U1130" i="15"/>
  <c r="V1129" i="15"/>
  <c r="U1129" i="15"/>
  <c r="V1128" i="15"/>
  <c r="U1128" i="15"/>
  <c r="V1127" i="15"/>
  <c r="U1127" i="15"/>
  <c r="V1126" i="15"/>
  <c r="U1126" i="15"/>
  <c r="V1125" i="15"/>
  <c r="U1125" i="15"/>
  <c r="V1124" i="15"/>
  <c r="U1124" i="15"/>
  <c r="V1123" i="15"/>
  <c r="U1123" i="15"/>
  <c r="V1122" i="15"/>
  <c r="U1122" i="15"/>
  <c r="V1121" i="15"/>
  <c r="U1121" i="15"/>
  <c r="V1120" i="15"/>
  <c r="U1120" i="15"/>
  <c r="V1119" i="15"/>
  <c r="U1119" i="15"/>
  <c r="V1118" i="15"/>
  <c r="U1118" i="15"/>
  <c r="V1117" i="15"/>
  <c r="U1117" i="15"/>
  <c r="V1116" i="15"/>
  <c r="U1116" i="15"/>
  <c r="V1115" i="15"/>
  <c r="U1115" i="15"/>
  <c r="V1114" i="15"/>
  <c r="U1114" i="15"/>
  <c r="V1113" i="15"/>
  <c r="U1113" i="15"/>
  <c r="V1112" i="15"/>
  <c r="U1112" i="15"/>
  <c r="V1111" i="15"/>
  <c r="U1111" i="15"/>
  <c r="V1110" i="15"/>
  <c r="U1110" i="15"/>
  <c r="V1109" i="15"/>
  <c r="U1109" i="15"/>
  <c r="V1108" i="15"/>
  <c r="U1108" i="15"/>
  <c r="V1107" i="15"/>
  <c r="U1107" i="15"/>
  <c r="V1106" i="15"/>
  <c r="U1106" i="15"/>
  <c r="V1105" i="15"/>
  <c r="U1105" i="15"/>
  <c r="V1104" i="15"/>
  <c r="U1104" i="15"/>
  <c r="V1103" i="15"/>
  <c r="U1103" i="15"/>
  <c r="V1102" i="15"/>
  <c r="U1102" i="15"/>
  <c r="V1101" i="15"/>
  <c r="U1101" i="15"/>
  <c r="V1100" i="15"/>
  <c r="U1100" i="15"/>
  <c r="V1099" i="15"/>
  <c r="U1099" i="15"/>
  <c r="V1098" i="15"/>
  <c r="U1098" i="15"/>
  <c r="V1097" i="15"/>
  <c r="U1097" i="15"/>
  <c r="V1096" i="15"/>
  <c r="U1096" i="15"/>
  <c r="V1095" i="15"/>
  <c r="U1095" i="15"/>
  <c r="V1094" i="15"/>
  <c r="U1094" i="15"/>
  <c r="V1093" i="15"/>
  <c r="U1093" i="15"/>
  <c r="V1092" i="15"/>
  <c r="U1092" i="15"/>
  <c r="V1091" i="15"/>
  <c r="U1091" i="15"/>
  <c r="V1090" i="15"/>
  <c r="U1090" i="15"/>
  <c r="V1089" i="15"/>
  <c r="U1089" i="15"/>
  <c r="V1088" i="15"/>
  <c r="U1088" i="15"/>
  <c r="V1087" i="15"/>
  <c r="U1087" i="15"/>
  <c r="V1086" i="15"/>
  <c r="U1086" i="15"/>
  <c r="V1085" i="15"/>
  <c r="U1085" i="15"/>
  <c r="V1084" i="15"/>
  <c r="U1084" i="15"/>
  <c r="V1083" i="15"/>
  <c r="U1083" i="15"/>
  <c r="V1082" i="15"/>
  <c r="U1082" i="15"/>
  <c r="V1081" i="15"/>
  <c r="U1081" i="15"/>
  <c r="V1080" i="15"/>
  <c r="U1080" i="15"/>
  <c r="V1079" i="15"/>
  <c r="U1079" i="15"/>
  <c r="V1078" i="15"/>
  <c r="U1078" i="15"/>
  <c r="V1077" i="15"/>
  <c r="U1077" i="15"/>
  <c r="V1076" i="15"/>
  <c r="U1076" i="15"/>
  <c r="V1075" i="15"/>
  <c r="U1075" i="15"/>
  <c r="V1074" i="15"/>
  <c r="U1074" i="15"/>
  <c r="V1073" i="15"/>
  <c r="U1073" i="15"/>
  <c r="V1072" i="15"/>
  <c r="U1072" i="15"/>
  <c r="V1071" i="15"/>
  <c r="U1071" i="15"/>
  <c r="V1070" i="15"/>
  <c r="U1070" i="15"/>
  <c r="V1069" i="15"/>
  <c r="U1069" i="15"/>
  <c r="V1068" i="15"/>
  <c r="U1068" i="15"/>
  <c r="V1067" i="15"/>
  <c r="U1067" i="15"/>
  <c r="V1066" i="15"/>
  <c r="U1066" i="15"/>
  <c r="V1065" i="15"/>
  <c r="U1065" i="15"/>
  <c r="V1064" i="15"/>
  <c r="U1064" i="15"/>
  <c r="V1063" i="15"/>
  <c r="U1063" i="15"/>
  <c r="V1062" i="15"/>
  <c r="U1062" i="15"/>
  <c r="V1061" i="15"/>
  <c r="U1061" i="15"/>
  <c r="V1060" i="15"/>
  <c r="U1060" i="15"/>
  <c r="V1059" i="15"/>
  <c r="U1059" i="15"/>
  <c r="V1058" i="15"/>
  <c r="U1058" i="15"/>
  <c r="V1057" i="15"/>
  <c r="U1057" i="15"/>
  <c r="V1056" i="15"/>
  <c r="U1056" i="15"/>
  <c r="V1055" i="15"/>
  <c r="U1055" i="15"/>
  <c r="V1054" i="15"/>
  <c r="U1054" i="15"/>
  <c r="V1053" i="15"/>
  <c r="U1053" i="15"/>
  <c r="V1052" i="15"/>
  <c r="U1052" i="15"/>
  <c r="V1051" i="15"/>
  <c r="U1051" i="15"/>
  <c r="V1050" i="15"/>
  <c r="U1050" i="15"/>
  <c r="V1049" i="15"/>
  <c r="U1049" i="15"/>
  <c r="V1048" i="15"/>
  <c r="U1048" i="15"/>
  <c r="V1047" i="15"/>
  <c r="U1047" i="15"/>
  <c r="V1046" i="15"/>
  <c r="U1046" i="15"/>
  <c r="V1045" i="15"/>
  <c r="U1045" i="15"/>
  <c r="V1044" i="15"/>
  <c r="U1044" i="15"/>
  <c r="V1043" i="15"/>
  <c r="U1043" i="15"/>
  <c r="V1042" i="15"/>
  <c r="U1042" i="15"/>
  <c r="V1041" i="15"/>
  <c r="U1041" i="15"/>
  <c r="V1040" i="15"/>
  <c r="U1040" i="15"/>
  <c r="V1039" i="15"/>
  <c r="U1039" i="15"/>
  <c r="V1038" i="15"/>
  <c r="U1038" i="15"/>
  <c r="V1037" i="15"/>
  <c r="U1037" i="15"/>
  <c r="V1036" i="15"/>
  <c r="U1036" i="15"/>
  <c r="V1035" i="15"/>
  <c r="U1035" i="15"/>
  <c r="V1034" i="15"/>
  <c r="U1034" i="15"/>
  <c r="V1033" i="15"/>
  <c r="U1033" i="15"/>
  <c r="V1032" i="15"/>
  <c r="U1032" i="15"/>
  <c r="V1031" i="15"/>
  <c r="U1031" i="15"/>
  <c r="V1030" i="15"/>
  <c r="U1030" i="15"/>
  <c r="V1029" i="15"/>
  <c r="U1029" i="15"/>
  <c r="V1028" i="15"/>
  <c r="U1028" i="15"/>
  <c r="V1027" i="15"/>
  <c r="U1027" i="15"/>
  <c r="V1026" i="15"/>
  <c r="U1026" i="15"/>
  <c r="V1025" i="15"/>
  <c r="U1025" i="15"/>
  <c r="V1024" i="15"/>
  <c r="U1024" i="15"/>
  <c r="V1023" i="15"/>
  <c r="U1023" i="15"/>
  <c r="V1022" i="15"/>
  <c r="U1022" i="15"/>
  <c r="V1021" i="15"/>
  <c r="U1021" i="15"/>
  <c r="V1020" i="15"/>
  <c r="U1020" i="15"/>
  <c r="V1019" i="15"/>
  <c r="U1019" i="15"/>
  <c r="V1018" i="15"/>
  <c r="U1018" i="15"/>
  <c r="V1017" i="15"/>
  <c r="U1017" i="15"/>
  <c r="V1016" i="15"/>
  <c r="U1016" i="15"/>
  <c r="V1015" i="15"/>
  <c r="U1015" i="15"/>
  <c r="V1014" i="15"/>
  <c r="U1014" i="15"/>
  <c r="V1013" i="15"/>
  <c r="U1013" i="15"/>
  <c r="V1012" i="15"/>
  <c r="U1012" i="15"/>
  <c r="V1011" i="15"/>
  <c r="U1011" i="15"/>
  <c r="V1010" i="15"/>
  <c r="U1010" i="15"/>
  <c r="V1009" i="15"/>
  <c r="U1009" i="15"/>
  <c r="V1008" i="15"/>
  <c r="U1008" i="15"/>
  <c r="V1007" i="15"/>
  <c r="U1007" i="15"/>
  <c r="V1006" i="15"/>
  <c r="U1006" i="15"/>
  <c r="V1005" i="15"/>
  <c r="U1005" i="15"/>
  <c r="V1004" i="15"/>
  <c r="U1004" i="15"/>
  <c r="V1003" i="15"/>
  <c r="U1003" i="15"/>
  <c r="V1002" i="15"/>
  <c r="U1002" i="15"/>
  <c r="V1001" i="15"/>
  <c r="U1001" i="15"/>
  <c r="V1000" i="15"/>
  <c r="U1000" i="15"/>
  <c r="V999" i="15"/>
  <c r="U999" i="15"/>
  <c r="V998" i="15"/>
  <c r="U998" i="15"/>
  <c r="V997" i="15"/>
  <c r="U997" i="15"/>
  <c r="V996" i="15"/>
  <c r="U996" i="15"/>
  <c r="V995" i="15"/>
  <c r="U995" i="15"/>
  <c r="V994" i="15"/>
  <c r="U994" i="15"/>
  <c r="V993" i="15"/>
  <c r="U993" i="15"/>
  <c r="V992" i="15"/>
  <c r="U992" i="15"/>
  <c r="V991" i="15"/>
  <c r="U991" i="15"/>
  <c r="V990" i="15"/>
  <c r="U990" i="15"/>
  <c r="V989" i="15"/>
  <c r="U989" i="15"/>
  <c r="V988" i="15"/>
  <c r="U988" i="15"/>
  <c r="V987" i="15"/>
  <c r="U987" i="15"/>
  <c r="V986" i="15"/>
  <c r="U986" i="15"/>
  <c r="V985" i="15"/>
  <c r="U985" i="15"/>
  <c r="V984" i="15"/>
  <c r="U984" i="15"/>
  <c r="V983" i="15"/>
  <c r="U983" i="15"/>
  <c r="V982" i="15"/>
  <c r="U982" i="15"/>
  <c r="V981" i="15"/>
  <c r="U981" i="15"/>
  <c r="V980" i="15"/>
  <c r="U980" i="15"/>
  <c r="V979" i="15"/>
  <c r="U979" i="15"/>
  <c r="V978" i="15"/>
  <c r="U978" i="15"/>
  <c r="V977" i="15"/>
  <c r="U977" i="15"/>
  <c r="V976" i="15"/>
  <c r="U976" i="15"/>
  <c r="V975" i="15"/>
  <c r="U975" i="15"/>
  <c r="V974" i="15"/>
  <c r="U974" i="15"/>
  <c r="V973" i="15"/>
  <c r="U973" i="15"/>
  <c r="V972" i="15"/>
  <c r="U972" i="15"/>
  <c r="V971" i="15"/>
  <c r="U971" i="15"/>
  <c r="V970" i="15"/>
  <c r="U970" i="15"/>
  <c r="V969" i="15"/>
  <c r="U969" i="15"/>
  <c r="V968" i="15"/>
  <c r="U968" i="15"/>
  <c r="V967" i="15"/>
  <c r="U967" i="15"/>
  <c r="V966" i="15"/>
  <c r="U966" i="15"/>
  <c r="V965" i="15"/>
  <c r="U965" i="15"/>
  <c r="V964" i="15"/>
  <c r="U964" i="15"/>
  <c r="V963" i="15"/>
  <c r="U963" i="15"/>
  <c r="V962" i="15"/>
  <c r="U962" i="15"/>
  <c r="V961" i="15"/>
  <c r="U961" i="15"/>
  <c r="V960" i="15"/>
  <c r="U960" i="15"/>
  <c r="V959" i="15"/>
  <c r="U959" i="15"/>
  <c r="V958" i="15"/>
  <c r="U958" i="15"/>
  <c r="V957" i="15"/>
  <c r="U957" i="15"/>
  <c r="V956" i="15"/>
  <c r="U956" i="15"/>
  <c r="V955" i="15"/>
  <c r="U955" i="15"/>
  <c r="V954" i="15"/>
  <c r="U954" i="15"/>
  <c r="V953" i="15"/>
  <c r="U953" i="15"/>
  <c r="V952" i="15"/>
  <c r="U952" i="15"/>
  <c r="V951" i="15"/>
  <c r="U951" i="15"/>
  <c r="V950" i="15"/>
  <c r="U950" i="15"/>
  <c r="V949" i="15"/>
  <c r="U949" i="15"/>
  <c r="V948" i="15"/>
  <c r="U948" i="15"/>
  <c r="V947" i="15"/>
  <c r="U947" i="15"/>
  <c r="V946" i="15"/>
  <c r="U946" i="15"/>
  <c r="V945" i="15"/>
  <c r="U945" i="15"/>
  <c r="V944" i="15"/>
  <c r="U944" i="15"/>
  <c r="V943" i="15"/>
  <c r="U943" i="15"/>
  <c r="V942" i="15"/>
  <c r="U942" i="15"/>
  <c r="V941" i="15"/>
  <c r="U941" i="15"/>
  <c r="V940" i="15"/>
  <c r="U940" i="15"/>
  <c r="V939" i="15"/>
  <c r="U939" i="15"/>
  <c r="V938" i="15"/>
  <c r="U938" i="15"/>
  <c r="V937" i="15"/>
  <c r="U937" i="15"/>
  <c r="V936" i="15"/>
  <c r="U936" i="15"/>
  <c r="V935" i="15"/>
  <c r="U935" i="15"/>
  <c r="V934" i="15"/>
  <c r="U934" i="15"/>
  <c r="V933" i="15"/>
  <c r="U933" i="15"/>
  <c r="V932" i="15"/>
  <c r="U932" i="15"/>
  <c r="V931" i="15"/>
  <c r="U931" i="15"/>
  <c r="V930" i="15"/>
  <c r="U930" i="15"/>
  <c r="V929" i="15"/>
  <c r="U929" i="15"/>
  <c r="V928" i="15"/>
  <c r="U928" i="15"/>
  <c r="V927" i="15"/>
  <c r="U927" i="15"/>
  <c r="V926" i="15"/>
  <c r="U926" i="15"/>
  <c r="V925" i="15"/>
  <c r="U925" i="15"/>
  <c r="V924" i="15"/>
  <c r="U924" i="15"/>
  <c r="V923" i="15"/>
  <c r="U923" i="15"/>
  <c r="V922" i="15"/>
  <c r="U922" i="15"/>
  <c r="V921" i="15"/>
  <c r="U921" i="15"/>
  <c r="V920" i="15"/>
  <c r="U920" i="15"/>
  <c r="V919" i="15"/>
  <c r="U919" i="15"/>
  <c r="V918" i="15"/>
  <c r="U918" i="15"/>
  <c r="V917" i="15"/>
  <c r="U917" i="15"/>
  <c r="V916" i="15"/>
  <c r="U916" i="15"/>
  <c r="V915" i="15"/>
  <c r="U915" i="15"/>
  <c r="V914" i="15"/>
  <c r="U914" i="15"/>
  <c r="V913" i="15"/>
  <c r="U913" i="15"/>
  <c r="V912" i="15"/>
  <c r="U912" i="15"/>
  <c r="V911" i="15"/>
  <c r="U911" i="15"/>
  <c r="V910" i="15"/>
  <c r="U910" i="15"/>
  <c r="V909" i="15"/>
  <c r="U909" i="15"/>
  <c r="V908" i="15"/>
  <c r="U908" i="15"/>
  <c r="V907" i="15"/>
  <c r="U907" i="15"/>
  <c r="V906" i="15"/>
  <c r="U906" i="15"/>
  <c r="V905" i="15"/>
  <c r="U905" i="15"/>
  <c r="V904" i="15"/>
  <c r="U904" i="15"/>
  <c r="V903" i="15"/>
  <c r="U903" i="15"/>
  <c r="V902" i="15"/>
  <c r="U902" i="15"/>
  <c r="V901" i="15"/>
  <c r="U901" i="15"/>
  <c r="V900" i="15"/>
  <c r="U900" i="15"/>
  <c r="V899" i="15"/>
  <c r="U899" i="15"/>
  <c r="V898" i="15"/>
  <c r="U898" i="15"/>
  <c r="V897" i="15"/>
  <c r="U897" i="15"/>
  <c r="V896" i="15"/>
  <c r="U896" i="15"/>
  <c r="V895" i="15"/>
  <c r="U895" i="15"/>
  <c r="V894" i="15"/>
  <c r="U894" i="15"/>
  <c r="V893" i="15"/>
  <c r="U893" i="15"/>
  <c r="V892" i="15"/>
  <c r="U892" i="15"/>
  <c r="V891" i="15"/>
  <c r="U891" i="15"/>
  <c r="V890" i="15"/>
  <c r="U890" i="15"/>
  <c r="V889" i="15"/>
  <c r="U889" i="15"/>
  <c r="V888" i="15"/>
  <c r="U888" i="15"/>
  <c r="V887" i="15"/>
  <c r="U887" i="15"/>
  <c r="V886" i="15"/>
  <c r="U886" i="15"/>
  <c r="V885" i="15"/>
  <c r="U885" i="15"/>
  <c r="V884" i="15"/>
  <c r="U884" i="15"/>
  <c r="V883" i="15"/>
  <c r="U883" i="15"/>
  <c r="V882" i="15"/>
  <c r="U882" i="15"/>
  <c r="V881" i="15"/>
  <c r="U881" i="15"/>
  <c r="V880" i="15"/>
  <c r="U880" i="15"/>
  <c r="V879" i="15"/>
  <c r="U879" i="15"/>
  <c r="V878" i="15"/>
  <c r="U878" i="15"/>
  <c r="V877" i="15"/>
  <c r="U877" i="15"/>
  <c r="V876" i="15"/>
  <c r="U876" i="15"/>
  <c r="V875" i="15"/>
  <c r="U875" i="15"/>
  <c r="V874" i="15"/>
  <c r="U874" i="15"/>
  <c r="V873" i="15"/>
  <c r="U873" i="15"/>
  <c r="V872" i="15"/>
  <c r="U872" i="15"/>
  <c r="V871" i="15"/>
  <c r="U871" i="15"/>
  <c r="V870" i="15"/>
  <c r="U870" i="15"/>
  <c r="V869" i="15"/>
  <c r="U869" i="15"/>
  <c r="V868" i="15"/>
  <c r="U868" i="15"/>
  <c r="V867" i="15"/>
  <c r="U867" i="15"/>
  <c r="V866" i="15"/>
  <c r="U866" i="15"/>
  <c r="V865" i="15"/>
  <c r="U865" i="15"/>
  <c r="V864" i="15"/>
  <c r="U864" i="15"/>
  <c r="V863" i="15"/>
  <c r="U863" i="15"/>
  <c r="V862" i="15"/>
  <c r="U862" i="15"/>
  <c r="V861" i="15"/>
  <c r="U861" i="15"/>
  <c r="V860" i="15"/>
  <c r="U860" i="15"/>
  <c r="V859" i="15"/>
  <c r="U859" i="15"/>
  <c r="V858" i="15"/>
  <c r="U858" i="15"/>
  <c r="V857" i="15"/>
  <c r="U857" i="15"/>
  <c r="V856" i="15"/>
  <c r="U856" i="15"/>
  <c r="V855" i="15"/>
  <c r="U855" i="15"/>
  <c r="V854" i="15"/>
  <c r="U854" i="15"/>
  <c r="V853" i="15"/>
  <c r="U853" i="15"/>
  <c r="V852" i="15"/>
  <c r="U852" i="15"/>
  <c r="V851" i="15"/>
  <c r="U851" i="15"/>
  <c r="V850" i="15"/>
  <c r="U850" i="15"/>
  <c r="V849" i="15"/>
  <c r="U849" i="15"/>
  <c r="V848" i="15"/>
  <c r="U848" i="15"/>
  <c r="V847" i="15"/>
  <c r="U847" i="15"/>
  <c r="V846" i="15"/>
  <c r="U846" i="15"/>
  <c r="V845" i="15"/>
  <c r="U845" i="15"/>
  <c r="V844" i="15"/>
  <c r="U844" i="15"/>
  <c r="V843" i="15"/>
  <c r="U843" i="15"/>
  <c r="V842" i="15"/>
  <c r="U842" i="15"/>
  <c r="V841" i="15"/>
  <c r="U841" i="15"/>
  <c r="V840" i="15"/>
  <c r="U840" i="15"/>
  <c r="V839" i="15"/>
  <c r="U839" i="15"/>
  <c r="V838" i="15"/>
  <c r="U838" i="15"/>
  <c r="V837" i="15"/>
  <c r="U837" i="15"/>
  <c r="V836" i="15"/>
  <c r="U836" i="15"/>
  <c r="V835" i="15"/>
  <c r="U835" i="15"/>
  <c r="V834" i="15"/>
  <c r="U834" i="15"/>
  <c r="V833" i="15"/>
  <c r="U833" i="15"/>
  <c r="V832" i="15"/>
  <c r="U832" i="15"/>
  <c r="V831" i="15"/>
  <c r="U831" i="15"/>
  <c r="V830" i="15"/>
  <c r="U830" i="15"/>
  <c r="V829" i="15"/>
  <c r="U829" i="15"/>
  <c r="V828" i="15"/>
  <c r="U828" i="15"/>
  <c r="V827" i="15"/>
  <c r="U827" i="15"/>
  <c r="V826" i="15"/>
  <c r="U826" i="15"/>
  <c r="V825" i="15"/>
  <c r="U825" i="15"/>
  <c r="V824" i="15"/>
  <c r="U824" i="15"/>
  <c r="V823" i="15"/>
  <c r="U823" i="15"/>
  <c r="V822" i="15"/>
  <c r="U822" i="15"/>
  <c r="V821" i="15"/>
  <c r="U821" i="15"/>
  <c r="V820" i="15"/>
  <c r="U820" i="15"/>
  <c r="V819" i="15"/>
  <c r="U819" i="15"/>
  <c r="V818" i="15"/>
  <c r="U818" i="15"/>
  <c r="V817" i="15"/>
  <c r="U817" i="15"/>
  <c r="V816" i="15"/>
  <c r="U816" i="15"/>
  <c r="V815" i="15"/>
  <c r="U815" i="15"/>
  <c r="V814" i="15"/>
  <c r="U814" i="15"/>
  <c r="V813" i="15"/>
  <c r="U813" i="15"/>
  <c r="V812" i="15"/>
  <c r="U812" i="15"/>
  <c r="V811" i="15"/>
  <c r="U811" i="15"/>
  <c r="V810" i="15"/>
  <c r="U810" i="15"/>
  <c r="V809" i="15"/>
  <c r="U809" i="15"/>
  <c r="V808" i="15"/>
  <c r="U808" i="15"/>
  <c r="V807" i="15"/>
  <c r="U807" i="15"/>
  <c r="V806" i="15"/>
  <c r="U806" i="15"/>
  <c r="V805" i="15"/>
  <c r="U805" i="15"/>
  <c r="V804" i="15"/>
  <c r="U804" i="15"/>
  <c r="V803" i="15"/>
  <c r="U803" i="15"/>
  <c r="V802" i="15"/>
  <c r="U802" i="15"/>
  <c r="V801" i="15"/>
  <c r="U801" i="15"/>
  <c r="V800" i="15"/>
  <c r="U800" i="15"/>
  <c r="V799" i="15"/>
  <c r="U799" i="15"/>
  <c r="V798" i="15"/>
  <c r="U798" i="15"/>
  <c r="V797" i="15"/>
  <c r="U797" i="15"/>
  <c r="V796" i="15"/>
  <c r="U796" i="15"/>
  <c r="V795" i="15"/>
  <c r="U795" i="15"/>
  <c r="V794" i="15"/>
  <c r="U794" i="15"/>
  <c r="V793" i="15"/>
  <c r="U793" i="15"/>
  <c r="V792" i="15"/>
  <c r="U792" i="15"/>
  <c r="V791" i="15"/>
  <c r="U791" i="15"/>
  <c r="V790" i="15"/>
  <c r="U790" i="15"/>
  <c r="V789" i="15"/>
  <c r="U789" i="15"/>
  <c r="V788" i="15"/>
  <c r="U788" i="15"/>
  <c r="V787" i="15"/>
  <c r="U787" i="15"/>
  <c r="V786" i="15"/>
  <c r="U786" i="15"/>
  <c r="V785" i="15"/>
  <c r="U785" i="15"/>
  <c r="V784" i="15"/>
  <c r="U784" i="15"/>
  <c r="V783" i="15"/>
  <c r="U783" i="15"/>
  <c r="V782" i="15"/>
  <c r="U782" i="15"/>
  <c r="V781" i="15"/>
  <c r="U781" i="15"/>
  <c r="V780" i="15"/>
  <c r="U780" i="15"/>
  <c r="V779" i="15"/>
  <c r="U779" i="15"/>
  <c r="V778" i="15"/>
  <c r="U778" i="15"/>
  <c r="V777" i="15"/>
  <c r="U777" i="15"/>
  <c r="V776" i="15"/>
  <c r="U776" i="15"/>
  <c r="V775" i="15"/>
  <c r="U775" i="15"/>
  <c r="V774" i="15"/>
  <c r="U774" i="15"/>
  <c r="V773" i="15"/>
  <c r="U773" i="15"/>
  <c r="V772" i="15"/>
  <c r="U772" i="15"/>
  <c r="V771" i="15"/>
  <c r="U771" i="15"/>
  <c r="V770" i="15"/>
  <c r="U770" i="15"/>
  <c r="V769" i="15"/>
  <c r="U769" i="15"/>
  <c r="V768" i="15"/>
  <c r="U768" i="15"/>
  <c r="V767" i="15"/>
  <c r="U767" i="15"/>
  <c r="V766" i="15"/>
  <c r="U766" i="15"/>
  <c r="V765" i="15"/>
  <c r="U765" i="15"/>
  <c r="V764" i="15"/>
  <c r="U764" i="15"/>
  <c r="V763" i="15"/>
  <c r="U763" i="15"/>
  <c r="V762" i="15"/>
  <c r="U762" i="15"/>
  <c r="V761" i="15"/>
  <c r="U761" i="15"/>
  <c r="V760" i="15"/>
  <c r="U760" i="15"/>
  <c r="V759" i="15"/>
  <c r="U759" i="15"/>
  <c r="V758" i="15"/>
  <c r="U758" i="15"/>
  <c r="V757" i="15"/>
  <c r="U757" i="15"/>
  <c r="V756" i="15"/>
  <c r="U756" i="15"/>
  <c r="V755" i="15"/>
  <c r="U755" i="15"/>
  <c r="V754" i="15"/>
  <c r="U754" i="15"/>
  <c r="V753" i="15"/>
  <c r="U753" i="15"/>
  <c r="V752" i="15"/>
  <c r="U752" i="15"/>
  <c r="V751" i="15"/>
  <c r="U751" i="15"/>
  <c r="V750" i="15"/>
  <c r="U750" i="15"/>
  <c r="V749" i="15"/>
  <c r="U749" i="15"/>
  <c r="V748" i="15"/>
  <c r="U748" i="15"/>
  <c r="V747" i="15"/>
  <c r="U747" i="15"/>
  <c r="V746" i="15"/>
  <c r="U746" i="15"/>
  <c r="V745" i="15"/>
  <c r="U745" i="15"/>
  <c r="V744" i="15"/>
  <c r="U744" i="15"/>
  <c r="V743" i="15"/>
  <c r="U743" i="15"/>
  <c r="V742" i="15"/>
  <c r="U742" i="15"/>
  <c r="V741" i="15"/>
  <c r="U741" i="15"/>
  <c r="V740" i="15"/>
  <c r="U740" i="15"/>
  <c r="V739" i="15"/>
  <c r="U739" i="15"/>
  <c r="V738" i="15"/>
  <c r="U738" i="15"/>
  <c r="V737" i="15"/>
  <c r="U737" i="15"/>
  <c r="V736" i="15"/>
  <c r="U736" i="15"/>
  <c r="V735" i="15"/>
  <c r="U735" i="15"/>
  <c r="V734" i="15"/>
  <c r="U734" i="15"/>
  <c r="V733" i="15"/>
  <c r="U733" i="15"/>
  <c r="V732" i="15"/>
  <c r="U732" i="15"/>
  <c r="V731" i="15"/>
  <c r="U731" i="15"/>
  <c r="V730" i="15"/>
  <c r="U730" i="15"/>
  <c r="V729" i="15"/>
  <c r="U729" i="15"/>
  <c r="V728" i="15"/>
  <c r="U728" i="15"/>
  <c r="V727" i="15"/>
  <c r="U727" i="15"/>
  <c r="V726" i="15"/>
  <c r="U726" i="15"/>
  <c r="V725" i="15"/>
  <c r="U725" i="15"/>
  <c r="V724" i="15"/>
  <c r="U724" i="15"/>
  <c r="V723" i="15"/>
  <c r="U723" i="15"/>
  <c r="V722" i="15"/>
  <c r="U722" i="15"/>
  <c r="V721" i="15"/>
  <c r="U721" i="15"/>
  <c r="V720" i="15"/>
  <c r="U720" i="15"/>
  <c r="V719" i="15"/>
  <c r="U719" i="15"/>
  <c r="V718" i="15"/>
  <c r="U718" i="15"/>
  <c r="V717" i="15"/>
  <c r="U717" i="15"/>
  <c r="V716" i="15"/>
  <c r="U716" i="15"/>
  <c r="V715" i="15"/>
  <c r="U715" i="15"/>
  <c r="V714" i="15"/>
  <c r="U714" i="15"/>
  <c r="V713" i="15"/>
  <c r="U713" i="15"/>
  <c r="V712" i="15"/>
  <c r="U712" i="15"/>
  <c r="V711" i="15"/>
  <c r="U711" i="15"/>
  <c r="V710" i="15"/>
  <c r="U710" i="15"/>
  <c r="V709" i="15"/>
  <c r="U709" i="15"/>
  <c r="V708" i="15"/>
  <c r="U708" i="15"/>
  <c r="V707" i="15"/>
  <c r="U707" i="15"/>
  <c r="V706" i="15"/>
  <c r="U706" i="15"/>
  <c r="V705" i="15"/>
  <c r="U705" i="15"/>
  <c r="V704" i="15"/>
  <c r="U704" i="15"/>
  <c r="V703" i="15"/>
  <c r="U703" i="15"/>
  <c r="V702" i="15"/>
  <c r="U702" i="15"/>
  <c r="V701" i="15"/>
  <c r="U701" i="15"/>
  <c r="V700" i="15"/>
  <c r="U700" i="15"/>
  <c r="V699" i="15"/>
  <c r="U699" i="15"/>
  <c r="V698" i="15"/>
  <c r="U698" i="15"/>
  <c r="V697" i="15"/>
  <c r="U697" i="15"/>
  <c r="V696" i="15"/>
  <c r="U696" i="15"/>
  <c r="V695" i="15"/>
  <c r="U695" i="15"/>
  <c r="V694" i="15"/>
  <c r="U694" i="15"/>
  <c r="V693" i="15"/>
  <c r="U693" i="15"/>
  <c r="V692" i="15"/>
  <c r="U692" i="15"/>
  <c r="V691" i="15"/>
  <c r="U691" i="15"/>
  <c r="V690" i="15"/>
  <c r="U690" i="15"/>
  <c r="V689" i="15"/>
  <c r="U689" i="15"/>
  <c r="V688" i="15"/>
  <c r="U688" i="15"/>
  <c r="V687" i="15"/>
  <c r="U687" i="15"/>
  <c r="V686" i="15"/>
  <c r="U686" i="15"/>
  <c r="V685" i="15"/>
  <c r="U685" i="15"/>
  <c r="V684" i="15"/>
  <c r="U684" i="15"/>
  <c r="V683" i="15"/>
  <c r="U683" i="15"/>
  <c r="V682" i="15"/>
  <c r="U682" i="15"/>
  <c r="V681" i="15"/>
  <c r="U681" i="15"/>
  <c r="V680" i="15"/>
  <c r="U680" i="15"/>
  <c r="V679" i="15"/>
  <c r="U679" i="15"/>
  <c r="V678" i="15"/>
  <c r="U678" i="15"/>
  <c r="V677" i="15"/>
  <c r="U677" i="15"/>
  <c r="V676" i="15"/>
  <c r="U676" i="15"/>
  <c r="V675" i="15"/>
  <c r="U675" i="15"/>
  <c r="V674" i="15"/>
  <c r="U674" i="15"/>
  <c r="V673" i="15"/>
  <c r="U673" i="15"/>
  <c r="V672" i="15"/>
  <c r="U672" i="15"/>
  <c r="V671" i="15"/>
  <c r="U671" i="15"/>
  <c r="V670" i="15"/>
  <c r="U670" i="15"/>
  <c r="V669" i="15"/>
  <c r="U669" i="15"/>
  <c r="V668" i="15"/>
  <c r="U668" i="15"/>
  <c r="V667" i="15"/>
  <c r="U667" i="15"/>
  <c r="V666" i="15"/>
  <c r="U666" i="15"/>
  <c r="V665" i="15"/>
  <c r="U665" i="15"/>
  <c r="V664" i="15"/>
  <c r="U664" i="15"/>
  <c r="V663" i="15"/>
  <c r="U663" i="15"/>
  <c r="V662" i="15"/>
  <c r="U662" i="15"/>
  <c r="V661" i="15"/>
  <c r="U661" i="15"/>
  <c r="V660" i="15"/>
  <c r="U660" i="15"/>
  <c r="V659" i="15"/>
  <c r="U659" i="15"/>
  <c r="V658" i="15"/>
  <c r="U658" i="15"/>
  <c r="V657" i="15"/>
  <c r="U657" i="15"/>
  <c r="V656" i="15"/>
  <c r="U656" i="15"/>
  <c r="V655" i="15"/>
  <c r="U655" i="15"/>
  <c r="V654" i="15"/>
  <c r="U654" i="15"/>
  <c r="V653" i="15"/>
  <c r="U653" i="15"/>
  <c r="V652" i="15"/>
  <c r="U652" i="15"/>
  <c r="V651" i="15"/>
  <c r="U651" i="15"/>
  <c r="V650" i="15"/>
  <c r="U650" i="15"/>
  <c r="V649" i="15"/>
  <c r="U649" i="15"/>
  <c r="V648" i="15"/>
  <c r="U648" i="15"/>
  <c r="V647" i="15"/>
  <c r="U647" i="15"/>
  <c r="V646" i="15"/>
  <c r="U646" i="15"/>
  <c r="V645" i="15"/>
  <c r="U645" i="15"/>
  <c r="V644" i="15"/>
  <c r="U644" i="15"/>
  <c r="V643" i="15"/>
  <c r="U643" i="15"/>
  <c r="V642" i="15"/>
  <c r="U642" i="15"/>
  <c r="V641" i="15"/>
  <c r="U641" i="15"/>
  <c r="V640" i="15"/>
  <c r="U640" i="15"/>
  <c r="V639" i="15"/>
  <c r="U639" i="15"/>
  <c r="V638" i="15"/>
  <c r="U638" i="15"/>
  <c r="V637" i="15"/>
  <c r="U637" i="15"/>
  <c r="V636" i="15"/>
  <c r="U636" i="15"/>
  <c r="V635" i="15"/>
  <c r="U635" i="15"/>
  <c r="V634" i="15"/>
  <c r="U634" i="15"/>
  <c r="V633" i="15"/>
  <c r="U633" i="15"/>
  <c r="V632" i="15"/>
  <c r="U632" i="15"/>
  <c r="V631" i="15"/>
  <c r="U631" i="15"/>
  <c r="V630" i="15"/>
  <c r="U630" i="15"/>
  <c r="V629" i="15"/>
  <c r="U629" i="15"/>
  <c r="V628" i="15"/>
  <c r="U628" i="15"/>
  <c r="V627" i="15"/>
  <c r="U627" i="15"/>
  <c r="V626" i="15"/>
  <c r="U626" i="15"/>
  <c r="V625" i="15"/>
  <c r="U625" i="15"/>
  <c r="V624" i="15"/>
  <c r="U624" i="15"/>
  <c r="V623" i="15"/>
  <c r="U623" i="15"/>
  <c r="V622" i="15"/>
  <c r="U622" i="15"/>
  <c r="V621" i="15"/>
  <c r="U621" i="15"/>
  <c r="V620" i="15"/>
  <c r="U620" i="15"/>
  <c r="V619" i="15"/>
  <c r="U619" i="15"/>
  <c r="V618" i="15"/>
  <c r="U618" i="15"/>
  <c r="V617" i="15"/>
  <c r="U617" i="15"/>
  <c r="V616" i="15"/>
  <c r="U616" i="15"/>
  <c r="V615" i="15"/>
  <c r="U615" i="15"/>
  <c r="V614" i="15"/>
  <c r="U614" i="15"/>
  <c r="V613" i="15"/>
  <c r="U613" i="15"/>
  <c r="V612" i="15"/>
  <c r="U612" i="15"/>
  <c r="V611" i="15"/>
  <c r="U611" i="15"/>
  <c r="V610" i="15"/>
  <c r="U610" i="15"/>
  <c r="V609" i="15"/>
  <c r="U609" i="15"/>
  <c r="V608" i="15"/>
  <c r="U608" i="15"/>
  <c r="V607" i="15"/>
  <c r="U607" i="15"/>
  <c r="V606" i="15"/>
  <c r="U606" i="15"/>
  <c r="V605" i="15"/>
  <c r="U605" i="15"/>
  <c r="V604" i="15"/>
  <c r="U604" i="15"/>
  <c r="V603" i="15"/>
  <c r="U603" i="15"/>
  <c r="V602" i="15"/>
  <c r="U602" i="15"/>
  <c r="V601" i="15"/>
  <c r="U601" i="15"/>
  <c r="V600" i="15"/>
  <c r="U600" i="15"/>
  <c r="V599" i="15"/>
  <c r="U599" i="15"/>
  <c r="V598" i="15"/>
  <c r="U598" i="15"/>
  <c r="V597" i="15"/>
  <c r="U597" i="15"/>
  <c r="V596" i="15"/>
  <c r="U596" i="15"/>
  <c r="V595" i="15"/>
  <c r="U595" i="15"/>
  <c r="V594" i="15"/>
  <c r="U594" i="15"/>
  <c r="V593" i="15"/>
  <c r="U593" i="15"/>
  <c r="V592" i="15"/>
  <c r="U592" i="15"/>
  <c r="V591" i="15"/>
  <c r="U591" i="15"/>
  <c r="V590" i="15"/>
  <c r="U590" i="15"/>
  <c r="V589" i="15"/>
  <c r="U589" i="15"/>
  <c r="V588" i="15"/>
  <c r="U588" i="15"/>
  <c r="V587" i="15"/>
  <c r="U587" i="15"/>
  <c r="V586" i="15"/>
  <c r="U586" i="15"/>
  <c r="V585" i="15"/>
  <c r="U585" i="15"/>
  <c r="V584" i="15"/>
  <c r="U584" i="15"/>
  <c r="V583" i="15"/>
  <c r="U583" i="15"/>
  <c r="V582" i="15"/>
  <c r="U582" i="15"/>
  <c r="V581" i="15"/>
  <c r="U581" i="15"/>
  <c r="V580" i="15"/>
  <c r="U580" i="15"/>
  <c r="V579" i="15"/>
  <c r="U579" i="15"/>
  <c r="V578" i="15"/>
  <c r="U578" i="15"/>
  <c r="V577" i="15"/>
  <c r="U577" i="15"/>
  <c r="V576" i="15"/>
  <c r="U576" i="15"/>
  <c r="V575" i="15"/>
  <c r="U575" i="15"/>
  <c r="V574" i="15"/>
  <c r="U574" i="15"/>
  <c r="V573" i="15"/>
  <c r="U573" i="15"/>
  <c r="V572" i="15"/>
  <c r="U572" i="15"/>
  <c r="V571" i="15"/>
  <c r="U571" i="15"/>
  <c r="V570" i="15"/>
  <c r="U570" i="15"/>
  <c r="V569" i="15"/>
  <c r="U569" i="15"/>
  <c r="V568" i="15"/>
  <c r="U568" i="15"/>
  <c r="V567" i="15"/>
  <c r="U567" i="15"/>
  <c r="V566" i="15"/>
  <c r="U566" i="15"/>
  <c r="V565" i="15"/>
  <c r="U565" i="15"/>
  <c r="V564" i="15"/>
  <c r="U564" i="15"/>
  <c r="V563" i="15"/>
  <c r="U563" i="15"/>
  <c r="V562" i="15"/>
  <c r="U562" i="15"/>
  <c r="V561" i="15"/>
  <c r="U561" i="15"/>
  <c r="V560" i="15"/>
  <c r="U560" i="15"/>
  <c r="V559" i="15"/>
  <c r="U559" i="15"/>
  <c r="V558" i="15"/>
  <c r="U558" i="15"/>
  <c r="V557" i="15"/>
  <c r="U557" i="15"/>
  <c r="V556" i="15"/>
  <c r="U556" i="15"/>
  <c r="V555" i="15"/>
  <c r="U555" i="15"/>
  <c r="V554" i="15"/>
  <c r="U554" i="15"/>
  <c r="V553" i="15"/>
  <c r="U553" i="15"/>
  <c r="V552" i="15"/>
  <c r="U552" i="15"/>
  <c r="V551" i="15"/>
  <c r="U551" i="15"/>
  <c r="V550" i="15"/>
  <c r="U550" i="15"/>
  <c r="V549" i="15"/>
  <c r="U549" i="15"/>
  <c r="V548" i="15"/>
  <c r="U548" i="15"/>
  <c r="V547" i="15"/>
  <c r="U547" i="15"/>
  <c r="V546" i="15"/>
  <c r="U546" i="15"/>
  <c r="V545" i="15"/>
  <c r="U545" i="15"/>
  <c r="V544" i="15"/>
  <c r="U544" i="15"/>
  <c r="V543" i="15"/>
  <c r="U543" i="15"/>
  <c r="V542" i="15"/>
  <c r="U542" i="15"/>
  <c r="V541" i="15"/>
  <c r="U541" i="15"/>
  <c r="V540" i="15"/>
  <c r="U540" i="15"/>
  <c r="V539" i="15"/>
  <c r="U539" i="15"/>
  <c r="V538" i="15"/>
  <c r="U538" i="15"/>
  <c r="V537" i="15"/>
  <c r="U537" i="15"/>
  <c r="V536" i="15"/>
  <c r="U536" i="15"/>
  <c r="V535" i="15"/>
  <c r="U535" i="15"/>
  <c r="V534" i="15"/>
  <c r="U534" i="15"/>
  <c r="V533" i="15"/>
  <c r="U533" i="15"/>
  <c r="V532" i="15"/>
  <c r="U532" i="15"/>
  <c r="V531" i="15"/>
  <c r="U531" i="15"/>
  <c r="V530" i="15"/>
  <c r="U530" i="15"/>
  <c r="V529" i="15"/>
  <c r="U529" i="15"/>
  <c r="V528" i="15"/>
  <c r="U528" i="15"/>
  <c r="V527" i="15"/>
  <c r="U527" i="15"/>
  <c r="V526" i="15"/>
  <c r="U526" i="15"/>
  <c r="V525" i="15"/>
  <c r="U525" i="15"/>
  <c r="V524" i="15"/>
  <c r="U524" i="15"/>
  <c r="V523" i="15"/>
  <c r="U523" i="15"/>
  <c r="V522" i="15"/>
  <c r="U522" i="15"/>
  <c r="V521" i="15"/>
  <c r="U521" i="15"/>
  <c r="V520" i="15"/>
  <c r="U520" i="15"/>
  <c r="V519" i="15"/>
  <c r="U519" i="15"/>
  <c r="V518" i="15"/>
  <c r="U518" i="15"/>
  <c r="V517" i="15"/>
  <c r="U517" i="15"/>
  <c r="V516" i="15"/>
  <c r="U516" i="15"/>
  <c r="V515" i="15"/>
  <c r="U515" i="15"/>
  <c r="V514" i="15"/>
  <c r="U514" i="15"/>
  <c r="V513" i="15"/>
  <c r="U513" i="15"/>
  <c r="V512" i="15"/>
  <c r="U512" i="15"/>
  <c r="V511" i="15"/>
  <c r="U511" i="15"/>
  <c r="V510" i="15"/>
  <c r="U510" i="15"/>
  <c r="V509" i="15"/>
  <c r="U509" i="15"/>
  <c r="V508" i="15"/>
  <c r="U508" i="15"/>
  <c r="V507" i="15"/>
  <c r="U507" i="15"/>
  <c r="V506" i="15"/>
  <c r="U506" i="15"/>
  <c r="V505" i="15"/>
  <c r="U505" i="15"/>
  <c r="V504" i="15"/>
  <c r="U504" i="15"/>
  <c r="V503" i="15"/>
  <c r="U503" i="15"/>
  <c r="V502" i="15"/>
  <c r="U502" i="15"/>
  <c r="V501" i="15"/>
  <c r="U501" i="15"/>
  <c r="V500" i="15"/>
  <c r="U500" i="15"/>
  <c r="V499" i="15"/>
  <c r="U499" i="15"/>
  <c r="V498" i="15"/>
  <c r="U498" i="15"/>
  <c r="V497" i="15"/>
  <c r="U497" i="15"/>
  <c r="V496" i="15"/>
  <c r="U496" i="15"/>
  <c r="V495" i="15"/>
  <c r="U495" i="15"/>
  <c r="V494" i="15"/>
  <c r="U494" i="15"/>
  <c r="V493" i="15"/>
  <c r="U493" i="15"/>
  <c r="V492" i="15"/>
  <c r="U492" i="15"/>
  <c r="V491" i="15"/>
  <c r="U491" i="15"/>
  <c r="V490" i="15"/>
  <c r="U490" i="15"/>
  <c r="V489" i="15"/>
  <c r="U489" i="15"/>
  <c r="V488" i="15"/>
  <c r="U488" i="15"/>
  <c r="V487" i="15"/>
  <c r="U487" i="15"/>
  <c r="V486" i="15"/>
  <c r="U486" i="15"/>
  <c r="V485" i="15"/>
  <c r="U485" i="15"/>
  <c r="V484" i="15"/>
  <c r="U484" i="15"/>
  <c r="V483" i="15"/>
  <c r="U483" i="15"/>
  <c r="V482" i="15"/>
  <c r="U482" i="15"/>
  <c r="V481" i="15"/>
  <c r="U481" i="15"/>
  <c r="V480" i="15"/>
  <c r="U480" i="15"/>
  <c r="V479" i="15"/>
  <c r="U479" i="15"/>
  <c r="V478" i="15"/>
  <c r="U478" i="15"/>
  <c r="V477" i="15"/>
  <c r="U477" i="15"/>
  <c r="V476" i="15"/>
  <c r="U476" i="15"/>
  <c r="V475" i="15"/>
  <c r="U475" i="15"/>
  <c r="V474" i="15"/>
  <c r="U474" i="15"/>
  <c r="V473" i="15"/>
  <c r="U473" i="15"/>
  <c r="V472" i="15"/>
  <c r="U472" i="15"/>
  <c r="V471" i="15"/>
  <c r="U471" i="15"/>
  <c r="V470" i="15"/>
  <c r="U470" i="15"/>
  <c r="V469" i="15"/>
  <c r="U469" i="15"/>
  <c r="V468" i="15"/>
  <c r="U468" i="15"/>
  <c r="V467" i="15"/>
  <c r="U467" i="15"/>
  <c r="V466" i="15"/>
  <c r="U466" i="15"/>
  <c r="V465" i="15"/>
  <c r="U465" i="15"/>
  <c r="V464" i="15"/>
  <c r="U464" i="15"/>
  <c r="V463" i="15"/>
  <c r="U463" i="15"/>
  <c r="V462" i="15"/>
  <c r="U462" i="15"/>
  <c r="V461" i="15"/>
  <c r="U461" i="15"/>
  <c r="V460" i="15"/>
  <c r="U460" i="15"/>
  <c r="V459" i="15"/>
  <c r="U459" i="15"/>
  <c r="V458" i="15"/>
  <c r="U458" i="15"/>
  <c r="V457" i="15"/>
  <c r="U457" i="15"/>
  <c r="V456" i="15"/>
  <c r="U456" i="15"/>
  <c r="V455" i="15"/>
  <c r="U455" i="15"/>
  <c r="V454" i="15"/>
  <c r="U454" i="15"/>
  <c r="V453" i="15"/>
  <c r="U453" i="15"/>
  <c r="V452" i="15"/>
  <c r="U452" i="15"/>
  <c r="V451" i="15"/>
  <c r="U451" i="15"/>
  <c r="V450" i="15"/>
  <c r="U450" i="15"/>
  <c r="V449" i="15"/>
  <c r="U449" i="15"/>
  <c r="V448" i="15"/>
  <c r="U448" i="15"/>
  <c r="V447" i="15"/>
  <c r="U447" i="15"/>
  <c r="V446" i="15"/>
  <c r="U446" i="15"/>
  <c r="V445" i="15"/>
  <c r="U445" i="15"/>
  <c r="V444" i="15"/>
  <c r="U444" i="15"/>
  <c r="V443" i="15"/>
  <c r="U443" i="15"/>
  <c r="V442" i="15"/>
  <c r="U442" i="15"/>
  <c r="V441" i="15"/>
  <c r="U441" i="15"/>
  <c r="V440" i="15"/>
  <c r="U440" i="15"/>
  <c r="V439" i="15"/>
  <c r="U439" i="15"/>
  <c r="V438" i="15"/>
  <c r="U438" i="15"/>
  <c r="V437" i="15"/>
  <c r="U437" i="15"/>
  <c r="V436" i="15"/>
  <c r="U436" i="15"/>
  <c r="V435" i="15"/>
  <c r="U435" i="15"/>
  <c r="V434" i="15"/>
  <c r="U434" i="15"/>
  <c r="V433" i="15"/>
  <c r="U433" i="15"/>
  <c r="V432" i="15"/>
  <c r="U432" i="15"/>
  <c r="V431" i="15"/>
  <c r="U431" i="15"/>
  <c r="V430" i="15"/>
  <c r="U430" i="15"/>
  <c r="V429" i="15"/>
  <c r="U429" i="15"/>
  <c r="V428" i="15"/>
  <c r="U428" i="15"/>
  <c r="V427" i="15"/>
  <c r="U427" i="15"/>
  <c r="V426" i="15"/>
  <c r="U426" i="15"/>
  <c r="V425" i="15"/>
  <c r="U425" i="15"/>
  <c r="V424" i="15"/>
  <c r="U424" i="15"/>
  <c r="V423" i="15"/>
  <c r="U423" i="15"/>
  <c r="V422" i="15"/>
  <c r="U422" i="15"/>
  <c r="V421" i="15"/>
  <c r="U421" i="15"/>
  <c r="V420" i="15"/>
  <c r="U420" i="15"/>
  <c r="V419" i="15"/>
  <c r="U419" i="15"/>
  <c r="V418" i="15"/>
  <c r="U418" i="15"/>
  <c r="V417" i="15"/>
  <c r="U417" i="15"/>
  <c r="V416" i="15"/>
  <c r="U416" i="15"/>
  <c r="V415" i="15"/>
  <c r="U415" i="15"/>
  <c r="V414" i="15"/>
  <c r="U414" i="15"/>
  <c r="V413" i="15"/>
  <c r="U413" i="15"/>
  <c r="V412" i="15"/>
  <c r="U412" i="15"/>
  <c r="V411" i="15"/>
  <c r="U411" i="15"/>
  <c r="V410" i="15"/>
  <c r="U410" i="15"/>
  <c r="V409" i="15"/>
  <c r="U409" i="15"/>
  <c r="V408" i="15"/>
  <c r="U408" i="15"/>
  <c r="V407" i="15"/>
  <c r="U407" i="15"/>
  <c r="V406" i="15"/>
  <c r="U406" i="15"/>
  <c r="V405" i="15"/>
  <c r="U405" i="15"/>
  <c r="V404" i="15"/>
  <c r="U404" i="15"/>
  <c r="V403" i="15"/>
  <c r="U403" i="15"/>
  <c r="V402" i="15"/>
  <c r="U402" i="15"/>
  <c r="V401" i="15"/>
  <c r="U401" i="15"/>
  <c r="V400" i="15"/>
  <c r="U400" i="15"/>
  <c r="V399" i="15"/>
  <c r="U399" i="15"/>
  <c r="V398" i="15"/>
  <c r="U398" i="15"/>
  <c r="V397" i="15"/>
  <c r="U397" i="15"/>
  <c r="V396" i="15"/>
  <c r="U396" i="15"/>
  <c r="V395" i="15"/>
  <c r="U395" i="15"/>
  <c r="V394" i="15"/>
  <c r="U394" i="15"/>
  <c r="V393" i="15"/>
  <c r="U393" i="15"/>
  <c r="V392" i="15"/>
  <c r="U392" i="15"/>
  <c r="V391" i="15"/>
  <c r="U391" i="15"/>
  <c r="V390" i="15"/>
  <c r="U390" i="15"/>
  <c r="V389" i="15"/>
  <c r="U389" i="15"/>
  <c r="V388" i="15"/>
  <c r="U388" i="15"/>
  <c r="V387" i="15"/>
  <c r="U387" i="15"/>
  <c r="V386" i="15"/>
  <c r="U386" i="15"/>
  <c r="V385" i="15"/>
  <c r="U385" i="15"/>
  <c r="V384" i="15"/>
  <c r="U384" i="15"/>
  <c r="V383" i="15"/>
  <c r="U383" i="15"/>
  <c r="V382" i="15"/>
  <c r="U382" i="15"/>
  <c r="V381" i="15"/>
  <c r="U381" i="15"/>
  <c r="V380" i="15"/>
  <c r="U380" i="15"/>
  <c r="V379" i="15"/>
  <c r="U379" i="15"/>
  <c r="V378" i="15"/>
  <c r="U378" i="15"/>
  <c r="V377" i="15"/>
  <c r="U377" i="15"/>
  <c r="V376" i="15"/>
  <c r="U376" i="15"/>
  <c r="V375" i="15"/>
  <c r="U375" i="15"/>
  <c r="V374" i="15"/>
  <c r="U374" i="15"/>
  <c r="V373" i="15"/>
  <c r="U373" i="15"/>
  <c r="V372" i="15"/>
  <c r="U372" i="15"/>
  <c r="V371" i="15"/>
  <c r="U371" i="15"/>
  <c r="V370" i="15"/>
  <c r="U370" i="15"/>
  <c r="V369" i="15"/>
  <c r="U369" i="15"/>
  <c r="V368" i="15"/>
  <c r="U368" i="15"/>
  <c r="V367" i="15"/>
  <c r="U367" i="15"/>
  <c r="V366" i="15"/>
  <c r="U366" i="15"/>
  <c r="V365" i="15"/>
  <c r="U365" i="15"/>
  <c r="V364" i="15"/>
  <c r="U364" i="15"/>
  <c r="V363" i="15"/>
  <c r="U363" i="15"/>
  <c r="V362" i="15"/>
  <c r="U362" i="15"/>
  <c r="V361" i="15"/>
  <c r="U361" i="15"/>
  <c r="V360" i="15"/>
  <c r="U360" i="15"/>
  <c r="V359" i="15"/>
  <c r="U359" i="15"/>
  <c r="V358" i="15"/>
  <c r="U358" i="15"/>
  <c r="V357" i="15"/>
  <c r="U357" i="15"/>
  <c r="V356" i="15"/>
  <c r="U356" i="15"/>
  <c r="V355" i="15"/>
  <c r="U355" i="15"/>
  <c r="V354" i="15"/>
  <c r="U354" i="15"/>
  <c r="V353" i="15"/>
  <c r="U353" i="15"/>
  <c r="V352" i="15"/>
  <c r="U352" i="15"/>
  <c r="V351" i="15"/>
  <c r="U351" i="15"/>
  <c r="V350" i="15"/>
  <c r="U350" i="15"/>
  <c r="V349" i="15"/>
  <c r="U349" i="15"/>
  <c r="V348" i="15"/>
  <c r="U348" i="15"/>
  <c r="V347" i="15"/>
  <c r="U347" i="15"/>
  <c r="V346" i="15"/>
  <c r="U346" i="15"/>
  <c r="V345" i="15"/>
  <c r="U345" i="15"/>
  <c r="V344" i="15"/>
  <c r="U344" i="15"/>
  <c r="V343" i="15"/>
  <c r="U343" i="15"/>
  <c r="V342" i="15"/>
  <c r="U342" i="15"/>
  <c r="V341" i="15"/>
  <c r="U341" i="15"/>
  <c r="V340" i="15"/>
  <c r="U340" i="15"/>
  <c r="V339" i="15"/>
  <c r="U339" i="15"/>
  <c r="V338" i="15"/>
  <c r="U338" i="15"/>
  <c r="V337" i="15"/>
  <c r="U337" i="15"/>
  <c r="V336" i="15"/>
  <c r="U336" i="15"/>
  <c r="V335" i="15"/>
  <c r="U335" i="15"/>
  <c r="V334" i="15"/>
  <c r="U334" i="15"/>
  <c r="V333" i="15"/>
  <c r="U333" i="15"/>
  <c r="V332" i="15"/>
  <c r="U332" i="15"/>
  <c r="V331" i="15"/>
  <c r="U331" i="15"/>
  <c r="V330" i="15"/>
  <c r="U330" i="15"/>
  <c r="V329" i="15"/>
  <c r="U329" i="15"/>
  <c r="V328" i="15"/>
  <c r="U328" i="15"/>
  <c r="V327" i="15"/>
  <c r="U327" i="15"/>
  <c r="V326" i="15"/>
  <c r="U326" i="15"/>
  <c r="V325" i="15"/>
  <c r="U325" i="15"/>
  <c r="V324" i="15"/>
  <c r="U324" i="15"/>
  <c r="V323" i="15"/>
  <c r="U323" i="15"/>
  <c r="V322" i="15"/>
  <c r="U322" i="15"/>
  <c r="V321" i="15"/>
  <c r="U321" i="15"/>
  <c r="V320" i="15"/>
  <c r="U320" i="15"/>
  <c r="V319" i="15"/>
  <c r="U319" i="15"/>
  <c r="V318" i="15"/>
  <c r="U318" i="15"/>
  <c r="V317" i="15"/>
  <c r="U317" i="15"/>
  <c r="V316" i="15"/>
  <c r="U316" i="15"/>
  <c r="V315" i="15"/>
  <c r="U315" i="15"/>
  <c r="V314" i="15"/>
  <c r="U314" i="15"/>
  <c r="V313" i="15"/>
  <c r="U313" i="15"/>
  <c r="V312" i="15"/>
  <c r="U312" i="15"/>
  <c r="V311" i="15"/>
  <c r="U311" i="15"/>
  <c r="V310" i="15"/>
  <c r="U310" i="15"/>
  <c r="V309" i="15"/>
  <c r="U309" i="15"/>
  <c r="V308" i="15"/>
  <c r="U308" i="15"/>
  <c r="V307" i="15"/>
  <c r="U307" i="15"/>
  <c r="V306" i="15"/>
  <c r="U306" i="15"/>
  <c r="V305" i="15"/>
  <c r="U305" i="15"/>
  <c r="V304" i="15"/>
  <c r="U304" i="15"/>
  <c r="V303" i="15"/>
  <c r="U303" i="15"/>
  <c r="V302" i="15"/>
  <c r="U302" i="15"/>
  <c r="V301" i="15"/>
  <c r="U301" i="15"/>
  <c r="V300" i="15"/>
  <c r="U300" i="15"/>
  <c r="V299" i="15"/>
  <c r="U299" i="15"/>
  <c r="V298" i="15"/>
  <c r="U298" i="15"/>
  <c r="V297" i="15"/>
  <c r="U297" i="15"/>
  <c r="V296" i="15"/>
  <c r="U296" i="15"/>
  <c r="V295" i="15"/>
  <c r="U295" i="15"/>
  <c r="V294" i="15"/>
  <c r="U294" i="15"/>
  <c r="V293" i="15"/>
  <c r="U293" i="15"/>
  <c r="V292" i="15"/>
  <c r="U292" i="15"/>
  <c r="V291" i="15"/>
  <c r="U291" i="15"/>
  <c r="V290" i="15"/>
  <c r="U290" i="15"/>
  <c r="V289" i="15"/>
  <c r="U289" i="15"/>
  <c r="V288" i="15"/>
  <c r="U288" i="15"/>
  <c r="V287" i="15"/>
  <c r="U287" i="15"/>
  <c r="V286" i="15"/>
  <c r="U286" i="15"/>
  <c r="V285" i="15"/>
  <c r="U285" i="15"/>
  <c r="V284" i="15"/>
  <c r="U284" i="15"/>
  <c r="V283" i="15"/>
  <c r="U283" i="15"/>
  <c r="V282" i="15"/>
  <c r="U282" i="15"/>
  <c r="V281" i="15"/>
  <c r="U281" i="15"/>
  <c r="V280" i="15"/>
  <c r="U280" i="15"/>
  <c r="V279" i="15"/>
  <c r="U279" i="15"/>
  <c r="V278" i="15"/>
  <c r="U278" i="15"/>
  <c r="V277" i="15"/>
  <c r="U277" i="15"/>
  <c r="V276" i="15"/>
  <c r="U276" i="15"/>
  <c r="V275" i="15"/>
  <c r="U275" i="15"/>
  <c r="V274" i="15"/>
  <c r="U274" i="15"/>
  <c r="V273" i="15"/>
  <c r="U273" i="15"/>
  <c r="V272" i="15"/>
  <c r="U272" i="15"/>
  <c r="V271" i="15"/>
  <c r="U271" i="15"/>
  <c r="V270" i="15"/>
  <c r="U270" i="15"/>
  <c r="V269" i="15"/>
  <c r="U269" i="15"/>
  <c r="V268" i="15"/>
  <c r="U268" i="15"/>
  <c r="V267" i="15"/>
  <c r="U267" i="15"/>
  <c r="V266" i="15"/>
  <c r="U266" i="15"/>
  <c r="V265" i="15"/>
  <c r="U265" i="15"/>
  <c r="V264" i="15"/>
  <c r="U264" i="15"/>
  <c r="V263" i="15"/>
  <c r="U263" i="15"/>
  <c r="V262" i="15"/>
  <c r="U262" i="15"/>
  <c r="V261" i="15"/>
  <c r="U261" i="15"/>
  <c r="V260" i="15"/>
  <c r="U260" i="15"/>
  <c r="V259" i="15"/>
  <c r="U259" i="15"/>
  <c r="V258" i="15"/>
  <c r="U258" i="15"/>
  <c r="V257" i="15"/>
  <c r="U257" i="15"/>
  <c r="V256" i="15"/>
  <c r="U256" i="15"/>
  <c r="V255" i="15"/>
  <c r="U255" i="15"/>
  <c r="V254" i="15"/>
  <c r="U254" i="15"/>
  <c r="V253" i="15"/>
  <c r="U253" i="15"/>
  <c r="V252" i="15"/>
  <c r="U252" i="15"/>
  <c r="V251" i="15"/>
  <c r="U251" i="15"/>
  <c r="V250" i="15"/>
  <c r="U250" i="15"/>
  <c r="V249" i="15"/>
  <c r="U249" i="15"/>
  <c r="V248" i="15"/>
  <c r="U248" i="15"/>
  <c r="V247" i="15"/>
  <c r="U247" i="15"/>
  <c r="V246" i="15"/>
  <c r="U246" i="15"/>
  <c r="V245" i="15"/>
  <c r="U245" i="15"/>
  <c r="V244" i="15"/>
  <c r="U244" i="15"/>
  <c r="V243" i="15"/>
  <c r="U243" i="15"/>
  <c r="V242" i="15"/>
  <c r="U242" i="15"/>
  <c r="V241" i="15"/>
  <c r="U241" i="15"/>
  <c r="V240" i="15"/>
  <c r="U240" i="15"/>
  <c r="V239" i="15"/>
  <c r="U239" i="15"/>
  <c r="V238" i="15"/>
  <c r="U238" i="15"/>
  <c r="V237" i="15"/>
  <c r="U237" i="15"/>
  <c r="V236" i="15"/>
  <c r="U236" i="15"/>
  <c r="V235" i="15"/>
  <c r="U235" i="15"/>
  <c r="V234" i="15"/>
  <c r="U234" i="15"/>
  <c r="V233" i="15"/>
  <c r="U233" i="15"/>
  <c r="V232" i="15"/>
  <c r="U232" i="15"/>
  <c r="V231" i="15"/>
  <c r="U231" i="15"/>
  <c r="V230" i="15"/>
  <c r="U230" i="15"/>
  <c r="V229" i="15"/>
  <c r="U229" i="15"/>
  <c r="V228" i="15"/>
  <c r="U228" i="15"/>
  <c r="V227" i="15"/>
  <c r="U227" i="15"/>
  <c r="V226" i="15"/>
  <c r="U226" i="15"/>
  <c r="V225" i="15"/>
  <c r="U225" i="15"/>
  <c r="V224" i="15"/>
  <c r="U224" i="15"/>
  <c r="V223" i="15"/>
  <c r="U223" i="15"/>
  <c r="V222" i="15"/>
  <c r="U222" i="15"/>
  <c r="V221" i="15"/>
  <c r="U221" i="15"/>
  <c r="V220" i="15"/>
  <c r="U220" i="15"/>
  <c r="V219" i="15"/>
  <c r="U219" i="15"/>
  <c r="V218" i="15"/>
  <c r="U218" i="15"/>
  <c r="V217" i="15"/>
  <c r="U217" i="15"/>
  <c r="V216" i="15"/>
  <c r="U216" i="15"/>
  <c r="V215" i="15"/>
  <c r="U215" i="15"/>
  <c r="V214" i="15"/>
  <c r="U214" i="15"/>
  <c r="V213" i="15"/>
  <c r="U213" i="15"/>
  <c r="V212" i="15"/>
  <c r="U212" i="15"/>
  <c r="V211" i="15"/>
  <c r="U211" i="15"/>
  <c r="V210" i="15"/>
  <c r="U210" i="15"/>
  <c r="V209" i="15"/>
  <c r="U209" i="15"/>
  <c r="V208" i="15"/>
  <c r="U208" i="15"/>
  <c r="V207" i="15"/>
  <c r="U207" i="15"/>
  <c r="V206" i="15"/>
  <c r="U206" i="15"/>
  <c r="V205" i="15"/>
  <c r="U205" i="15"/>
  <c r="V204" i="15"/>
  <c r="U204" i="15"/>
  <c r="V203" i="15"/>
  <c r="U203" i="15"/>
  <c r="V202" i="15"/>
  <c r="U202" i="15"/>
  <c r="V201" i="15"/>
  <c r="U201" i="15"/>
  <c r="V200" i="15"/>
  <c r="U200" i="15"/>
  <c r="V199" i="15"/>
  <c r="U199" i="15"/>
  <c r="V198" i="15"/>
  <c r="U198" i="15"/>
  <c r="V197" i="15"/>
  <c r="U197" i="15"/>
  <c r="V196" i="15"/>
  <c r="U196" i="15"/>
  <c r="V195" i="15"/>
  <c r="U195" i="15"/>
  <c r="V194" i="15"/>
  <c r="U194" i="15"/>
  <c r="V193" i="15"/>
  <c r="U193" i="15"/>
  <c r="V192" i="15"/>
  <c r="U192" i="15"/>
  <c r="V191" i="15"/>
  <c r="U191" i="15"/>
  <c r="V190" i="15"/>
  <c r="U190" i="15"/>
  <c r="V189" i="15"/>
  <c r="U189" i="15"/>
  <c r="V188" i="15"/>
  <c r="U188" i="15"/>
  <c r="V187" i="15"/>
  <c r="U187" i="15"/>
  <c r="V186" i="15"/>
  <c r="U186" i="15"/>
  <c r="V185" i="15"/>
  <c r="U185" i="15"/>
  <c r="V184" i="15"/>
  <c r="U184" i="15"/>
  <c r="V183" i="15"/>
  <c r="U183" i="15"/>
  <c r="V182" i="15"/>
  <c r="U182" i="15"/>
  <c r="V181" i="15"/>
  <c r="U181" i="15"/>
  <c r="V180" i="15"/>
  <c r="U180" i="15"/>
  <c r="V179" i="15"/>
  <c r="U179" i="15"/>
  <c r="V178" i="15"/>
  <c r="U178" i="15"/>
  <c r="V177" i="15"/>
  <c r="U177" i="15"/>
  <c r="V176" i="15"/>
  <c r="U176" i="15"/>
  <c r="V175" i="15"/>
  <c r="U175" i="15"/>
  <c r="V174" i="15"/>
  <c r="U174" i="15"/>
  <c r="V173" i="15"/>
  <c r="U173" i="15"/>
  <c r="V172" i="15"/>
  <c r="U172" i="15"/>
  <c r="V171" i="15"/>
  <c r="U171" i="15"/>
  <c r="V170" i="15"/>
  <c r="U170" i="15"/>
  <c r="V169" i="15"/>
  <c r="U169" i="15"/>
  <c r="V168" i="15"/>
  <c r="U168" i="15"/>
  <c r="V167" i="15"/>
  <c r="U167" i="15"/>
  <c r="V166" i="15"/>
  <c r="U166" i="15"/>
  <c r="V165" i="15"/>
  <c r="U165" i="15"/>
  <c r="V164" i="15"/>
  <c r="U164" i="15"/>
  <c r="V163" i="15"/>
  <c r="U163" i="15"/>
  <c r="V162" i="15"/>
  <c r="U162" i="15"/>
  <c r="V161" i="15"/>
  <c r="U161" i="15"/>
  <c r="V160" i="15"/>
  <c r="U160" i="15"/>
  <c r="V159" i="15"/>
  <c r="U159" i="15"/>
  <c r="V158" i="15"/>
  <c r="U158" i="15"/>
  <c r="V157" i="15"/>
  <c r="U157" i="15"/>
  <c r="V156" i="15"/>
  <c r="U156" i="15"/>
  <c r="V155" i="15"/>
  <c r="U155" i="15"/>
  <c r="V154" i="15"/>
  <c r="U154" i="15"/>
  <c r="V153" i="15"/>
  <c r="U153" i="15"/>
  <c r="V152" i="15"/>
  <c r="U152" i="15"/>
  <c r="V151" i="15"/>
  <c r="U151" i="15"/>
  <c r="V150" i="15"/>
  <c r="U150" i="15"/>
  <c r="V149" i="15"/>
  <c r="U149" i="15"/>
  <c r="V148" i="15"/>
  <c r="U148" i="15"/>
  <c r="V147" i="15"/>
  <c r="U147" i="15"/>
  <c r="V146" i="15"/>
  <c r="U146" i="15"/>
  <c r="V145" i="15"/>
  <c r="U145" i="15"/>
  <c r="V144" i="15"/>
  <c r="U144" i="15"/>
  <c r="V143" i="15"/>
  <c r="U143" i="15"/>
  <c r="V142" i="15"/>
  <c r="U142" i="15"/>
  <c r="V141" i="15"/>
  <c r="U141" i="15"/>
  <c r="V140" i="15"/>
  <c r="U140" i="15"/>
  <c r="V139" i="15"/>
  <c r="U139" i="15"/>
  <c r="V138" i="15"/>
  <c r="U138" i="15"/>
  <c r="V137" i="15"/>
  <c r="U137" i="15"/>
  <c r="V136" i="15"/>
  <c r="U136" i="15"/>
  <c r="V135" i="15"/>
  <c r="U135" i="15"/>
  <c r="V134" i="15"/>
  <c r="U134" i="15"/>
  <c r="V133" i="15"/>
  <c r="U133" i="15"/>
  <c r="V132" i="15"/>
  <c r="U132" i="15"/>
  <c r="V131" i="15"/>
  <c r="U131" i="15"/>
  <c r="V130" i="15"/>
  <c r="U130" i="15"/>
  <c r="V129" i="15"/>
  <c r="U129" i="15"/>
  <c r="V128" i="15"/>
  <c r="U128" i="15"/>
  <c r="V127" i="15"/>
  <c r="U127" i="15"/>
  <c r="V126" i="15"/>
  <c r="U126" i="15"/>
  <c r="V125" i="15"/>
  <c r="U125" i="15"/>
  <c r="V124" i="15"/>
  <c r="U124" i="15"/>
  <c r="V123" i="15"/>
  <c r="U123" i="15"/>
  <c r="V122" i="15"/>
  <c r="U122" i="15"/>
  <c r="V121" i="15"/>
  <c r="U121" i="15"/>
  <c r="V120" i="15"/>
  <c r="U120" i="15"/>
  <c r="V119" i="15"/>
  <c r="U119" i="15"/>
  <c r="V118" i="15"/>
  <c r="U118" i="15"/>
  <c r="V117" i="15"/>
  <c r="U117" i="15"/>
  <c r="V116" i="15"/>
  <c r="U116" i="15"/>
  <c r="V115" i="15"/>
  <c r="U115" i="15"/>
  <c r="V114" i="15"/>
  <c r="U114" i="15"/>
  <c r="V113" i="15"/>
  <c r="U113" i="15"/>
  <c r="V112" i="15"/>
  <c r="U112" i="15"/>
  <c r="V111" i="15"/>
  <c r="U111" i="15"/>
  <c r="V110" i="15"/>
  <c r="U110" i="15"/>
  <c r="V109" i="15"/>
  <c r="U109" i="15"/>
  <c r="V108" i="15"/>
  <c r="U108" i="15"/>
  <c r="V107" i="15"/>
  <c r="U107" i="15"/>
  <c r="V106" i="15"/>
  <c r="U106" i="15"/>
  <c r="V105" i="15"/>
  <c r="U105" i="15"/>
  <c r="V104" i="15"/>
  <c r="U104" i="15"/>
  <c r="V103" i="15"/>
  <c r="U103" i="15"/>
  <c r="V102" i="15"/>
  <c r="U102" i="15"/>
  <c r="V101" i="15"/>
  <c r="U101" i="15"/>
  <c r="V100" i="15"/>
  <c r="U100" i="15"/>
  <c r="V99" i="15"/>
  <c r="U99" i="15"/>
  <c r="V98" i="15"/>
  <c r="U98" i="15"/>
  <c r="V97" i="15"/>
  <c r="U97" i="15"/>
  <c r="V96" i="15"/>
  <c r="U96" i="15"/>
  <c r="V95" i="15"/>
  <c r="U95" i="15"/>
  <c r="V94" i="15"/>
  <c r="U94" i="15"/>
  <c r="V93" i="15"/>
  <c r="U93" i="15"/>
  <c r="V92" i="15"/>
  <c r="U92" i="15"/>
  <c r="V91" i="15"/>
  <c r="U91" i="15"/>
  <c r="V90" i="15"/>
  <c r="U90" i="15"/>
  <c r="V89" i="15"/>
  <c r="U89" i="15"/>
  <c r="V88" i="15"/>
  <c r="U88" i="15"/>
  <c r="V87" i="15"/>
  <c r="U87" i="15"/>
  <c r="V86" i="15"/>
  <c r="U86" i="15"/>
  <c r="V85" i="15"/>
  <c r="U85" i="15"/>
  <c r="V84" i="15"/>
  <c r="U84" i="15"/>
  <c r="V83" i="15"/>
  <c r="U83" i="15"/>
  <c r="V82" i="15"/>
  <c r="U82" i="15"/>
  <c r="V81" i="15"/>
  <c r="U81" i="15"/>
  <c r="V80" i="15"/>
  <c r="U80" i="15"/>
  <c r="V79" i="15"/>
  <c r="U79" i="15"/>
  <c r="V78" i="15"/>
  <c r="U78" i="15"/>
  <c r="V77" i="15"/>
  <c r="U77" i="15"/>
  <c r="V76" i="15"/>
  <c r="U76" i="15"/>
  <c r="V75" i="15"/>
  <c r="U75" i="15"/>
  <c r="V74" i="15"/>
  <c r="U74" i="15"/>
  <c r="V73" i="15"/>
  <c r="U73" i="15"/>
  <c r="V72" i="15"/>
  <c r="U72" i="15"/>
  <c r="V71" i="15"/>
  <c r="U71" i="15"/>
  <c r="V70" i="15"/>
  <c r="U70" i="15"/>
  <c r="V69" i="15"/>
  <c r="U69" i="15"/>
  <c r="V68" i="15"/>
  <c r="U68" i="15"/>
  <c r="V67" i="15"/>
  <c r="U67" i="15"/>
  <c r="V66" i="15"/>
  <c r="U66" i="15"/>
  <c r="V65" i="15"/>
  <c r="U65" i="15"/>
  <c r="V64" i="15"/>
  <c r="U64" i="15"/>
  <c r="V63" i="15"/>
  <c r="U63" i="15"/>
  <c r="V62" i="15"/>
  <c r="U62" i="15"/>
  <c r="V61" i="15"/>
  <c r="U61" i="15"/>
  <c r="V60" i="15"/>
  <c r="U60" i="15"/>
  <c r="V59" i="15"/>
  <c r="U59" i="15"/>
  <c r="V58" i="15"/>
  <c r="U58" i="15"/>
  <c r="V57" i="15"/>
  <c r="U57" i="15"/>
  <c r="V56" i="15"/>
  <c r="U56" i="15"/>
  <c r="V55" i="15"/>
  <c r="U55" i="15"/>
  <c r="V54" i="15"/>
  <c r="U54" i="15"/>
  <c r="V53" i="15"/>
  <c r="U53" i="15"/>
  <c r="V52" i="15"/>
  <c r="U52" i="15"/>
  <c r="V51" i="15"/>
  <c r="U51" i="15"/>
  <c r="V50" i="15"/>
  <c r="U50" i="15"/>
  <c r="V49" i="15"/>
  <c r="U49" i="15"/>
  <c r="V48" i="15"/>
  <c r="U48" i="15"/>
  <c r="V47" i="15"/>
  <c r="U47" i="15"/>
  <c r="V46" i="15"/>
  <c r="U46" i="15"/>
  <c r="V45" i="15"/>
  <c r="U45" i="15"/>
  <c r="V44" i="15"/>
  <c r="U44" i="15"/>
  <c r="V43" i="15"/>
  <c r="U43" i="15"/>
  <c r="V42" i="15"/>
  <c r="U42" i="15"/>
  <c r="V41" i="15"/>
  <c r="U41" i="15"/>
  <c r="V40" i="15"/>
  <c r="U40" i="15"/>
  <c r="V39" i="15"/>
  <c r="U39" i="15"/>
  <c r="V38" i="15"/>
  <c r="U38" i="15"/>
  <c r="V37" i="15"/>
  <c r="U37" i="15"/>
  <c r="V36" i="15"/>
  <c r="U36" i="15"/>
  <c r="V35" i="15"/>
  <c r="U35" i="15"/>
  <c r="V34" i="15"/>
  <c r="U34" i="15"/>
  <c r="V33" i="15"/>
  <c r="U33" i="15"/>
  <c r="V32" i="15"/>
  <c r="U32" i="15"/>
  <c r="V31" i="15"/>
  <c r="U31" i="15"/>
  <c r="V30" i="15"/>
  <c r="U30" i="15"/>
  <c r="V29" i="15"/>
  <c r="U29" i="15"/>
  <c r="V28" i="15"/>
  <c r="U28" i="15"/>
  <c r="V27" i="15"/>
  <c r="U27" i="15"/>
  <c r="V26" i="15"/>
  <c r="U26" i="15"/>
  <c r="V25" i="15"/>
  <c r="U25" i="15"/>
  <c r="V24" i="15"/>
  <c r="U24" i="15"/>
  <c r="V23" i="15"/>
  <c r="U23" i="15"/>
  <c r="V22" i="15"/>
  <c r="U22" i="15"/>
  <c r="V21" i="15"/>
  <c r="U21" i="15"/>
  <c r="V20" i="15"/>
  <c r="U20" i="15"/>
  <c r="V19" i="15"/>
  <c r="U19" i="15"/>
  <c r="V18" i="15"/>
  <c r="U18" i="15"/>
  <c r="V17" i="15"/>
  <c r="U17" i="15"/>
  <c r="V16" i="15"/>
  <c r="U16" i="15"/>
  <c r="V15" i="15"/>
  <c r="U15" i="15"/>
  <c r="V14" i="15"/>
  <c r="U14" i="15"/>
  <c r="V13" i="15"/>
  <c r="U13" i="15"/>
  <c r="V12" i="15"/>
  <c r="U12" i="15"/>
  <c r="V11" i="15"/>
  <c r="U11" i="15"/>
  <c r="V10" i="15"/>
  <c r="U10" i="15"/>
  <c r="V9" i="15"/>
  <c r="U9" i="15"/>
  <c r="V8" i="15"/>
  <c r="U8" i="15"/>
  <c r="V7" i="15"/>
  <c r="U7" i="15"/>
  <c r="V6" i="15"/>
  <c r="U6" i="15"/>
  <c r="V5" i="15"/>
  <c r="U5" i="15"/>
  <c r="V4" i="15"/>
  <c r="U4" i="15"/>
  <c r="V3" i="15"/>
  <c r="U3" i="15"/>
  <c r="K3870" i="15"/>
  <c r="J3870" i="15"/>
  <c r="I3870" i="15"/>
  <c r="K3869" i="15"/>
  <c r="J3869" i="15"/>
  <c r="I3869" i="15"/>
  <c r="K3868" i="15"/>
  <c r="J3868" i="15"/>
  <c r="I3868" i="15"/>
  <c r="K3867" i="15"/>
  <c r="J3867" i="15"/>
  <c r="I3867" i="15"/>
  <c r="K3866" i="15"/>
  <c r="J3866" i="15"/>
  <c r="I3866" i="15"/>
  <c r="K3865" i="15"/>
  <c r="J3865" i="15"/>
  <c r="I3865" i="15"/>
  <c r="K3864" i="15"/>
  <c r="J3864" i="15"/>
  <c r="I3864" i="15"/>
  <c r="K3863" i="15"/>
  <c r="J3863" i="15"/>
  <c r="I3863" i="15"/>
  <c r="K3862" i="15"/>
  <c r="J3862" i="15"/>
  <c r="I3862" i="15"/>
  <c r="K3861" i="15"/>
  <c r="J3861" i="15"/>
  <c r="I3861" i="15"/>
  <c r="K3860" i="15"/>
  <c r="J3860" i="15"/>
  <c r="I3860" i="15"/>
  <c r="K3859" i="15"/>
  <c r="J3859" i="15"/>
  <c r="I3859" i="15"/>
  <c r="K3858" i="15"/>
  <c r="J3858" i="15"/>
  <c r="I3858" i="15"/>
  <c r="K3857" i="15"/>
  <c r="J3857" i="15"/>
  <c r="I3857" i="15"/>
  <c r="K3856" i="15"/>
  <c r="J3856" i="15"/>
  <c r="I3856" i="15"/>
  <c r="K3855" i="15"/>
  <c r="J3855" i="15"/>
  <c r="I3855" i="15"/>
  <c r="K3854" i="15"/>
  <c r="J3854" i="15"/>
  <c r="I3854" i="15"/>
  <c r="K3853" i="15"/>
  <c r="J3853" i="15"/>
  <c r="I3853" i="15"/>
  <c r="K3852" i="15"/>
  <c r="J3852" i="15"/>
  <c r="I3852" i="15"/>
  <c r="K3851" i="15"/>
  <c r="J3851" i="15"/>
  <c r="I3851" i="15"/>
  <c r="K3850" i="15"/>
  <c r="J3850" i="15"/>
  <c r="I3850" i="15"/>
  <c r="K3849" i="15"/>
  <c r="J3849" i="15"/>
  <c r="I3849" i="15"/>
  <c r="K3848" i="15"/>
  <c r="J3848" i="15"/>
  <c r="I3848" i="15"/>
  <c r="K3847" i="15"/>
  <c r="J3847" i="15"/>
  <c r="I3847" i="15"/>
  <c r="K3846" i="15"/>
  <c r="J3846" i="15"/>
  <c r="I3846" i="15"/>
  <c r="K3845" i="15"/>
  <c r="J3845" i="15"/>
  <c r="I3845" i="15"/>
  <c r="K3844" i="15"/>
  <c r="J3844" i="15"/>
  <c r="I3844" i="15"/>
  <c r="K3843" i="15"/>
  <c r="J3843" i="15"/>
  <c r="I3843" i="15"/>
  <c r="K3842" i="15"/>
  <c r="J3842" i="15"/>
  <c r="I3842" i="15"/>
  <c r="K3841" i="15"/>
  <c r="J3841" i="15"/>
  <c r="I3841" i="15"/>
  <c r="K3840" i="15"/>
  <c r="J3840" i="15"/>
  <c r="I3840" i="15"/>
  <c r="K3839" i="15"/>
  <c r="J3839" i="15"/>
  <c r="I3839" i="15"/>
  <c r="K3838" i="15"/>
  <c r="J3838" i="15"/>
  <c r="I3838" i="15"/>
  <c r="K3837" i="15"/>
  <c r="J3837" i="15"/>
  <c r="I3837" i="15"/>
  <c r="K3836" i="15"/>
  <c r="J3836" i="15"/>
  <c r="I3836" i="15"/>
  <c r="K3835" i="15"/>
  <c r="J3835" i="15"/>
  <c r="I3835" i="15"/>
  <c r="K3834" i="15"/>
  <c r="J3834" i="15"/>
  <c r="I3834" i="15"/>
  <c r="K3833" i="15"/>
  <c r="J3833" i="15"/>
  <c r="I3833" i="15"/>
  <c r="K3832" i="15"/>
  <c r="J3832" i="15"/>
  <c r="I3832" i="15"/>
  <c r="K3831" i="15"/>
  <c r="J3831" i="15"/>
  <c r="I3831" i="15"/>
  <c r="K3830" i="15"/>
  <c r="J3830" i="15"/>
  <c r="I3830" i="15"/>
  <c r="K3829" i="15"/>
  <c r="J3829" i="15"/>
  <c r="I3829" i="15"/>
  <c r="K3828" i="15"/>
  <c r="J3828" i="15"/>
  <c r="I3828" i="15"/>
  <c r="K3827" i="15"/>
  <c r="J3827" i="15"/>
  <c r="I3827" i="15"/>
  <c r="K3826" i="15"/>
  <c r="J3826" i="15"/>
  <c r="I3826" i="15"/>
  <c r="K3825" i="15"/>
  <c r="J3825" i="15"/>
  <c r="I3825" i="15"/>
  <c r="K3824" i="15"/>
  <c r="J3824" i="15"/>
  <c r="I3824" i="15"/>
  <c r="K3823" i="15"/>
  <c r="J3823" i="15"/>
  <c r="I3823" i="15"/>
  <c r="K3822" i="15"/>
  <c r="J3822" i="15"/>
  <c r="I3822" i="15"/>
  <c r="K3821" i="15"/>
  <c r="J3821" i="15"/>
  <c r="I3821" i="15"/>
  <c r="K3820" i="15"/>
  <c r="J3820" i="15"/>
  <c r="I3820" i="15"/>
  <c r="K3819" i="15"/>
  <c r="J3819" i="15"/>
  <c r="I3819" i="15"/>
  <c r="K3818" i="15"/>
  <c r="J3818" i="15"/>
  <c r="I3818" i="15"/>
  <c r="K3817" i="15"/>
  <c r="J3817" i="15"/>
  <c r="I3817" i="15"/>
  <c r="K3816" i="15"/>
  <c r="J3816" i="15"/>
  <c r="I3816" i="15"/>
  <c r="K3815" i="15"/>
  <c r="J3815" i="15"/>
  <c r="I3815" i="15"/>
  <c r="K3814" i="15"/>
  <c r="J3814" i="15"/>
  <c r="I3814" i="15"/>
  <c r="K3813" i="15"/>
  <c r="J3813" i="15"/>
  <c r="I3813" i="15"/>
  <c r="K3812" i="15"/>
  <c r="J3812" i="15"/>
  <c r="I3812" i="15"/>
  <c r="K3811" i="15"/>
  <c r="J3811" i="15"/>
  <c r="I3811" i="15"/>
  <c r="K3810" i="15"/>
  <c r="J3810" i="15"/>
  <c r="I3810" i="15"/>
  <c r="K3809" i="15"/>
  <c r="J3809" i="15"/>
  <c r="I3809" i="15"/>
  <c r="K3808" i="15"/>
  <c r="J3808" i="15"/>
  <c r="I3808" i="15"/>
  <c r="K3807" i="15"/>
  <c r="J3807" i="15"/>
  <c r="I3807" i="15"/>
  <c r="K3806" i="15"/>
  <c r="J3806" i="15"/>
  <c r="I3806" i="15"/>
  <c r="K3805" i="15"/>
  <c r="J3805" i="15"/>
  <c r="I3805" i="15"/>
  <c r="K3804" i="15"/>
  <c r="J3804" i="15"/>
  <c r="I3804" i="15"/>
  <c r="K3803" i="15"/>
  <c r="J3803" i="15"/>
  <c r="I3803" i="15"/>
  <c r="K3802" i="15"/>
  <c r="J3802" i="15"/>
  <c r="I3802" i="15"/>
  <c r="K3801" i="15"/>
  <c r="J3801" i="15"/>
  <c r="I3801" i="15"/>
  <c r="K3800" i="15"/>
  <c r="J3800" i="15"/>
  <c r="I3800" i="15"/>
  <c r="K3799" i="15"/>
  <c r="J3799" i="15"/>
  <c r="I3799" i="15"/>
  <c r="K3798" i="15"/>
  <c r="J3798" i="15"/>
  <c r="I3798" i="15"/>
  <c r="K3797" i="15"/>
  <c r="J3797" i="15"/>
  <c r="I3797" i="15"/>
  <c r="K3796" i="15"/>
  <c r="J3796" i="15"/>
  <c r="I3796" i="15"/>
  <c r="K3795" i="15"/>
  <c r="J3795" i="15"/>
  <c r="I3795" i="15"/>
  <c r="K3794" i="15"/>
  <c r="J3794" i="15"/>
  <c r="I3794" i="15"/>
  <c r="K3793" i="15"/>
  <c r="J3793" i="15"/>
  <c r="I3793" i="15"/>
  <c r="K3792" i="15"/>
  <c r="J3792" i="15"/>
  <c r="I3792" i="15"/>
  <c r="K3791" i="15"/>
  <c r="J3791" i="15"/>
  <c r="I3791" i="15"/>
  <c r="K3790" i="15"/>
  <c r="J3790" i="15"/>
  <c r="I3790" i="15"/>
  <c r="K3789" i="15"/>
  <c r="J3789" i="15"/>
  <c r="I3789" i="15"/>
  <c r="K3788" i="15"/>
  <c r="J3788" i="15"/>
  <c r="I3788" i="15"/>
  <c r="K3787" i="15"/>
  <c r="J3787" i="15"/>
  <c r="I3787" i="15"/>
  <c r="K3786" i="15"/>
  <c r="J3786" i="15"/>
  <c r="I3786" i="15"/>
  <c r="K3785" i="15"/>
  <c r="J3785" i="15"/>
  <c r="I3785" i="15"/>
  <c r="K3784" i="15"/>
  <c r="J3784" i="15"/>
  <c r="I3784" i="15"/>
  <c r="K3783" i="15"/>
  <c r="J3783" i="15"/>
  <c r="I3783" i="15"/>
  <c r="K3782" i="15"/>
  <c r="J3782" i="15"/>
  <c r="I3782" i="15"/>
  <c r="K3781" i="15"/>
  <c r="J3781" i="15"/>
  <c r="I3781" i="15"/>
  <c r="K3780" i="15"/>
  <c r="J3780" i="15"/>
  <c r="I3780" i="15"/>
  <c r="K3779" i="15"/>
  <c r="J3779" i="15"/>
  <c r="I3779" i="15"/>
  <c r="K3778" i="15"/>
  <c r="J3778" i="15"/>
  <c r="I3778" i="15"/>
  <c r="K3777" i="15"/>
  <c r="J3777" i="15"/>
  <c r="I3777" i="15"/>
  <c r="K3776" i="15"/>
  <c r="J3776" i="15"/>
  <c r="I3776" i="15"/>
  <c r="K3775" i="15"/>
  <c r="J3775" i="15"/>
  <c r="I3775" i="15"/>
  <c r="K3774" i="15"/>
  <c r="J3774" i="15"/>
  <c r="I3774" i="15"/>
  <c r="K3773" i="15"/>
  <c r="J3773" i="15"/>
  <c r="I3773" i="15"/>
  <c r="K3772" i="15"/>
  <c r="J3772" i="15"/>
  <c r="I3772" i="15"/>
  <c r="K3771" i="15"/>
  <c r="J3771" i="15"/>
  <c r="I3771" i="15"/>
  <c r="K3770" i="15"/>
  <c r="J3770" i="15"/>
  <c r="I3770" i="15"/>
  <c r="K3769" i="15"/>
  <c r="J3769" i="15"/>
  <c r="I3769" i="15"/>
  <c r="K3768" i="15"/>
  <c r="J3768" i="15"/>
  <c r="I33" i="4" s="1"/>
  <c r="I3768" i="15"/>
  <c r="K3767" i="15"/>
  <c r="J3767" i="15"/>
  <c r="I3767" i="15"/>
  <c r="K3766" i="15"/>
  <c r="J3766" i="15"/>
  <c r="I3766" i="15"/>
  <c r="K3765" i="15"/>
  <c r="J3765" i="15"/>
  <c r="I3765" i="15"/>
  <c r="K3764" i="15"/>
  <c r="J3764" i="15"/>
  <c r="I3764" i="15"/>
  <c r="K3763" i="15"/>
  <c r="J3763" i="15"/>
  <c r="I3763" i="15"/>
  <c r="K3762" i="15"/>
  <c r="J3762" i="15"/>
  <c r="I3762" i="15"/>
  <c r="K3761" i="15"/>
  <c r="J3761" i="15"/>
  <c r="I3761" i="15"/>
  <c r="K3760" i="15"/>
  <c r="J3760" i="15"/>
  <c r="I3760" i="15"/>
  <c r="K3759" i="15"/>
  <c r="J3759" i="15"/>
  <c r="I3759" i="15"/>
  <c r="K3758" i="15"/>
  <c r="J3758" i="15"/>
  <c r="I3758" i="15"/>
  <c r="K3757" i="15"/>
  <c r="J3757" i="15"/>
  <c r="I3757" i="15"/>
  <c r="K3756" i="15"/>
  <c r="J3756" i="15"/>
  <c r="I3756" i="15"/>
  <c r="K3755" i="15"/>
  <c r="J3755" i="15"/>
  <c r="I3755" i="15"/>
  <c r="K3754" i="15"/>
  <c r="J3754" i="15"/>
  <c r="I3754" i="15"/>
  <c r="K3753" i="15"/>
  <c r="J3753" i="15"/>
  <c r="I3753" i="15"/>
  <c r="K3752" i="15"/>
  <c r="J3752" i="15"/>
  <c r="I3752" i="15"/>
  <c r="K3751" i="15"/>
  <c r="J3751" i="15"/>
  <c r="I3751" i="15"/>
  <c r="K3750" i="15"/>
  <c r="J3750" i="15"/>
  <c r="I3750" i="15"/>
  <c r="K3749" i="15"/>
  <c r="J3749" i="15"/>
  <c r="I3749" i="15"/>
  <c r="K3748" i="15"/>
  <c r="J3748" i="15"/>
  <c r="I3748" i="15"/>
  <c r="K3747" i="15"/>
  <c r="J3747" i="15"/>
  <c r="I3747" i="15"/>
  <c r="K3746" i="15"/>
  <c r="J3746" i="15"/>
  <c r="I3746" i="15"/>
  <c r="K3745" i="15"/>
  <c r="J3745" i="15"/>
  <c r="I3745" i="15"/>
  <c r="K3744" i="15"/>
  <c r="J3744" i="15"/>
  <c r="I3744" i="15"/>
  <c r="K3743" i="15"/>
  <c r="J3743" i="15"/>
  <c r="I3743" i="15"/>
  <c r="K3742" i="15"/>
  <c r="J3742" i="15"/>
  <c r="I3742" i="15"/>
  <c r="K3741" i="15"/>
  <c r="J3741" i="15"/>
  <c r="I3741" i="15"/>
  <c r="K3740" i="15"/>
  <c r="J3740" i="15"/>
  <c r="I3740" i="15"/>
  <c r="K3739" i="15"/>
  <c r="J3739" i="15"/>
  <c r="I3739" i="15"/>
  <c r="K3738" i="15"/>
  <c r="J3738" i="15"/>
  <c r="I3738" i="15"/>
  <c r="K3737" i="15"/>
  <c r="J3737" i="15"/>
  <c r="I3737" i="15"/>
  <c r="K3736" i="15"/>
  <c r="J3736" i="15"/>
  <c r="I3736" i="15"/>
  <c r="K3735" i="15"/>
  <c r="J3735" i="15"/>
  <c r="I3735" i="15"/>
  <c r="K3734" i="15"/>
  <c r="J3734" i="15"/>
  <c r="I3734" i="15"/>
  <c r="K3733" i="15"/>
  <c r="J3733" i="15"/>
  <c r="I3733" i="15"/>
  <c r="K3732" i="15"/>
  <c r="J3732" i="15"/>
  <c r="I3732" i="15"/>
  <c r="K3731" i="15"/>
  <c r="J3731" i="15"/>
  <c r="I3731" i="15"/>
  <c r="K3730" i="15"/>
  <c r="J3730" i="15"/>
  <c r="I3730" i="15"/>
  <c r="K3729" i="15"/>
  <c r="J3729" i="15"/>
  <c r="I3729" i="15"/>
  <c r="K3728" i="15"/>
  <c r="J3728" i="15"/>
  <c r="I3728" i="15"/>
  <c r="K3727" i="15"/>
  <c r="J3727" i="15"/>
  <c r="I3727" i="15"/>
  <c r="K3726" i="15"/>
  <c r="J3726" i="15"/>
  <c r="I3726" i="15"/>
  <c r="K3725" i="15"/>
  <c r="J3725" i="15"/>
  <c r="I3725" i="15"/>
  <c r="K3724" i="15"/>
  <c r="J3724" i="15"/>
  <c r="I3724" i="15"/>
  <c r="K3723" i="15"/>
  <c r="J3723" i="15"/>
  <c r="I3723" i="15"/>
  <c r="K3722" i="15"/>
  <c r="J3722" i="15"/>
  <c r="I3722" i="15"/>
  <c r="K3721" i="15"/>
  <c r="J3721" i="15"/>
  <c r="I3721" i="15"/>
  <c r="K3720" i="15"/>
  <c r="J3720" i="15"/>
  <c r="I3720" i="15"/>
  <c r="K3719" i="15"/>
  <c r="J3719" i="15"/>
  <c r="I3719" i="15"/>
  <c r="K3718" i="15"/>
  <c r="J3718" i="15"/>
  <c r="I3718" i="15"/>
  <c r="K3717" i="15"/>
  <c r="J3717" i="15"/>
  <c r="I3717" i="15"/>
  <c r="K3716" i="15"/>
  <c r="J3716" i="15"/>
  <c r="I3716" i="15"/>
  <c r="K3715" i="15"/>
  <c r="J3715" i="15"/>
  <c r="I3715" i="15"/>
  <c r="K3714" i="15"/>
  <c r="J3714" i="15"/>
  <c r="I3714" i="15"/>
  <c r="K3713" i="15"/>
  <c r="J3713" i="15"/>
  <c r="I3713" i="15"/>
  <c r="K3712" i="15"/>
  <c r="J3712" i="15"/>
  <c r="I3712" i="15"/>
  <c r="K3711" i="15"/>
  <c r="J3711" i="15"/>
  <c r="I3711" i="15"/>
  <c r="K3710" i="15"/>
  <c r="J3710" i="15"/>
  <c r="I3710" i="15"/>
  <c r="K3709" i="15"/>
  <c r="J3709" i="15"/>
  <c r="I3709" i="15"/>
  <c r="K3708" i="15"/>
  <c r="J3708" i="15"/>
  <c r="I3708" i="15"/>
  <c r="K3707" i="15"/>
  <c r="J3707" i="15"/>
  <c r="I3707" i="15"/>
  <c r="K3706" i="15"/>
  <c r="J3706" i="15"/>
  <c r="I3706" i="15"/>
  <c r="K3705" i="15"/>
  <c r="J3705" i="15"/>
  <c r="I3705" i="15"/>
  <c r="K3704" i="15"/>
  <c r="J3704" i="15"/>
  <c r="I3704" i="15"/>
  <c r="K3703" i="15"/>
  <c r="J3703" i="15"/>
  <c r="I3703" i="15"/>
  <c r="K3702" i="15"/>
  <c r="J3702" i="15"/>
  <c r="I3702" i="15"/>
  <c r="K3701" i="15"/>
  <c r="J3701" i="15"/>
  <c r="I3701" i="15"/>
  <c r="K3700" i="15"/>
  <c r="J3700" i="15"/>
  <c r="I3700" i="15"/>
  <c r="K3699" i="15"/>
  <c r="J3699" i="15"/>
  <c r="I3699" i="15"/>
  <c r="K3698" i="15"/>
  <c r="J3698" i="15"/>
  <c r="I3698" i="15"/>
  <c r="K3697" i="15"/>
  <c r="J3697" i="15"/>
  <c r="I3697" i="15"/>
  <c r="K3696" i="15"/>
  <c r="J3696" i="15"/>
  <c r="I3696" i="15"/>
  <c r="K3695" i="15"/>
  <c r="J3695" i="15"/>
  <c r="I3695" i="15"/>
  <c r="K3694" i="15"/>
  <c r="J3694" i="15"/>
  <c r="I3694" i="15"/>
  <c r="K3693" i="15"/>
  <c r="J3693" i="15"/>
  <c r="I3693" i="15"/>
  <c r="K3692" i="15"/>
  <c r="J3692" i="15"/>
  <c r="I3692" i="15"/>
  <c r="K3691" i="15"/>
  <c r="J3691" i="15"/>
  <c r="I3691" i="15"/>
  <c r="K3690" i="15"/>
  <c r="J3690" i="15"/>
  <c r="I3690" i="15"/>
  <c r="K3689" i="15"/>
  <c r="J3689" i="15"/>
  <c r="I3689" i="15"/>
  <c r="K3688" i="15"/>
  <c r="J3688" i="15"/>
  <c r="I3688" i="15"/>
  <c r="K3687" i="15"/>
  <c r="J3687" i="15"/>
  <c r="I3687" i="15"/>
  <c r="K3686" i="15"/>
  <c r="J3686" i="15"/>
  <c r="I3686" i="15"/>
  <c r="K3685" i="15"/>
  <c r="J3685" i="15"/>
  <c r="I3685" i="15"/>
  <c r="K3684" i="15"/>
  <c r="J3684" i="15"/>
  <c r="I3684" i="15"/>
  <c r="K3683" i="15"/>
  <c r="J3683" i="15"/>
  <c r="I3683" i="15"/>
  <c r="K3682" i="15"/>
  <c r="J3682" i="15"/>
  <c r="I3682" i="15"/>
  <c r="K3681" i="15"/>
  <c r="J3681" i="15"/>
  <c r="I3681" i="15"/>
  <c r="K3680" i="15"/>
  <c r="J3680" i="15"/>
  <c r="I3680" i="15"/>
  <c r="K3679" i="15"/>
  <c r="J3679" i="15"/>
  <c r="I3679" i="15"/>
  <c r="K3678" i="15"/>
  <c r="J3678" i="15"/>
  <c r="I3678" i="15"/>
  <c r="K3677" i="15"/>
  <c r="J3677" i="15"/>
  <c r="I3677" i="15"/>
  <c r="K3676" i="15"/>
  <c r="J3676" i="15"/>
  <c r="I3676" i="15"/>
  <c r="K3675" i="15"/>
  <c r="J3675" i="15"/>
  <c r="I3675" i="15"/>
  <c r="K3674" i="15"/>
  <c r="J3674" i="15"/>
  <c r="I3674" i="15"/>
  <c r="K3673" i="15"/>
  <c r="J3673" i="15"/>
  <c r="I3673" i="15"/>
  <c r="K3672" i="15"/>
  <c r="J3672" i="15"/>
  <c r="I3672" i="15"/>
  <c r="K3671" i="15"/>
  <c r="J3671" i="15"/>
  <c r="I3671" i="15"/>
  <c r="K3670" i="15"/>
  <c r="J3670" i="15"/>
  <c r="I3670" i="15"/>
  <c r="K3669" i="15"/>
  <c r="J3669" i="15"/>
  <c r="I3669" i="15"/>
  <c r="K3668" i="15"/>
  <c r="J3668" i="15"/>
  <c r="I3668" i="15"/>
  <c r="K3667" i="15"/>
  <c r="J3667" i="15"/>
  <c r="I3667" i="15"/>
  <c r="K3666" i="15"/>
  <c r="J3666" i="15"/>
  <c r="I3666" i="15"/>
  <c r="K3665" i="15"/>
  <c r="J3665" i="15"/>
  <c r="I3665" i="15"/>
  <c r="K3664" i="15"/>
  <c r="J3664" i="15"/>
  <c r="I3664" i="15"/>
  <c r="K3663" i="15"/>
  <c r="J3663" i="15"/>
  <c r="I3663" i="15"/>
  <c r="K3662" i="15"/>
  <c r="J3662" i="15"/>
  <c r="I3662" i="15"/>
  <c r="K3661" i="15"/>
  <c r="J3661" i="15"/>
  <c r="I3661" i="15"/>
  <c r="K3660" i="15"/>
  <c r="J3660" i="15"/>
  <c r="I3660" i="15"/>
  <c r="K3659" i="15"/>
  <c r="J3659" i="15"/>
  <c r="I3659" i="15"/>
  <c r="K3658" i="15"/>
  <c r="J3658" i="15"/>
  <c r="I3658" i="15"/>
  <c r="K3657" i="15"/>
  <c r="J3657" i="15"/>
  <c r="I3657" i="15"/>
  <c r="K3656" i="15"/>
  <c r="J3656" i="15"/>
  <c r="I3656" i="15"/>
  <c r="K3655" i="15"/>
  <c r="J3655" i="15"/>
  <c r="I3655" i="15"/>
  <c r="K3654" i="15"/>
  <c r="J3654" i="15"/>
  <c r="I3654" i="15"/>
  <c r="K3653" i="15"/>
  <c r="J3653" i="15"/>
  <c r="I3653" i="15"/>
  <c r="K3652" i="15"/>
  <c r="J3652" i="15"/>
  <c r="I3652" i="15"/>
  <c r="K3651" i="15"/>
  <c r="J3651" i="15"/>
  <c r="I3651" i="15"/>
  <c r="K3650" i="15"/>
  <c r="J3650" i="15"/>
  <c r="I3650" i="15"/>
  <c r="K3649" i="15"/>
  <c r="J3649" i="15"/>
  <c r="I3649" i="15"/>
  <c r="K3648" i="15"/>
  <c r="J3648" i="15"/>
  <c r="I3648" i="15"/>
  <c r="K3647" i="15"/>
  <c r="J3647" i="15"/>
  <c r="I3647" i="15"/>
  <c r="K3646" i="15"/>
  <c r="J3646" i="15"/>
  <c r="I3646" i="15"/>
  <c r="K3645" i="15"/>
  <c r="J3645" i="15"/>
  <c r="I3645" i="15"/>
  <c r="K3644" i="15"/>
  <c r="J3644" i="15"/>
  <c r="I3644" i="15"/>
  <c r="K3643" i="15"/>
  <c r="J3643" i="15"/>
  <c r="I3643" i="15"/>
  <c r="K3642" i="15"/>
  <c r="J3642" i="15"/>
  <c r="I3642" i="15"/>
  <c r="K3641" i="15"/>
  <c r="J3641" i="15"/>
  <c r="I3641" i="15"/>
  <c r="K3640" i="15"/>
  <c r="J3640" i="15"/>
  <c r="I3640" i="15"/>
  <c r="K3639" i="15"/>
  <c r="J3639" i="15"/>
  <c r="I3639" i="15"/>
  <c r="K3638" i="15"/>
  <c r="J3638" i="15"/>
  <c r="I3638" i="15"/>
  <c r="K3637" i="15"/>
  <c r="J3637" i="15"/>
  <c r="I3637" i="15"/>
  <c r="K3636" i="15"/>
  <c r="J3636" i="15"/>
  <c r="I3636" i="15"/>
  <c r="K3635" i="15"/>
  <c r="J3635" i="15"/>
  <c r="I3635" i="15"/>
  <c r="K3634" i="15"/>
  <c r="J3634" i="15"/>
  <c r="I3634" i="15"/>
  <c r="K3633" i="15"/>
  <c r="J3633" i="15"/>
  <c r="I3633" i="15"/>
  <c r="K3632" i="15"/>
  <c r="J3632" i="15"/>
  <c r="I3632" i="15"/>
  <c r="K3631" i="15"/>
  <c r="J3631" i="15"/>
  <c r="I3631" i="15"/>
  <c r="K3630" i="15"/>
  <c r="J3630" i="15"/>
  <c r="I3630" i="15"/>
  <c r="K3629" i="15"/>
  <c r="J3629" i="15"/>
  <c r="I3629" i="15"/>
  <c r="K3628" i="15"/>
  <c r="J3628" i="15"/>
  <c r="I3628" i="15"/>
  <c r="K3627" i="15"/>
  <c r="J3627" i="15"/>
  <c r="I3627" i="15"/>
  <c r="K3626" i="15"/>
  <c r="J3626" i="15"/>
  <c r="I3626" i="15"/>
  <c r="K3625" i="15"/>
  <c r="J3625" i="15"/>
  <c r="I3625" i="15"/>
  <c r="K3624" i="15"/>
  <c r="J3624" i="15"/>
  <c r="I3624" i="15"/>
  <c r="K3623" i="15"/>
  <c r="J3623" i="15"/>
  <c r="I3623" i="15"/>
  <c r="K3622" i="15"/>
  <c r="J3622" i="15"/>
  <c r="I3622" i="15"/>
  <c r="K3621" i="15"/>
  <c r="J3621" i="15"/>
  <c r="I3621" i="15"/>
  <c r="K3620" i="15"/>
  <c r="J3620" i="15"/>
  <c r="I3620" i="15"/>
  <c r="K3619" i="15"/>
  <c r="J3619" i="15"/>
  <c r="I3619" i="15"/>
  <c r="K3618" i="15"/>
  <c r="J3618" i="15"/>
  <c r="I3618" i="15"/>
  <c r="K3617" i="15"/>
  <c r="J3617" i="15"/>
  <c r="I3617" i="15"/>
  <c r="K3616" i="15"/>
  <c r="J3616" i="15"/>
  <c r="I3616" i="15"/>
  <c r="K3615" i="15"/>
  <c r="J3615" i="15"/>
  <c r="I3615" i="15"/>
  <c r="K3614" i="15"/>
  <c r="J3614" i="15"/>
  <c r="I3614" i="15"/>
  <c r="K3613" i="15"/>
  <c r="J3613" i="15"/>
  <c r="I3613" i="15"/>
  <c r="K3612" i="15"/>
  <c r="J3612" i="15"/>
  <c r="I3612" i="15"/>
  <c r="K3611" i="15"/>
  <c r="J3611" i="15"/>
  <c r="I3611" i="15"/>
  <c r="K3610" i="15"/>
  <c r="J3610" i="15"/>
  <c r="I3610" i="15"/>
  <c r="K3609" i="15"/>
  <c r="J3609" i="15"/>
  <c r="I3609" i="15"/>
  <c r="K3608" i="15"/>
  <c r="J3608" i="15"/>
  <c r="I3608" i="15"/>
  <c r="K3607" i="15"/>
  <c r="J3607" i="15"/>
  <c r="I3607" i="15"/>
  <c r="K3606" i="15"/>
  <c r="J3606" i="15"/>
  <c r="I3606" i="15"/>
  <c r="K3605" i="15"/>
  <c r="J3605" i="15"/>
  <c r="I3605" i="15"/>
  <c r="K3604" i="15"/>
  <c r="J3604" i="15"/>
  <c r="I3604" i="15"/>
  <c r="K3603" i="15"/>
  <c r="J3603" i="15"/>
  <c r="I3603" i="15"/>
  <c r="K3602" i="15"/>
  <c r="J3602" i="15"/>
  <c r="I3602" i="15"/>
  <c r="K3601" i="15"/>
  <c r="J3601" i="15"/>
  <c r="I3601" i="15"/>
  <c r="K3600" i="15"/>
  <c r="J3600" i="15"/>
  <c r="I3600" i="15"/>
  <c r="K3599" i="15"/>
  <c r="J3599" i="15"/>
  <c r="I3599" i="15"/>
  <c r="K3598" i="15"/>
  <c r="J3598" i="15"/>
  <c r="I3598" i="15"/>
  <c r="K3597" i="15"/>
  <c r="J3597" i="15"/>
  <c r="I3597" i="15"/>
  <c r="K3596" i="15"/>
  <c r="J3596" i="15"/>
  <c r="I3596" i="15"/>
  <c r="K3595" i="15"/>
  <c r="J3595" i="15"/>
  <c r="I3595" i="15"/>
  <c r="K3594" i="15"/>
  <c r="J3594" i="15"/>
  <c r="I3594" i="15"/>
  <c r="K3593" i="15"/>
  <c r="J3593" i="15"/>
  <c r="I3593" i="15"/>
  <c r="K3592" i="15"/>
  <c r="J3592" i="15"/>
  <c r="I3592" i="15"/>
  <c r="K3591" i="15"/>
  <c r="J3591" i="15"/>
  <c r="I3591" i="15"/>
  <c r="K3590" i="15"/>
  <c r="J3590" i="15"/>
  <c r="I3590" i="15"/>
  <c r="K3589" i="15"/>
  <c r="J3589" i="15"/>
  <c r="I3589" i="15"/>
  <c r="K3588" i="15"/>
  <c r="J3588" i="15"/>
  <c r="I3588" i="15"/>
  <c r="K3587" i="15"/>
  <c r="J3587" i="15"/>
  <c r="I3587" i="15"/>
  <c r="K3586" i="15"/>
  <c r="J3586" i="15"/>
  <c r="I3586" i="15"/>
  <c r="K3585" i="15"/>
  <c r="J3585" i="15"/>
  <c r="I3585" i="15"/>
  <c r="K3584" i="15"/>
  <c r="J3584" i="15"/>
  <c r="I3584" i="15"/>
  <c r="K3583" i="15"/>
  <c r="J3583" i="15"/>
  <c r="I3583" i="15"/>
  <c r="K3582" i="15"/>
  <c r="J3582" i="15"/>
  <c r="I3582" i="15"/>
  <c r="K3581" i="15"/>
  <c r="J3581" i="15"/>
  <c r="I3581" i="15"/>
  <c r="K3580" i="15"/>
  <c r="J3580" i="15"/>
  <c r="I3580" i="15"/>
  <c r="K3579" i="15"/>
  <c r="J3579" i="15"/>
  <c r="I3579" i="15"/>
  <c r="K3578" i="15"/>
  <c r="J3578" i="15"/>
  <c r="I3578" i="15"/>
  <c r="K3577" i="15"/>
  <c r="J3577" i="15"/>
  <c r="I3577" i="15"/>
  <c r="K3576" i="15"/>
  <c r="J3576" i="15"/>
  <c r="I3576" i="15"/>
  <c r="K3575" i="15"/>
  <c r="J3575" i="15"/>
  <c r="I3575" i="15"/>
  <c r="K3574" i="15"/>
  <c r="J3574" i="15"/>
  <c r="I3574" i="15"/>
  <c r="K3573" i="15"/>
  <c r="J3573" i="15"/>
  <c r="I3573" i="15"/>
  <c r="K3572" i="15"/>
  <c r="J3572" i="15"/>
  <c r="I3572" i="15"/>
  <c r="K3571" i="15"/>
  <c r="J3571" i="15"/>
  <c r="I3571" i="15"/>
  <c r="K3570" i="15"/>
  <c r="J3570" i="15"/>
  <c r="I3570" i="15"/>
  <c r="K3569" i="15"/>
  <c r="J3569" i="15"/>
  <c r="I3569" i="15"/>
  <c r="K3568" i="15"/>
  <c r="J3568" i="15"/>
  <c r="I3568" i="15"/>
  <c r="K3567" i="15"/>
  <c r="J3567" i="15"/>
  <c r="I3567" i="15"/>
  <c r="K3566" i="15"/>
  <c r="J3566" i="15"/>
  <c r="I3566" i="15"/>
  <c r="K3565" i="15"/>
  <c r="J3565" i="15"/>
  <c r="I3565" i="15"/>
  <c r="K3564" i="15"/>
  <c r="J3564" i="15"/>
  <c r="I3564" i="15"/>
  <c r="K3563" i="15"/>
  <c r="J3563" i="15"/>
  <c r="I3563" i="15"/>
  <c r="K3562" i="15"/>
  <c r="J3562" i="15"/>
  <c r="I3562" i="15"/>
  <c r="K3561" i="15"/>
  <c r="J3561" i="15"/>
  <c r="I3561" i="15"/>
  <c r="K3560" i="15"/>
  <c r="J3560" i="15"/>
  <c r="I3560" i="15"/>
  <c r="K3559" i="15"/>
  <c r="J3559" i="15"/>
  <c r="I3559" i="15"/>
  <c r="K3558" i="15"/>
  <c r="J3558" i="15"/>
  <c r="I3558" i="15"/>
  <c r="K3557" i="15"/>
  <c r="J3557" i="15"/>
  <c r="I3557" i="15"/>
  <c r="K3556" i="15"/>
  <c r="J3556" i="15"/>
  <c r="I3556" i="15"/>
  <c r="K3555" i="15"/>
  <c r="J3555" i="15"/>
  <c r="I3555" i="15"/>
  <c r="K3554" i="15"/>
  <c r="J3554" i="15"/>
  <c r="I3554" i="15"/>
  <c r="K3553" i="15"/>
  <c r="J3553" i="15"/>
  <c r="I3553" i="15"/>
  <c r="K3552" i="15"/>
  <c r="J3552" i="15"/>
  <c r="I3552" i="15"/>
  <c r="K3551" i="15"/>
  <c r="J3551" i="15"/>
  <c r="I3551" i="15"/>
  <c r="K3550" i="15"/>
  <c r="J3550" i="15"/>
  <c r="I3550" i="15"/>
  <c r="K3549" i="15"/>
  <c r="J3549" i="15"/>
  <c r="I3549" i="15"/>
  <c r="K3548" i="15"/>
  <c r="J3548" i="15"/>
  <c r="I3548" i="15"/>
  <c r="K3547" i="15"/>
  <c r="J3547" i="15"/>
  <c r="I3547" i="15"/>
  <c r="K3546" i="15"/>
  <c r="J3546" i="15"/>
  <c r="I3546" i="15"/>
  <c r="K3545" i="15"/>
  <c r="J3545" i="15"/>
  <c r="I3545" i="15"/>
  <c r="K3544" i="15"/>
  <c r="J3544" i="15"/>
  <c r="I3544" i="15"/>
  <c r="K3543" i="15"/>
  <c r="J3543" i="15"/>
  <c r="I3543" i="15"/>
  <c r="K3542" i="15"/>
  <c r="J3542" i="15"/>
  <c r="I3542" i="15"/>
  <c r="K3541" i="15"/>
  <c r="J3541" i="15"/>
  <c r="I3541" i="15"/>
  <c r="K3540" i="15"/>
  <c r="J3540" i="15"/>
  <c r="I3540" i="15"/>
  <c r="K3539" i="15"/>
  <c r="J3539" i="15"/>
  <c r="I3539" i="15"/>
  <c r="K3538" i="15"/>
  <c r="J3538" i="15"/>
  <c r="I3538" i="15"/>
  <c r="K3537" i="15"/>
  <c r="J3537" i="15"/>
  <c r="I3537" i="15"/>
  <c r="K3536" i="15"/>
  <c r="J3536" i="15"/>
  <c r="I3536" i="15"/>
  <c r="K3535" i="15"/>
  <c r="J3535" i="15"/>
  <c r="I3535" i="15"/>
  <c r="K3534" i="15"/>
  <c r="J3534" i="15"/>
  <c r="I3534" i="15"/>
  <c r="K3533" i="15"/>
  <c r="J3533" i="15"/>
  <c r="I3533" i="15"/>
  <c r="K3532" i="15"/>
  <c r="J3532" i="15"/>
  <c r="I3532" i="15"/>
  <c r="K3531" i="15"/>
  <c r="J3531" i="15"/>
  <c r="I3531" i="15"/>
  <c r="K3530" i="15"/>
  <c r="J3530" i="15"/>
  <c r="I3530" i="15"/>
  <c r="K3529" i="15"/>
  <c r="J3529" i="15"/>
  <c r="I3529" i="15"/>
  <c r="K3528" i="15"/>
  <c r="J3528" i="15"/>
  <c r="I3528" i="15"/>
  <c r="K3527" i="15"/>
  <c r="J3527" i="15"/>
  <c r="I3527" i="15"/>
  <c r="K3526" i="15"/>
  <c r="J3526" i="15"/>
  <c r="I3526" i="15"/>
  <c r="K3525" i="15"/>
  <c r="J3525" i="15"/>
  <c r="I3525" i="15"/>
  <c r="K3524" i="15"/>
  <c r="J3524" i="15"/>
  <c r="I3524" i="15"/>
  <c r="K3523" i="15"/>
  <c r="J3523" i="15"/>
  <c r="I3523" i="15"/>
  <c r="K3522" i="15"/>
  <c r="J3522" i="15"/>
  <c r="I3522" i="15"/>
  <c r="K3521" i="15"/>
  <c r="J3521" i="15"/>
  <c r="I3521" i="15"/>
  <c r="K3520" i="15"/>
  <c r="J3520" i="15"/>
  <c r="I3520" i="15"/>
  <c r="K3519" i="15"/>
  <c r="J3519" i="15"/>
  <c r="I3519" i="15"/>
  <c r="K3518" i="15"/>
  <c r="J3518" i="15"/>
  <c r="I3518" i="15"/>
  <c r="K3517" i="15"/>
  <c r="J3517" i="15"/>
  <c r="I3517" i="15"/>
  <c r="K3516" i="15"/>
  <c r="J3516" i="15"/>
  <c r="I3516" i="15"/>
  <c r="K3515" i="15"/>
  <c r="J3515" i="15"/>
  <c r="I3515" i="15"/>
  <c r="K3514" i="15"/>
  <c r="J3514" i="15"/>
  <c r="I3514" i="15"/>
  <c r="K3513" i="15"/>
  <c r="J3513" i="15"/>
  <c r="I3513" i="15"/>
  <c r="K3512" i="15"/>
  <c r="J3512" i="15"/>
  <c r="I3512" i="15"/>
  <c r="K3511" i="15"/>
  <c r="J3511" i="15"/>
  <c r="I3511" i="15"/>
  <c r="K3510" i="15"/>
  <c r="J3510" i="15"/>
  <c r="I3510" i="15"/>
  <c r="K3509" i="15"/>
  <c r="J3509" i="15"/>
  <c r="I3509" i="15"/>
  <c r="K3508" i="15"/>
  <c r="J3508" i="15"/>
  <c r="I3508" i="15"/>
  <c r="K3507" i="15"/>
  <c r="J3507" i="15"/>
  <c r="I3507" i="15"/>
  <c r="K3506" i="15"/>
  <c r="J3506" i="15"/>
  <c r="I3506" i="15"/>
  <c r="K3505" i="15"/>
  <c r="J3505" i="15"/>
  <c r="I3505" i="15"/>
  <c r="K3504" i="15"/>
  <c r="J3504" i="15"/>
  <c r="I3504" i="15"/>
  <c r="K3503" i="15"/>
  <c r="J3503" i="15"/>
  <c r="I3503" i="15"/>
  <c r="K3502" i="15"/>
  <c r="J3502" i="15"/>
  <c r="I3502" i="15"/>
  <c r="K3501" i="15"/>
  <c r="J3501" i="15"/>
  <c r="I3501" i="15"/>
  <c r="K3500" i="15"/>
  <c r="J3500" i="15"/>
  <c r="I3500" i="15"/>
  <c r="K3499" i="15"/>
  <c r="J3499" i="15"/>
  <c r="I3499" i="15"/>
  <c r="K3498" i="15"/>
  <c r="J3498" i="15"/>
  <c r="I3498" i="15"/>
  <c r="K3497" i="15"/>
  <c r="J3497" i="15"/>
  <c r="I3497" i="15"/>
  <c r="K3496" i="15"/>
  <c r="J3496" i="15"/>
  <c r="I3496" i="15"/>
  <c r="K3495" i="15"/>
  <c r="J3495" i="15"/>
  <c r="I3495" i="15"/>
  <c r="K3494" i="15"/>
  <c r="J3494" i="15"/>
  <c r="I3494" i="15"/>
  <c r="K3493" i="15"/>
  <c r="J3493" i="15"/>
  <c r="I3493" i="15"/>
  <c r="K3492" i="15"/>
  <c r="J3492" i="15"/>
  <c r="I3492" i="15"/>
  <c r="K3491" i="15"/>
  <c r="J3491" i="15"/>
  <c r="I3491" i="15"/>
  <c r="K3490" i="15"/>
  <c r="J3490" i="15"/>
  <c r="I3490" i="15"/>
  <c r="K3489" i="15"/>
  <c r="J3489" i="15"/>
  <c r="I3489" i="15"/>
  <c r="K3488" i="15"/>
  <c r="J3488" i="15"/>
  <c r="I3488" i="15"/>
  <c r="K3487" i="15"/>
  <c r="J3487" i="15"/>
  <c r="I3487" i="15"/>
  <c r="K3486" i="15"/>
  <c r="J3486" i="15"/>
  <c r="I3486" i="15"/>
  <c r="K3485" i="15"/>
  <c r="J3485" i="15"/>
  <c r="I3485" i="15"/>
  <c r="K3484" i="15"/>
  <c r="J3484" i="15"/>
  <c r="I3484" i="15"/>
  <c r="K3483" i="15"/>
  <c r="J3483" i="15"/>
  <c r="I3483" i="15"/>
  <c r="K3482" i="15"/>
  <c r="J3482" i="15"/>
  <c r="I3482" i="15"/>
  <c r="K3481" i="15"/>
  <c r="J3481" i="15"/>
  <c r="I3481" i="15"/>
  <c r="K3480" i="15"/>
  <c r="J3480" i="15"/>
  <c r="I3480" i="15"/>
  <c r="K3479" i="15"/>
  <c r="J3479" i="15"/>
  <c r="I3479" i="15"/>
  <c r="K3478" i="15"/>
  <c r="J3478" i="15"/>
  <c r="I3478" i="15"/>
  <c r="K3477" i="15"/>
  <c r="J3477" i="15"/>
  <c r="I3477" i="15"/>
  <c r="K3476" i="15"/>
  <c r="J3476" i="15"/>
  <c r="I3476" i="15"/>
  <c r="K3475" i="15"/>
  <c r="J3475" i="15"/>
  <c r="I3475" i="15"/>
  <c r="K3474" i="15"/>
  <c r="J3474" i="15"/>
  <c r="I3474" i="15"/>
  <c r="K3473" i="15"/>
  <c r="J3473" i="15"/>
  <c r="I3473" i="15"/>
  <c r="K3472" i="15"/>
  <c r="J3472" i="15"/>
  <c r="I3472" i="15"/>
  <c r="K3471" i="15"/>
  <c r="J3471" i="15"/>
  <c r="I3471" i="15"/>
  <c r="K3470" i="15"/>
  <c r="J3470" i="15"/>
  <c r="I3470" i="15"/>
  <c r="K3469" i="15"/>
  <c r="J3469" i="15"/>
  <c r="I3469" i="15"/>
  <c r="K3468" i="15"/>
  <c r="J3468" i="15"/>
  <c r="I3468" i="15"/>
  <c r="K3467" i="15"/>
  <c r="J3467" i="15"/>
  <c r="I3467" i="15"/>
  <c r="K3466" i="15"/>
  <c r="J3466" i="15"/>
  <c r="I3466" i="15"/>
  <c r="K3465" i="15"/>
  <c r="J3465" i="15"/>
  <c r="I3465" i="15"/>
  <c r="K3464" i="15"/>
  <c r="J3464" i="15"/>
  <c r="I3464" i="15"/>
  <c r="K3463" i="15"/>
  <c r="J3463" i="15"/>
  <c r="I3463" i="15"/>
  <c r="K3462" i="15"/>
  <c r="J3462" i="15"/>
  <c r="I3462" i="15"/>
  <c r="K3461" i="15"/>
  <c r="J3461" i="15"/>
  <c r="I3461" i="15"/>
  <c r="K3460" i="15"/>
  <c r="J3460" i="15"/>
  <c r="I3460" i="15"/>
  <c r="K3459" i="15"/>
  <c r="J3459" i="15"/>
  <c r="I3459" i="15"/>
  <c r="K3458" i="15"/>
  <c r="J3458" i="15"/>
  <c r="I3458" i="15"/>
  <c r="K3457" i="15"/>
  <c r="J3457" i="15"/>
  <c r="I3457" i="15"/>
  <c r="K3456" i="15"/>
  <c r="J3456" i="15"/>
  <c r="I3456" i="15"/>
  <c r="K3455" i="15"/>
  <c r="J3455" i="15"/>
  <c r="I3455" i="15"/>
  <c r="K3454" i="15"/>
  <c r="J3454" i="15"/>
  <c r="I3454" i="15"/>
  <c r="K3453" i="15"/>
  <c r="J3453" i="15"/>
  <c r="I3453" i="15"/>
  <c r="K3452" i="15"/>
  <c r="J3452" i="15"/>
  <c r="I3452" i="15"/>
  <c r="K3451" i="15"/>
  <c r="J3451" i="15"/>
  <c r="I3451" i="15"/>
  <c r="K3450" i="15"/>
  <c r="J3450" i="15"/>
  <c r="I3450" i="15"/>
  <c r="K3449" i="15"/>
  <c r="J3449" i="15"/>
  <c r="I3449" i="15"/>
  <c r="K3448" i="15"/>
  <c r="J3448" i="15"/>
  <c r="I3448" i="15"/>
  <c r="K3447" i="15"/>
  <c r="J3447" i="15"/>
  <c r="I3447" i="15"/>
  <c r="K3446" i="15"/>
  <c r="J3446" i="15"/>
  <c r="I3446" i="15"/>
  <c r="K3445" i="15"/>
  <c r="J3445" i="15"/>
  <c r="I3445" i="15"/>
  <c r="K3444" i="15"/>
  <c r="J3444" i="15"/>
  <c r="I3444" i="15"/>
  <c r="K3443" i="15"/>
  <c r="J3443" i="15"/>
  <c r="I3443" i="15"/>
  <c r="K3442" i="15"/>
  <c r="J3442" i="15"/>
  <c r="I3442" i="15"/>
  <c r="K3441" i="15"/>
  <c r="J3441" i="15"/>
  <c r="I3441" i="15"/>
  <c r="K3440" i="15"/>
  <c r="J3440" i="15"/>
  <c r="I3440" i="15"/>
  <c r="K3439" i="15"/>
  <c r="J3439" i="15"/>
  <c r="I3439" i="15"/>
  <c r="K3438" i="15"/>
  <c r="J3438" i="15"/>
  <c r="I3438" i="15"/>
  <c r="K3437" i="15"/>
  <c r="J3437" i="15"/>
  <c r="I3437" i="15"/>
  <c r="K3436" i="15"/>
  <c r="J3436" i="15"/>
  <c r="I3436" i="15"/>
  <c r="K3435" i="15"/>
  <c r="J3435" i="15"/>
  <c r="I3435" i="15"/>
  <c r="K3434" i="15"/>
  <c r="J3434" i="15"/>
  <c r="I3434" i="15"/>
  <c r="K3433" i="15"/>
  <c r="J3433" i="15"/>
  <c r="I3433" i="15"/>
  <c r="K3432" i="15"/>
  <c r="J3432" i="15"/>
  <c r="I3432" i="15"/>
  <c r="K3431" i="15"/>
  <c r="J3431" i="15"/>
  <c r="I3431" i="15"/>
  <c r="K3430" i="15"/>
  <c r="J3430" i="15"/>
  <c r="I3430" i="15"/>
  <c r="K3429" i="15"/>
  <c r="J3429" i="15"/>
  <c r="I3429" i="15"/>
  <c r="K3428" i="15"/>
  <c r="J3428" i="15"/>
  <c r="I3428" i="15"/>
  <c r="K3427" i="15"/>
  <c r="J3427" i="15"/>
  <c r="I3427" i="15"/>
  <c r="K3426" i="15"/>
  <c r="J3426" i="15"/>
  <c r="I3426" i="15"/>
  <c r="K3425" i="15"/>
  <c r="J3425" i="15"/>
  <c r="I3425" i="15"/>
  <c r="K3424" i="15"/>
  <c r="J3424" i="15"/>
  <c r="I3424" i="15"/>
  <c r="K3423" i="15"/>
  <c r="J3423" i="15"/>
  <c r="I3423" i="15"/>
  <c r="K3422" i="15"/>
  <c r="J3422" i="15"/>
  <c r="I3422" i="15"/>
  <c r="K3421" i="15"/>
  <c r="J3421" i="15"/>
  <c r="I3421" i="15"/>
  <c r="K3420" i="15"/>
  <c r="J3420" i="15"/>
  <c r="I3420" i="15"/>
  <c r="K3419" i="15"/>
  <c r="J3419" i="15"/>
  <c r="I3419" i="15"/>
  <c r="K3418" i="15"/>
  <c r="J3418" i="15"/>
  <c r="I3418" i="15"/>
  <c r="K3417" i="15"/>
  <c r="J3417" i="15"/>
  <c r="I3417" i="15"/>
  <c r="K3416" i="15"/>
  <c r="J3416" i="15"/>
  <c r="I3416" i="15"/>
  <c r="K3415" i="15"/>
  <c r="J3415" i="15"/>
  <c r="I3415" i="15"/>
  <c r="K3414" i="15"/>
  <c r="J3414" i="15"/>
  <c r="I3414" i="15"/>
  <c r="K3413" i="15"/>
  <c r="J3413" i="15"/>
  <c r="I3413" i="15"/>
  <c r="K3412" i="15"/>
  <c r="J3412" i="15"/>
  <c r="I3412" i="15"/>
  <c r="K3411" i="15"/>
  <c r="J3411" i="15"/>
  <c r="I3411" i="15"/>
  <c r="K3410" i="15"/>
  <c r="J3410" i="15"/>
  <c r="I3410" i="15"/>
  <c r="K3409" i="15"/>
  <c r="J3409" i="15"/>
  <c r="I3409" i="15"/>
  <c r="K3408" i="15"/>
  <c r="J3408" i="15"/>
  <c r="I3408" i="15"/>
  <c r="K3407" i="15"/>
  <c r="J3407" i="15"/>
  <c r="I3407" i="15"/>
  <c r="K3406" i="15"/>
  <c r="J3406" i="15"/>
  <c r="I3406" i="15"/>
  <c r="K3405" i="15"/>
  <c r="J3405" i="15"/>
  <c r="I3405" i="15"/>
  <c r="K3404" i="15"/>
  <c r="J3404" i="15"/>
  <c r="I3404" i="15"/>
  <c r="K3403" i="15"/>
  <c r="J3403" i="15"/>
  <c r="I3403" i="15"/>
  <c r="K3402" i="15"/>
  <c r="J3402" i="15"/>
  <c r="I3402" i="15"/>
  <c r="K3401" i="15"/>
  <c r="J3401" i="15"/>
  <c r="I3401" i="15"/>
  <c r="K3400" i="15"/>
  <c r="J3400" i="15"/>
  <c r="I3400" i="15"/>
  <c r="K3399" i="15"/>
  <c r="J3399" i="15"/>
  <c r="I3399" i="15"/>
  <c r="K3398" i="15"/>
  <c r="J3398" i="15"/>
  <c r="I3398" i="15"/>
  <c r="K3397" i="15"/>
  <c r="J3397" i="15"/>
  <c r="I3397" i="15"/>
  <c r="K3396" i="15"/>
  <c r="J3396" i="15"/>
  <c r="I3396" i="15"/>
  <c r="K3395" i="15"/>
  <c r="J3395" i="15"/>
  <c r="I3395" i="15"/>
  <c r="K3394" i="15"/>
  <c r="J3394" i="15"/>
  <c r="I3394" i="15"/>
  <c r="K3393" i="15"/>
  <c r="J3393" i="15"/>
  <c r="I3393" i="15"/>
  <c r="K3392" i="15"/>
  <c r="J3392" i="15"/>
  <c r="I3392" i="15"/>
  <c r="K3391" i="15"/>
  <c r="J3391" i="15"/>
  <c r="I3391" i="15"/>
  <c r="K3390" i="15"/>
  <c r="J3390" i="15"/>
  <c r="I3390" i="15"/>
  <c r="K3389" i="15"/>
  <c r="J3389" i="15"/>
  <c r="I3389" i="15"/>
  <c r="K3388" i="15"/>
  <c r="J3388" i="15"/>
  <c r="I3388" i="15"/>
  <c r="K3387" i="15"/>
  <c r="J3387" i="15"/>
  <c r="I3387" i="15"/>
  <c r="K3386" i="15"/>
  <c r="J3386" i="15"/>
  <c r="I3386" i="15"/>
  <c r="K3385" i="15"/>
  <c r="J3385" i="15"/>
  <c r="I3385" i="15"/>
  <c r="K3384" i="15"/>
  <c r="J3384" i="15"/>
  <c r="I3384" i="15"/>
  <c r="K3383" i="15"/>
  <c r="J3383" i="15"/>
  <c r="I3383" i="15"/>
  <c r="K3382" i="15"/>
  <c r="J3382" i="15"/>
  <c r="I3382" i="15"/>
  <c r="K3381" i="15"/>
  <c r="J3381" i="15"/>
  <c r="I3381" i="15"/>
  <c r="K3380" i="15"/>
  <c r="J3380" i="15"/>
  <c r="I3380" i="15"/>
  <c r="K3379" i="15"/>
  <c r="J3379" i="15"/>
  <c r="I3379" i="15"/>
  <c r="K3378" i="15"/>
  <c r="J3378" i="15"/>
  <c r="I3378" i="15"/>
  <c r="K3377" i="15"/>
  <c r="J3377" i="15"/>
  <c r="I3377" i="15"/>
  <c r="K3376" i="15"/>
  <c r="J3376" i="15"/>
  <c r="I3376" i="15"/>
  <c r="K3375" i="15"/>
  <c r="J3375" i="15"/>
  <c r="I3375" i="15"/>
  <c r="K3374" i="15"/>
  <c r="J3374" i="15"/>
  <c r="I3374" i="15"/>
  <c r="K3373" i="15"/>
  <c r="J3373" i="15"/>
  <c r="I3373" i="15"/>
  <c r="K3372" i="15"/>
  <c r="J3372" i="15"/>
  <c r="I3372" i="15"/>
  <c r="K3371" i="15"/>
  <c r="J3371" i="15"/>
  <c r="I3371" i="15"/>
  <c r="K3370" i="15"/>
  <c r="J3370" i="15"/>
  <c r="I3370" i="15"/>
  <c r="K3369" i="15"/>
  <c r="J3369" i="15"/>
  <c r="I3369" i="15"/>
  <c r="K3368" i="15"/>
  <c r="J3368" i="15"/>
  <c r="I3368" i="15"/>
  <c r="K3367" i="15"/>
  <c r="J3367" i="15"/>
  <c r="I3367" i="15"/>
  <c r="K3366" i="15"/>
  <c r="J3366" i="15"/>
  <c r="I3366" i="15"/>
  <c r="K3365" i="15"/>
  <c r="J3365" i="15"/>
  <c r="I3365" i="15"/>
  <c r="K3364" i="15"/>
  <c r="J3364" i="15"/>
  <c r="I3364" i="15"/>
  <c r="K3363" i="15"/>
  <c r="J3363" i="15"/>
  <c r="I3363" i="15"/>
  <c r="K3362" i="15"/>
  <c r="J3362" i="15"/>
  <c r="I3362" i="15"/>
  <c r="K3361" i="15"/>
  <c r="J3361" i="15"/>
  <c r="I3361" i="15"/>
  <c r="K3360" i="15"/>
  <c r="J3360" i="15"/>
  <c r="I3360" i="15"/>
  <c r="K3359" i="15"/>
  <c r="J3359" i="15"/>
  <c r="I3359" i="15"/>
  <c r="K3358" i="15"/>
  <c r="J3358" i="15"/>
  <c r="I3358" i="15"/>
  <c r="K3357" i="15"/>
  <c r="J3357" i="15"/>
  <c r="I3357" i="15"/>
  <c r="K3356" i="15"/>
  <c r="J3356" i="15"/>
  <c r="I3356" i="15"/>
  <c r="K3355" i="15"/>
  <c r="J3355" i="15"/>
  <c r="I3355" i="15"/>
  <c r="K3354" i="15"/>
  <c r="J3354" i="15"/>
  <c r="I3354" i="15"/>
  <c r="K3353" i="15"/>
  <c r="J3353" i="15"/>
  <c r="I3353" i="15"/>
  <c r="K3352" i="15"/>
  <c r="J3352" i="15"/>
  <c r="I3352" i="15"/>
  <c r="K3351" i="15"/>
  <c r="J3351" i="15"/>
  <c r="I3351" i="15"/>
  <c r="K3350" i="15"/>
  <c r="J3350" i="15"/>
  <c r="I3350" i="15"/>
  <c r="K3349" i="15"/>
  <c r="J3349" i="15"/>
  <c r="I3349" i="15"/>
  <c r="K3348" i="15"/>
  <c r="J3348" i="15"/>
  <c r="I3348" i="15"/>
  <c r="K3347" i="15"/>
  <c r="J3347" i="15"/>
  <c r="I3347" i="15"/>
  <c r="K3346" i="15"/>
  <c r="J3346" i="15"/>
  <c r="I3346" i="15"/>
  <c r="K3345" i="15"/>
  <c r="J3345" i="15"/>
  <c r="I3345" i="15"/>
  <c r="K3344" i="15"/>
  <c r="J3344" i="15"/>
  <c r="I3344" i="15"/>
  <c r="K3343" i="15"/>
  <c r="J3343" i="15"/>
  <c r="I3343" i="15"/>
  <c r="K3342" i="15"/>
  <c r="J3342" i="15"/>
  <c r="I3342" i="15"/>
  <c r="K3341" i="15"/>
  <c r="J3341" i="15"/>
  <c r="I3341" i="15"/>
  <c r="K3340" i="15"/>
  <c r="J3340" i="15"/>
  <c r="I3340" i="15"/>
  <c r="K3339" i="15"/>
  <c r="J3339" i="15"/>
  <c r="I3339" i="15"/>
  <c r="K3338" i="15"/>
  <c r="J3338" i="15"/>
  <c r="I3338" i="15"/>
  <c r="K3337" i="15"/>
  <c r="J3337" i="15"/>
  <c r="I3337" i="15"/>
  <c r="K3336" i="15"/>
  <c r="J3336" i="15"/>
  <c r="I3336" i="15"/>
  <c r="K3335" i="15"/>
  <c r="J3335" i="15"/>
  <c r="I3335" i="15"/>
  <c r="K3334" i="15"/>
  <c r="J3334" i="15"/>
  <c r="I3334" i="15"/>
  <c r="K3333" i="15"/>
  <c r="J3333" i="15"/>
  <c r="I3333" i="15"/>
  <c r="K3332" i="15"/>
  <c r="J3332" i="15"/>
  <c r="I3332" i="15"/>
  <c r="K3331" i="15"/>
  <c r="J3331" i="15"/>
  <c r="I3331" i="15"/>
  <c r="K3330" i="15"/>
  <c r="J3330" i="15"/>
  <c r="I3330" i="15"/>
  <c r="K3329" i="15"/>
  <c r="J3329" i="15"/>
  <c r="I3329" i="15"/>
  <c r="K3328" i="15"/>
  <c r="J3328" i="15"/>
  <c r="I3328" i="15"/>
  <c r="K3327" i="15"/>
  <c r="J3327" i="15"/>
  <c r="I3327" i="15"/>
  <c r="K3326" i="15"/>
  <c r="J3326" i="15"/>
  <c r="I3326" i="15"/>
  <c r="K3325" i="15"/>
  <c r="J3325" i="15"/>
  <c r="I3325" i="15"/>
  <c r="K3324" i="15"/>
  <c r="J3324" i="15"/>
  <c r="I3324" i="15"/>
  <c r="K3323" i="15"/>
  <c r="J3323" i="15"/>
  <c r="I3323" i="15"/>
  <c r="K3322" i="15"/>
  <c r="J3322" i="15"/>
  <c r="I3322" i="15"/>
  <c r="K3321" i="15"/>
  <c r="J3321" i="15"/>
  <c r="I3321" i="15"/>
  <c r="K3320" i="15"/>
  <c r="J3320" i="15"/>
  <c r="I3320" i="15"/>
  <c r="K3319" i="15"/>
  <c r="J3319" i="15"/>
  <c r="I3319" i="15"/>
  <c r="K3318" i="15"/>
  <c r="J3318" i="15"/>
  <c r="I3318" i="15"/>
  <c r="K3317" i="15"/>
  <c r="J3317" i="15"/>
  <c r="I3317" i="15"/>
  <c r="K3316" i="15"/>
  <c r="J3316" i="15"/>
  <c r="I3316" i="15"/>
  <c r="K3315" i="15"/>
  <c r="J3315" i="15"/>
  <c r="I3315" i="15"/>
  <c r="K3314" i="15"/>
  <c r="J3314" i="15"/>
  <c r="I3314" i="15"/>
  <c r="K3313" i="15"/>
  <c r="J3313" i="15"/>
  <c r="I3313" i="15"/>
  <c r="K3312" i="15"/>
  <c r="J3312" i="15"/>
  <c r="I3312" i="15"/>
  <c r="K3311" i="15"/>
  <c r="J3311" i="15"/>
  <c r="I3311" i="15"/>
  <c r="K3310" i="15"/>
  <c r="J3310" i="15"/>
  <c r="I3310" i="15"/>
  <c r="K3309" i="15"/>
  <c r="J3309" i="15"/>
  <c r="I3309" i="15"/>
  <c r="K3308" i="15"/>
  <c r="J3308" i="15"/>
  <c r="I3308" i="15"/>
  <c r="K3307" i="15"/>
  <c r="J3307" i="15"/>
  <c r="I3307" i="15"/>
  <c r="K3306" i="15"/>
  <c r="J3306" i="15"/>
  <c r="I3306" i="15"/>
  <c r="K3305" i="15"/>
  <c r="J3305" i="15"/>
  <c r="I3305" i="15"/>
  <c r="K3304" i="15"/>
  <c r="J3304" i="15"/>
  <c r="I3304" i="15"/>
  <c r="K3303" i="15"/>
  <c r="J3303" i="15"/>
  <c r="I3303" i="15"/>
  <c r="K3302" i="15"/>
  <c r="J3302" i="15"/>
  <c r="I3302" i="15"/>
  <c r="K3301" i="15"/>
  <c r="J3301" i="15"/>
  <c r="I3301" i="15"/>
  <c r="K3300" i="15"/>
  <c r="J3300" i="15"/>
  <c r="I3300" i="15"/>
  <c r="K3299" i="15"/>
  <c r="J3299" i="15"/>
  <c r="I3299" i="15"/>
  <c r="K3298" i="15"/>
  <c r="J3298" i="15"/>
  <c r="I3298" i="15"/>
  <c r="K3297" i="15"/>
  <c r="J3297" i="15"/>
  <c r="I3297" i="15"/>
  <c r="K3296" i="15"/>
  <c r="J3296" i="15"/>
  <c r="I3296" i="15"/>
  <c r="K3295" i="15"/>
  <c r="J3295" i="15"/>
  <c r="I3295" i="15"/>
  <c r="K3294" i="15"/>
  <c r="J3294" i="15"/>
  <c r="I3294" i="15"/>
  <c r="K3293" i="15"/>
  <c r="J3293" i="15"/>
  <c r="I3293" i="15"/>
  <c r="K3292" i="15"/>
  <c r="J3292" i="15"/>
  <c r="I3292" i="15"/>
  <c r="K3291" i="15"/>
  <c r="J3291" i="15"/>
  <c r="I3291" i="15"/>
  <c r="K3290" i="15"/>
  <c r="J3290" i="15"/>
  <c r="I3290" i="15"/>
  <c r="K3289" i="15"/>
  <c r="J3289" i="15"/>
  <c r="I3289" i="15"/>
  <c r="K3288" i="15"/>
  <c r="J3288" i="15"/>
  <c r="I3288" i="15"/>
  <c r="K3287" i="15"/>
  <c r="J3287" i="15"/>
  <c r="I3287" i="15"/>
  <c r="K3286" i="15"/>
  <c r="J3286" i="15"/>
  <c r="I3286" i="15"/>
  <c r="K3285" i="15"/>
  <c r="J3285" i="15"/>
  <c r="I3285" i="15"/>
  <c r="K3284" i="15"/>
  <c r="J3284" i="15"/>
  <c r="I3284" i="15"/>
  <c r="K3283" i="15"/>
  <c r="J3283" i="15"/>
  <c r="I3283" i="15"/>
  <c r="K3282" i="15"/>
  <c r="J3282" i="15"/>
  <c r="I3282" i="15"/>
  <c r="K3281" i="15"/>
  <c r="J3281" i="15"/>
  <c r="I3281" i="15"/>
  <c r="K3280" i="15"/>
  <c r="J3280" i="15"/>
  <c r="I3280" i="15"/>
  <c r="K3279" i="15"/>
  <c r="J3279" i="15"/>
  <c r="I3279" i="15"/>
  <c r="K3278" i="15"/>
  <c r="J3278" i="15"/>
  <c r="I3278" i="15"/>
  <c r="K3277" i="15"/>
  <c r="J3277" i="15"/>
  <c r="I3277" i="15"/>
  <c r="K3276" i="15"/>
  <c r="J3276" i="15"/>
  <c r="I3276" i="15"/>
  <c r="K3275" i="15"/>
  <c r="J3275" i="15"/>
  <c r="I3275" i="15"/>
  <c r="K3274" i="15"/>
  <c r="J3274" i="15"/>
  <c r="I3274" i="15"/>
  <c r="K3273" i="15"/>
  <c r="J3273" i="15"/>
  <c r="I3273" i="15"/>
  <c r="K3272" i="15"/>
  <c r="J3272" i="15"/>
  <c r="I3272" i="15"/>
  <c r="K3271" i="15"/>
  <c r="J3271" i="15"/>
  <c r="I3271" i="15"/>
  <c r="K3270" i="15"/>
  <c r="J3270" i="15"/>
  <c r="I3270" i="15"/>
  <c r="K3269" i="15"/>
  <c r="J3269" i="15"/>
  <c r="I3269" i="15"/>
  <c r="K3268" i="15"/>
  <c r="J3268" i="15"/>
  <c r="I3268" i="15"/>
  <c r="K3267" i="15"/>
  <c r="J3267" i="15"/>
  <c r="I3267" i="15"/>
  <c r="K3266" i="15"/>
  <c r="J3266" i="15"/>
  <c r="I3266" i="15"/>
  <c r="K3265" i="15"/>
  <c r="J3265" i="15"/>
  <c r="I3265" i="15"/>
  <c r="K3264" i="15"/>
  <c r="J3264" i="15"/>
  <c r="I3264" i="15"/>
  <c r="K3263" i="15"/>
  <c r="J3263" i="15"/>
  <c r="I3263" i="15"/>
  <c r="K3262" i="15"/>
  <c r="J3262" i="15"/>
  <c r="I3262" i="15"/>
  <c r="K3261" i="15"/>
  <c r="J3261" i="15"/>
  <c r="I3261" i="15"/>
  <c r="K3260" i="15"/>
  <c r="J3260" i="15"/>
  <c r="I3260" i="15"/>
  <c r="K3259" i="15"/>
  <c r="J3259" i="15"/>
  <c r="I3259" i="15"/>
  <c r="K3258" i="15"/>
  <c r="J3258" i="15"/>
  <c r="I3258" i="15"/>
  <c r="K3257" i="15"/>
  <c r="J3257" i="15"/>
  <c r="I3257" i="15"/>
  <c r="K3256" i="15"/>
  <c r="J3256" i="15"/>
  <c r="I3256" i="15"/>
  <c r="K3255" i="15"/>
  <c r="J3255" i="15"/>
  <c r="I3255" i="15"/>
  <c r="K3254" i="15"/>
  <c r="J3254" i="15"/>
  <c r="I3254" i="15"/>
  <c r="K3253" i="15"/>
  <c r="J3253" i="15"/>
  <c r="I3253" i="15"/>
  <c r="K3252" i="15"/>
  <c r="J3252" i="15"/>
  <c r="I3252" i="15"/>
  <c r="K3251" i="15"/>
  <c r="J3251" i="15"/>
  <c r="I3251" i="15"/>
  <c r="K3250" i="15"/>
  <c r="J3250" i="15"/>
  <c r="I3250" i="15"/>
  <c r="K3249" i="15"/>
  <c r="J3249" i="15"/>
  <c r="I3249" i="15"/>
  <c r="K3248" i="15"/>
  <c r="J3248" i="15"/>
  <c r="I3248" i="15"/>
  <c r="K3247" i="15"/>
  <c r="J3247" i="15"/>
  <c r="I3247" i="15"/>
  <c r="K3246" i="15"/>
  <c r="J3246" i="15"/>
  <c r="I3246" i="15"/>
  <c r="K3245" i="15"/>
  <c r="J3245" i="15"/>
  <c r="I3245" i="15"/>
  <c r="K3244" i="15"/>
  <c r="J3244" i="15"/>
  <c r="I3244" i="15"/>
  <c r="K3243" i="15"/>
  <c r="J3243" i="15"/>
  <c r="I3243" i="15"/>
  <c r="K3242" i="15"/>
  <c r="J3242" i="15"/>
  <c r="I3242" i="15"/>
  <c r="K3241" i="15"/>
  <c r="J3241" i="15"/>
  <c r="I3241" i="15"/>
  <c r="K3240" i="15"/>
  <c r="J3240" i="15"/>
  <c r="I3240" i="15"/>
  <c r="K3239" i="15"/>
  <c r="J3239" i="15"/>
  <c r="I3239" i="15"/>
  <c r="K3238" i="15"/>
  <c r="J3238" i="15"/>
  <c r="I3238" i="15"/>
  <c r="K3237" i="15"/>
  <c r="J3237" i="15"/>
  <c r="I3237" i="15"/>
  <c r="K3236" i="15"/>
  <c r="J3236" i="15"/>
  <c r="I3236" i="15"/>
  <c r="K3235" i="15"/>
  <c r="J3235" i="15"/>
  <c r="I3235" i="15"/>
  <c r="K3234" i="15"/>
  <c r="J3234" i="15"/>
  <c r="I3234" i="15"/>
  <c r="K3233" i="15"/>
  <c r="J3233" i="15"/>
  <c r="I3233" i="15"/>
  <c r="K3232" i="15"/>
  <c r="J3232" i="15"/>
  <c r="I3232" i="15"/>
  <c r="K3231" i="15"/>
  <c r="J3231" i="15"/>
  <c r="I3231" i="15"/>
  <c r="K3230" i="15"/>
  <c r="J3230" i="15"/>
  <c r="I3230" i="15"/>
  <c r="K3229" i="15"/>
  <c r="J3229" i="15"/>
  <c r="I3229" i="15"/>
  <c r="K3228" i="15"/>
  <c r="J3228" i="15"/>
  <c r="I3228" i="15"/>
  <c r="K3227" i="15"/>
  <c r="J3227" i="15"/>
  <c r="I3227" i="15"/>
  <c r="K3226" i="15"/>
  <c r="J3226" i="15"/>
  <c r="I3226" i="15"/>
  <c r="K3225" i="15"/>
  <c r="J3225" i="15"/>
  <c r="I3225" i="15"/>
  <c r="K3224" i="15"/>
  <c r="J3224" i="15"/>
  <c r="I3224" i="15"/>
  <c r="K3223" i="15"/>
  <c r="J3223" i="15"/>
  <c r="I3223" i="15"/>
  <c r="K3222" i="15"/>
  <c r="J3222" i="15"/>
  <c r="I3222" i="15"/>
  <c r="K3221" i="15"/>
  <c r="J3221" i="15"/>
  <c r="I3221" i="15"/>
  <c r="K3220" i="15"/>
  <c r="J3220" i="15"/>
  <c r="I3220" i="15"/>
  <c r="K3219" i="15"/>
  <c r="J3219" i="15"/>
  <c r="I3219" i="15"/>
  <c r="K3218" i="15"/>
  <c r="J3218" i="15"/>
  <c r="I3218" i="15"/>
  <c r="K3217" i="15"/>
  <c r="J3217" i="15"/>
  <c r="I3217" i="15"/>
  <c r="K3216" i="15"/>
  <c r="J3216" i="15"/>
  <c r="I3216" i="15"/>
  <c r="K3215" i="15"/>
  <c r="J3215" i="15"/>
  <c r="I3215" i="15"/>
  <c r="K3214" i="15"/>
  <c r="J3214" i="15"/>
  <c r="I3214" i="15"/>
  <c r="K3213" i="15"/>
  <c r="J3213" i="15"/>
  <c r="I3213" i="15"/>
  <c r="K3212" i="15"/>
  <c r="J3212" i="15"/>
  <c r="I3212" i="15"/>
  <c r="K3211" i="15"/>
  <c r="J3211" i="15"/>
  <c r="I3211" i="15"/>
  <c r="K3210" i="15"/>
  <c r="J3210" i="15"/>
  <c r="I3210" i="15"/>
  <c r="K3209" i="15"/>
  <c r="J3209" i="15"/>
  <c r="I3209" i="15"/>
  <c r="K3208" i="15"/>
  <c r="J3208" i="15"/>
  <c r="I3208" i="15"/>
  <c r="K3207" i="15"/>
  <c r="J3207" i="15"/>
  <c r="I3207" i="15"/>
  <c r="K3206" i="15"/>
  <c r="J3206" i="15"/>
  <c r="I3206" i="15"/>
  <c r="K3205" i="15"/>
  <c r="J3205" i="15"/>
  <c r="I3205" i="15"/>
  <c r="K3204" i="15"/>
  <c r="J3204" i="15"/>
  <c r="I3204" i="15"/>
  <c r="K3203" i="15"/>
  <c r="J3203" i="15"/>
  <c r="I3203" i="15"/>
  <c r="K3202" i="15"/>
  <c r="J3202" i="15"/>
  <c r="I3202" i="15"/>
  <c r="K3201" i="15"/>
  <c r="J3201" i="15"/>
  <c r="I3201" i="15"/>
  <c r="K3200" i="15"/>
  <c r="J3200" i="15"/>
  <c r="I3200" i="15"/>
  <c r="K3199" i="15"/>
  <c r="J3199" i="15"/>
  <c r="I3199" i="15"/>
  <c r="K3198" i="15"/>
  <c r="J3198" i="15"/>
  <c r="I3198" i="15"/>
  <c r="K3197" i="15"/>
  <c r="J3197" i="15"/>
  <c r="I3197" i="15"/>
  <c r="K3196" i="15"/>
  <c r="J3196" i="15"/>
  <c r="I3196" i="15"/>
  <c r="K3195" i="15"/>
  <c r="J3195" i="15"/>
  <c r="I3195" i="15"/>
  <c r="K3194" i="15"/>
  <c r="J3194" i="15"/>
  <c r="I3194" i="15"/>
  <c r="K3193" i="15"/>
  <c r="J3193" i="15"/>
  <c r="I3193" i="15"/>
  <c r="K3192" i="15"/>
  <c r="J3192" i="15"/>
  <c r="I3192" i="15"/>
  <c r="K3191" i="15"/>
  <c r="J3191" i="15"/>
  <c r="I3191" i="15"/>
  <c r="K3190" i="15"/>
  <c r="J3190" i="15"/>
  <c r="I3190" i="15"/>
  <c r="K3189" i="15"/>
  <c r="J3189" i="15"/>
  <c r="I3189" i="15"/>
  <c r="K3188" i="15"/>
  <c r="J3188" i="15"/>
  <c r="I3188" i="15"/>
  <c r="K3187" i="15"/>
  <c r="J3187" i="15"/>
  <c r="I3187" i="15"/>
  <c r="K3186" i="15"/>
  <c r="J3186" i="15"/>
  <c r="I3186" i="15"/>
  <c r="K3185" i="15"/>
  <c r="J3185" i="15"/>
  <c r="I3185" i="15"/>
  <c r="K3184" i="15"/>
  <c r="J3184" i="15"/>
  <c r="I3184" i="15"/>
  <c r="K3183" i="15"/>
  <c r="J3183" i="15"/>
  <c r="I3183" i="15"/>
  <c r="K3182" i="15"/>
  <c r="J3182" i="15"/>
  <c r="I3182" i="15"/>
  <c r="K3181" i="15"/>
  <c r="J3181" i="15"/>
  <c r="I3181" i="15"/>
  <c r="K3180" i="15"/>
  <c r="J3180" i="15"/>
  <c r="I3180" i="15"/>
  <c r="K3179" i="15"/>
  <c r="J3179" i="15"/>
  <c r="I3179" i="15"/>
  <c r="K3178" i="15"/>
  <c r="J3178" i="15"/>
  <c r="I3178" i="15"/>
  <c r="K3177" i="15"/>
  <c r="J3177" i="15"/>
  <c r="I3177" i="15"/>
  <c r="K3176" i="15"/>
  <c r="J3176" i="15"/>
  <c r="I3176" i="15"/>
  <c r="K3175" i="15"/>
  <c r="J3175" i="15"/>
  <c r="I3175" i="15"/>
  <c r="K3174" i="15"/>
  <c r="J3174" i="15"/>
  <c r="I3174" i="15"/>
  <c r="K3173" i="15"/>
  <c r="J3173" i="15"/>
  <c r="I3173" i="15"/>
  <c r="K3172" i="15"/>
  <c r="J3172" i="15"/>
  <c r="I3172" i="15"/>
  <c r="K3171" i="15"/>
  <c r="J3171" i="15"/>
  <c r="I3171" i="15"/>
  <c r="K3170" i="15"/>
  <c r="J3170" i="15"/>
  <c r="I3170" i="15"/>
  <c r="K3169" i="15"/>
  <c r="J3169" i="15"/>
  <c r="I3169" i="15"/>
  <c r="K3168" i="15"/>
  <c r="J3168" i="15"/>
  <c r="I3168" i="15"/>
  <c r="K3167" i="15"/>
  <c r="J3167" i="15"/>
  <c r="I3167" i="15"/>
  <c r="K3166" i="15"/>
  <c r="J3166" i="15"/>
  <c r="I3166" i="15"/>
  <c r="K3165" i="15"/>
  <c r="J3165" i="15"/>
  <c r="I3165" i="15"/>
  <c r="K3164" i="15"/>
  <c r="J3164" i="15"/>
  <c r="I3164" i="15"/>
  <c r="K3163" i="15"/>
  <c r="J3163" i="15"/>
  <c r="I3163" i="15"/>
  <c r="K3162" i="15"/>
  <c r="J3162" i="15"/>
  <c r="I3162" i="15"/>
  <c r="K3161" i="15"/>
  <c r="J3161" i="15"/>
  <c r="I3161" i="15"/>
  <c r="K3160" i="15"/>
  <c r="J3160" i="15"/>
  <c r="I3160" i="15"/>
  <c r="K3159" i="15"/>
  <c r="J3159" i="15"/>
  <c r="I3159" i="15"/>
  <c r="K3158" i="15"/>
  <c r="J3158" i="15"/>
  <c r="I3158" i="15"/>
  <c r="K3157" i="15"/>
  <c r="J3157" i="15"/>
  <c r="I3157" i="15"/>
  <c r="K3156" i="15"/>
  <c r="J3156" i="15"/>
  <c r="I3156" i="15"/>
  <c r="K3155" i="15"/>
  <c r="J3155" i="15"/>
  <c r="I3155" i="15"/>
  <c r="K3154" i="15"/>
  <c r="J3154" i="15"/>
  <c r="I3154" i="15"/>
  <c r="K3153" i="15"/>
  <c r="J3153" i="15"/>
  <c r="I3153" i="15"/>
  <c r="K3152" i="15"/>
  <c r="J3152" i="15"/>
  <c r="I3152" i="15"/>
  <c r="K3151" i="15"/>
  <c r="J3151" i="15"/>
  <c r="I3151" i="15"/>
  <c r="K3150" i="15"/>
  <c r="J3150" i="15"/>
  <c r="I3150" i="15"/>
  <c r="K3149" i="15"/>
  <c r="J3149" i="15"/>
  <c r="I3149" i="15"/>
  <c r="K3148" i="15"/>
  <c r="J3148" i="15"/>
  <c r="I3148" i="15"/>
  <c r="K3147" i="15"/>
  <c r="J3147" i="15"/>
  <c r="I3147" i="15"/>
  <c r="K3146" i="15"/>
  <c r="J3146" i="15"/>
  <c r="I3146" i="15"/>
  <c r="K3145" i="15"/>
  <c r="J3145" i="15"/>
  <c r="I3145" i="15"/>
  <c r="K3144" i="15"/>
  <c r="J3144" i="15"/>
  <c r="I3144" i="15"/>
  <c r="K3143" i="15"/>
  <c r="J3143" i="15"/>
  <c r="I3143" i="15"/>
  <c r="K3142" i="15"/>
  <c r="J3142" i="15"/>
  <c r="I3142" i="15"/>
  <c r="K3141" i="15"/>
  <c r="J3141" i="15"/>
  <c r="I3141" i="15"/>
  <c r="K3140" i="15"/>
  <c r="J3140" i="15"/>
  <c r="I3140" i="15"/>
  <c r="K3139" i="15"/>
  <c r="J3139" i="15"/>
  <c r="I3139" i="15"/>
  <c r="K3138" i="15"/>
  <c r="J3138" i="15"/>
  <c r="I3138" i="15"/>
  <c r="K3137" i="15"/>
  <c r="J3137" i="15"/>
  <c r="I3137" i="15"/>
  <c r="K3136" i="15"/>
  <c r="J3136" i="15"/>
  <c r="I3136" i="15"/>
  <c r="K3135" i="15"/>
  <c r="J3135" i="15"/>
  <c r="I3135" i="15"/>
  <c r="K3134" i="15"/>
  <c r="J3134" i="15"/>
  <c r="I3134" i="15"/>
  <c r="K3133" i="15"/>
  <c r="J3133" i="15"/>
  <c r="I3133" i="15"/>
  <c r="K3132" i="15"/>
  <c r="J3132" i="15"/>
  <c r="I3132" i="15"/>
  <c r="K3131" i="15"/>
  <c r="J3131" i="15"/>
  <c r="I3131" i="15"/>
  <c r="K3130" i="15"/>
  <c r="J3130" i="15"/>
  <c r="I3130" i="15"/>
  <c r="K3129" i="15"/>
  <c r="J3129" i="15"/>
  <c r="I3129" i="15"/>
  <c r="K3128" i="15"/>
  <c r="J3128" i="15"/>
  <c r="I3128" i="15"/>
  <c r="K3127" i="15"/>
  <c r="J3127" i="15"/>
  <c r="I3127" i="15"/>
  <c r="K3126" i="15"/>
  <c r="J3126" i="15"/>
  <c r="I3126" i="15"/>
  <c r="K3125" i="15"/>
  <c r="J3125" i="15"/>
  <c r="I3125" i="15"/>
  <c r="K3124" i="15"/>
  <c r="J3124" i="15"/>
  <c r="I3124" i="15"/>
  <c r="K3123" i="15"/>
  <c r="J3123" i="15"/>
  <c r="I3123" i="15"/>
  <c r="K3122" i="15"/>
  <c r="J3122" i="15"/>
  <c r="I3122" i="15"/>
  <c r="K3121" i="15"/>
  <c r="J3121" i="15"/>
  <c r="I3121" i="15"/>
  <c r="K3120" i="15"/>
  <c r="J3120" i="15"/>
  <c r="I3120" i="15"/>
  <c r="K3119" i="15"/>
  <c r="J3119" i="15"/>
  <c r="I3119" i="15"/>
  <c r="K3118" i="15"/>
  <c r="J3118" i="15"/>
  <c r="I3118" i="15"/>
  <c r="K3117" i="15"/>
  <c r="J3117" i="15"/>
  <c r="I3117" i="15"/>
  <c r="K3116" i="15"/>
  <c r="J3116" i="15"/>
  <c r="I3116" i="15"/>
  <c r="K3115" i="15"/>
  <c r="J3115" i="15"/>
  <c r="I3115" i="15"/>
  <c r="K3114" i="15"/>
  <c r="J3114" i="15"/>
  <c r="I3114" i="15"/>
  <c r="K3113" i="15"/>
  <c r="J3113" i="15"/>
  <c r="I3113" i="15"/>
  <c r="K3112" i="15"/>
  <c r="J3112" i="15"/>
  <c r="I3112" i="15"/>
  <c r="K3111" i="15"/>
  <c r="J3111" i="15"/>
  <c r="I3111" i="15"/>
  <c r="K3110" i="15"/>
  <c r="J3110" i="15"/>
  <c r="I3110" i="15"/>
  <c r="K3109" i="15"/>
  <c r="J3109" i="15"/>
  <c r="I3109" i="15"/>
  <c r="K3108" i="15"/>
  <c r="J3108" i="15"/>
  <c r="I3108" i="15"/>
  <c r="K3107" i="15"/>
  <c r="J3107" i="15"/>
  <c r="I3107" i="15"/>
  <c r="K3106" i="15"/>
  <c r="J3106" i="15"/>
  <c r="I3106" i="15"/>
  <c r="K3105" i="15"/>
  <c r="J3105" i="15"/>
  <c r="I3105" i="15"/>
  <c r="K3104" i="15"/>
  <c r="J3104" i="15"/>
  <c r="I3104" i="15"/>
  <c r="K3103" i="15"/>
  <c r="J3103" i="15"/>
  <c r="I3103" i="15"/>
  <c r="K3102" i="15"/>
  <c r="J3102" i="15"/>
  <c r="I3102" i="15"/>
  <c r="K3101" i="15"/>
  <c r="J3101" i="15"/>
  <c r="I3101" i="15"/>
  <c r="K3100" i="15"/>
  <c r="J3100" i="15"/>
  <c r="I3100" i="15"/>
  <c r="K3099" i="15"/>
  <c r="J3099" i="15"/>
  <c r="I3099" i="15"/>
  <c r="K3098" i="15"/>
  <c r="J3098" i="15"/>
  <c r="I3098" i="15"/>
  <c r="K3097" i="15"/>
  <c r="J3097" i="15"/>
  <c r="I3097" i="15"/>
  <c r="K3096" i="15"/>
  <c r="J3096" i="15"/>
  <c r="I3096" i="15"/>
  <c r="K3095" i="15"/>
  <c r="J3095" i="15"/>
  <c r="I3095" i="15"/>
  <c r="K3094" i="15"/>
  <c r="J3094" i="15"/>
  <c r="I3094" i="15"/>
  <c r="K3093" i="15"/>
  <c r="J3093" i="15"/>
  <c r="I3093" i="15"/>
  <c r="K3092" i="15"/>
  <c r="J3092" i="15"/>
  <c r="I3092" i="15"/>
  <c r="K3091" i="15"/>
  <c r="J3091" i="15"/>
  <c r="I3091" i="15"/>
  <c r="K3090" i="15"/>
  <c r="J3090" i="15"/>
  <c r="I3090" i="15"/>
  <c r="K3089" i="15"/>
  <c r="J3089" i="15"/>
  <c r="I3089" i="15"/>
  <c r="K3088" i="15"/>
  <c r="J3088" i="15"/>
  <c r="I3088" i="15"/>
  <c r="K3087" i="15"/>
  <c r="J3087" i="15"/>
  <c r="I3087" i="15"/>
  <c r="K3086" i="15"/>
  <c r="J3086" i="15"/>
  <c r="I3086" i="15"/>
  <c r="K3085" i="15"/>
  <c r="J3085" i="15"/>
  <c r="I3085" i="15"/>
  <c r="K3084" i="15"/>
  <c r="J3084" i="15"/>
  <c r="I3084" i="15"/>
  <c r="K3083" i="15"/>
  <c r="J3083" i="15"/>
  <c r="I3083" i="15"/>
  <c r="K3082" i="15"/>
  <c r="J3082" i="15"/>
  <c r="I3082" i="15"/>
  <c r="K3081" i="15"/>
  <c r="J3081" i="15"/>
  <c r="I3081" i="15"/>
  <c r="K3080" i="15"/>
  <c r="J3080" i="15"/>
  <c r="I3080" i="15"/>
  <c r="K3079" i="15"/>
  <c r="J3079" i="15"/>
  <c r="I3079" i="15"/>
  <c r="K3078" i="15"/>
  <c r="J3078" i="15"/>
  <c r="I3078" i="15"/>
  <c r="K3077" i="15"/>
  <c r="J3077" i="15"/>
  <c r="I3077" i="15"/>
  <c r="K3076" i="15"/>
  <c r="J3076" i="15"/>
  <c r="I3076" i="15"/>
  <c r="K3075" i="15"/>
  <c r="J3075" i="15"/>
  <c r="I3075" i="15"/>
  <c r="K3074" i="15"/>
  <c r="J3074" i="15"/>
  <c r="I3074" i="15"/>
  <c r="K3073" i="15"/>
  <c r="J3073" i="15"/>
  <c r="I3073" i="15"/>
  <c r="K3072" i="15"/>
  <c r="J3072" i="15"/>
  <c r="I3072" i="15"/>
  <c r="K3071" i="15"/>
  <c r="J3071" i="15"/>
  <c r="I3071" i="15"/>
  <c r="K3070" i="15"/>
  <c r="J3070" i="15"/>
  <c r="I3070" i="15"/>
  <c r="K3069" i="15"/>
  <c r="J3069" i="15"/>
  <c r="I3069" i="15"/>
  <c r="K3068" i="15"/>
  <c r="J3068" i="15"/>
  <c r="I3068" i="15"/>
  <c r="K3067" i="15"/>
  <c r="J3067" i="15"/>
  <c r="I3067" i="15"/>
  <c r="K3066" i="15"/>
  <c r="J3066" i="15"/>
  <c r="I3066" i="15"/>
  <c r="K3065" i="15"/>
  <c r="J3065" i="15"/>
  <c r="I3065" i="15"/>
  <c r="K3064" i="15"/>
  <c r="J3064" i="15"/>
  <c r="I3064" i="15"/>
  <c r="K3063" i="15"/>
  <c r="J3063" i="15"/>
  <c r="I3063" i="15"/>
  <c r="K3062" i="15"/>
  <c r="J3062" i="15"/>
  <c r="I3062" i="15"/>
  <c r="K3061" i="15"/>
  <c r="J3061" i="15"/>
  <c r="I3061" i="15"/>
  <c r="K3060" i="15"/>
  <c r="J3060" i="15"/>
  <c r="I3060" i="15"/>
  <c r="K3059" i="15"/>
  <c r="J3059" i="15"/>
  <c r="I3059" i="15"/>
  <c r="K3058" i="15"/>
  <c r="J3058" i="15"/>
  <c r="I3058" i="15"/>
  <c r="K3057" i="15"/>
  <c r="J3057" i="15"/>
  <c r="I3057" i="15"/>
  <c r="K3056" i="15"/>
  <c r="J3056" i="15"/>
  <c r="I3056" i="15"/>
  <c r="K3055" i="15"/>
  <c r="J3055" i="15"/>
  <c r="I3055" i="15"/>
  <c r="K3054" i="15"/>
  <c r="J3054" i="15"/>
  <c r="I3054" i="15"/>
  <c r="K3053" i="15"/>
  <c r="J3053" i="15"/>
  <c r="I3053" i="15"/>
  <c r="K3052" i="15"/>
  <c r="J3052" i="15"/>
  <c r="I3052" i="15"/>
  <c r="K3051" i="15"/>
  <c r="J3051" i="15"/>
  <c r="I3051" i="15"/>
  <c r="K3050" i="15"/>
  <c r="J3050" i="15"/>
  <c r="I3050" i="15"/>
  <c r="K3049" i="15"/>
  <c r="J3049" i="15"/>
  <c r="I3049" i="15"/>
  <c r="K3048" i="15"/>
  <c r="J3048" i="15"/>
  <c r="I3048" i="15"/>
  <c r="K3047" i="15"/>
  <c r="J3047" i="15"/>
  <c r="I3047" i="15"/>
  <c r="K3046" i="15"/>
  <c r="J3046" i="15"/>
  <c r="I3046" i="15"/>
  <c r="K3045" i="15"/>
  <c r="J3045" i="15"/>
  <c r="I3045" i="15"/>
  <c r="K3044" i="15"/>
  <c r="J3044" i="15"/>
  <c r="I3044" i="15"/>
  <c r="K3043" i="15"/>
  <c r="J3043" i="15"/>
  <c r="I3043" i="15"/>
  <c r="K3042" i="15"/>
  <c r="J3042" i="15"/>
  <c r="I3042" i="15"/>
  <c r="K3041" i="15"/>
  <c r="J3041" i="15"/>
  <c r="I3041" i="15"/>
  <c r="K3040" i="15"/>
  <c r="J3040" i="15"/>
  <c r="I3040" i="15"/>
  <c r="K3039" i="15"/>
  <c r="J3039" i="15"/>
  <c r="I3039" i="15"/>
  <c r="K3038" i="15"/>
  <c r="J3038" i="15"/>
  <c r="I3038" i="15"/>
  <c r="K3037" i="15"/>
  <c r="J3037" i="15"/>
  <c r="I3037" i="15"/>
  <c r="K3036" i="15"/>
  <c r="J3036" i="15"/>
  <c r="I3036" i="15"/>
  <c r="K3035" i="15"/>
  <c r="J3035" i="15"/>
  <c r="I3035" i="15"/>
  <c r="K3034" i="15"/>
  <c r="J3034" i="15"/>
  <c r="I3034" i="15"/>
  <c r="K3033" i="15"/>
  <c r="J3033" i="15"/>
  <c r="I3033" i="15"/>
  <c r="K3032" i="15"/>
  <c r="J3032" i="15"/>
  <c r="I3032" i="15"/>
  <c r="K3031" i="15"/>
  <c r="J3031" i="15"/>
  <c r="I3031" i="15"/>
  <c r="K3030" i="15"/>
  <c r="J3030" i="15"/>
  <c r="I3030" i="15"/>
  <c r="K3029" i="15"/>
  <c r="J3029" i="15"/>
  <c r="I3029" i="15"/>
  <c r="K3028" i="15"/>
  <c r="J3028" i="15"/>
  <c r="I3028" i="15"/>
  <c r="K3027" i="15"/>
  <c r="J3027" i="15"/>
  <c r="I3027" i="15"/>
  <c r="K3026" i="15"/>
  <c r="J3026" i="15"/>
  <c r="I3026" i="15"/>
  <c r="K3025" i="15"/>
  <c r="J3025" i="15"/>
  <c r="I3025" i="15"/>
  <c r="K3024" i="15"/>
  <c r="J3024" i="15"/>
  <c r="I3024" i="15"/>
  <c r="K3023" i="15"/>
  <c r="J3023" i="15"/>
  <c r="I3023" i="15"/>
  <c r="K3022" i="15"/>
  <c r="J3022" i="15"/>
  <c r="I3022" i="15"/>
  <c r="K3021" i="15"/>
  <c r="J3021" i="15"/>
  <c r="I3021" i="15"/>
  <c r="K3020" i="15"/>
  <c r="J3020" i="15"/>
  <c r="I3020" i="15"/>
  <c r="K3019" i="15"/>
  <c r="J3019" i="15"/>
  <c r="I3019" i="15"/>
  <c r="K3018" i="15"/>
  <c r="J3018" i="15"/>
  <c r="I3018" i="15"/>
  <c r="K3017" i="15"/>
  <c r="J3017" i="15"/>
  <c r="I3017" i="15"/>
  <c r="K3016" i="15"/>
  <c r="J3016" i="15"/>
  <c r="I3016" i="15"/>
  <c r="K3015" i="15"/>
  <c r="J3015" i="15"/>
  <c r="I3015" i="15"/>
  <c r="K3014" i="15"/>
  <c r="J3014" i="15"/>
  <c r="I3014" i="15"/>
  <c r="K3013" i="15"/>
  <c r="J3013" i="15"/>
  <c r="I3013" i="15"/>
  <c r="K3012" i="15"/>
  <c r="J3012" i="15"/>
  <c r="I3012" i="15"/>
  <c r="K3011" i="15"/>
  <c r="J3011" i="15"/>
  <c r="I3011" i="15"/>
  <c r="K3010" i="15"/>
  <c r="J3010" i="15"/>
  <c r="I3010" i="15"/>
  <c r="K3009" i="15"/>
  <c r="J3009" i="15"/>
  <c r="I3009" i="15"/>
  <c r="K3008" i="15"/>
  <c r="J3008" i="15"/>
  <c r="I3008" i="15"/>
  <c r="K3007" i="15"/>
  <c r="J3007" i="15"/>
  <c r="I3007" i="15"/>
  <c r="K3006" i="15"/>
  <c r="J3006" i="15"/>
  <c r="I3006" i="15"/>
  <c r="K3005" i="15"/>
  <c r="J3005" i="15"/>
  <c r="I3005" i="15"/>
  <c r="K3004" i="15"/>
  <c r="J3004" i="15"/>
  <c r="I3004" i="15"/>
  <c r="K3003" i="15"/>
  <c r="J3003" i="15"/>
  <c r="I3003" i="15"/>
  <c r="K3002" i="15"/>
  <c r="J3002" i="15"/>
  <c r="I3002" i="15"/>
  <c r="K3001" i="15"/>
  <c r="J3001" i="15"/>
  <c r="I3001" i="15"/>
  <c r="K3000" i="15"/>
  <c r="J3000" i="15"/>
  <c r="I3000" i="15"/>
  <c r="K2999" i="15"/>
  <c r="J2999" i="15"/>
  <c r="I2999" i="15"/>
  <c r="K2998" i="15"/>
  <c r="J2998" i="15"/>
  <c r="I2998" i="15"/>
  <c r="K2997" i="15"/>
  <c r="J2997" i="15"/>
  <c r="I2997" i="15"/>
  <c r="K2996" i="15"/>
  <c r="J2996" i="15"/>
  <c r="I2996" i="15"/>
  <c r="K2995" i="15"/>
  <c r="J2995" i="15"/>
  <c r="I2995" i="15"/>
  <c r="K2994" i="15"/>
  <c r="J2994" i="15"/>
  <c r="I2994" i="15"/>
  <c r="K2993" i="15"/>
  <c r="J2993" i="15"/>
  <c r="I2993" i="15"/>
  <c r="K2992" i="15"/>
  <c r="J2992" i="15"/>
  <c r="I2992" i="15"/>
  <c r="K2991" i="15"/>
  <c r="J2991" i="15"/>
  <c r="I2991" i="15"/>
  <c r="K2990" i="15"/>
  <c r="J2990" i="15"/>
  <c r="I2990" i="15"/>
  <c r="K2989" i="15"/>
  <c r="J2989" i="15"/>
  <c r="I2989" i="15"/>
  <c r="K2988" i="15"/>
  <c r="J2988" i="15"/>
  <c r="I2988" i="15"/>
  <c r="K2987" i="15"/>
  <c r="J2987" i="15"/>
  <c r="I2987" i="15"/>
  <c r="K2986" i="15"/>
  <c r="J2986" i="15"/>
  <c r="I2986" i="15"/>
  <c r="K2985" i="15"/>
  <c r="J2985" i="15"/>
  <c r="I2985" i="15"/>
  <c r="K2984" i="15"/>
  <c r="J2984" i="15"/>
  <c r="I2984" i="15"/>
  <c r="K2983" i="15"/>
  <c r="J2983" i="15"/>
  <c r="I2983" i="15"/>
  <c r="K2982" i="15"/>
  <c r="J2982" i="15"/>
  <c r="I2982" i="15"/>
  <c r="K2981" i="15"/>
  <c r="J2981" i="15"/>
  <c r="I2981" i="15"/>
  <c r="K2980" i="15"/>
  <c r="J2980" i="15"/>
  <c r="I2980" i="15"/>
  <c r="K2979" i="15"/>
  <c r="J2979" i="15"/>
  <c r="I2979" i="15"/>
  <c r="K2978" i="15"/>
  <c r="J2978" i="15"/>
  <c r="I2978" i="15"/>
  <c r="K2977" i="15"/>
  <c r="J2977" i="15"/>
  <c r="I2977" i="15"/>
  <c r="K2976" i="15"/>
  <c r="J2976" i="15"/>
  <c r="I2976" i="15"/>
  <c r="K2975" i="15"/>
  <c r="J2975" i="15"/>
  <c r="I2975" i="15"/>
  <c r="K2974" i="15"/>
  <c r="J2974" i="15"/>
  <c r="I2974" i="15"/>
  <c r="K2973" i="15"/>
  <c r="J2973" i="15"/>
  <c r="I2973" i="15"/>
  <c r="K2972" i="15"/>
  <c r="J2972" i="15"/>
  <c r="I2972" i="15"/>
  <c r="K2971" i="15"/>
  <c r="J2971" i="15"/>
  <c r="I2971" i="15"/>
  <c r="K2970" i="15"/>
  <c r="J2970" i="15"/>
  <c r="I2970" i="15"/>
  <c r="K2969" i="15"/>
  <c r="J2969" i="15"/>
  <c r="I2969" i="15"/>
  <c r="K2968" i="15"/>
  <c r="J2968" i="15"/>
  <c r="I2968" i="15"/>
  <c r="K2967" i="15"/>
  <c r="J2967" i="15"/>
  <c r="I2967" i="15"/>
  <c r="K2966" i="15"/>
  <c r="J2966" i="15"/>
  <c r="I2966" i="15"/>
  <c r="K2965" i="15"/>
  <c r="J2965" i="15"/>
  <c r="I2965" i="15"/>
  <c r="K2964" i="15"/>
  <c r="J2964" i="15"/>
  <c r="I2964" i="15"/>
  <c r="K2963" i="15"/>
  <c r="J2963" i="15"/>
  <c r="I2963" i="15"/>
  <c r="K2962" i="15"/>
  <c r="J2962" i="15"/>
  <c r="I2962" i="15"/>
  <c r="K2961" i="15"/>
  <c r="J2961" i="15"/>
  <c r="I2961" i="15"/>
  <c r="K2960" i="15"/>
  <c r="J2960" i="15"/>
  <c r="I2960" i="15"/>
  <c r="K2959" i="15"/>
  <c r="J2959" i="15"/>
  <c r="I2959" i="15"/>
  <c r="K2958" i="15"/>
  <c r="J2958" i="15"/>
  <c r="I2958" i="15"/>
  <c r="K2957" i="15"/>
  <c r="J2957" i="15"/>
  <c r="I2957" i="15"/>
  <c r="K2956" i="15"/>
  <c r="J2956" i="15"/>
  <c r="I2956" i="15"/>
  <c r="K2955" i="15"/>
  <c r="J2955" i="15"/>
  <c r="I2955" i="15"/>
  <c r="K2954" i="15"/>
  <c r="J2954" i="15"/>
  <c r="I2954" i="15"/>
  <c r="K2953" i="15"/>
  <c r="J2953" i="15"/>
  <c r="I2953" i="15"/>
  <c r="K2952" i="15"/>
  <c r="J2952" i="15"/>
  <c r="I2952" i="15"/>
  <c r="K2951" i="15"/>
  <c r="J2951" i="15"/>
  <c r="I2951" i="15"/>
  <c r="K2950" i="15"/>
  <c r="J2950" i="15"/>
  <c r="I2950" i="15"/>
  <c r="K2949" i="15"/>
  <c r="J2949" i="15"/>
  <c r="I2949" i="15"/>
  <c r="K2948" i="15"/>
  <c r="J2948" i="15"/>
  <c r="I2948" i="15"/>
  <c r="K2947" i="15"/>
  <c r="J2947" i="15"/>
  <c r="I2947" i="15"/>
  <c r="K2946" i="15"/>
  <c r="J2946" i="15"/>
  <c r="I2946" i="15"/>
  <c r="K2945" i="15"/>
  <c r="J2945" i="15"/>
  <c r="I2945" i="15"/>
  <c r="K2944" i="15"/>
  <c r="J2944" i="15"/>
  <c r="I2944" i="15"/>
  <c r="K2943" i="15"/>
  <c r="J2943" i="15"/>
  <c r="I2943" i="15"/>
  <c r="K2942" i="15"/>
  <c r="J2942" i="15"/>
  <c r="I2942" i="15"/>
  <c r="K2941" i="15"/>
  <c r="J2941" i="15"/>
  <c r="I2941" i="15"/>
  <c r="K2940" i="15"/>
  <c r="J2940" i="15"/>
  <c r="I2940" i="15"/>
  <c r="K2939" i="15"/>
  <c r="J2939" i="15"/>
  <c r="I2939" i="15"/>
  <c r="K2938" i="15"/>
  <c r="J2938" i="15"/>
  <c r="I2938" i="15"/>
  <c r="K2937" i="15"/>
  <c r="J2937" i="15"/>
  <c r="I2937" i="15"/>
  <c r="K2936" i="15"/>
  <c r="J2936" i="15"/>
  <c r="I2936" i="15"/>
  <c r="K2935" i="15"/>
  <c r="J2935" i="15"/>
  <c r="I2935" i="15"/>
  <c r="K2934" i="15"/>
  <c r="J2934" i="15"/>
  <c r="I2934" i="15"/>
  <c r="K2933" i="15"/>
  <c r="J2933" i="15"/>
  <c r="I2933" i="15"/>
  <c r="K2932" i="15"/>
  <c r="J2932" i="15"/>
  <c r="I2932" i="15"/>
  <c r="K2931" i="15"/>
  <c r="J2931" i="15"/>
  <c r="I2931" i="15"/>
  <c r="K2930" i="15"/>
  <c r="J2930" i="15"/>
  <c r="I2930" i="15"/>
  <c r="K2929" i="15"/>
  <c r="J2929" i="15"/>
  <c r="I2929" i="15"/>
  <c r="K2928" i="15"/>
  <c r="J2928" i="15"/>
  <c r="I2928" i="15"/>
  <c r="K2927" i="15"/>
  <c r="J2927" i="15"/>
  <c r="I2927" i="15"/>
  <c r="K2926" i="15"/>
  <c r="J2926" i="15"/>
  <c r="I2926" i="15"/>
  <c r="K2925" i="15"/>
  <c r="J2925" i="15"/>
  <c r="I2925" i="15"/>
  <c r="K2924" i="15"/>
  <c r="J2924" i="15"/>
  <c r="I2924" i="15"/>
  <c r="K2923" i="15"/>
  <c r="J2923" i="15"/>
  <c r="I2923" i="15"/>
  <c r="K2922" i="15"/>
  <c r="J2922" i="15"/>
  <c r="I2922" i="15"/>
  <c r="K2921" i="15"/>
  <c r="J2921" i="15"/>
  <c r="I2921" i="15"/>
  <c r="K2920" i="15"/>
  <c r="J2920" i="15"/>
  <c r="I2920" i="15"/>
  <c r="K2919" i="15"/>
  <c r="J2919" i="15"/>
  <c r="I2919" i="15"/>
  <c r="K2918" i="15"/>
  <c r="J2918" i="15"/>
  <c r="I2918" i="15"/>
  <c r="K2917" i="15"/>
  <c r="J2917" i="15"/>
  <c r="I2917" i="15"/>
  <c r="K2916" i="15"/>
  <c r="J2916" i="15"/>
  <c r="I2916" i="15"/>
  <c r="K2915" i="15"/>
  <c r="J2915" i="15"/>
  <c r="I2915" i="15"/>
  <c r="K2914" i="15"/>
  <c r="J2914" i="15"/>
  <c r="I2914" i="15"/>
  <c r="K2913" i="15"/>
  <c r="J2913" i="15"/>
  <c r="I2913" i="15"/>
  <c r="K2912" i="15"/>
  <c r="J2912" i="15"/>
  <c r="I2912" i="15"/>
  <c r="K2911" i="15"/>
  <c r="J2911" i="15"/>
  <c r="I2911" i="15"/>
  <c r="K2910" i="15"/>
  <c r="J2910" i="15"/>
  <c r="I2910" i="15"/>
  <c r="K2909" i="15"/>
  <c r="J2909" i="15"/>
  <c r="I2909" i="15"/>
  <c r="K2908" i="15"/>
  <c r="J2908" i="15"/>
  <c r="I2908" i="15"/>
  <c r="K2907" i="15"/>
  <c r="J2907" i="15"/>
  <c r="I2907" i="15"/>
  <c r="K2906" i="15"/>
  <c r="J2906" i="15"/>
  <c r="I2906" i="15"/>
  <c r="K2905" i="15"/>
  <c r="J2905" i="15"/>
  <c r="I2905" i="15"/>
  <c r="K2904" i="15"/>
  <c r="J2904" i="15"/>
  <c r="I2904" i="15"/>
  <c r="K2903" i="15"/>
  <c r="J2903" i="15"/>
  <c r="I2903" i="15"/>
  <c r="K2902" i="15"/>
  <c r="J2902" i="15"/>
  <c r="I2902" i="15"/>
  <c r="K2901" i="15"/>
  <c r="J2901" i="15"/>
  <c r="I2901" i="15"/>
  <c r="K2900" i="15"/>
  <c r="J2900" i="15"/>
  <c r="I2900" i="15"/>
  <c r="K2899" i="15"/>
  <c r="J2899" i="15"/>
  <c r="I2899" i="15"/>
  <c r="K2898" i="15"/>
  <c r="J2898" i="15"/>
  <c r="I2898" i="15"/>
  <c r="K2897" i="15"/>
  <c r="J2897" i="15"/>
  <c r="I2897" i="15"/>
  <c r="K2896" i="15"/>
  <c r="J2896" i="15"/>
  <c r="I2896" i="15"/>
  <c r="K2895" i="15"/>
  <c r="J2895" i="15"/>
  <c r="I2895" i="15"/>
  <c r="K2894" i="15"/>
  <c r="J2894" i="15"/>
  <c r="I2894" i="15"/>
  <c r="K2893" i="15"/>
  <c r="J2893" i="15"/>
  <c r="I2893" i="15"/>
  <c r="K2892" i="15"/>
  <c r="J2892" i="15"/>
  <c r="I2892" i="15"/>
  <c r="K2891" i="15"/>
  <c r="J2891" i="15"/>
  <c r="I2891" i="15"/>
  <c r="K2890" i="15"/>
  <c r="J2890" i="15"/>
  <c r="I2890" i="15"/>
  <c r="K2889" i="15"/>
  <c r="J2889" i="15"/>
  <c r="I2889" i="15"/>
  <c r="K2888" i="15"/>
  <c r="J2888" i="15"/>
  <c r="I2888" i="15"/>
  <c r="K2887" i="15"/>
  <c r="J2887" i="15"/>
  <c r="I2887" i="15"/>
  <c r="K2886" i="15"/>
  <c r="J2886" i="15"/>
  <c r="I2886" i="15"/>
  <c r="K2885" i="15"/>
  <c r="J2885" i="15"/>
  <c r="I2885" i="15"/>
  <c r="K2884" i="15"/>
  <c r="J2884" i="15"/>
  <c r="I2884" i="15"/>
  <c r="K2883" i="15"/>
  <c r="J2883" i="15"/>
  <c r="I2883" i="15"/>
  <c r="K2882" i="15"/>
  <c r="J2882" i="15"/>
  <c r="I2882" i="15"/>
  <c r="K2881" i="15"/>
  <c r="J2881" i="15"/>
  <c r="I2881" i="15"/>
  <c r="K2880" i="15"/>
  <c r="J2880" i="15"/>
  <c r="I2880" i="15"/>
  <c r="K2879" i="15"/>
  <c r="J2879" i="15"/>
  <c r="I2879" i="15"/>
  <c r="K2878" i="15"/>
  <c r="J2878" i="15"/>
  <c r="I2878" i="15"/>
  <c r="K2877" i="15"/>
  <c r="J2877" i="15"/>
  <c r="I2877" i="15"/>
  <c r="K2876" i="15"/>
  <c r="J2876" i="15"/>
  <c r="I2876" i="15"/>
  <c r="K2875" i="15"/>
  <c r="J2875" i="15"/>
  <c r="I2875" i="15"/>
  <c r="K2874" i="15"/>
  <c r="J2874" i="15"/>
  <c r="I2874" i="15"/>
  <c r="K2873" i="15"/>
  <c r="J2873" i="15"/>
  <c r="I2873" i="15"/>
  <c r="K2872" i="15"/>
  <c r="J2872" i="15"/>
  <c r="I2872" i="15"/>
  <c r="K2871" i="15"/>
  <c r="J2871" i="15"/>
  <c r="I2871" i="15"/>
  <c r="K2870" i="15"/>
  <c r="J2870" i="15"/>
  <c r="I2870" i="15"/>
  <c r="K2869" i="15"/>
  <c r="J2869" i="15"/>
  <c r="I2869" i="15"/>
  <c r="K2868" i="15"/>
  <c r="J2868" i="15"/>
  <c r="I2868" i="15"/>
  <c r="K2867" i="15"/>
  <c r="J2867" i="15"/>
  <c r="I2867" i="15"/>
  <c r="K2866" i="15"/>
  <c r="J2866" i="15"/>
  <c r="I2866" i="15"/>
  <c r="K2865" i="15"/>
  <c r="J2865" i="15"/>
  <c r="I2865" i="15"/>
  <c r="K2864" i="15"/>
  <c r="J2864" i="15"/>
  <c r="I2864" i="15"/>
  <c r="K2863" i="15"/>
  <c r="J2863" i="15"/>
  <c r="I2863" i="15"/>
  <c r="K2862" i="15"/>
  <c r="J2862" i="15"/>
  <c r="I2862" i="15"/>
  <c r="K2861" i="15"/>
  <c r="J2861" i="15"/>
  <c r="I2861" i="15"/>
  <c r="K2860" i="15"/>
  <c r="J2860" i="15"/>
  <c r="I2860" i="15"/>
  <c r="K2859" i="15"/>
  <c r="J2859" i="15"/>
  <c r="I2859" i="15"/>
  <c r="K2858" i="15"/>
  <c r="J2858" i="15"/>
  <c r="I2858" i="15"/>
  <c r="K2857" i="15"/>
  <c r="J2857" i="15"/>
  <c r="I2857" i="15"/>
  <c r="K2856" i="15"/>
  <c r="J2856" i="15"/>
  <c r="I2856" i="15"/>
  <c r="K2855" i="15"/>
  <c r="J2855" i="15"/>
  <c r="I2855" i="15"/>
  <c r="K2854" i="15"/>
  <c r="J2854" i="15"/>
  <c r="I2854" i="15"/>
  <c r="K2853" i="15"/>
  <c r="J2853" i="15"/>
  <c r="I2853" i="15"/>
  <c r="K2852" i="15"/>
  <c r="J2852" i="15"/>
  <c r="I2852" i="15"/>
  <c r="K2851" i="15"/>
  <c r="J2851" i="15"/>
  <c r="I2851" i="15"/>
  <c r="K2850" i="15"/>
  <c r="J2850" i="15"/>
  <c r="I2850" i="15"/>
  <c r="K2849" i="15"/>
  <c r="J2849" i="15"/>
  <c r="I2849" i="15"/>
  <c r="K2848" i="15"/>
  <c r="J2848" i="15"/>
  <c r="I2848" i="15"/>
  <c r="K2847" i="15"/>
  <c r="J2847" i="15"/>
  <c r="I2847" i="15"/>
  <c r="K2846" i="15"/>
  <c r="J2846" i="15"/>
  <c r="I2846" i="15"/>
  <c r="K2845" i="15"/>
  <c r="J2845" i="15"/>
  <c r="I2845" i="15"/>
  <c r="K2844" i="15"/>
  <c r="J2844" i="15"/>
  <c r="I2844" i="15"/>
  <c r="K2843" i="15"/>
  <c r="J2843" i="15"/>
  <c r="I2843" i="15"/>
  <c r="K2842" i="15"/>
  <c r="J2842" i="15"/>
  <c r="I2842" i="15"/>
  <c r="K2841" i="15"/>
  <c r="J2841" i="15"/>
  <c r="I2841" i="15"/>
  <c r="K2840" i="15"/>
  <c r="J2840" i="15"/>
  <c r="I2840" i="15"/>
  <c r="K2839" i="15"/>
  <c r="J2839" i="15"/>
  <c r="I2839" i="15"/>
  <c r="K2838" i="15"/>
  <c r="J2838" i="15"/>
  <c r="I2838" i="15"/>
  <c r="K2837" i="15"/>
  <c r="J2837" i="15"/>
  <c r="I2837" i="15"/>
  <c r="K2836" i="15"/>
  <c r="J2836" i="15"/>
  <c r="I2836" i="15"/>
  <c r="K2835" i="15"/>
  <c r="J2835" i="15"/>
  <c r="I2835" i="15"/>
  <c r="K2834" i="15"/>
  <c r="J2834" i="15"/>
  <c r="I2834" i="15"/>
  <c r="K2833" i="15"/>
  <c r="J2833" i="15"/>
  <c r="I2833" i="15"/>
  <c r="K2832" i="15"/>
  <c r="J2832" i="15"/>
  <c r="I2832" i="15"/>
  <c r="K2831" i="15"/>
  <c r="J2831" i="15"/>
  <c r="I2831" i="15"/>
  <c r="K2830" i="15"/>
  <c r="J2830" i="15"/>
  <c r="I2830" i="15"/>
  <c r="K2829" i="15"/>
  <c r="J2829" i="15"/>
  <c r="I2829" i="15"/>
  <c r="K2828" i="15"/>
  <c r="J2828" i="15"/>
  <c r="I2828" i="15"/>
  <c r="K2827" i="15"/>
  <c r="J2827" i="15"/>
  <c r="I2827" i="15"/>
  <c r="K2826" i="15"/>
  <c r="J2826" i="15"/>
  <c r="I2826" i="15"/>
  <c r="K2825" i="15"/>
  <c r="J2825" i="15"/>
  <c r="I2825" i="15"/>
  <c r="K2824" i="15"/>
  <c r="J2824" i="15"/>
  <c r="I2824" i="15"/>
  <c r="K2823" i="15"/>
  <c r="J2823" i="15"/>
  <c r="I2823" i="15"/>
  <c r="K2822" i="15"/>
  <c r="J2822" i="15"/>
  <c r="I2822" i="15"/>
  <c r="K2821" i="15"/>
  <c r="J2821" i="15"/>
  <c r="I2821" i="15"/>
  <c r="K2820" i="15"/>
  <c r="J2820" i="15"/>
  <c r="I2820" i="15"/>
  <c r="K2819" i="15"/>
  <c r="J2819" i="15"/>
  <c r="I2819" i="15"/>
  <c r="K2818" i="15"/>
  <c r="J2818" i="15"/>
  <c r="I2818" i="15"/>
  <c r="K2817" i="15"/>
  <c r="J2817" i="15"/>
  <c r="I2817" i="15"/>
  <c r="K2816" i="15"/>
  <c r="J2816" i="15"/>
  <c r="I2816" i="15"/>
  <c r="K2815" i="15"/>
  <c r="J2815" i="15"/>
  <c r="I2815" i="15"/>
  <c r="K2814" i="15"/>
  <c r="J2814" i="15"/>
  <c r="I2814" i="15"/>
  <c r="K2813" i="15"/>
  <c r="J2813" i="15"/>
  <c r="I2813" i="15"/>
  <c r="K2812" i="15"/>
  <c r="J2812" i="15"/>
  <c r="I2812" i="15"/>
  <c r="K2811" i="15"/>
  <c r="J2811" i="15"/>
  <c r="I2811" i="15"/>
  <c r="K2810" i="15"/>
  <c r="J2810" i="15"/>
  <c r="I2810" i="15"/>
  <c r="K2809" i="15"/>
  <c r="J2809" i="15"/>
  <c r="I2809" i="15"/>
  <c r="K2808" i="15"/>
  <c r="J2808" i="15"/>
  <c r="I2808" i="15"/>
  <c r="K2807" i="15"/>
  <c r="J2807" i="15"/>
  <c r="I2807" i="15"/>
  <c r="K2806" i="15"/>
  <c r="J2806" i="15"/>
  <c r="I2806" i="15"/>
  <c r="K2805" i="15"/>
  <c r="J2805" i="15"/>
  <c r="I2805" i="15"/>
  <c r="K2804" i="15"/>
  <c r="J2804" i="15"/>
  <c r="I2804" i="15"/>
  <c r="K2803" i="15"/>
  <c r="J2803" i="15"/>
  <c r="I2803" i="15"/>
  <c r="K2802" i="15"/>
  <c r="J2802" i="15"/>
  <c r="I2802" i="15"/>
  <c r="K2801" i="15"/>
  <c r="J2801" i="15"/>
  <c r="I2801" i="15"/>
  <c r="K2800" i="15"/>
  <c r="J2800" i="15"/>
  <c r="I2800" i="15"/>
  <c r="K2799" i="15"/>
  <c r="J2799" i="15"/>
  <c r="I2799" i="15"/>
  <c r="K2798" i="15"/>
  <c r="J2798" i="15"/>
  <c r="I2798" i="15"/>
  <c r="K2797" i="15"/>
  <c r="J2797" i="15"/>
  <c r="I2797" i="15"/>
  <c r="K2796" i="15"/>
  <c r="J2796" i="15"/>
  <c r="I2796" i="15"/>
  <c r="K2795" i="15"/>
  <c r="J2795" i="15"/>
  <c r="I2795" i="15"/>
  <c r="K2794" i="15"/>
  <c r="J2794" i="15"/>
  <c r="I2794" i="15"/>
  <c r="K2793" i="15"/>
  <c r="J2793" i="15"/>
  <c r="I2793" i="15"/>
  <c r="K2792" i="15"/>
  <c r="J2792" i="15"/>
  <c r="I2792" i="15"/>
  <c r="K2791" i="15"/>
  <c r="J2791" i="15"/>
  <c r="I2791" i="15"/>
  <c r="K2790" i="15"/>
  <c r="J2790" i="15"/>
  <c r="I2790" i="15"/>
  <c r="K2789" i="15"/>
  <c r="J2789" i="15"/>
  <c r="I2789" i="15"/>
  <c r="K2788" i="15"/>
  <c r="J2788" i="15"/>
  <c r="I2788" i="15"/>
  <c r="K2787" i="15"/>
  <c r="J2787" i="15"/>
  <c r="I2787" i="15"/>
  <c r="K2786" i="15"/>
  <c r="J2786" i="15"/>
  <c r="I2786" i="15"/>
  <c r="K2785" i="15"/>
  <c r="J2785" i="15"/>
  <c r="I2785" i="15"/>
  <c r="K2784" i="15"/>
  <c r="J2784" i="15"/>
  <c r="I2784" i="15"/>
  <c r="K2783" i="15"/>
  <c r="J2783" i="15"/>
  <c r="I2783" i="15"/>
  <c r="K2782" i="15"/>
  <c r="J2782" i="15"/>
  <c r="I2782" i="15"/>
  <c r="K2781" i="15"/>
  <c r="J2781" i="15"/>
  <c r="I2781" i="15"/>
  <c r="K2780" i="15"/>
  <c r="J2780" i="15"/>
  <c r="I2780" i="15"/>
  <c r="K2779" i="15"/>
  <c r="J2779" i="15"/>
  <c r="I2779" i="15"/>
  <c r="K2778" i="15"/>
  <c r="J2778" i="15"/>
  <c r="I2778" i="15"/>
  <c r="K2777" i="15"/>
  <c r="J2777" i="15"/>
  <c r="I2777" i="15"/>
  <c r="K2776" i="15"/>
  <c r="J2776" i="15"/>
  <c r="I2776" i="15"/>
  <c r="K2775" i="15"/>
  <c r="J2775" i="15"/>
  <c r="I2775" i="15"/>
  <c r="K2774" i="15"/>
  <c r="J2774" i="15"/>
  <c r="I2774" i="15"/>
  <c r="K2773" i="15"/>
  <c r="J2773" i="15"/>
  <c r="I2773" i="15"/>
  <c r="K2772" i="15"/>
  <c r="J2772" i="15"/>
  <c r="I2772" i="15"/>
  <c r="K2771" i="15"/>
  <c r="J2771" i="15"/>
  <c r="I2771" i="15"/>
  <c r="K2770" i="15"/>
  <c r="J2770" i="15"/>
  <c r="I2770" i="15"/>
  <c r="K2769" i="15"/>
  <c r="J2769" i="15"/>
  <c r="I2769" i="15"/>
  <c r="K2768" i="15"/>
  <c r="J2768" i="15"/>
  <c r="I2768" i="15"/>
  <c r="K2767" i="15"/>
  <c r="J2767" i="15"/>
  <c r="I2767" i="15"/>
  <c r="K2766" i="15"/>
  <c r="J2766" i="15"/>
  <c r="I2766" i="15"/>
  <c r="K2765" i="15"/>
  <c r="J2765" i="15"/>
  <c r="I2765" i="15"/>
  <c r="K2764" i="15"/>
  <c r="J2764" i="15"/>
  <c r="I2764" i="15"/>
  <c r="K2763" i="15"/>
  <c r="J2763" i="15"/>
  <c r="I2763" i="15"/>
  <c r="K2762" i="15"/>
  <c r="J2762" i="15"/>
  <c r="I2762" i="15"/>
  <c r="K2761" i="15"/>
  <c r="J2761" i="15"/>
  <c r="I2761" i="15"/>
  <c r="K2760" i="15"/>
  <c r="J2760" i="15"/>
  <c r="I2760" i="15"/>
  <c r="K2759" i="15"/>
  <c r="J2759" i="15"/>
  <c r="I2759" i="15"/>
  <c r="K2758" i="15"/>
  <c r="J2758" i="15"/>
  <c r="I2758" i="15"/>
  <c r="K2757" i="15"/>
  <c r="J2757" i="15"/>
  <c r="I2757" i="15"/>
  <c r="K2756" i="15"/>
  <c r="J2756" i="15"/>
  <c r="I2756" i="15"/>
  <c r="K2755" i="15"/>
  <c r="J2755" i="15"/>
  <c r="I2755" i="15"/>
  <c r="K2754" i="15"/>
  <c r="J2754" i="15"/>
  <c r="I2754" i="15"/>
  <c r="K2753" i="15"/>
  <c r="J2753" i="15"/>
  <c r="I2753" i="15"/>
  <c r="K2752" i="15"/>
  <c r="J2752" i="15"/>
  <c r="I2752" i="15"/>
  <c r="K2751" i="15"/>
  <c r="J2751" i="15"/>
  <c r="I2751" i="15"/>
  <c r="K2750" i="15"/>
  <c r="J2750" i="15"/>
  <c r="I2750" i="15"/>
  <c r="K2749" i="15"/>
  <c r="J2749" i="15"/>
  <c r="I2749" i="15"/>
  <c r="K2748" i="15"/>
  <c r="J2748" i="15"/>
  <c r="I2748" i="15"/>
  <c r="K2747" i="15"/>
  <c r="J2747" i="15"/>
  <c r="I2747" i="15"/>
  <c r="K2746" i="15"/>
  <c r="J2746" i="15"/>
  <c r="I2746" i="15"/>
  <c r="K2745" i="15"/>
  <c r="J2745" i="15"/>
  <c r="I2745" i="15"/>
  <c r="K2744" i="15"/>
  <c r="J2744" i="15"/>
  <c r="I2744" i="15"/>
  <c r="K2743" i="15"/>
  <c r="J2743" i="15"/>
  <c r="I2743" i="15"/>
  <c r="K2742" i="15"/>
  <c r="J2742" i="15"/>
  <c r="I2742" i="15"/>
  <c r="K2741" i="15"/>
  <c r="J2741" i="15"/>
  <c r="I2741" i="15"/>
  <c r="K2740" i="15"/>
  <c r="J2740" i="15"/>
  <c r="I2740" i="15"/>
  <c r="K2739" i="15"/>
  <c r="J2739" i="15"/>
  <c r="I2739" i="15"/>
  <c r="K2738" i="15"/>
  <c r="J2738" i="15"/>
  <c r="I2738" i="15"/>
  <c r="K2737" i="15"/>
  <c r="J2737" i="15"/>
  <c r="I2737" i="15"/>
  <c r="K2736" i="15"/>
  <c r="J2736" i="15"/>
  <c r="I2736" i="15"/>
  <c r="K2735" i="15"/>
  <c r="J2735" i="15"/>
  <c r="I2735" i="15"/>
  <c r="K2734" i="15"/>
  <c r="J2734" i="15"/>
  <c r="I2734" i="15"/>
  <c r="K2733" i="15"/>
  <c r="J2733" i="15"/>
  <c r="I2733" i="15"/>
  <c r="K2732" i="15"/>
  <c r="J2732" i="15"/>
  <c r="I2732" i="15"/>
  <c r="K2731" i="15"/>
  <c r="J2731" i="15"/>
  <c r="I2731" i="15"/>
  <c r="K2730" i="15"/>
  <c r="J2730" i="15"/>
  <c r="I2730" i="15"/>
  <c r="K2729" i="15"/>
  <c r="J2729" i="15"/>
  <c r="I2729" i="15"/>
  <c r="K2728" i="15"/>
  <c r="J2728" i="15"/>
  <c r="I2728" i="15"/>
  <c r="K2727" i="15"/>
  <c r="J2727" i="15"/>
  <c r="I2727" i="15"/>
  <c r="K2726" i="15"/>
  <c r="J2726" i="15"/>
  <c r="I2726" i="15"/>
  <c r="K2725" i="15"/>
  <c r="J2725" i="15"/>
  <c r="I2725" i="15"/>
  <c r="K2724" i="15"/>
  <c r="J2724" i="15"/>
  <c r="I2724" i="15"/>
  <c r="K2723" i="15"/>
  <c r="J2723" i="15"/>
  <c r="I2723" i="15"/>
  <c r="K2722" i="15"/>
  <c r="J2722" i="15"/>
  <c r="I2722" i="15"/>
  <c r="K2721" i="15"/>
  <c r="J2721" i="15"/>
  <c r="I2721" i="15"/>
  <c r="K2720" i="15"/>
  <c r="J2720" i="15"/>
  <c r="I2720" i="15"/>
  <c r="K2719" i="15"/>
  <c r="J2719" i="15"/>
  <c r="I2719" i="15"/>
  <c r="K2718" i="15"/>
  <c r="J2718" i="15"/>
  <c r="I2718" i="15"/>
  <c r="K2717" i="15"/>
  <c r="J2717" i="15"/>
  <c r="I2717" i="15"/>
  <c r="K2716" i="15"/>
  <c r="J2716" i="15"/>
  <c r="I2716" i="15"/>
  <c r="K2715" i="15"/>
  <c r="J2715" i="15"/>
  <c r="I2715" i="15"/>
  <c r="K2714" i="15"/>
  <c r="J2714" i="15"/>
  <c r="I2714" i="15"/>
  <c r="K2713" i="15"/>
  <c r="J2713" i="15"/>
  <c r="I2713" i="15"/>
  <c r="K2712" i="15"/>
  <c r="J2712" i="15"/>
  <c r="I2712" i="15"/>
  <c r="K2711" i="15"/>
  <c r="J2711" i="15"/>
  <c r="I2711" i="15"/>
  <c r="K2710" i="15"/>
  <c r="J2710" i="15"/>
  <c r="I2710" i="15"/>
  <c r="K2709" i="15"/>
  <c r="J2709" i="15"/>
  <c r="I2709" i="15"/>
  <c r="K2708" i="15"/>
  <c r="J2708" i="15"/>
  <c r="I2708" i="15"/>
  <c r="K2707" i="15"/>
  <c r="J2707" i="15"/>
  <c r="I2707" i="15"/>
  <c r="K2706" i="15"/>
  <c r="J2706" i="15"/>
  <c r="I2706" i="15"/>
  <c r="K2705" i="15"/>
  <c r="J2705" i="15"/>
  <c r="I2705" i="15"/>
  <c r="K2704" i="15"/>
  <c r="J2704" i="15"/>
  <c r="I2704" i="15"/>
  <c r="K2703" i="15"/>
  <c r="J2703" i="15"/>
  <c r="I2703" i="15"/>
  <c r="K2702" i="15"/>
  <c r="J2702" i="15"/>
  <c r="I2702" i="15"/>
  <c r="K2701" i="15"/>
  <c r="J2701" i="15"/>
  <c r="I2701" i="15"/>
  <c r="K2700" i="15"/>
  <c r="J2700" i="15"/>
  <c r="I2700" i="15"/>
  <c r="K2699" i="15"/>
  <c r="J2699" i="15"/>
  <c r="I2699" i="15"/>
  <c r="K2698" i="15"/>
  <c r="J2698" i="15"/>
  <c r="I2698" i="15"/>
  <c r="K2697" i="15"/>
  <c r="J2697" i="15"/>
  <c r="I2697" i="15"/>
  <c r="K2696" i="15"/>
  <c r="J2696" i="15"/>
  <c r="I2696" i="15"/>
  <c r="K2695" i="15"/>
  <c r="J2695" i="15"/>
  <c r="I2695" i="15"/>
  <c r="K2694" i="15"/>
  <c r="J2694" i="15"/>
  <c r="I2694" i="15"/>
  <c r="K2693" i="15"/>
  <c r="J2693" i="15"/>
  <c r="I2693" i="15"/>
  <c r="K2692" i="15"/>
  <c r="J2692" i="15"/>
  <c r="I2692" i="15"/>
  <c r="K2691" i="15"/>
  <c r="J2691" i="15"/>
  <c r="I2691" i="15"/>
  <c r="K2690" i="15"/>
  <c r="J2690" i="15"/>
  <c r="I2690" i="15"/>
  <c r="K2689" i="15"/>
  <c r="J2689" i="15"/>
  <c r="I2689" i="15"/>
  <c r="K2688" i="15"/>
  <c r="J2688" i="15"/>
  <c r="I2688" i="15"/>
  <c r="K2687" i="15"/>
  <c r="J2687" i="15"/>
  <c r="I2687" i="15"/>
  <c r="K2686" i="15"/>
  <c r="J2686" i="15"/>
  <c r="I2686" i="15"/>
  <c r="K2685" i="15"/>
  <c r="J2685" i="15"/>
  <c r="I2685" i="15"/>
  <c r="K2684" i="15"/>
  <c r="J2684" i="15"/>
  <c r="I2684" i="15"/>
  <c r="K2683" i="15"/>
  <c r="J2683" i="15"/>
  <c r="I2683" i="15"/>
  <c r="K2682" i="15"/>
  <c r="J2682" i="15"/>
  <c r="I2682" i="15"/>
  <c r="K2681" i="15"/>
  <c r="J2681" i="15"/>
  <c r="I2681" i="15"/>
  <c r="K2680" i="15"/>
  <c r="J2680" i="15"/>
  <c r="I2680" i="15"/>
  <c r="K2679" i="15"/>
  <c r="J2679" i="15"/>
  <c r="I2679" i="15"/>
  <c r="K2678" i="15"/>
  <c r="J2678" i="15"/>
  <c r="I2678" i="15"/>
  <c r="K2677" i="15"/>
  <c r="J2677" i="15"/>
  <c r="I2677" i="15"/>
  <c r="K2676" i="15"/>
  <c r="J2676" i="15"/>
  <c r="I2676" i="15"/>
  <c r="K2675" i="15"/>
  <c r="J2675" i="15"/>
  <c r="I2675" i="15"/>
  <c r="K2674" i="15"/>
  <c r="J2674" i="15"/>
  <c r="I2674" i="15"/>
  <c r="K2673" i="15"/>
  <c r="J2673" i="15"/>
  <c r="I2673" i="15"/>
  <c r="K2672" i="15"/>
  <c r="J2672" i="15"/>
  <c r="I2672" i="15"/>
  <c r="K2671" i="15"/>
  <c r="J2671" i="15"/>
  <c r="I2671" i="15"/>
  <c r="K2670" i="15"/>
  <c r="J2670" i="15"/>
  <c r="I2670" i="15"/>
  <c r="K2669" i="15"/>
  <c r="J2669" i="15"/>
  <c r="I2669" i="15"/>
  <c r="K2668" i="15"/>
  <c r="J2668" i="15"/>
  <c r="I2668" i="15"/>
  <c r="K2667" i="15"/>
  <c r="J2667" i="15"/>
  <c r="I2667" i="15"/>
  <c r="K2666" i="15"/>
  <c r="J2666" i="15"/>
  <c r="I2666" i="15"/>
  <c r="K2665" i="15"/>
  <c r="J2665" i="15"/>
  <c r="I2665" i="15"/>
  <c r="K2664" i="15"/>
  <c r="J2664" i="15"/>
  <c r="I2664" i="15"/>
  <c r="K2663" i="15"/>
  <c r="J2663" i="15"/>
  <c r="I2663" i="15"/>
  <c r="K2662" i="15"/>
  <c r="J2662" i="15"/>
  <c r="I2662" i="15"/>
  <c r="K2661" i="15"/>
  <c r="J2661" i="15"/>
  <c r="I2661" i="15"/>
  <c r="K2660" i="15"/>
  <c r="J2660" i="15"/>
  <c r="I2660" i="15"/>
  <c r="K2659" i="15"/>
  <c r="J2659" i="15"/>
  <c r="I2659" i="15"/>
  <c r="K2658" i="15"/>
  <c r="J2658" i="15"/>
  <c r="I2658" i="15"/>
  <c r="K2657" i="15"/>
  <c r="J2657" i="15"/>
  <c r="I2657" i="15"/>
  <c r="K2656" i="15"/>
  <c r="J2656" i="15"/>
  <c r="I2656" i="15"/>
  <c r="K2655" i="15"/>
  <c r="J2655" i="15"/>
  <c r="I2655" i="15"/>
  <c r="K2654" i="15"/>
  <c r="J2654" i="15"/>
  <c r="I2654" i="15"/>
  <c r="K2653" i="15"/>
  <c r="J2653" i="15"/>
  <c r="I2653" i="15"/>
  <c r="K2652" i="15"/>
  <c r="J2652" i="15"/>
  <c r="I2652" i="15"/>
  <c r="K2651" i="15"/>
  <c r="J2651" i="15"/>
  <c r="I2651" i="15"/>
  <c r="K2650" i="15"/>
  <c r="J2650" i="15"/>
  <c r="I2650" i="15"/>
  <c r="K2649" i="15"/>
  <c r="J2649" i="15"/>
  <c r="I2649" i="15"/>
  <c r="K2648" i="15"/>
  <c r="J2648" i="15"/>
  <c r="I2648" i="15"/>
  <c r="K2647" i="15"/>
  <c r="J2647" i="15"/>
  <c r="I2647" i="15"/>
  <c r="K2646" i="15"/>
  <c r="J2646" i="15"/>
  <c r="I2646" i="15"/>
  <c r="K2645" i="15"/>
  <c r="J2645" i="15"/>
  <c r="I2645" i="15"/>
  <c r="K2644" i="15"/>
  <c r="J2644" i="15"/>
  <c r="I2644" i="15"/>
  <c r="K2643" i="15"/>
  <c r="J2643" i="15"/>
  <c r="I2643" i="15"/>
  <c r="K2642" i="15"/>
  <c r="J2642" i="15"/>
  <c r="I2642" i="15"/>
  <c r="K2641" i="15"/>
  <c r="J2641" i="15"/>
  <c r="I2641" i="15"/>
  <c r="K2640" i="15"/>
  <c r="J2640" i="15"/>
  <c r="I2640" i="15"/>
  <c r="K2639" i="15"/>
  <c r="J2639" i="15"/>
  <c r="I2639" i="15"/>
  <c r="K2638" i="15"/>
  <c r="J2638" i="15"/>
  <c r="I2638" i="15"/>
  <c r="K2637" i="15"/>
  <c r="J2637" i="15"/>
  <c r="I2637" i="15"/>
  <c r="K2636" i="15"/>
  <c r="J2636" i="15"/>
  <c r="I2636" i="15"/>
  <c r="K2635" i="15"/>
  <c r="J2635" i="15"/>
  <c r="I2635" i="15"/>
  <c r="K2634" i="15"/>
  <c r="J2634" i="15"/>
  <c r="I2634" i="15"/>
  <c r="K2633" i="15"/>
  <c r="J2633" i="15"/>
  <c r="I2633" i="15"/>
  <c r="K2632" i="15"/>
  <c r="J2632" i="15"/>
  <c r="I2632" i="15"/>
  <c r="K2631" i="15"/>
  <c r="J2631" i="15"/>
  <c r="I2631" i="15"/>
  <c r="K2630" i="15"/>
  <c r="J2630" i="15"/>
  <c r="I2630" i="15"/>
  <c r="K2629" i="15"/>
  <c r="J2629" i="15"/>
  <c r="I2629" i="15"/>
  <c r="K2628" i="15"/>
  <c r="J2628" i="15"/>
  <c r="I2628" i="15"/>
  <c r="K2627" i="15"/>
  <c r="J2627" i="15"/>
  <c r="I2627" i="15"/>
  <c r="K2626" i="15"/>
  <c r="J2626" i="15"/>
  <c r="I2626" i="15"/>
  <c r="K2625" i="15"/>
  <c r="J2625" i="15"/>
  <c r="I2625" i="15"/>
  <c r="K2624" i="15"/>
  <c r="J2624" i="15"/>
  <c r="I2624" i="15"/>
  <c r="K2623" i="15"/>
  <c r="J2623" i="15"/>
  <c r="I2623" i="15"/>
  <c r="K2622" i="15"/>
  <c r="J2622" i="15"/>
  <c r="I2622" i="15"/>
  <c r="K2621" i="15"/>
  <c r="J2621" i="15"/>
  <c r="I2621" i="15"/>
  <c r="K2620" i="15"/>
  <c r="J2620" i="15"/>
  <c r="I2620" i="15"/>
  <c r="K2619" i="15"/>
  <c r="J2619" i="15"/>
  <c r="I2619" i="15"/>
  <c r="K2618" i="15"/>
  <c r="J2618" i="15"/>
  <c r="I2618" i="15"/>
  <c r="K2617" i="15"/>
  <c r="J2617" i="15"/>
  <c r="I2617" i="15"/>
  <c r="K2616" i="15"/>
  <c r="J2616" i="15"/>
  <c r="I2616" i="15"/>
  <c r="K2615" i="15"/>
  <c r="J2615" i="15"/>
  <c r="I2615" i="15"/>
  <c r="K2614" i="15"/>
  <c r="J2614" i="15"/>
  <c r="I2614" i="15"/>
  <c r="K2613" i="15"/>
  <c r="J2613" i="15"/>
  <c r="I2613" i="15"/>
  <c r="K2612" i="15"/>
  <c r="J2612" i="15"/>
  <c r="I2612" i="15"/>
  <c r="K2611" i="15"/>
  <c r="J2611" i="15"/>
  <c r="I2611" i="15"/>
  <c r="K2610" i="15"/>
  <c r="J2610" i="15"/>
  <c r="I2610" i="15"/>
  <c r="K2609" i="15"/>
  <c r="J2609" i="15"/>
  <c r="I2609" i="15"/>
  <c r="K2608" i="15"/>
  <c r="J2608" i="15"/>
  <c r="I2608" i="15"/>
  <c r="K2607" i="15"/>
  <c r="J2607" i="15"/>
  <c r="I2607" i="15"/>
  <c r="K2606" i="15"/>
  <c r="J2606" i="15"/>
  <c r="I2606" i="15"/>
  <c r="K2605" i="15"/>
  <c r="J2605" i="15"/>
  <c r="I2605" i="15"/>
  <c r="K2604" i="15"/>
  <c r="J2604" i="15"/>
  <c r="I2604" i="15"/>
  <c r="K2603" i="15"/>
  <c r="J2603" i="15"/>
  <c r="I2603" i="15"/>
  <c r="K2602" i="15"/>
  <c r="J2602" i="15"/>
  <c r="I2602" i="15"/>
  <c r="K2601" i="15"/>
  <c r="J2601" i="15"/>
  <c r="I2601" i="15"/>
  <c r="K2600" i="15"/>
  <c r="J2600" i="15"/>
  <c r="I2600" i="15"/>
  <c r="K2599" i="15"/>
  <c r="J2599" i="15"/>
  <c r="I2599" i="15"/>
  <c r="K2598" i="15"/>
  <c r="J2598" i="15"/>
  <c r="I2598" i="15"/>
  <c r="K2597" i="15"/>
  <c r="J2597" i="15"/>
  <c r="I2597" i="15"/>
  <c r="K2596" i="15"/>
  <c r="J2596" i="15"/>
  <c r="I2596" i="15"/>
  <c r="K2595" i="15"/>
  <c r="J2595" i="15"/>
  <c r="I2595" i="15"/>
  <c r="K2594" i="15"/>
  <c r="J2594" i="15"/>
  <c r="I2594" i="15"/>
  <c r="K2593" i="15"/>
  <c r="J2593" i="15"/>
  <c r="I2593" i="15"/>
  <c r="K2592" i="15"/>
  <c r="J2592" i="15"/>
  <c r="I2592" i="15"/>
  <c r="K2591" i="15"/>
  <c r="J2591" i="15"/>
  <c r="I2591" i="15"/>
  <c r="K2590" i="15"/>
  <c r="J2590" i="15"/>
  <c r="I2590" i="15"/>
  <c r="K2589" i="15"/>
  <c r="J2589" i="15"/>
  <c r="I2589" i="15"/>
  <c r="K2588" i="15"/>
  <c r="J2588" i="15"/>
  <c r="I2588" i="15"/>
  <c r="K2587" i="15"/>
  <c r="J2587" i="15"/>
  <c r="I2587" i="15"/>
  <c r="K2586" i="15"/>
  <c r="J2586" i="15"/>
  <c r="I2586" i="15"/>
  <c r="K2585" i="15"/>
  <c r="J2585" i="15"/>
  <c r="I2585" i="15"/>
  <c r="K2584" i="15"/>
  <c r="J2584" i="15"/>
  <c r="I2584" i="15"/>
  <c r="K2583" i="15"/>
  <c r="J2583" i="15"/>
  <c r="I2583" i="15"/>
  <c r="K2582" i="15"/>
  <c r="J2582" i="15"/>
  <c r="I2582" i="15"/>
  <c r="K2581" i="15"/>
  <c r="J2581" i="15"/>
  <c r="I2581" i="15"/>
  <c r="K2580" i="15"/>
  <c r="J2580" i="15"/>
  <c r="I2580" i="15"/>
  <c r="K2579" i="15"/>
  <c r="J2579" i="15"/>
  <c r="I2579" i="15"/>
  <c r="K2578" i="15"/>
  <c r="J2578" i="15"/>
  <c r="I2578" i="15"/>
  <c r="K2577" i="15"/>
  <c r="J2577" i="15"/>
  <c r="I2577" i="15"/>
  <c r="K2576" i="15"/>
  <c r="J2576" i="15"/>
  <c r="I2576" i="15"/>
  <c r="K2575" i="15"/>
  <c r="J2575" i="15"/>
  <c r="I2575" i="15"/>
  <c r="K2574" i="15"/>
  <c r="J2574" i="15"/>
  <c r="I2574" i="15"/>
  <c r="K2573" i="15"/>
  <c r="J2573" i="15"/>
  <c r="I2573" i="15"/>
  <c r="K2572" i="15"/>
  <c r="J2572" i="15"/>
  <c r="I2572" i="15"/>
  <c r="K2571" i="15"/>
  <c r="J2571" i="15"/>
  <c r="I2571" i="15"/>
  <c r="K2570" i="15"/>
  <c r="J2570" i="15"/>
  <c r="I2570" i="15"/>
  <c r="K2569" i="15"/>
  <c r="J2569" i="15"/>
  <c r="I2569" i="15"/>
  <c r="K2568" i="15"/>
  <c r="J2568" i="15"/>
  <c r="I2568" i="15"/>
  <c r="K2567" i="15"/>
  <c r="J2567" i="15"/>
  <c r="I2567" i="15"/>
  <c r="K2566" i="15"/>
  <c r="J2566" i="15"/>
  <c r="I2566" i="15"/>
  <c r="K2565" i="15"/>
  <c r="J2565" i="15"/>
  <c r="I2565" i="15"/>
  <c r="K2564" i="15"/>
  <c r="J2564" i="15"/>
  <c r="I2564" i="15"/>
  <c r="K2563" i="15"/>
  <c r="J2563" i="15"/>
  <c r="I2563" i="15"/>
  <c r="K2562" i="15"/>
  <c r="J2562" i="15"/>
  <c r="I2562" i="15"/>
  <c r="K2561" i="15"/>
  <c r="J2561" i="15"/>
  <c r="I2561" i="15"/>
  <c r="K2560" i="15"/>
  <c r="J2560" i="15"/>
  <c r="I2560" i="15"/>
  <c r="K2559" i="15"/>
  <c r="J2559" i="15"/>
  <c r="I2559" i="15"/>
  <c r="K2558" i="15"/>
  <c r="J2558" i="15"/>
  <c r="I2558" i="15"/>
  <c r="K2557" i="15"/>
  <c r="J2557" i="15"/>
  <c r="I2557" i="15"/>
  <c r="K2556" i="15"/>
  <c r="J2556" i="15"/>
  <c r="I2556" i="15"/>
  <c r="K2555" i="15"/>
  <c r="J2555" i="15"/>
  <c r="I2555" i="15"/>
  <c r="K2554" i="15"/>
  <c r="J2554" i="15"/>
  <c r="I2554" i="15"/>
  <c r="K2553" i="15"/>
  <c r="J2553" i="15"/>
  <c r="I2553" i="15"/>
  <c r="K2552" i="15"/>
  <c r="J2552" i="15"/>
  <c r="I2552" i="15"/>
  <c r="K2551" i="15"/>
  <c r="J2551" i="15"/>
  <c r="I2551" i="15"/>
  <c r="K2550" i="15"/>
  <c r="J2550" i="15"/>
  <c r="I2550" i="15"/>
  <c r="K2549" i="15"/>
  <c r="J2549" i="15"/>
  <c r="I2549" i="15"/>
  <c r="K2548" i="15"/>
  <c r="J2548" i="15"/>
  <c r="I2548" i="15"/>
  <c r="K2547" i="15"/>
  <c r="J2547" i="15"/>
  <c r="I2547" i="15"/>
  <c r="K2546" i="15"/>
  <c r="J2546" i="15"/>
  <c r="I2546" i="15"/>
  <c r="K2545" i="15"/>
  <c r="J2545" i="15"/>
  <c r="I2545" i="15"/>
  <c r="K2544" i="15"/>
  <c r="J2544" i="15"/>
  <c r="I2544" i="15"/>
  <c r="K2543" i="15"/>
  <c r="J2543" i="15"/>
  <c r="I2543" i="15"/>
  <c r="K2542" i="15"/>
  <c r="J2542" i="15"/>
  <c r="I2542" i="15"/>
  <c r="K2541" i="15"/>
  <c r="J2541" i="15"/>
  <c r="I2541" i="15"/>
  <c r="K2540" i="15"/>
  <c r="J2540" i="15"/>
  <c r="I2540" i="15"/>
  <c r="K2539" i="15"/>
  <c r="J2539" i="15"/>
  <c r="I2539" i="15"/>
  <c r="K2538" i="15"/>
  <c r="J2538" i="15"/>
  <c r="I2538" i="15"/>
  <c r="K2537" i="15"/>
  <c r="J2537" i="15"/>
  <c r="I2537" i="15"/>
  <c r="K2536" i="15"/>
  <c r="J2536" i="15"/>
  <c r="I2536" i="15"/>
  <c r="K2535" i="15"/>
  <c r="J2535" i="15"/>
  <c r="I2535" i="15"/>
  <c r="K2534" i="15"/>
  <c r="J2534" i="15"/>
  <c r="I2534" i="15"/>
  <c r="K2533" i="15"/>
  <c r="J2533" i="15"/>
  <c r="I2533" i="15"/>
  <c r="K2532" i="15"/>
  <c r="J2532" i="15"/>
  <c r="I2532" i="15"/>
  <c r="K2531" i="15"/>
  <c r="J2531" i="15"/>
  <c r="I2531" i="15"/>
  <c r="K2530" i="15"/>
  <c r="J2530" i="15"/>
  <c r="I2530" i="15"/>
  <c r="K2529" i="15"/>
  <c r="J2529" i="15"/>
  <c r="I2529" i="15"/>
  <c r="K2528" i="15"/>
  <c r="J2528" i="15"/>
  <c r="I2528" i="15"/>
  <c r="K2527" i="15"/>
  <c r="J2527" i="15"/>
  <c r="I2527" i="15"/>
  <c r="K2526" i="15"/>
  <c r="J2526" i="15"/>
  <c r="I2526" i="15"/>
  <c r="K2525" i="15"/>
  <c r="J2525" i="15"/>
  <c r="I2525" i="15"/>
  <c r="K2524" i="15"/>
  <c r="J2524" i="15"/>
  <c r="I2524" i="15"/>
  <c r="K2523" i="15"/>
  <c r="J2523" i="15"/>
  <c r="I2523" i="15"/>
  <c r="K2522" i="15"/>
  <c r="J2522" i="15"/>
  <c r="I2522" i="15"/>
  <c r="K2521" i="15"/>
  <c r="J2521" i="15"/>
  <c r="I2521" i="15"/>
  <c r="K2520" i="15"/>
  <c r="J2520" i="15"/>
  <c r="I2520" i="15"/>
  <c r="K2519" i="15"/>
  <c r="J2519" i="15"/>
  <c r="I2519" i="15"/>
  <c r="K2518" i="15"/>
  <c r="J2518" i="15"/>
  <c r="I2518" i="15"/>
  <c r="K2517" i="15"/>
  <c r="J2517" i="15"/>
  <c r="I2517" i="15"/>
  <c r="K2516" i="15"/>
  <c r="J2516" i="15"/>
  <c r="I2516" i="15"/>
  <c r="K2515" i="15"/>
  <c r="J2515" i="15"/>
  <c r="I2515" i="15"/>
  <c r="K2514" i="15"/>
  <c r="J2514" i="15"/>
  <c r="I2514" i="15"/>
  <c r="K2513" i="15"/>
  <c r="J2513" i="15"/>
  <c r="I2513" i="15"/>
  <c r="K2512" i="15"/>
  <c r="J2512" i="15"/>
  <c r="I2512" i="15"/>
  <c r="K2511" i="15"/>
  <c r="J2511" i="15"/>
  <c r="I2511" i="15"/>
  <c r="K2510" i="15"/>
  <c r="J2510" i="15"/>
  <c r="I2510" i="15"/>
  <c r="K2509" i="15"/>
  <c r="J2509" i="15"/>
  <c r="I2509" i="15"/>
  <c r="K2508" i="15"/>
  <c r="J2508" i="15"/>
  <c r="I2508" i="15"/>
  <c r="K2507" i="15"/>
  <c r="J2507" i="15"/>
  <c r="I2507" i="15"/>
  <c r="K2506" i="15"/>
  <c r="J2506" i="15"/>
  <c r="I2506" i="15"/>
  <c r="K2505" i="15"/>
  <c r="J2505" i="15"/>
  <c r="I2505" i="15"/>
  <c r="K2504" i="15"/>
  <c r="J2504" i="15"/>
  <c r="I2504" i="15"/>
  <c r="K2503" i="15"/>
  <c r="J2503" i="15"/>
  <c r="I2503" i="15"/>
  <c r="K2502" i="15"/>
  <c r="J2502" i="15"/>
  <c r="I2502" i="15"/>
  <c r="K2501" i="15"/>
  <c r="J2501" i="15"/>
  <c r="I2501" i="15"/>
  <c r="K2500" i="15"/>
  <c r="J2500" i="15"/>
  <c r="I2500" i="15"/>
  <c r="K2499" i="15"/>
  <c r="J2499" i="15"/>
  <c r="I2499" i="15"/>
  <c r="K2498" i="15"/>
  <c r="J2498" i="15"/>
  <c r="I2498" i="15"/>
  <c r="K2497" i="15"/>
  <c r="J2497" i="15"/>
  <c r="I2497" i="15"/>
  <c r="K2496" i="15"/>
  <c r="J2496" i="15"/>
  <c r="I2496" i="15"/>
  <c r="K2495" i="15"/>
  <c r="J2495" i="15"/>
  <c r="I2495" i="15"/>
  <c r="K2494" i="15"/>
  <c r="J2494" i="15"/>
  <c r="I2494" i="15"/>
  <c r="K2493" i="15"/>
  <c r="J2493" i="15"/>
  <c r="I2493" i="15"/>
  <c r="K2492" i="15"/>
  <c r="J2492" i="15"/>
  <c r="I2492" i="15"/>
  <c r="K2491" i="15"/>
  <c r="J2491" i="15"/>
  <c r="I2491" i="15"/>
  <c r="K2490" i="15"/>
  <c r="J2490" i="15"/>
  <c r="I2490" i="15"/>
  <c r="K2489" i="15"/>
  <c r="J2489" i="15"/>
  <c r="I2489" i="15"/>
  <c r="K2488" i="15"/>
  <c r="J2488" i="15"/>
  <c r="I2488" i="15"/>
  <c r="K2487" i="15"/>
  <c r="J2487" i="15"/>
  <c r="I2487" i="15"/>
  <c r="K2486" i="15"/>
  <c r="J2486" i="15"/>
  <c r="I2486" i="15"/>
  <c r="K2485" i="15"/>
  <c r="J2485" i="15"/>
  <c r="I2485" i="15"/>
  <c r="K2484" i="15"/>
  <c r="J2484" i="15"/>
  <c r="I2484" i="15"/>
  <c r="K2483" i="15"/>
  <c r="J2483" i="15"/>
  <c r="I2483" i="15"/>
  <c r="K2482" i="15"/>
  <c r="J2482" i="15"/>
  <c r="I2482" i="15"/>
  <c r="K2481" i="15"/>
  <c r="J2481" i="15"/>
  <c r="I2481" i="15"/>
  <c r="K2480" i="15"/>
  <c r="J2480" i="15"/>
  <c r="I2480" i="15"/>
  <c r="K2479" i="15"/>
  <c r="J2479" i="15"/>
  <c r="I2479" i="15"/>
  <c r="K2478" i="15"/>
  <c r="J2478" i="15"/>
  <c r="I2478" i="15"/>
  <c r="K2477" i="15"/>
  <c r="J2477" i="15"/>
  <c r="I2477" i="15"/>
  <c r="K2476" i="15"/>
  <c r="J2476" i="15"/>
  <c r="I2476" i="15"/>
  <c r="K2475" i="15"/>
  <c r="J2475" i="15"/>
  <c r="I2475" i="15"/>
  <c r="K2474" i="15"/>
  <c r="J2474" i="15"/>
  <c r="I2474" i="15"/>
  <c r="K2473" i="15"/>
  <c r="J2473" i="15"/>
  <c r="I2473" i="15"/>
  <c r="K2472" i="15"/>
  <c r="J2472" i="15"/>
  <c r="I2472" i="15"/>
  <c r="K2471" i="15"/>
  <c r="J2471" i="15"/>
  <c r="I2471" i="15"/>
  <c r="K2470" i="15"/>
  <c r="J2470" i="15"/>
  <c r="I2470" i="15"/>
  <c r="K2469" i="15"/>
  <c r="J2469" i="15"/>
  <c r="I2469" i="15"/>
  <c r="K2468" i="15"/>
  <c r="J2468" i="15"/>
  <c r="I2468" i="15"/>
  <c r="K2467" i="15"/>
  <c r="J2467" i="15"/>
  <c r="I2467" i="15"/>
  <c r="K2466" i="15"/>
  <c r="J2466" i="15"/>
  <c r="I2466" i="15"/>
  <c r="K2465" i="15"/>
  <c r="J2465" i="15"/>
  <c r="I2465" i="15"/>
  <c r="K2464" i="15"/>
  <c r="J2464" i="15"/>
  <c r="I2464" i="15"/>
  <c r="K2463" i="15"/>
  <c r="J2463" i="15"/>
  <c r="I2463" i="15"/>
  <c r="K2462" i="15"/>
  <c r="J2462" i="15"/>
  <c r="I2462" i="15"/>
  <c r="K2461" i="15"/>
  <c r="J2461" i="15"/>
  <c r="I2461" i="15"/>
  <c r="K2460" i="15"/>
  <c r="J2460" i="15"/>
  <c r="I2460" i="15"/>
  <c r="K2459" i="15"/>
  <c r="J2459" i="15"/>
  <c r="I2459" i="15"/>
  <c r="K2458" i="15"/>
  <c r="J2458" i="15"/>
  <c r="I2458" i="15"/>
  <c r="K2457" i="15"/>
  <c r="J2457" i="15"/>
  <c r="I2457" i="15"/>
  <c r="K2456" i="15"/>
  <c r="J2456" i="15"/>
  <c r="I2456" i="15"/>
  <c r="K2455" i="15"/>
  <c r="J2455" i="15"/>
  <c r="I2455" i="15"/>
  <c r="K2454" i="15"/>
  <c r="J2454" i="15"/>
  <c r="I2454" i="15"/>
  <c r="K2453" i="15"/>
  <c r="J2453" i="15"/>
  <c r="I2453" i="15"/>
  <c r="K2452" i="15"/>
  <c r="J2452" i="15"/>
  <c r="I2452" i="15"/>
  <c r="K2451" i="15"/>
  <c r="J2451" i="15"/>
  <c r="I2451" i="15"/>
  <c r="K2450" i="15"/>
  <c r="J2450" i="15"/>
  <c r="I2450" i="15"/>
  <c r="K2449" i="15"/>
  <c r="J2449" i="15"/>
  <c r="I2449" i="15"/>
  <c r="K2448" i="15"/>
  <c r="J2448" i="15"/>
  <c r="I2448" i="15"/>
  <c r="K2447" i="15"/>
  <c r="J2447" i="15"/>
  <c r="I2447" i="15"/>
  <c r="K2446" i="15"/>
  <c r="J2446" i="15"/>
  <c r="I2446" i="15"/>
  <c r="K2445" i="15"/>
  <c r="J2445" i="15"/>
  <c r="I2445" i="15"/>
  <c r="K2444" i="15"/>
  <c r="J2444" i="15"/>
  <c r="I2444" i="15"/>
  <c r="K2443" i="15"/>
  <c r="J2443" i="15"/>
  <c r="I2443" i="15"/>
  <c r="K2442" i="15"/>
  <c r="J2442" i="15"/>
  <c r="I2442" i="15"/>
  <c r="K2441" i="15"/>
  <c r="J2441" i="15"/>
  <c r="I2441" i="15"/>
  <c r="K2440" i="15"/>
  <c r="J2440" i="15"/>
  <c r="I2440" i="15"/>
  <c r="K2439" i="15"/>
  <c r="J2439" i="15"/>
  <c r="I2439" i="15"/>
  <c r="K2438" i="15"/>
  <c r="J2438" i="15"/>
  <c r="I2438" i="15"/>
  <c r="K2437" i="15"/>
  <c r="J2437" i="15"/>
  <c r="I2437" i="15"/>
  <c r="K2436" i="15"/>
  <c r="J2436" i="15"/>
  <c r="I2436" i="15"/>
  <c r="K2435" i="15"/>
  <c r="J2435" i="15"/>
  <c r="I2435" i="15"/>
  <c r="K2434" i="15"/>
  <c r="J2434" i="15"/>
  <c r="I2434" i="15"/>
  <c r="K2433" i="15"/>
  <c r="J2433" i="15"/>
  <c r="I2433" i="15"/>
  <c r="K2432" i="15"/>
  <c r="J2432" i="15"/>
  <c r="I2432" i="15"/>
  <c r="K2431" i="15"/>
  <c r="J2431" i="15"/>
  <c r="I2431" i="15"/>
  <c r="K2430" i="15"/>
  <c r="J2430" i="15"/>
  <c r="I2430" i="15"/>
  <c r="K2429" i="15"/>
  <c r="J2429" i="15"/>
  <c r="I2429" i="15"/>
  <c r="K2428" i="15"/>
  <c r="J2428" i="15"/>
  <c r="I2428" i="15"/>
  <c r="K2427" i="15"/>
  <c r="J2427" i="15"/>
  <c r="I2427" i="15"/>
  <c r="K2426" i="15"/>
  <c r="J2426" i="15"/>
  <c r="I2426" i="15"/>
  <c r="K2425" i="15"/>
  <c r="J2425" i="15"/>
  <c r="I2425" i="15"/>
  <c r="K2424" i="15"/>
  <c r="J2424" i="15"/>
  <c r="I2424" i="15"/>
  <c r="K2423" i="15"/>
  <c r="J2423" i="15"/>
  <c r="I2423" i="15"/>
  <c r="K2422" i="15"/>
  <c r="J2422" i="15"/>
  <c r="I2422" i="15"/>
  <c r="K2421" i="15"/>
  <c r="J2421" i="15"/>
  <c r="I2421" i="15"/>
  <c r="K2420" i="15"/>
  <c r="J2420" i="15"/>
  <c r="I2420" i="15"/>
  <c r="K2419" i="15"/>
  <c r="J2419" i="15"/>
  <c r="I2419" i="15"/>
  <c r="K2418" i="15"/>
  <c r="J2418" i="15"/>
  <c r="I2418" i="15"/>
  <c r="K2417" i="15"/>
  <c r="J2417" i="15"/>
  <c r="I2417" i="15"/>
  <c r="K2416" i="15"/>
  <c r="J2416" i="15"/>
  <c r="I2416" i="15"/>
  <c r="K2415" i="15"/>
  <c r="J2415" i="15"/>
  <c r="I2415" i="15"/>
  <c r="K2414" i="15"/>
  <c r="J2414" i="15"/>
  <c r="I2414" i="15"/>
  <c r="K2413" i="15"/>
  <c r="J2413" i="15"/>
  <c r="I2413" i="15"/>
  <c r="K2412" i="15"/>
  <c r="J2412" i="15"/>
  <c r="I2412" i="15"/>
  <c r="K2411" i="15"/>
  <c r="J2411" i="15"/>
  <c r="I2411" i="15"/>
  <c r="K2410" i="15"/>
  <c r="J2410" i="15"/>
  <c r="I2410" i="15"/>
  <c r="K2409" i="15"/>
  <c r="J2409" i="15"/>
  <c r="I2409" i="15"/>
  <c r="K2408" i="15"/>
  <c r="J2408" i="15"/>
  <c r="I2408" i="15"/>
  <c r="K2407" i="15"/>
  <c r="J2407" i="15"/>
  <c r="I2407" i="15"/>
  <c r="K2406" i="15"/>
  <c r="J2406" i="15"/>
  <c r="I2406" i="15"/>
  <c r="K2405" i="15"/>
  <c r="J2405" i="15"/>
  <c r="I2405" i="15"/>
  <c r="K2404" i="15"/>
  <c r="J2404" i="15"/>
  <c r="I2404" i="15"/>
  <c r="K2403" i="15"/>
  <c r="J2403" i="15"/>
  <c r="I2403" i="15"/>
  <c r="K2402" i="15"/>
  <c r="J2402" i="15"/>
  <c r="I2402" i="15"/>
  <c r="K2401" i="15"/>
  <c r="J2401" i="15"/>
  <c r="I2401" i="15"/>
  <c r="K2400" i="15"/>
  <c r="J2400" i="15"/>
  <c r="I2400" i="15"/>
  <c r="K2399" i="15"/>
  <c r="J2399" i="15"/>
  <c r="I2399" i="15"/>
  <c r="K2398" i="15"/>
  <c r="J2398" i="15"/>
  <c r="I2398" i="15"/>
  <c r="K2397" i="15"/>
  <c r="J2397" i="15"/>
  <c r="I2397" i="15"/>
  <c r="K2396" i="15"/>
  <c r="J2396" i="15"/>
  <c r="I2396" i="15"/>
  <c r="K2395" i="15"/>
  <c r="J2395" i="15"/>
  <c r="I2395" i="15"/>
  <c r="K2394" i="15"/>
  <c r="J2394" i="15"/>
  <c r="I2394" i="15"/>
  <c r="K2393" i="15"/>
  <c r="J2393" i="15"/>
  <c r="I2393" i="15"/>
  <c r="K2392" i="15"/>
  <c r="J2392" i="15"/>
  <c r="I2392" i="15"/>
  <c r="K2391" i="15"/>
  <c r="J2391" i="15"/>
  <c r="I2391" i="15"/>
  <c r="K2390" i="15"/>
  <c r="J2390" i="15"/>
  <c r="I2390" i="15"/>
  <c r="K2389" i="15"/>
  <c r="J2389" i="15"/>
  <c r="I2389" i="15"/>
  <c r="K2388" i="15"/>
  <c r="J2388" i="15"/>
  <c r="I2388" i="15"/>
  <c r="K2387" i="15"/>
  <c r="J2387" i="15"/>
  <c r="I2387" i="15"/>
  <c r="K2386" i="15"/>
  <c r="J2386" i="15"/>
  <c r="I2386" i="15"/>
  <c r="K2385" i="15"/>
  <c r="J2385" i="15"/>
  <c r="I2385" i="15"/>
  <c r="K2384" i="15"/>
  <c r="J2384" i="15"/>
  <c r="I2384" i="15"/>
  <c r="K2383" i="15"/>
  <c r="J2383" i="15"/>
  <c r="I2383" i="15"/>
  <c r="K2382" i="15"/>
  <c r="J2382" i="15"/>
  <c r="I2382" i="15"/>
  <c r="K2381" i="15"/>
  <c r="J2381" i="15"/>
  <c r="I2381" i="15"/>
  <c r="K2380" i="15"/>
  <c r="J2380" i="15"/>
  <c r="I2380" i="15"/>
  <c r="K2379" i="15"/>
  <c r="J2379" i="15"/>
  <c r="I2379" i="15"/>
  <c r="K2378" i="15"/>
  <c r="J2378" i="15"/>
  <c r="I2378" i="15"/>
  <c r="K2377" i="15"/>
  <c r="J2377" i="15"/>
  <c r="I2377" i="15"/>
  <c r="K2376" i="15"/>
  <c r="J2376" i="15"/>
  <c r="I2376" i="15"/>
  <c r="K2375" i="15"/>
  <c r="J2375" i="15"/>
  <c r="I2375" i="15"/>
  <c r="K2374" i="15"/>
  <c r="J2374" i="15"/>
  <c r="I2374" i="15"/>
  <c r="K2373" i="15"/>
  <c r="J2373" i="15"/>
  <c r="I2373" i="15"/>
  <c r="K2372" i="15"/>
  <c r="J2372" i="15"/>
  <c r="I2372" i="15"/>
  <c r="K2371" i="15"/>
  <c r="J2371" i="15"/>
  <c r="I2371" i="15"/>
  <c r="K2370" i="15"/>
  <c r="J2370" i="15"/>
  <c r="I2370" i="15"/>
  <c r="K2369" i="15"/>
  <c r="J2369" i="15"/>
  <c r="I2369" i="15"/>
  <c r="K2368" i="15"/>
  <c r="J2368" i="15"/>
  <c r="I2368" i="15"/>
  <c r="K2367" i="15"/>
  <c r="J2367" i="15"/>
  <c r="I2367" i="15"/>
  <c r="K2366" i="15"/>
  <c r="J2366" i="15"/>
  <c r="I2366" i="15"/>
  <c r="K2365" i="15"/>
  <c r="J2365" i="15"/>
  <c r="I2365" i="15"/>
  <c r="K2364" i="15"/>
  <c r="J2364" i="15"/>
  <c r="I2364" i="15"/>
  <c r="K2363" i="15"/>
  <c r="J2363" i="15"/>
  <c r="I2363" i="15"/>
  <c r="K2362" i="15"/>
  <c r="J2362" i="15"/>
  <c r="I2362" i="15"/>
  <c r="K2361" i="15"/>
  <c r="J2361" i="15"/>
  <c r="I2361" i="15"/>
  <c r="K2360" i="15"/>
  <c r="J2360" i="15"/>
  <c r="I2360" i="15"/>
  <c r="K2359" i="15"/>
  <c r="J2359" i="15"/>
  <c r="I2359" i="15"/>
  <c r="K2358" i="15"/>
  <c r="J2358" i="15"/>
  <c r="I2358" i="15"/>
  <c r="K2357" i="15"/>
  <c r="J2357" i="15"/>
  <c r="I2357" i="15"/>
  <c r="K2356" i="15"/>
  <c r="J2356" i="15"/>
  <c r="I2356" i="15"/>
  <c r="K2355" i="15"/>
  <c r="J2355" i="15"/>
  <c r="I2355" i="15"/>
  <c r="K2354" i="15"/>
  <c r="J2354" i="15"/>
  <c r="I2354" i="15"/>
  <c r="K2353" i="15"/>
  <c r="J2353" i="15"/>
  <c r="I2353" i="15"/>
  <c r="K2352" i="15"/>
  <c r="J2352" i="15"/>
  <c r="I2352" i="15"/>
  <c r="K2351" i="15"/>
  <c r="J2351" i="15"/>
  <c r="I2351" i="15"/>
  <c r="K2350" i="15"/>
  <c r="J2350" i="15"/>
  <c r="I2350" i="15"/>
  <c r="K2349" i="15"/>
  <c r="J2349" i="15"/>
  <c r="I2349" i="15"/>
  <c r="K2348" i="15"/>
  <c r="J2348" i="15"/>
  <c r="I2348" i="15"/>
  <c r="K2347" i="15"/>
  <c r="J2347" i="15"/>
  <c r="I2347" i="15"/>
  <c r="K2346" i="15"/>
  <c r="J2346" i="15"/>
  <c r="I2346" i="15"/>
  <c r="K2345" i="15"/>
  <c r="J2345" i="15"/>
  <c r="I2345" i="15"/>
  <c r="K2344" i="15"/>
  <c r="J2344" i="15"/>
  <c r="I2344" i="15"/>
  <c r="K2343" i="15"/>
  <c r="J2343" i="15"/>
  <c r="I2343" i="15"/>
  <c r="K2342" i="15"/>
  <c r="J2342" i="15"/>
  <c r="I2342" i="15"/>
  <c r="K2341" i="15"/>
  <c r="J2341" i="15"/>
  <c r="I2341" i="15"/>
  <c r="K2340" i="15"/>
  <c r="J2340" i="15"/>
  <c r="I2340" i="15"/>
  <c r="K2339" i="15"/>
  <c r="J2339" i="15"/>
  <c r="I2339" i="15"/>
  <c r="K2338" i="15"/>
  <c r="J2338" i="15"/>
  <c r="I2338" i="15"/>
  <c r="K2337" i="15"/>
  <c r="J2337" i="15"/>
  <c r="I2337" i="15"/>
  <c r="K2336" i="15"/>
  <c r="J2336" i="15"/>
  <c r="I2336" i="15"/>
  <c r="K2335" i="15"/>
  <c r="J2335" i="15"/>
  <c r="I2335" i="15"/>
  <c r="K2334" i="15"/>
  <c r="J2334" i="15"/>
  <c r="I2334" i="15"/>
  <c r="K2333" i="15"/>
  <c r="J2333" i="15"/>
  <c r="I2333" i="15"/>
  <c r="K2332" i="15"/>
  <c r="J2332" i="15"/>
  <c r="I2332" i="15"/>
  <c r="K2331" i="15"/>
  <c r="J2331" i="15"/>
  <c r="I2331" i="15"/>
  <c r="K2330" i="15"/>
  <c r="J2330" i="15"/>
  <c r="I2330" i="15"/>
  <c r="K2329" i="15"/>
  <c r="J2329" i="15"/>
  <c r="I2329" i="15"/>
  <c r="K2328" i="15"/>
  <c r="J2328" i="15"/>
  <c r="I2328" i="15"/>
  <c r="K2327" i="15"/>
  <c r="J2327" i="15"/>
  <c r="I2327" i="15"/>
  <c r="K2326" i="15"/>
  <c r="J2326" i="15"/>
  <c r="I2326" i="15"/>
  <c r="K2325" i="15"/>
  <c r="J2325" i="15"/>
  <c r="I2325" i="15"/>
  <c r="K2324" i="15"/>
  <c r="J2324" i="15"/>
  <c r="I2324" i="15"/>
  <c r="K2323" i="15"/>
  <c r="J2323" i="15"/>
  <c r="I2323" i="15"/>
  <c r="K2322" i="15"/>
  <c r="J2322" i="15"/>
  <c r="I2322" i="15"/>
  <c r="K2321" i="15"/>
  <c r="J2321" i="15"/>
  <c r="I2321" i="15"/>
  <c r="K2320" i="15"/>
  <c r="J2320" i="15"/>
  <c r="I2320" i="15"/>
  <c r="K2319" i="15"/>
  <c r="J2319" i="15"/>
  <c r="I2319" i="15"/>
  <c r="K2318" i="15"/>
  <c r="J2318" i="15"/>
  <c r="I2318" i="15"/>
  <c r="K2317" i="15"/>
  <c r="J2317" i="15"/>
  <c r="I2317" i="15"/>
  <c r="K2316" i="15"/>
  <c r="J2316" i="15"/>
  <c r="I2316" i="15"/>
  <c r="K2315" i="15"/>
  <c r="J2315" i="15"/>
  <c r="I2315" i="15"/>
  <c r="K2314" i="15"/>
  <c r="J2314" i="15"/>
  <c r="I2314" i="15"/>
  <c r="K2313" i="15"/>
  <c r="J2313" i="15"/>
  <c r="I2313" i="15"/>
  <c r="K2312" i="15"/>
  <c r="J2312" i="15"/>
  <c r="I2312" i="15"/>
  <c r="K2311" i="15"/>
  <c r="J2311" i="15"/>
  <c r="I2311" i="15"/>
  <c r="K2310" i="15"/>
  <c r="J2310" i="15"/>
  <c r="I2310" i="15"/>
  <c r="K2309" i="15"/>
  <c r="J2309" i="15"/>
  <c r="I2309" i="15"/>
  <c r="K2308" i="15"/>
  <c r="J2308" i="15"/>
  <c r="I2308" i="15"/>
  <c r="K2307" i="15"/>
  <c r="J2307" i="15"/>
  <c r="I2307" i="15"/>
  <c r="K2306" i="15"/>
  <c r="J2306" i="15"/>
  <c r="I2306" i="15"/>
  <c r="K2305" i="15"/>
  <c r="J2305" i="15"/>
  <c r="I2305" i="15"/>
  <c r="K2304" i="15"/>
  <c r="J2304" i="15"/>
  <c r="I2304" i="15"/>
  <c r="K2303" i="15"/>
  <c r="J2303" i="15"/>
  <c r="I2303" i="15"/>
  <c r="K2302" i="15"/>
  <c r="J2302" i="15"/>
  <c r="I2302" i="15"/>
  <c r="K2301" i="15"/>
  <c r="J2301" i="15"/>
  <c r="I2301" i="15"/>
  <c r="K2300" i="15"/>
  <c r="J2300" i="15"/>
  <c r="I2300" i="15"/>
  <c r="K2299" i="15"/>
  <c r="J2299" i="15"/>
  <c r="I2299" i="15"/>
  <c r="K2298" i="15"/>
  <c r="J2298" i="15"/>
  <c r="I2298" i="15"/>
  <c r="K2297" i="15"/>
  <c r="J2297" i="15"/>
  <c r="I2297" i="15"/>
  <c r="K2296" i="15"/>
  <c r="J2296" i="15"/>
  <c r="I2296" i="15"/>
  <c r="K2295" i="15"/>
  <c r="J2295" i="15"/>
  <c r="I2295" i="15"/>
  <c r="K2294" i="15"/>
  <c r="J2294" i="15"/>
  <c r="I2294" i="15"/>
  <c r="K2293" i="15"/>
  <c r="J2293" i="15"/>
  <c r="I2293" i="15"/>
  <c r="K2292" i="15"/>
  <c r="J2292" i="15"/>
  <c r="I2292" i="15"/>
  <c r="K2291" i="15"/>
  <c r="J2291" i="15"/>
  <c r="I2291" i="15"/>
  <c r="K2290" i="15"/>
  <c r="J2290" i="15"/>
  <c r="I2290" i="15"/>
  <c r="K2289" i="15"/>
  <c r="J2289" i="15"/>
  <c r="I2289" i="15"/>
  <c r="K2288" i="15"/>
  <c r="J2288" i="15"/>
  <c r="I2288" i="15"/>
  <c r="K2287" i="15"/>
  <c r="J2287" i="15"/>
  <c r="I2287" i="15"/>
  <c r="K2286" i="15"/>
  <c r="J2286" i="15"/>
  <c r="I2286" i="15"/>
  <c r="K2285" i="15"/>
  <c r="J2285" i="15"/>
  <c r="I2285" i="15"/>
  <c r="K2284" i="15"/>
  <c r="J2284" i="15"/>
  <c r="I2284" i="15"/>
  <c r="K2283" i="15"/>
  <c r="J2283" i="15"/>
  <c r="I2283" i="15"/>
  <c r="K2282" i="15"/>
  <c r="J2282" i="15"/>
  <c r="I2282" i="15"/>
  <c r="K2281" i="15"/>
  <c r="J2281" i="15"/>
  <c r="I2281" i="15"/>
  <c r="K2280" i="15"/>
  <c r="J2280" i="15"/>
  <c r="I2280" i="15"/>
  <c r="K2279" i="15"/>
  <c r="J2279" i="15"/>
  <c r="I2279" i="15"/>
  <c r="K2278" i="15"/>
  <c r="J2278" i="15"/>
  <c r="I2278" i="15"/>
  <c r="K2277" i="15"/>
  <c r="J2277" i="15"/>
  <c r="I2277" i="15"/>
  <c r="K2276" i="15"/>
  <c r="J2276" i="15"/>
  <c r="I2276" i="15"/>
  <c r="K2275" i="15"/>
  <c r="J2275" i="15"/>
  <c r="I2275" i="15"/>
  <c r="K2274" i="15"/>
  <c r="J2274" i="15"/>
  <c r="I2274" i="15"/>
  <c r="K2273" i="15"/>
  <c r="J2273" i="15"/>
  <c r="I2273" i="15"/>
  <c r="K2272" i="15"/>
  <c r="J2272" i="15"/>
  <c r="I2272" i="15"/>
  <c r="K2271" i="15"/>
  <c r="J2271" i="15"/>
  <c r="I2271" i="15"/>
  <c r="K2270" i="15"/>
  <c r="J2270" i="15"/>
  <c r="I2270" i="15"/>
  <c r="K2269" i="15"/>
  <c r="J2269" i="15"/>
  <c r="I2269" i="15"/>
  <c r="K2268" i="15"/>
  <c r="J2268" i="15"/>
  <c r="I2268" i="15"/>
  <c r="K2267" i="15"/>
  <c r="J2267" i="15"/>
  <c r="I2267" i="15"/>
  <c r="K2266" i="15"/>
  <c r="J2266" i="15"/>
  <c r="I2266" i="15"/>
  <c r="K2265" i="15"/>
  <c r="J2265" i="15"/>
  <c r="I2265" i="15"/>
  <c r="K2264" i="15"/>
  <c r="J2264" i="15"/>
  <c r="I2264" i="15"/>
  <c r="K2263" i="15"/>
  <c r="J2263" i="15"/>
  <c r="I2263" i="15"/>
  <c r="K2262" i="15"/>
  <c r="J2262" i="15"/>
  <c r="I2262" i="15"/>
  <c r="K2261" i="15"/>
  <c r="J2261" i="15"/>
  <c r="I2261" i="15"/>
  <c r="K2260" i="15"/>
  <c r="J2260" i="15"/>
  <c r="I2260" i="15"/>
  <c r="K2259" i="15"/>
  <c r="J2259" i="15"/>
  <c r="I2259" i="15"/>
  <c r="K2258" i="15"/>
  <c r="J2258" i="15"/>
  <c r="I2258" i="15"/>
  <c r="K2257" i="15"/>
  <c r="J2257" i="15"/>
  <c r="I2257" i="15"/>
  <c r="K2256" i="15"/>
  <c r="J2256" i="15"/>
  <c r="I2256" i="15"/>
  <c r="K2255" i="15"/>
  <c r="J2255" i="15"/>
  <c r="I2255" i="15"/>
  <c r="K2254" i="15"/>
  <c r="J2254" i="15"/>
  <c r="I2254" i="15"/>
  <c r="K2253" i="15"/>
  <c r="J2253" i="15"/>
  <c r="I2253" i="15"/>
  <c r="K2252" i="15"/>
  <c r="J2252" i="15"/>
  <c r="I2252" i="15"/>
  <c r="K2251" i="15"/>
  <c r="J2251" i="15"/>
  <c r="I2251" i="15"/>
  <c r="K2250" i="15"/>
  <c r="J2250" i="15"/>
  <c r="I2250" i="15"/>
  <c r="K2249" i="15"/>
  <c r="J2249" i="15"/>
  <c r="I2249" i="15"/>
  <c r="K2248" i="15"/>
  <c r="J2248" i="15"/>
  <c r="I2248" i="15"/>
  <c r="K2247" i="15"/>
  <c r="J2247" i="15"/>
  <c r="I2247" i="15"/>
  <c r="K2246" i="15"/>
  <c r="J2246" i="15"/>
  <c r="I2246" i="15"/>
  <c r="K2245" i="15"/>
  <c r="J2245" i="15"/>
  <c r="I2245" i="15"/>
  <c r="K2244" i="15"/>
  <c r="J2244" i="15"/>
  <c r="I2244" i="15"/>
  <c r="K2243" i="15"/>
  <c r="J2243" i="15"/>
  <c r="I2243" i="15"/>
  <c r="K2242" i="15"/>
  <c r="J2242" i="15"/>
  <c r="I2242" i="15"/>
  <c r="K2241" i="15"/>
  <c r="J2241" i="15"/>
  <c r="I2241" i="15"/>
  <c r="K2240" i="15"/>
  <c r="J2240" i="15"/>
  <c r="I2240" i="15"/>
  <c r="K2239" i="15"/>
  <c r="J2239" i="15"/>
  <c r="I2239" i="15"/>
  <c r="K2238" i="15"/>
  <c r="J2238" i="15"/>
  <c r="I2238" i="15"/>
  <c r="K2237" i="15"/>
  <c r="J2237" i="15"/>
  <c r="I2237" i="15"/>
  <c r="K2236" i="15"/>
  <c r="J2236" i="15"/>
  <c r="I2236" i="15"/>
  <c r="K2235" i="15"/>
  <c r="J2235" i="15"/>
  <c r="I2235" i="15"/>
  <c r="K2234" i="15"/>
  <c r="J2234" i="15"/>
  <c r="I2234" i="15"/>
  <c r="K2233" i="15"/>
  <c r="J2233" i="15"/>
  <c r="I2233" i="15"/>
  <c r="K2232" i="15"/>
  <c r="J2232" i="15"/>
  <c r="I2232" i="15"/>
  <c r="K2231" i="15"/>
  <c r="J2231" i="15"/>
  <c r="I2231" i="15"/>
  <c r="K2230" i="15"/>
  <c r="J2230" i="15"/>
  <c r="I2230" i="15"/>
  <c r="K2229" i="15"/>
  <c r="J2229" i="15"/>
  <c r="I2229" i="15"/>
  <c r="K2228" i="15"/>
  <c r="J2228" i="15"/>
  <c r="I2228" i="15"/>
  <c r="K2227" i="15"/>
  <c r="J2227" i="15"/>
  <c r="I2227" i="15"/>
  <c r="K2226" i="15"/>
  <c r="J2226" i="15"/>
  <c r="I2226" i="15"/>
  <c r="K2225" i="15"/>
  <c r="J2225" i="15"/>
  <c r="I2225" i="15"/>
  <c r="K2224" i="15"/>
  <c r="J2224" i="15"/>
  <c r="I2224" i="15"/>
  <c r="K2223" i="15"/>
  <c r="J2223" i="15"/>
  <c r="I2223" i="15"/>
  <c r="K2222" i="15"/>
  <c r="J2222" i="15"/>
  <c r="I2222" i="15"/>
  <c r="K2221" i="15"/>
  <c r="J2221" i="15"/>
  <c r="I2221" i="15"/>
  <c r="K2220" i="15"/>
  <c r="J2220" i="15"/>
  <c r="I2220" i="15"/>
  <c r="K2219" i="15"/>
  <c r="J2219" i="15"/>
  <c r="I2219" i="15"/>
  <c r="K2218" i="15"/>
  <c r="J2218" i="15"/>
  <c r="I2218" i="15"/>
  <c r="K2217" i="15"/>
  <c r="J2217" i="15"/>
  <c r="I2217" i="15"/>
  <c r="K2216" i="15"/>
  <c r="J2216" i="15"/>
  <c r="I2216" i="15"/>
  <c r="K2215" i="15"/>
  <c r="J2215" i="15"/>
  <c r="I2215" i="15"/>
  <c r="K2214" i="15"/>
  <c r="J2214" i="15"/>
  <c r="I2214" i="15"/>
  <c r="K2213" i="15"/>
  <c r="J2213" i="15"/>
  <c r="I2213" i="15"/>
  <c r="K2212" i="15"/>
  <c r="J2212" i="15"/>
  <c r="I2212" i="15"/>
  <c r="K2211" i="15"/>
  <c r="J2211" i="15"/>
  <c r="I2211" i="15"/>
  <c r="K2210" i="15"/>
  <c r="J2210" i="15"/>
  <c r="I2210" i="15"/>
  <c r="K2209" i="15"/>
  <c r="J2209" i="15"/>
  <c r="I2209" i="15"/>
  <c r="K2208" i="15"/>
  <c r="J2208" i="15"/>
  <c r="I2208" i="15"/>
  <c r="K2207" i="15"/>
  <c r="J2207" i="15"/>
  <c r="I2207" i="15"/>
  <c r="K2206" i="15"/>
  <c r="J2206" i="15"/>
  <c r="I2206" i="15"/>
  <c r="K2205" i="15"/>
  <c r="J2205" i="15"/>
  <c r="I2205" i="15"/>
  <c r="K2204" i="15"/>
  <c r="J2204" i="15"/>
  <c r="I2204" i="15"/>
  <c r="K2203" i="15"/>
  <c r="J2203" i="15"/>
  <c r="I2203" i="15"/>
  <c r="K2202" i="15"/>
  <c r="J2202" i="15"/>
  <c r="I2202" i="15"/>
  <c r="K2201" i="15"/>
  <c r="J2201" i="15"/>
  <c r="I2201" i="15"/>
  <c r="K2200" i="15"/>
  <c r="J2200" i="15"/>
  <c r="I2200" i="15"/>
  <c r="K2199" i="15"/>
  <c r="J2199" i="15"/>
  <c r="I2199" i="15"/>
  <c r="K2198" i="15"/>
  <c r="J2198" i="15"/>
  <c r="I2198" i="15"/>
  <c r="K2197" i="15"/>
  <c r="J2197" i="15"/>
  <c r="I2197" i="15"/>
  <c r="K2196" i="15"/>
  <c r="J2196" i="15"/>
  <c r="I2196" i="15"/>
  <c r="K2195" i="15"/>
  <c r="J2195" i="15"/>
  <c r="I2195" i="15"/>
  <c r="K2194" i="15"/>
  <c r="J2194" i="15"/>
  <c r="I2194" i="15"/>
  <c r="K2193" i="15"/>
  <c r="J2193" i="15"/>
  <c r="I2193" i="15"/>
  <c r="K2192" i="15"/>
  <c r="J2192" i="15"/>
  <c r="I2192" i="15"/>
  <c r="K2191" i="15"/>
  <c r="J2191" i="15"/>
  <c r="I2191" i="15"/>
  <c r="K2190" i="15"/>
  <c r="J2190" i="15"/>
  <c r="I2190" i="15"/>
  <c r="K2189" i="15"/>
  <c r="J2189" i="15"/>
  <c r="I2189" i="15"/>
  <c r="K2188" i="15"/>
  <c r="J2188" i="15"/>
  <c r="I2188" i="15"/>
  <c r="K2187" i="15"/>
  <c r="J2187" i="15"/>
  <c r="I2187" i="15"/>
  <c r="K2186" i="15"/>
  <c r="J2186" i="15"/>
  <c r="I2186" i="15"/>
  <c r="K2185" i="15"/>
  <c r="J2185" i="15"/>
  <c r="I2185" i="15"/>
  <c r="K2184" i="15"/>
  <c r="J2184" i="15"/>
  <c r="I2184" i="15"/>
  <c r="K2183" i="15"/>
  <c r="J2183" i="15"/>
  <c r="I2183" i="15"/>
  <c r="K2182" i="15"/>
  <c r="J2182" i="15"/>
  <c r="I2182" i="15"/>
  <c r="K2181" i="15"/>
  <c r="J2181" i="15"/>
  <c r="I2181" i="15"/>
  <c r="K2180" i="15"/>
  <c r="J2180" i="15"/>
  <c r="I2180" i="15"/>
  <c r="K2179" i="15"/>
  <c r="J2179" i="15"/>
  <c r="I2179" i="15"/>
  <c r="K2178" i="15"/>
  <c r="J2178" i="15"/>
  <c r="I2178" i="15"/>
  <c r="K2177" i="15"/>
  <c r="J2177" i="15"/>
  <c r="I2177" i="15"/>
  <c r="K2176" i="15"/>
  <c r="J2176" i="15"/>
  <c r="I2176" i="15"/>
  <c r="K2175" i="15"/>
  <c r="J2175" i="15"/>
  <c r="I2175" i="15"/>
  <c r="K2174" i="15"/>
  <c r="J2174" i="15"/>
  <c r="I2174" i="15"/>
  <c r="K2173" i="15"/>
  <c r="J2173" i="15"/>
  <c r="I2173" i="15"/>
  <c r="K2172" i="15"/>
  <c r="J2172" i="15"/>
  <c r="I2172" i="15"/>
  <c r="K2171" i="15"/>
  <c r="J2171" i="15"/>
  <c r="I2171" i="15"/>
  <c r="K2170" i="15"/>
  <c r="J2170" i="15"/>
  <c r="I2170" i="15"/>
  <c r="K2169" i="15"/>
  <c r="J2169" i="15"/>
  <c r="I2169" i="15"/>
  <c r="K2168" i="15"/>
  <c r="J2168" i="15"/>
  <c r="I2168" i="15"/>
  <c r="K2167" i="15"/>
  <c r="J2167" i="15"/>
  <c r="I2167" i="15"/>
  <c r="K2166" i="15"/>
  <c r="J2166" i="15"/>
  <c r="I2166" i="15"/>
  <c r="K2165" i="15"/>
  <c r="J2165" i="15"/>
  <c r="I2165" i="15"/>
  <c r="K2164" i="15"/>
  <c r="J2164" i="15"/>
  <c r="I2164" i="15"/>
  <c r="K2163" i="15"/>
  <c r="J2163" i="15"/>
  <c r="I2163" i="15"/>
  <c r="K2162" i="15"/>
  <c r="J2162" i="15"/>
  <c r="I2162" i="15"/>
  <c r="K2161" i="15"/>
  <c r="J2161" i="15"/>
  <c r="I2161" i="15"/>
  <c r="K2160" i="15"/>
  <c r="J2160" i="15"/>
  <c r="I2160" i="15"/>
  <c r="K2159" i="15"/>
  <c r="J2159" i="15"/>
  <c r="I2159" i="15"/>
  <c r="K2158" i="15"/>
  <c r="J2158" i="15"/>
  <c r="I2158" i="15"/>
  <c r="K2157" i="15"/>
  <c r="J2157" i="15"/>
  <c r="I2157" i="15"/>
  <c r="K2156" i="15"/>
  <c r="J2156" i="15"/>
  <c r="I2156" i="15"/>
  <c r="K2155" i="15"/>
  <c r="J2155" i="15"/>
  <c r="I2155" i="15"/>
  <c r="K2154" i="15"/>
  <c r="J2154" i="15"/>
  <c r="I2154" i="15"/>
  <c r="K2153" i="15"/>
  <c r="J2153" i="15"/>
  <c r="I2153" i="15"/>
  <c r="K2152" i="15"/>
  <c r="J2152" i="15"/>
  <c r="I2152" i="15"/>
  <c r="K2151" i="15"/>
  <c r="J2151" i="15"/>
  <c r="I2151" i="15"/>
  <c r="K2150" i="15"/>
  <c r="J2150" i="15"/>
  <c r="I2150" i="15"/>
  <c r="K2149" i="15"/>
  <c r="J2149" i="15"/>
  <c r="I2149" i="15"/>
  <c r="K2148" i="15"/>
  <c r="J2148" i="15"/>
  <c r="I2148" i="15"/>
  <c r="K2147" i="15"/>
  <c r="J2147" i="15"/>
  <c r="I2147" i="15"/>
  <c r="K2146" i="15"/>
  <c r="J2146" i="15"/>
  <c r="I2146" i="15"/>
  <c r="K2145" i="15"/>
  <c r="J2145" i="15"/>
  <c r="I2145" i="15"/>
  <c r="K2144" i="15"/>
  <c r="J2144" i="15"/>
  <c r="I2144" i="15"/>
  <c r="K2143" i="15"/>
  <c r="J2143" i="15"/>
  <c r="I2143" i="15"/>
  <c r="K2142" i="15"/>
  <c r="J2142" i="15"/>
  <c r="I2142" i="15"/>
  <c r="K2141" i="15"/>
  <c r="J2141" i="15"/>
  <c r="I2141" i="15"/>
  <c r="K2140" i="15"/>
  <c r="J2140" i="15"/>
  <c r="I2140" i="15"/>
  <c r="K2139" i="15"/>
  <c r="J2139" i="15"/>
  <c r="I2139" i="15"/>
  <c r="K2138" i="15"/>
  <c r="J2138" i="15"/>
  <c r="I2138" i="15"/>
  <c r="K2137" i="15"/>
  <c r="J2137" i="15"/>
  <c r="I2137" i="15"/>
  <c r="K2136" i="15"/>
  <c r="J2136" i="15"/>
  <c r="I2136" i="15"/>
  <c r="K2135" i="15"/>
  <c r="J2135" i="15"/>
  <c r="I2135" i="15"/>
  <c r="K2134" i="15"/>
  <c r="J2134" i="15"/>
  <c r="I2134" i="15"/>
  <c r="K2133" i="15"/>
  <c r="J2133" i="15"/>
  <c r="I2133" i="15"/>
  <c r="K2132" i="15"/>
  <c r="J2132" i="15"/>
  <c r="I2132" i="15"/>
  <c r="K2131" i="15"/>
  <c r="J2131" i="15"/>
  <c r="I2131" i="15"/>
  <c r="K2130" i="15"/>
  <c r="J2130" i="15"/>
  <c r="I2130" i="15"/>
  <c r="K2129" i="15"/>
  <c r="J2129" i="15"/>
  <c r="I2129" i="15"/>
  <c r="K2128" i="15"/>
  <c r="J2128" i="15"/>
  <c r="I2128" i="15"/>
  <c r="K2127" i="15"/>
  <c r="J2127" i="15"/>
  <c r="I2127" i="15"/>
  <c r="K2126" i="15"/>
  <c r="J2126" i="15"/>
  <c r="I2126" i="15"/>
  <c r="K2125" i="15"/>
  <c r="J2125" i="15"/>
  <c r="I2125" i="15"/>
  <c r="K2124" i="15"/>
  <c r="J2124" i="15"/>
  <c r="I2124" i="15"/>
  <c r="K2123" i="15"/>
  <c r="J2123" i="15"/>
  <c r="I2123" i="15"/>
  <c r="K2122" i="15"/>
  <c r="J2122" i="15"/>
  <c r="I2122" i="15"/>
  <c r="K2121" i="15"/>
  <c r="J2121" i="15"/>
  <c r="I2121" i="15"/>
  <c r="K2120" i="15"/>
  <c r="J2120" i="15"/>
  <c r="I2120" i="15"/>
  <c r="K2119" i="15"/>
  <c r="J2119" i="15"/>
  <c r="I2119" i="15"/>
  <c r="K2118" i="15"/>
  <c r="J2118" i="15"/>
  <c r="I2118" i="15"/>
  <c r="K2117" i="15"/>
  <c r="J2117" i="15"/>
  <c r="I2117" i="15"/>
  <c r="K2116" i="15"/>
  <c r="J2116" i="15"/>
  <c r="I2116" i="15"/>
  <c r="K2115" i="15"/>
  <c r="J2115" i="15"/>
  <c r="I2115" i="15"/>
  <c r="K2114" i="15"/>
  <c r="J2114" i="15"/>
  <c r="I2114" i="15"/>
  <c r="K2113" i="15"/>
  <c r="J2113" i="15"/>
  <c r="I2113" i="15"/>
  <c r="K2112" i="15"/>
  <c r="J2112" i="15"/>
  <c r="I2112" i="15"/>
  <c r="K2111" i="15"/>
  <c r="J2111" i="15"/>
  <c r="I2111" i="15"/>
  <c r="K2110" i="15"/>
  <c r="J2110" i="15"/>
  <c r="I2110" i="15"/>
  <c r="K2109" i="15"/>
  <c r="J2109" i="15"/>
  <c r="I2109" i="15"/>
  <c r="K2108" i="15"/>
  <c r="J2108" i="15"/>
  <c r="I2108" i="15"/>
  <c r="K2107" i="15"/>
  <c r="J2107" i="15"/>
  <c r="I2107" i="15"/>
  <c r="K2106" i="15"/>
  <c r="J2106" i="15"/>
  <c r="I2106" i="15"/>
  <c r="K2105" i="15"/>
  <c r="J2105" i="15"/>
  <c r="I2105" i="15"/>
  <c r="K2104" i="15"/>
  <c r="J2104" i="15"/>
  <c r="I2104" i="15"/>
  <c r="K2103" i="15"/>
  <c r="J2103" i="15"/>
  <c r="I2103" i="15"/>
  <c r="K2102" i="15"/>
  <c r="J2102" i="15"/>
  <c r="I2102" i="15"/>
  <c r="K2101" i="15"/>
  <c r="J2101" i="15"/>
  <c r="I2101" i="15"/>
  <c r="K2100" i="15"/>
  <c r="J2100" i="15"/>
  <c r="I2100" i="15"/>
  <c r="K2099" i="15"/>
  <c r="J2099" i="15"/>
  <c r="I2099" i="15"/>
  <c r="K2098" i="15"/>
  <c r="J2098" i="15"/>
  <c r="I2098" i="15"/>
  <c r="K2097" i="15"/>
  <c r="J2097" i="15"/>
  <c r="I2097" i="15"/>
  <c r="K2096" i="15"/>
  <c r="J2096" i="15"/>
  <c r="I2096" i="15"/>
  <c r="K2095" i="15"/>
  <c r="J2095" i="15"/>
  <c r="I2095" i="15"/>
  <c r="K2094" i="15"/>
  <c r="J2094" i="15"/>
  <c r="I2094" i="15"/>
  <c r="K2093" i="15"/>
  <c r="J2093" i="15"/>
  <c r="I2093" i="15"/>
  <c r="K2092" i="15"/>
  <c r="J2092" i="15"/>
  <c r="I2092" i="15"/>
  <c r="K2091" i="15"/>
  <c r="J2091" i="15"/>
  <c r="I2091" i="15"/>
  <c r="K2090" i="15"/>
  <c r="J2090" i="15"/>
  <c r="I2090" i="15"/>
  <c r="K2089" i="15"/>
  <c r="J2089" i="15"/>
  <c r="I2089" i="15"/>
  <c r="K2088" i="15"/>
  <c r="J2088" i="15"/>
  <c r="I2088" i="15"/>
  <c r="K2087" i="15"/>
  <c r="J2087" i="15"/>
  <c r="I2087" i="15"/>
  <c r="K2086" i="15"/>
  <c r="J2086" i="15"/>
  <c r="I2086" i="15"/>
  <c r="K2085" i="15"/>
  <c r="J2085" i="15"/>
  <c r="I2085" i="15"/>
  <c r="K2084" i="15"/>
  <c r="J2084" i="15"/>
  <c r="I2084" i="15"/>
  <c r="K2083" i="15"/>
  <c r="J2083" i="15"/>
  <c r="I2083" i="15"/>
  <c r="K2082" i="15"/>
  <c r="J2082" i="15"/>
  <c r="I2082" i="15"/>
  <c r="K2081" i="15"/>
  <c r="J2081" i="15"/>
  <c r="I2081" i="15"/>
  <c r="K2080" i="15"/>
  <c r="J2080" i="15"/>
  <c r="I2080" i="15"/>
  <c r="K2079" i="15"/>
  <c r="J2079" i="15"/>
  <c r="I2079" i="15"/>
  <c r="K2078" i="15"/>
  <c r="J2078" i="15"/>
  <c r="I2078" i="15"/>
  <c r="K2077" i="15"/>
  <c r="J2077" i="15"/>
  <c r="I2077" i="15"/>
  <c r="K2076" i="15"/>
  <c r="J2076" i="15"/>
  <c r="I2076" i="15"/>
  <c r="K2075" i="15"/>
  <c r="J2075" i="15"/>
  <c r="I2075" i="15"/>
  <c r="K2074" i="15"/>
  <c r="J2074" i="15"/>
  <c r="I2074" i="15"/>
  <c r="K2073" i="15"/>
  <c r="J2073" i="15"/>
  <c r="I2073" i="15"/>
  <c r="K2072" i="15"/>
  <c r="J2072" i="15"/>
  <c r="I2072" i="15"/>
  <c r="K2071" i="15"/>
  <c r="J2071" i="15"/>
  <c r="I2071" i="15"/>
  <c r="K2070" i="15"/>
  <c r="J2070" i="15"/>
  <c r="I2070" i="15"/>
  <c r="K2069" i="15"/>
  <c r="J2069" i="15"/>
  <c r="I2069" i="15"/>
  <c r="K2068" i="15"/>
  <c r="J2068" i="15"/>
  <c r="I2068" i="15"/>
  <c r="K2067" i="15"/>
  <c r="J2067" i="15"/>
  <c r="I2067" i="15"/>
  <c r="K2066" i="15"/>
  <c r="J2066" i="15"/>
  <c r="I2066" i="15"/>
  <c r="K2065" i="15"/>
  <c r="J2065" i="15"/>
  <c r="I2065" i="15"/>
  <c r="K2064" i="15"/>
  <c r="J2064" i="15"/>
  <c r="I2064" i="15"/>
  <c r="K2063" i="15"/>
  <c r="J2063" i="15"/>
  <c r="I2063" i="15"/>
  <c r="K2062" i="15"/>
  <c r="J2062" i="15"/>
  <c r="I2062" i="15"/>
  <c r="K2061" i="15"/>
  <c r="J2061" i="15"/>
  <c r="I2061" i="15"/>
  <c r="K2060" i="15"/>
  <c r="J2060" i="15"/>
  <c r="I2060" i="15"/>
  <c r="K2059" i="15"/>
  <c r="J2059" i="15"/>
  <c r="I2059" i="15"/>
  <c r="K2058" i="15"/>
  <c r="J2058" i="15"/>
  <c r="I2058" i="15"/>
  <c r="K2057" i="15"/>
  <c r="J2057" i="15"/>
  <c r="I2057" i="15"/>
  <c r="K2056" i="15"/>
  <c r="J2056" i="15"/>
  <c r="I2056" i="15"/>
  <c r="K2055" i="15"/>
  <c r="J2055" i="15"/>
  <c r="I2055" i="15"/>
  <c r="K2054" i="15"/>
  <c r="J2054" i="15"/>
  <c r="I2054" i="15"/>
  <c r="K2053" i="15"/>
  <c r="J2053" i="15"/>
  <c r="I2053" i="15"/>
  <c r="K2052" i="15"/>
  <c r="J2052" i="15"/>
  <c r="I2052" i="15"/>
  <c r="K2051" i="15"/>
  <c r="J2051" i="15"/>
  <c r="I2051" i="15"/>
  <c r="K2050" i="15"/>
  <c r="J2050" i="15"/>
  <c r="I2050" i="15"/>
  <c r="K2049" i="15"/>
  <c r="J2049" i="15"/>
  <c r="I2049" i="15"/>
  <c r="K2048" i="15"/>
  <c r="J2048" i="15"/>
  <c r="I2048" i="15"/>
  <c r="K2047" i="15"/>
  <c r="J2047" i="15"/>
  <c r="I2047" i="15"/>
  <c r="K2046" i="15"/>
  <c r="J2046" i="15"/>
  <c r="I2046" i="15"/>
  <c r="K2045" i="15"/>
  <c r="J2045" i="15"/>
  <c r="I2045" i="15"/>
  <c r="K2044" i="15"/>
  <c r="J2044" i="15"/>
  <c r="I2044" i="15"/>
  <c r="K2043" i="15"/>
  <c r="J2043" i="15"/>
  <c r="I2043" i="15"/>
  <c r="K2042" i="15"/>
  <c r="J2042" i="15"/>
  <c r="I2042" i="15"/>
  <c r="K2041" i="15"/>
  <c r="J2041" i="15"/>
  <c r="I2041" i="15"/>
  <c r="K2040" i="15"/>
  <c r="J2040" i="15"/>
  <c r="I2040" i="15"/>
  <c r="K2039" i="15"/>
  <c r="J2039" i="15"/>
  <c r="I2039" i="15"/>
  <c r="K2038" i="15"/>
  <c r="J2038" i="15"/>
  <c r="I2038" i="15"/>
  <c r="K2037" i="15"/>
  <c r="J2037" i="15"/>
  <c r="I2037" i="15"/>
  <c r="K2036" i="15"/>
  <c r="J2036" i="15"/>
  <c r="I2036" i="15"/>
  <c r="K2035" i="15"/>
  <c r="J2035" i="15"/>
  <c r="I2035" i="15"/>
  <c r="K2034" i="15"/>
  <c r="J2034" i="15"/>
  <c r="I2034" i="15"/>
  <c r="K2033" i="15"/>
  <c r="J2033" i="15"/>
  <c r="I2033" i="15"/>
  <c r="K2032" i="15"/>
  <c r="J2032" i="15"/>
  <c r="I2032" i="15"/>
  <c r="K2031" i="15"/>
  <c r="J2031" i="15"/>
  <c r="I2031" i="15"/>
  <c r="K2030" i="15"/>
  <c r="J2030" i="15"/>
  <c r="I2030" i="15"/>
  <c r="K2029" i="15"/>
  <c r="J2029" i="15"/>
  <c r="I2029" i="15"/>
  <c r="K2028" i="15"/>
  <c r="J2028" i="15"/>
  <c r="I2028" i="15"/>
  <c r="K2027" i="15"/>
  <c r="J2027" i="15"/>
  <c r="I2027" i="15"/>
  <c r="K2026" i="15"/>
  <c r="J2026" i="15"/>
  <c r="I2026" i="15"/>
  <c r="K2025" i="15"/>
  <c r="J2025" i="15"/>
  <c r="I2025" i="15"/>
  <c r="K2024" i="15"/>
  <c r="J2024" i="15"/>
  <c r="I2024" i="15"/>
  <c r="K2023" i="15"/>
  <c r="J2023" i="15"/>
  <c r="I2023" i="15"/>
  <c r="K2022" i="15"/>
  <c r="J2022" i="15"/>
  <c r="I2022" i="15"/>
  <c r="K2021" i="15"/>
  <c r="J2021" i="15"/>
  <c r="I2021" i="15"/>
  <c r="K2020" i="15"/>
  <c r="J2020" i="15"/>
  <c r="I2020" i="15"/>
  <c r="K2019" i="15"/>
  <c r="J2019" i="15"/>
  <c r="I2019" i="15"/>
  <c r="K2018" i="15"/>
  <c r="J2018" i="15"/>
  <c r="I2018" i="15"/>
  <c r="K2017" i="15"/>
  <c r="J2017" i="15"/>
  <c r="I2017" i="15"/>
  <c r="K2016" i="15"/>
  <c r="J2016" i="15"/>
  <c r="I2016" i="15"/>
  <c r="K2015" i="15"/>
  <c r="J2015" i="15"/>
  <c r="I2015" i="15"/>
  <c r="K2014" i="15"/>
  <c r="J2014" i="15"/>
  <c r="I2014" i="15"/>
  <c r="K2013" i="15"/>
  <c r="J2013" i="15"/>
  <c r="I2013" i="15"/>
  <c r="K2012" i="15"/>
  <c r="J2012" i="15"/>
  <c r="I2012" i="15"/>
  <c r="K2011" i="15"/>
  <c r="J2011" i="15"/>
  <c r="I2011" i="15"/>
  <c r="K2010" i="15"/>
  <c r="J2010" i="15"/>
  <c r="I2010" i="15"/>
  <c r="K2009" i="15"/>
  <c r="J2009" i="15"/>
  <c r="I2009" i="15"/>
  <c r="K2008" i="15"/>
  <c r="J2008" i="15"/>
  <c r="I2008" i="15"/>
  <c r="K2007" i="15"/>
  <c r="J2007" i="15"/>
  <c r="I2007" i="15"/>
  <c r="K2006" i="15"/>
  <c r="J2006" i="15"/>
  <c r="I2006" i="15"/>
  <c r="K2005" i="15"/>
  <c r="J2005" i="15"/>
  <c r="I2005" i="15"/>
  <c r="K2004" i="15"/>
  <c r="J2004" i="15"/>
  <c r="I2004" i="15"/>
  <c r="K2003" i="15"/>
  <c r="J2003" i="15"/>
  <c r="I2003" i="15"/>
  <c r="K2002" i="15"/>
  <c r="J2002" i="15"/>
  <c r="I2002" i="15"/>
  <c r="K2001" i="15"/>
  <c r="J2001" i="15"/>
  <c r="I2001" i="15"/>
  <c r="K2000" i="15"/>
  <c r="J2000" i="15"/>
  <c r="I2000" i="15"/>
  <c r="K1999" i="15"/>
  <c r="J1999" i="15"/>
  <c r="I1999" i="15"/>
  <c r="K1998" i="15"/>
  <c r="J1998" i="15"/>
  <c r="I1998" i="15"/>
  <c r="K1997" i="15"/>
  <c r="J1997" i="15"/>
  <c r="I1997" i="15"/>
  <c r="K1996" i="15"/>
  <c r="J1996" i="15"/>
  <c r="I1996" i="15"/>
  <c r="K1995" i="15"/>
  <c r="J1995" i="15"/>
  <c r="I1995" i="15"/>
  <c r="K1994" i="15"/>
  <c r="J1994" i="15"/>
  <c r="I1994" i="15"/>
  <c r="K1993" i="15"/>
  <c r="J1993" i="15"/>
  <c r="I1993" i="15"/>
  <c r="K1992" i="15"/>
  <c r="J1992" i="15"/>
  <c r="I1992" i="15"/>
  <c r="K1991" i="15"/>
  <c r="J1991" i="15"/>
  <c r="I1991" i="15"/>
  <c r="K1990" i="15"/>
  <c r="J1990" i="15"/>
  <c r="I1990" i="15"/>
  <c r="K1989" i="15"/>
  <c r="J1989" i="15"/>
  <c r="I1989" i="15"/>
  <c r="K1988" i="15"/>
  <c r="J1988" i="15"/>
  <c r="I1988" i="15"/>
  <c r="K1987" i="15"/>
  <c r="J1987" i="15"/>
  <c r="I1987" i="15"/>
  <c r="K1986" i="15"/>
  <c r="J1986" i="15"/>
  <c r="I1986" i="15"/>
  <c r="K1985" i="15"/>
  <c r="J1985" i="15"/>
  <c r="I1985" i="15"/>
  <c r="K1984" i="15"/>
  <c r="J1984" i="15"/>
  <c r="I1984" i="15"/>
  <c r="K1983" i="15"/>
  <c r="J1983" i="15"/>
  <c r="I1983" i="15"/>
  <c r="K1982" i="15"/>
  <c r="J1982" i="15"/>
  <c r="I1982" i="15"/>
  <c r="K1981" i="15"/>
  <c r="J1981" i="15"/>
  <c r="I1981" i="15"/>
  <c r="K1980" i="15"/>
  <c r="J1980" i="15"/>
  <c r="I1980" i="15"/>
  <c r="K1979" i="15"/>
  <c r="J1979" i="15"/>
  <c r="I1979" i="15"/>
  <c r="K1978" i="15"/>
  <c r="J1978" i="15"/>
  <c r="I1978" i="15"/>
  <c r="K1977" i="15"/>
  <c r="J1977" i="15"/>
  <c r="I1977" i="15"/>
  <c r="K1976" i="15"/>
  <c r="J1976" i="15"/>
  <c r="I1976" i="15"/>
  <c r="K1975" i="15"/>
  <c r="J1975" i="15"/>
  <c r="I1975" i="15"/>
  <c r="K1974" i="15"/>
  <c r="J1974" i="15"/>
  <c r="I1974" i="15"/>
  <c r="K1973" i="15"/>
  <c r="J1973" i="15"/>
  <c r="I1973" i="15"/>
  <c r="K1972" i="15"/>
  <c r="J1972" i="15"/>
  <c r="I1972" i="15"/>
  <c r="K1971" i="15"/>
  <c r="J1971" i="15"/>
  <c r="I1971" i="15"/>
  <c r="K1970" i="15"/>
  <c r="J1970" i="15"/>
  <c r="I1970" i="15"/>
  <c r="K1969" i="15"/>
  <c r="J1969" i="15"/>
  <c r="I1969" i="15"/>
  <c r="K1968" i="15"/>
  <c r="J1968" i="15"/>
  <c r="I1968" i="15"/>
  <c r="K1967" i="15"/>
  <c r="J1967" i="15"/>
  <c r="I1967" i="15"/>
  <c r="K1966" i="15"/>
  <c r="J1966" i="15"/>
  <c r="I1966" i="15"/>
  <c r="K1965" i="15"/>
  <c r="J1965" i="15"/>
  <c r="I1965" i="15"/>
  <c r="K1964" i="15"/>
  <c r="J1964" i="15"/>
  <c r="I1964" i="15"/>
  <c r="K1963" i="15"/>
  <c r="J1963" i="15"/>
  <c r="I1963" i="15"/>
  <c r="K1962" i="15"/>
  <c r="J1962" i="15"/>
  <c r="I1962" i="15"/>
  <c r="K1961" i="15"/>
  <c r="J1961" i="15"/>
  <c r="I1961" i="15"/>
  <c r="K1960" i="15"/>
  <c r="J1960" i="15"/>
  <c r="I1960" i="15"/>
  <c r="K1959" i="15"/>
  <c r="J1959" i="15"/>
  <c r="I1959" i="15"/>
  <c r="K1958" i="15"/>
  <c r="J1958" i="15"/>
  <c r="I1958" i="15"/>
  <c r="K1957" i="15"/>
  <c r="J1957" i="15"/>
  <c r="I1957" i="15"/>
  <c r="K1956" i="15"/>
  <c r="J1956" i="15"/>
  <c r="I1956" i="15"/>
  <c r="K1955" i="15"/>
  <c r="J1955" i="15"/>
  <c r="I1955" i="15"/>
  <c r="K1954" i="15"/>
  <c r="J1954" i="15"/>
  <c r="I1954" i="15"/>
  <c r="K1953" i="15"/>
  <c r="J1953" i="15"/>
  <c r="I1953" i="15"/>
  <c r="K1952" i="15"/>
  <c r="J1952" i="15"/>
  <c r="I1952" i="15"/>
  <c r="K1951" i="15"/>
  <c r="J1951" i="15"/>
  <c r="I1951" i="15"/>
  <c r="K1950" i="15"/>
  <c r="J1950" i="15"/>
  <c r="I1950" i="15"/>
  <c r="K1949" i="15"/>
  <c r="J1949" i="15"/>
  <c r="I1949" i="15"/>
  <c r="K1948" i="15"/>
  <c r="J1948" i="15"/>
  <c r="I1948" i="15"/>
  <c r="K1947" i="15"/>
  <c r="J1947" i="15"/>
  <c r="I1947" i="15"/>
  <c r="K1946" i="15"/>
  <c r="J1946" i="15"/>
  <c r="I1946" i="15"/>
  <c r="K1945" i="15"/>
  <c r="J1945" i="15"/>
  <c r="I1945" i="15"/>
  <c r="K1944" i="15"/>
  <c r="J1944" i="15"/>
  <c r="I1944" i="15"/>
  <c r="K1943" i="15"/>
  <c r="J1943" i="15"/>
  <c r="I1943" i="15"/>
  <c r="K1942" i="15"/>
  <c r="J1942" i="15"/>
  <c r="I1942" i="15"/>
  <c r="K1941" i="15"/>
  <c r="J1941" i="15"/>
  <c r="I1941" i="15"/>
  <c r="K1940" i="15"/>
  <c r="J1940" i="15"/>
  <c r="I1940" i="15"/>
  <c r="K1939" i="15"/>
  <c r="J1939" i="15"/>
  <c r="I1939" i="15"/>
  <c r="K1938" i="15"/>
  <c r="J1938" i="15"/>
  <c r="I1938" i="15"/>
  <c r="K1937" i="15"/>
  <c r="J1937" i="15"/>
  <c r="I1937" i="15"/>
  <c r="K1936" i="15"/>
  <c r="J1936" i="15"/>
  <c r="I1936" i="15"/>
  <c r="K1935" i="15"/>
  <c r="J1935" i="15"/>
  <c r="I1935" i="15"/>
  <c r="K1934" i="15"/>
  <c r="J1934" i="15"/>
  <c r="I1934" i="15"/>
  <c r="K1933" i="15"/>
  <c r="J1933" i="15"/>
  <c r="I1933" i="15"/>
  <c r="K1932" i="15"/>
  <c r="J1932" i="15"/>
  <c r="I1932" i="15"/>
  <c r="K1931" i="15"/>
  <c r="J1931" i="15"/>
  <c r="I1931" i="15"/>
  <c r="K1930" i="15"/>
  <c r="J1930" i="15"/>
  <c r="I1930" i="15"/>
  <c r="K1929" i="15"/>
  <c r="J1929" i="15"/>
  <c r="I1929" i="15"/>
  <c r="K1928" i="15"/>
  <c r="J1928" i="15"/>
  <c r="I1928" i="15"/>
  <c r="K1927" i="15"/>
  <c r="J1927" i="15"/>
  <c r="I1927" i="15"/>
  <c r="K1926" i="15"/>
  <c r="J1926" i="15"/>
  <c r="I1926" i="15"/>
  <c r="K1925" i="15"/>
  <c r="J1925" i="15"/>
  <c r="I1925" i="15"/>
  <c r="K1924" i="15"/>
  <c r="J1924" i="15"/>
  <c r="I1924" i="15"/>
  <c r="K1923" i="15"/>
  <c r="J1923" i="15"/>
  <c r="I1923" i="15"/>
  <c r="K1922" i="15"/>
  <c r="J1922" i="15"/>
  <c r="I1922" i="15"/>
  <c r="K1921" i="15"/>
  <c r="J1921" i="15"/>
  <c r="I1921" i="15"/>
  <c r="K1920" i="15"/>
  <c r="J1920" i="15"/>
  <c r="I1920" i="15"/>
  <c r="K1919" i="15"/>
  <c r="J1919" i="15"/>
  <c r="I1919" i="15"/>
  <c r="K1918" i="15"/>
  <c r="J1918" i="15"/>
  <c r="I1918" i="15"/>
  <c r="K1917" i="15"/>
  <c r="J1917" i="15"/>
  <c r="I1917" i="15"/>
  <c r="K1916" i="15"/>
  <c r="J1916" i="15"/>
  <c r="I1916" i="15"/>
  <c r="K1915" i="15"/>
  <c r="J1915" i="15"/>
  <c r="I1915" i="15"/>
  <c r="K1914" i="15"/>
  <c r="J1914" i="15"/>
  <c r="I1914" i="15"/>
  <c r="K1913" i="15"/>
  <c r="J1913" i="15"/>
  <c r="I1913" i="15"/>
  <c r="K1912" i="15"/>
  <c r="J1912" i="15"/>
  <c r="I1912" i="15"/>
  <c r="K1911" i="15"/>
  <c r="J1911" i="15"/>
  <c r="I1911" i="15"/>
  <c r="K1910" i="15"/>
  <c r="J1910" i="15"/>
  <c r="I1910" i="15"/>
  <c r="K1909" i="15"/>
  <c r="J1909" i="15"/>
  <c r="I1909" i="15"/>
  <c r="K1908" i="15"/>
  <c r="J1908" i="15"/>
  <c r="I1908" i="15"/>
  <c r="K1907" i="15"/>
  <c r="J1907" i="15"/>
  <c r="I1907" i="15"/>
  <c r="K1906" i="15"/>
  <c r="J1906" i="15"/>
  <c r="I1906" i="15"/>
  <c r="K1905" i="15"/>
  <c r="J1905" i="15"/>
  <c r="I1905" i="15"/>
  <c r="K1904" i="15"/>
  <c r="J1904" i="15"/>
  <c r="I1904" i="15"/>
  <c r="K1903" i="15"/>
  <c r="J1903" i="15"/>
  <c r="I1903" i="15"/>
  <c r="K1902" i="15"/>
  <c r="J1902" i="15"/>
  <c r="I1902" i="15"/>
  <c r="K1901" i="15"/>
  <c r="J1901" i="15"/>
  <c r="I1901" i="15"/>
  <c r="K1900" i="15"/>
  <c r="J1900" i="15"/>
  <c r="I1900" i="15"/>
  <c r="K1899" i="15"/>
  <c r="J1899" i="15"/>
  <c r="I1899" i="15"/>
  <c r="K1898" i="15"/>
  <c r="J1898" i="15"/>
  <c r="I1898" i="15"/>
  <c r="K1897" i="15"/>
  <c r="J1897" i="15"/>
  <c r="I1897" i="15"/>
  <c r="K1896" i="15"/>
  <c r="J1896" i="15"/>
  <c r="I1896" i="15"/>
  <c r="K1895" i="15"/>
  <c r="J1895" i="15"/>
  <c r="I1895" i="15"/>
  <c r="K1894" i="15"/>
  <c r="J1894" i="15"/>
  <c r="I1894" i="15"/>
  <c r="K1893" i="15"/>
  <c r="J1893" i="15"/>
  <c r="I1893" i="15"/>
  <c r="K1892" i="15"/>
  <c r="J1892" i="15"/>
  <c r="I1892" i="15"/>
  <c r="K1891" i="15"/>
  <c r="J1891" i="15"/>
  <c r="I1891" i="15"/>
  <c r="K1890" i="15"/>
  <c r="J1890" i="15"/>
  <c r="I1890" i="15"/>
  <c r="K1889" i="15"/>
  <c r="J1889" i="15"/>
  <c r="I1889" i="15"/>
  <c r="K1888" i="15"/>
  <c r="J1888" i="15"/>
  <c r="I1888" i="15"/>
  <c r="K1887" i="15"/>
  <c r="J1887" i="15"/>
  <c r="I1887" i="15"/>
  <c r="K1886" i="15"/>
  <c r="J1886" i="15"/>
  <c r="I1886" i="15"/>
  <c r="K1885" i="15"/>
  <c r="J1885" i="15"/>
  <c r="I1885" i="15"/>
  <c r="K1884" i="15"/>
  <c r="J1884" i="15"/>
  <c r="I1884" i="15"/>
  <c r="K1883" i="15"/>
  <c r="J1883" i="15"/>
  <c r="I1883" i="15"/>
  <c r="K1882" i="15"/>
  <c r="J1882" i="15"/>
  <c r="I1882" i="15"/>
  <c r="K1881" i="15"/>
  <c r="J1881" i="15"/>
  <c r="I1881" i="15"/>
  <c r="K1880" i="15"/>
  <c r="J1880" i="15"/>
  <c r="I1880" i="15"/>
  <c r="K1879" i="15"/>
  <c r="J1879" i="15"/>
  <c r="I1879" i="15"/>
  <c r="K1878" i="15"/>
  <c r="J1878" i="15"/>
  <c r="I1878" i="15"/>
  <c r="K1877" i="15"/>
  <c r="J1877" i="15"/>
  <c r="I1877" i="15"/>
  <c r="K1876" i="15"/>
  <c r="J1876" i="15"/>
  <c r="I1876" i="15"/>
  <c r="K1875" i="15"/>
  <c r="J1875" i="15"/>
  <c r="I1875" i="15"/>
  <c r="K1874" i="15"/>
  <c r="J1874" i="15"/>
  <c r="I1874" i="15"/>
  <c r="K1873" i="15"/>
  <c r="J1873" i="15"/>
  <c r="I1873" i="15"/>
  <c r="K1872" i="15"/>
  <c r="J1872" i="15"/>
  <c r="I1872" i="15"/>
  <c r="K1871" i="15"/>
  <c r="J1871" i="15"/>
  <c r="I1871" i="15"/>
  <c r="K1870" i="15"/>
  <c r="J1870" i="15"/>
  <c r="I1870" i="15"/>
  <c r="K1869" i="15"/>
  <c r="J1869" i="15"/>
  <c r="I1869" i="15"/>
  <c r="K1868" i="15"/>
  <c r="J1868" i="15"/>
  <c r="I1868" i="15"/>
  <c r="K1867" i="15"/>
  <c r="J1867" i="15"/>
  <c r="I1867" i="15"/>
  <c r="K1866" i="15"/>
  <c r="J1866" i="15"/>
  <c r="I1866" i="15"/>
  <c r="K1865" i="15"/>
  <c r="J1865" i="15"/>
  <c r="I1865" i="15"/>
  <c r="K1864" i="15"/>
  <c r="J1864" i="15"/>
  <c r="I1864" i="15"/>
  <c r="K1863" i="15"/>
  <c r="J1863" i="15"/>
  <c r="I1863" i="15"/>
  <c r="K1862" i="15"/>
  <c r="J1862" i="15"/>
  <c r="I1862" i="15"/>
  <c r="K1861" i="15"/>
  <c r="J1861" i="15"/>
  <c r="I1861" i="15"/>
  <c r="K1860" i="15"/>
  <c r="J1860" i="15"/>
  <c r="I1860" i="15"/>
  <c r="K1859" i="15"/>
  <c r="J1859" i="15"/>
  <c r="I1859" i="15"/>
  <c r="K1858" i="15"/>
  <c r="J1858" i="15"/>
  <c r="I1858" i="15"/>
  <c r="K1857" i="15"/>
  <c r="J1857" i="15"/>
  <c r="I1857" i="15"/>
  <c r="K1856" i="15"/>
  <c r="J1856" i="15"/>
  <c r="I1856" i="15"/>
  <c r="K1855" i="15"/>
  <c r="J1855" i="15"/>
  <c r="I1855" i="15"/>
  <c r="K1854" i="15"/>
  <c r="J1854" i="15"/>
  <c r="I1854" i="15"/>
  <c r="K1853" i="15"/>
  <c r="J1853" i="15"/>
  <c r="I1853" i="15"/>
  <c r="K1852" i="15"/>
  <c r="J1852" i="15"/>
  <c r="I1852" i="15"/>
  <c r="K1851" i="15"/>
  <c r="J1851" i="15"/>
  <c r="I1851" i="15"/>
  <c r="K1850" i="15"/>
  <c r="J1850" i="15"/>
  <c r="I1850" i="15"/>
  <c r="K1849" i="15"/>
  <c r="J1849" i="15"/>
  <c r="I1849" i="15"/>
  <c r="K1848" i="15"/>
  <c r="J1848" i="15"/>
  <c r="I1848" i="15"/>
  <c r="K1847" i="15"/>
  <c r="J1847" i="15"/>
  <c r="I1847" i="15"/>
  <c r="K1846" i="15"/>
  <c r="J1846" i="15"/>
  <c r="I1846" i="15"/>
  <c r="K1845" i="15"/>
  <c r="J1845" i="15"/>
  <c r="I1845" i="15"/>
  <c r="K1844" i="15"/>
  <c r="J1844" i="15"/>
  <c r="I1844" i="15"/>
  <c r="K1843" i="15"/>
  <c r="J1843" i="15"/>
  <c r="I1843" i="15"/>
  <c r="K1842" i="15"/>
  <c r="J1842" i="15"/>
  <c r="I1842" i="15"/>
  <c r="K1841" i="15"/>
  <c r="J1841" i="15"/>
  <c r="I1841" i="15"/>
  <c r="K1840" i="15"/>
  <c r="J1840" i="15"/>
  <c r="I1840" i="15"/>
  <c r="K1839" i="15"/>
  <c r="J1839" i="15"/>
  <c r="I1839" i="15"/>
  <c r="K1838" i="15"/>
  <c r="J1838" i="15"/>
  <c r="I1838" i="15"/>
  <c r="K1837" i="15"/>
  <c r="J1837" i="15"/>
  <c r="I1837" i="15"/>
  <c r="K1836" i="15"/>
  <c r="J1836" i="15"/>
  <c r="I1836" i="15"/>
  <c r="K1835" i="15"/>
  <c r="J1835" i="15"/>
  <c r="I1835" i="15"/>
  <c r="K1834" i="15"/>
  <c r="J1834" i="15"/>
  <c r="I1834" i="15"/>
  <c r="K1833" i="15"/>
  <c r="J1833" i="15"/>
  <c r="I1833" i="15"/>
  <c r="K1832" i="15"/>
  <c r="J1832" i="15"/>
  <c r="I1832" i="15"/>
  <c r="K1831" i="15"/>
  <c r="J1831" i="15"/>
  <c r="I1831" i="15"/>
  <c r="K1830" i="15"/>
  <c r="J1830" i="15"/>
  <c r="I1830" i="15"/>
  <c r="K1829" i="15"/>
  <c r="J1829" i="15"/>
  <c r="I1829" i="15"/>
  <c r="K1828" i="15"/>
  <c r="J1828" i="15"/>
  <c r="I1828" i="15"/>
  <c r="K1827" i="15"/>
  <c r="J1827" i="15"/>
  <c r="I1827" i="15"/>
  <c r="K1826" i="15"/>
  <c r="J1826" i="15"/>
  <c r="I1826" i="15"/>
  <c r="K1825" i="15"/>
  <c r="J1825" i="15"/>
  <c r="I1825" i="15"/>
  <c r="K1824" i="15"/>
  <c r="J1824" i="15"/>
  <c r="I1824" i="15"/>
  <c r="K1823" i="15"/>
  <c r="J1823" i="15"/>
  <c r="I1823" i="15"/>
  <c r="K1822" i="15"/>
  <c r="J1822" i="15"/>
  <c r="I1822" i="15"/>
  <c r="K1821" i="15"/>
  <c r="J1821" i="15"/>
  <c r="I1821" i="15"/>
  <c r="K1820" i="15"/>
  <c r="J1820" i="15"/>
  <c r="I1820" i="15"/>
  <c r="K1819" i="15"/>
  <c r="J1819" i="15"/>
  <c r="I1819" i="15"/>
  <c r="K1818" i="15"/>
  <c r="J1818" i="15"/>
  <c r="I1818" i="15"/>
  <c r="K1817" i="15"/>
  <c r="J1817" i="15"/>
  <c r="I1817" i="15"/>
  <c r="K1816" i="15"/>
  <c r="J1816" i="15"/>
  <c r="I1816" i="15"/>
  <c r="K1815" i="15"/>
  <c r="J1815" i="15"/>
  <c r="I1815" i="15"/>
  <c r="K1814" i="15"/>
  <c r="J1814" i="15"/>
  <c r="I1814" i="15"/>
  <c r="K1813" i="15"/>
  <c r="J1813" i="15"/>
  <c r="I1813" i="15"/>
  <c r="K1812" i="15"/>
  <c r="J1812" i="15"/>
  <c r="I1812" i="15"/>
  <c r="K1811" i="15"/>
  <c r="J1811" i="15"/>
  <c r="I1811" i="15"/>
  <c r="K1810" i="15"/>
  <c r="J1810" i="15"/>
  <c r="I1810" i="15"/>
  <c r="K1809" i="15"/>
  <c r="J1809" i="15"/>
  <c r="I1809" i="15"/>
  <c r="K1808" i="15"/>
  <c r="J1808" i="15"/>
  <c r="I1808" i="15"/>
  <c r="K1807" i="15"/>
  <c r="J1807" i="15"/>
  <c r="I1807" i="15"/>
  <c r="K1806" i="15"/>
  <c r="J1806" i="15"/>
  <c r="I1806" i="15"/>
  <c r="K1805" i="15"/>
  <c r="J1805" i="15"/>
  <c r="I1805" i="15"/>
  <c r="K1804" i="15"/>
  <c r="J1804" i="15"/>
  <c r="I1804" i="15"/>
  <c r="K1803" i="15"/>
  <c r="J1803" i="15"/>
  <c r="I1803" i="15"/>
  <c r="K1802" i="15"/>
  <c r="J1802" i="15"/>
  <c r="I1802" i="15"/>
  <c r="K1801" i="15"/>
  <c r="J1801" i="15"/>
  <c r="I1801" i="15"/>
  <c r="K1800" i="15"/>
  <c r="J1800" i="15"/>
  <c r="I1800" i="15"/>
  <c r="K1799" i="15"/>
  <c r="J1799" i="15"/>
  <c r="I1799" i="15"/>
  <c r="K1798" i="15"/>
  <c r="J1798" i="15"/>
  <c r="I1798" i="15"/>
  <c r="K1797" i="15"/>
  <c r="J1797" i="15"/>
  <c r="I1797" i="15"/>
  <c r="K1796" i="15"/>
  <c r="J1796" i="15"/>
  <c r="I1796" i="15"/>
  <c r="K1795" i="15"/>
  <c r="J1795" i="15"/>
  <c r="I1795" i="15"/>
  <c r="K1794" i="15"/>
  <c r="J1794" i="15"/>
  <c r="I1794" i="15"/>
  <c r="K1793" i="15"/>
  <c r="J1793" i="15"/>
  <c r="I1793" i="15"/>
  <c r="K1792" i="15"/>
  <c r="J1792" i="15"/>
  <c r="I1792" i="15"/>
  <c r="K1791" i="15"/>
  <c r="J1791" i="15"/>
  <c r="I1791" i="15"/>
  <c r="K1790" i="15"/>
  <c r="J1790" i="15"/>
  <c r="I1790" i="15"/>
  <c r="K1789" i="15"/>
  <c r="J1789" i="15"/>
  <c r="I1789" i="15"/>
  <c r="K1788" i="15"/>
  <c r="J1788" i="15"/>
  <c r="I1788" i="15"/>
  <c r="K1787" i="15"/>
  <c r="J1787" i="15"/>
  <c r="I1787" i="15"/>
  <c r="K1786" i="15"/>
  <c r="J1786" i="15"/>
  <c r="I1786" i="15"/>
  <c r="K1785" i="15"/>
  <c r="J1785" i="15"/>
  <c r="I1785" i="15"/>
  <c r="K1784" i="15"/>
  <c r="J1784" i="15"/>
  <c r="I1784" i="15"/>
  <c r="K1783" i="15"/>
  <c r="J1783" i="15"/>
  <c r="I1783" i="15"/>
  <c r="K1782" i="15"/>
  <c r="J1782" i="15"/>
  <c r="I1782" i="15"/>
  <c r="K1781" i="15"/>
  <c r="J1781" i="15"/>
  <c r="I1781" i="15"/>
  <c r="K1780" i="15"/>
  <c r="J1780" i="15"/>
  <c r="I1780" i="15"/>
  <c r="K1779" i="15"/>
  <c r="J1779" i="15"/>
  <c r="I1779" i="15"/>
  <c r="K1778" i="15"/>
  <c r="J1778" i="15"/>
  <c r="I1778" i="15"/>
  <c r="K1777" i="15"/>
  <c r="J1777" i="15"/>
  <c r="I1777" i="15"/>
  <c r="K1776" i="15"/>
  <c r="J1776" i="15"/>
  <c r="I1776" i="15"/>
  <c r="K1775" i="15"/>
  <c r="J1775" i="15"/>
  <c r="I1775" i="15"/>
  <c r="K1774" i="15"/>
  <c r="J1774" i="15"/>
  <c r="I1774" i="15"/>
  <c r="K1773" i="15"/>
  <c r="J1773" i="15"/>
  <c r="I1773" i="15"/>
  <c r="K1772" i="15"/>
  <c r="J1772" i="15"/>
  <c r="I1772" i="15"/>
  <c r="K1771" i="15"/>
  <c r="J1771" i="15"/>
  <c r="I1771" i="15"/>
  <c r="K1770" i="15"/>
  <c r="J1770" i="15"/>
  <c r="I1770" i="15"/>
  <c r="K1769" i="15"/>
  <c r="J1769" i="15"/>
  <c r="I1769" i="15"/>
  <c r="K1768" i="15"/>
  <c r="J1768" i="15"/>
  <c r="I1768" i="15"/>
  <c r="K1767" i="15"/>
  <c r="J1767" i="15"/>
  <c r="I1767" i="15"/>
  <c r="K1766" i="15"/>
  <c r="J1766" i="15"/>
  <c r="I1766" i="15"/>
  <c r="K1765" i="15"/>
  <c r="J1765" i="15"/>
  <c r="I1765" i="15"/>
  <c r="K1764" i="15"/>
  <c r="J1764" i="15"/>
  <c r="I1764" i="15"/>
  <c r="K1763" i="15"/>
  <c r="J1763" i="15"/>
  <c r="I1763" i="15"/>
  <c r="K1762" i="15"/>
  <c r="J1762" i="15"/>
  <c r="I1762" i="15"/>
  <c r="K1761" i="15"/>
  <c r="J1761" i="15"/>
  <c r="I1761" i="15"/>
  <c r="K1760" i="15"/>
  <c r="J1760" i="15"/>
  <c r="I1760" i="15"/>
  <c r="K1759" i="15"/>
  <c r="J1759" i="15"/>
  <c r="I1759" i="15"/>
  <c r="K1758" i="15"/>
  <c r="J1758" i="15"/>
  <c r="I1758" i="15"/>
  <c r="K1757" i="15"/>
  <c r="J1757" i="15"/>
  <c r="I1757" i="15"/>
  <c r="K1756" i="15"/>
  <c r="J1756" i="15"/>
  <c r="I1756" i="15"/>
  <c r="K1755" i="15"/>
  <c r="J1755" i="15"/>
  <c r="I1755" i="15"/>
  <c r="K1754" i="15"/>
  <c r="J1754" i="15"/>
  <c r="I1754" i="15"/>
  <c r="K1753" i="15"/>
  <c r="J1753" i="15"/>
  <c r="I1753" i="15"/>
  <c r="K1752" i="15"/>
  <c r="J1752" i="15"/>
  <c r="I1752" i="15"/>
  <c r="K1751" i="15"/>
  <c r="J1751" i="15"/>
  <c r="I1751" i="15"/>
  <c r="K1750" i="15"/>
  <c r="J1750" i="15"/>
  <c r="I1750" i="15"/>
  <c r="K1749" i="15"/>
  <c r="J1749" i="15"/>
  <c r="I1749" i="15"/>
  <c r="K1748" i="15"/>
  <c r="J1748" i="15"/>
  <c r="I1748" i="15"/>
  <c r="K1747" i="15"/>
  <c r="J1747" i="15"/>
  <c r="I1747" i="15"/>
  <c r="K1746" i="15"/>
  <c r="J1746" i="15"/>
  <c r="I1746" i="15"/>
  <c r="K1745" i="15"/>
  <c r="J1745" i="15"/>
  <c r="I1745" i="15"/>
  <c r="K1744" i="15"/>
  <c r="J1744" i="15"/>
  <c r="I1744" i="15"/>
  <c r="K1743" i="15"/>
  <c r="J1743" i="15"/>
  <c r="I1743" i="15"/>
  <c r="K1742" i="15"/>
  <c r="J1742" i="15"/>
  <c r="I1742" i="15"/>
  <c r="K1741" i="15"/>
  <c r="J1741" i="15"/>
  <c r="I1741" i="15"/>
  <c r="K1740" i="15"/>
  <c r="J1740" i="15"/>
  <c r="I1740" i="15"/>
  <c r="K1739" i="15"/>
  <c r="J1739" i="15"/>
  <c r="I1739" i="15"/>
  <c r="K1738" i="15"/>
  <c r="J1738" i="15"/>
  <c r="I1738" i="15"/>
  <c r="K1737" i="15"/>
  <c r="J1737" i="15"/>
  <c r="I1737" i="15"/>
  <c r="K1736" i="15"/>
  <c r="J1736" i="15"/>
  <c r="I1736" i="15"/>
  <c r="K1735" i="15"/>
  <c r="J1735" i="15"/>
  <c r="I1735" i="15"/>
  <c r="K1734" i="15"/>
  <c r="J1734" i="15"/>
  <c r="I1734" i="15"/>
  <c r="K1733" i="15"/>
  <c r="J1733" i="15"/>
  <c r="I1733" i="15"/>
  <c r="K1732" i="15"/>
  <c r="J1732" i="15"/>
  <c r="I1732" i="15"/>
  <c r="K1731" i="15"/>
  <c r="J1731" i="15"/>
  <c r="I1731" i="15"/>
  <c r="K1730" i="15"/>
  <c r="J1730" i="15"/>
  <c r="I1730" i="15"/>
  <c r="K1729" i="15"/>
  <c r="J1729" i="15"/>
  <c r="I1729" i="15"/>
  <c r="K1728" i="15"/>
  <c r="J1728" i="15"/>
  <c r="I1728" i="15"/>
  <c r="K1727" i="15"/>
  <c r="J1727" i="15"/>
  <c r="I1727" i="15"/>
  <c r="K1726" i="15"/>
  <c r="J1726" i="15"/>
  <c r="I1726" i="15"/>
  <c r="K1725" i="15"/>
  <c r="J1725" i="15"/>
  <c r="I1725" i="15"/>
  <c r="K1724" i="15"/>
  <c r="J1724" i="15"/>
  <c r="I1724" i="15"/>
  <c r="K1723" i="15"/>
  <c r="J1723" i="15"/>
  <c r="I1723" i="15"/>
  <c r="K1722" i="15"/>
  <c r="J1722" i="15"/>
  <c r="I1722" i="15"/>
  <c r="K1721" i="15"/>
  <c r="J1721" i="15"/>
  <c r="I1721" i="15"/>
  <c r="K1720" i="15"/>
  <c r="J1720" i="15"/>
  <c r="I1720" i="15"/>
  <c r="K1719" i="15"/>
  <c r="J1719" i="15"/>
  <c r="I1719" i="15"/>
  <c r="K1718" i="15"/>
  <c r="J1718" i="15"/>
  <c r="I1718" i="15"/>
  <c r="K1717" i="15"/>
  <c r="J1717" i="15"/>
  <c r="I1717" i="15"/>
  <c r="K1716" i="15"/>
  <c r="J1716" i="15"/>
  <c r="I1716" i="15"/>
  <c r="K1715" i="15"/>
  <c r="J1715" i="15"/>
  <c r="I1715" i="15"/>
  <c r="K1714" i="15"/>
  <c r="J1714" i="15"/>
  <c r="I1714" i="15"/>
  <c r="K1713" i="15"/>
  <c r="J1713" i="15"/>
  <c r="I1713" i="15"/>
  <c r="K1712" i="15"/>
  <c r="J1712" i="15"/>
  <c r="I1712" i="15"/>
  <c r="K1711" i="15"/>
  <c r="J1711" i="15"/>
  <c r="I1711" i="15"/>
  <c r="K1710" i="15"/>
  <c r="J1710" i="15"/>
  <c r="I1710" i="15"/>
  <c r="K1709" i="15"/>
  <c r="J1709" i="15"/>
  <c r="I1709" i="15"/>
  <c r="K1708" i="15"/>
  <c r="J1708" i="15"/>
  <c r="I1708" i="15"/>
  <c r="K1707" i="15"/>
  <c r="J1707" i="15"/>
  <c r="I1707" i="15"/>
  <c r="K1706" i="15"/>
  <c r="J1706" i="15"/>
  <c r="I1706" i="15"/>
  <c r="K1705" i="15"/>
  <c r="J1705" i="15"/>
  <c r="I1705" i="15"/>
  <c r="K1704" i="15"/>
  <c r="J1704" i="15"/>
  <c r="I1704" i="15"/>
  <c r="K1703" i="15"/>
  <c r="J1703" i="15"/>
  <c r="I1703" i="15"/>
  <c r="K1702" i="15"/>
  <c r="J1702" i="15"/>
  <c r="I1702" i="15"/>
  <c r="K1701" i="15"/>
  <c r="J1701" i="15"/>
  <c r="I1701" i="15"/>
  <c r="K1700" i="15"/>
  <c r="J1700" i="15"/>
  <c r="I1700" i="15"/>
  <c r="K1699" i="15"/>
  <c r="J1699" i="15"/>
  <c r="I1699" i="15"/>
  <c r="K1698" i="15"/>
  <c r="J1698" i="15"/>
  <c r="I1698" i="15"/>
  <c r="K1697" i="15"/>
  <c r="J1697" i="15"/>
  <c r="I1697" i="15"/>
  <c r="K1696" i="15"/>
  <c r="J1696" i="15"/>
  <c r="I1696" i="15"/>
  <c r="K1695" i="15"/>
  <c r="J1695" i="15"/>
  <c r="I1695" i="15"/>
  <c r="K1694" i="15"/>
  <c r="J1694" i="15"/>
  <c r="I1694" i="15"/>
  <c r="K1693" i="15"/>
  <c r="J1693" i="15"/>
  <c r="I1693" i="15"/>
  <c r="K1692" i="15"/>
  <c r="J1692" i="15"/>
  <c r="I1692" i="15"/>
  <c r="K1691" i="15"/>
  <c r="J1691" i="15"/>
  <c r="I1691" i="15"/>
  <c r="K1690" i="15"/>
  <c r="J1690" i="15"/>
  <c r="I1690" i="15"/>
  <c r="K1689" i="15"/>
  <c r="J1689" i="15"/>
  <c r="I1689" i="15"/>
  <c r="K1688" i="15"/>
  <c r="J1688" i="15"/>
  <c r="I1688" i="15"/>
  <c r="K1687" i="15"/>
  <c r="J1687" i="15"/>
  <c r="I1687" i="15"/>
  <c r="K1686" i="15"/>
  <c r="J1686" i="15"/>
  <c r="I1686" i="15"/>
  <c r="K1685" i="15"/>
  <c r="J1685" i="15"/>
  <c r="I1685" i="15"/>
  <c r="K1684" i="15"/>
  <c r="J1684" i="15"/>
  <c r="I1684" i="15"/>
  <c r="K1683" i="15"/>
  <c r="J1683" i="15"/>
  <c r="I1683" i="15"/>
  <c r="K1682" i="15"/>
  <c r="J1682" i="15"/>
  <c r="I1682" i="15"/>
  <c r="K1681" i="15"/>
  <c r="J1681" i="15"/>
  <c r="I1681" i="15"/>
  <c r="K1680" i="15"/>
  <c r="J1680" i="15"/>
  <c r="I1680" i="15"/>
  <c r="K1679" i="15"/>
  <c r="J1679" i="15"/>
  <c r="I1679" i="15"/>
  <c r="K1678" i="15"/>
  <c r="J1678" i="15"/>
  <c r="I1678" i="15"/>
  <c r="K1677" i="15"/>
  <c r="J1677" i="15"/>
  <c r="I1677" i="15"/>
  <c r="K1676" i="15"/>
  <c r="J1676" i="15"/>
  <c r="I1676" i="15"/>
  <c r="K1675" i="15"/>
  <c r="J1675" i="15"/>
  <c r="I1675" i="15"/>
  <c r="K1674" i="15"/>
  <c r="J1674" i="15"/>
  <c r="I1674" i="15"/>
  <c r="K1673" i="15"/>
  <c r="J1673" i="15"/>
  <c r="I1673" i="15"/>
  <c r="K1672" i="15"/>
  <c r="J1672" i="15"/>
  <c r="I1672" i="15"/>
  <c r="K1671" i="15"/>
  <c r="J1671" i="15"/>
  <c r="I1671" i="15"/>
  <c r="K1670" i="15"/>
  <c r="J1670" i="15"/>
  <c r="I1670" i="15"/>
  <c r="K1669" i="15"/>
  <c r="J1669" i="15"/>
  <c r="I1669" i="15"/>
  <c r="K1668" i="15"/>
  <c r="J1668" i="15"/>
  <c r="I1668" i="15"/>
  <c r="K1667" i="15"/>
  <c r="J1667" i="15"/>
  <c r="I1667" i="15"/>
  <c r="K1666" i="15"/>
  <c r="J1666" i="15"/>
  <c r="I1666" i="15"/>
  <c r="K1665" i="15"/>
  <c r="J1665" i="15"/>
  <c r="I1665" i="15"/>
  <c r="K1664" i="15"/>
  <c r="J1664" i="15"/>
  <c r="I1664" i="15"/>
  <c r="K1663" i="15"/>
  <c r="J1663" i="15"/>
  <c r="I1663" i="15"/>
  <c r="K1662" i="15"/>
  <c r="J1662" i="15"/>
  <c r="I1662" i="15"/>
  <c r="K1661" i="15"/>
  <c r="J1661" i="15"/>
  <c r="I1661" i="15"/>
  <c r="K1660" i="15"/>
  <c r="J1660" i="15"/>
  <c r="I1660" i="15"/>
  <c r="K1659" i="15"/>
  <c r="J1659" i="15"/>
  <c r="I1659" i="15"/>
  <c r="K1658" i="15"/>
  <c r="J1658" i="15"/>
  <c r="I1658" i="15"/>
  <c r="K1657" i="15"/>
  <c r="J1657" i="15"/>
  <c r="I1657" i="15"/>
  <c r="K1656" i="15"/>
  <c r="J1656" i="15"/>
  <c r="I1656" i="15"/>
  <c r="K1655" i="15"/>
  <c r="J1655" i="15"/>
  <c r="I1655" i="15"/>
  <c r="K1654" i="15"/>
  <c r="J1654" i="15"/>
  <c r="I1654" i="15"/>
  <c r="K1653" i="15"/>
  <c r="J1653" i="15"/>
  <c r="I1653" i="15"/>
  <c r="K1652" i="15"/>
  <c r="J1652" i="15"/>
  <c r="I1652" i="15"/>
  <c r="K1651" i="15"/>
  <c r="J1651" i="15"/>
  <c r="I1651" i="15"/>
  <c r="K1650" i="15"/>
  <c r="J1650" i="15"/>
  <c r="I1650" i="15"/>
  <c r="K1649" i="15"/>
  <c r="J1649" i="15"/>
  <c r="I1649" i="15"/>
  <c r="K1648" i="15"/>
  <c r="J1648" i="15"/>
  <c r="I1648" i="15"/>
  <c r="K1647" i="15"/>
  <c r="J1647" i="15"/>
  <c r="I1647" i="15"/>
  <c r="K1646" i="15"/>
  <c r="J1646" i="15"/>
  <c r="I1646" i="15"/>
  <c r="K1645" i="15"/>
  <c r="J1645" i="15"/>
  <c r="I1645" i="15"/>
  <c r="K1644" i="15"/>
  <c r="J1644" i="15"/>
  <c r="I1644" i="15"/>
  <c r="K1643" i="15"/>
  <c r="J1643" i="15"/>
  <c r="I1643" i="15"/>
  <c r="K1642" i="15"/>
  <c r="J1642" i="15"/>
  <c r="I1642" i="15"/>
  <c r="K1641" i="15"/>
  <c r="J1641" i="15"/>
  <c r="I1641" i="15"/>
  <c r="K1640" i="15"/>
  <c r="J1640" i="15"/>
  <c r="I1640" i="15"/>
  <c r="K1639" i="15"/>
  <c r="J1639" i="15"/>
  <c r="I1639" i="15"/>
  <c r="K1638" i="15"/>
  <c r="J1638" i="15"/>
  <c r="I1638" i="15"/>
  <c r="K1637" i="15"/>
  <c r="J1637" i="15"/>
  <c r="I1637" i="15"/>
  <c r="K1636" i="15"/>
  <c r="J1636" i="15"/>
  <c r="I1636" i="15"/>
  <c r="K1635" i="15"/>
  <c r="J1635" i="15"/>
  <c r="I1635" i="15"/>
  <c r="K1634" i="15"/>
  <c r="J1634" i="15"/>
  <c r="I1634" i="15"/>
  <c r="K1633" i="15"/>
  <c r="J1633" i="15"/>
  <c r="I1633" i="15"/>
  <c r="K1632" i="15"/>
  <c r="J1632" i="15"/>
  <c r="I1632" i="15"/>
  <c r="K1631" i="15"/>
  <c r="J1631" i="15"/>
  <c r="I1631" i="15"/>
  <c r="K1630" i="15"/>
  <c r="J1630" i="15"/>
  <c r="I1630" i="15"/>
  <c r="K1629" i="15"/>
  <c r="J1629" i="15"/>
  <c r="I1629" i="15"/>
  <c r="K1628" i="15"/>
  <c r="J1628" i="15"/>
  <c r="I1628" i="15"/>
  <c r="K1627" i="15"/>
  <c r="J1627" i="15"/>
  <c r="I1627" i="15"/>
  <c r="K1626" i="15"/>
  <c r="J1626" i="15"/>
  <c r="I1626" i="15"/>
  <c r="K1625" i="15"/>
  <c r="J1625" i="15"/>
  <c r="I1625" i="15"/>
  <c r="K1624" i="15"/>
  <c r="J1624" i="15"/>
  <c r="I1624" i="15"/>
  <c r="K1623" i="15"/>
  <c r="J1623" i="15"/>
  <c r="I1623" i="15"/>
  <c r="K1622" i="15"/>
  <c r="J1622" i="15"/>
  <c r="I1622" i="15"/>
  <c r="K1621" i="15"/>
  <c r="J1621" i="15"/>
  <c r="I1621" i="15"/>
  <c r="K1620" i="15"/>
  <c r="J1620" i="15"/>
  <c r="I1620" i="15"/>
  <c r="K1619" i="15"/>
  <c r="J1619" i="15"/>
  <c r="I1619" i="15"/>
  <c r="K1618" i="15"/>
  <c r="J1618" i="15"/>
  <c r="I1618" i="15"/>
  <c r="K1617" i="15"/>
  <c r="J1617" i="15"/>
  <c r="I1617" i="15"/>
  <c r="K1616" i="15"/>
  <c r="J1616" i="15"/>
  <c r="I1616" i="15"/>
  <c r="K1615" i="15"/>
  <c r="J1615" i="15"/>
  <c r="I1615" i="15"/>
  <c r="K1614" i="15"/>
  <c r="J1614" i="15"/>
  <c r="I1614" i="15"/>
  <c r="K1613" i="15"/>
  <c r="J1613" i="15"/>
  <c r="I1613" i="15"/>
  <c r="K1612" i="15"/>
  <c r="J1612" i="15"/>
  <c r="I1612" i="15"/>
  <c r="K1611" i="15"/>
  <c r="J1611" i="15"/>
  <c r="I1611" i="15"/>
  <c r="K1610" i="15"/>
  <c r="J1610" i="15"/>
  <c r="I1610" i="15"/>
  <c r="K1609" i="15"/>
  <c r="J1609" i="15"/>
  <c r="I1609" i="15"/>
  <c r="K1608" i="15"/>
  <c r="J1608" i="15"/>
  <c r="I1608" i="15"/>
  <c r="K1607" i="15"/>
  <c r="J1607" i="15"/>
  <c r="I1607" i="15"/>
  <c r="K1606" i="15"/>
  <c r="J1606" i="15"/>
  <c r="I1606" i="15"/>
  <c r="K1605" i="15"/>
  <c r="J1605" i="15"/>
  <c r="I1605" i="15"/>
  <c r="K1604" i="15"/>
  <c r="J1604" i="15"/>
  <c r="I1604" i="15"/>
  <c r="K1603" i="15"/>
  <c r="J1603" i="15"/>
  <c r="I1603" i="15"/>
  <c r="K1602" i="15"/>
  <c r="J1602" i="15"/>
  <c r="I1602" i="15"/>
  <c r="K1601" i="15"/>
  <c r="J1601" i="15"/>
  <c r="I1601" i="15"/>
  <c r="K1600" i="15"/>
  <c r="J1600" i="15"/>
  <c r="I1600" i="15"/>
  <c r="K1599" i="15"/>
  <c r="J1599" i="15"/>
  <c r="I1599" i="15"/>
  <c r="K1598" i="15"/>
  <c r="J1598" i="15"/>
  <c r="I1598" i="15"/>
  <c r="K1597" i="15"/>
  <c r="J1597" i="15"/>
  <c r="I1597" i="15"/>
  <c r="K1596" i="15"/>
  <c r="J1596" i="15"/>
  <c r="I1596" i="15"/>
  <c r="K1595" i="15"/>
  <c r="J1595" i="15"/>
  <c r="I1595" i="15"/>
  <c r="K1594" i="15"/>
  <c r="J1594" i="15"/>
  <c r="I1594" i="15"/>
  <c r="K1593" i="15"/>
  <c r="J1593" i="15"/>
  <c r="I1593" i="15"/>
  <c r="K1592" i="15"/>
  <c r="J1592" i="15"/>
  <c r="I1592" i="15"/>
  <c r="K1591" i="15"/>
  <c r="J1591" i="15"/>
  <c r="I1591" i="15"/>
  <c r="K1590" i="15"/>
  <c r="J1590" i="15"/>
  <c r="I1590" i="15"/>
  <c r="K1589" i="15"/>
  <c r="J1589" i="15"/>
  <c r="I1589" i="15"/>
  <c r="K1588" i="15"/>
  <c r="J1588" i="15"/>
  <c r="I1588" i="15"/>
  <c r="K1587" i="15"/>
  <c r="J1587" i="15"/>
  <c r="I1587" i="15"/>
  <c r="K1586" i="15"/>
  <c r="J1586" i="15"/>
  <c r="I1586" i="15"/>
  <c r="K1585" i="15"/>
  <c r="J1585" i="15"/>
  <c r="I1585" i="15"/>
  <c r="K1584" i="15"/>
  <c r="J1584" i="15"/>
  <c r="I1584" i="15"/>
  <c r="K1583" i="15"/>
  <c r="J1583" i="15"/>
  <c r="I1583" i="15"/>
  <c r="K1582" i="15"/>
  <c r="J1582" i="15"/>
  <c r="I1582" i="15"/>
  <c r="K1581" i="15"/>
  <c r="J1581" i="15"/>
  <c r="I1581" i="15"/>
  <c r="K1580" i="15"/>
  <c r="J1580" i="15"/>
  <c r="I1580" i="15"/>
  <c r="K1579" i="15"/>
  <c r="J1579" i="15"/>
  <c r="I1579" i="15"/>
  <c r="K1578" i="15"/>
  <c r="J1578" i="15"/>
  <c r="I1578" i="15"/>
  <c r="K1577" i="15"/>
  <c r="J1577" i="15"/>
  <c r="I1577" i="15"/>
  <c r="K1576" i="15"/>
  <c r="J1576" i="15"/>
  <c r="I1576" i="15"/>
  <c r="K1575" i="15"/>
  <c r="J1575" i="15"/>
  <c r="I1575" i="15"/>
  <c r="K1574" i="15"/>
  <c r="J1574" i="15"/>
  <c r="I1574" i="15"/>
  <c r="K1573" i="15"/>
  <c r="J1573" i="15"/>
  <c r="I1573" i="15"/>
  <c r="K1572" i="15"/>
  <c r="J1572" i="15"/>
  <c r="I1572" i="15"/>
  <c r="K1571" i="15"/>
  <c r="J1571" i="15"/>
  <c r="I1571" i="15"/>
  <c r="K1570" i="15"/>
  <c r="J1570" i="15"/>
  <c r="I1570" i="15"/>
  <c r="K1569" i="15"/>
  <c r="J1569" i="15"/>
  <c r="I1569" i="15"/>
  <c r="K1568" i="15"/>
  <c r="J1568" i="15"/>
  <c r="I1568" i="15"/>
  <c r="K1567" i="15"/>
  <c r="J1567" i="15"/>
  <c r="I1567" i="15"/>
  <c r="K1566" i="15"/>
  <c r="J1566" i="15"/>
  <c r="I1566" i="15"/>
  <c r="K1565" i="15"/>
  <c r="J1565" i="15"/>
  <c r="I1565" i="15"/>
  <c r="K1564" i="15"/>
  <c r="J1564" i="15"/>
  <c r="I1564" i="15"/>
  <c r="K1563" i="15"/>
  <c r="J1563" i="15"/>
  <c r="I1563" i="15"/>
  <c r="K1562" i="15"/>
  <c r="J1562" i="15"/>
  <c r="I1562" i="15"/>
  <c r="K1561" i="15"/>
  <c r="J1561" i="15"/>
  <c r="I1561" i="15"/>
  <c r="K1560" i="15"/>
  <c r="J1560" i="15"/>
  <c r="I1560" i="15"/>
  <c r="K1559" i="15"/>
  <c r="J1559" i="15"/>
  <c r="I1559" i="15"/>
  <c r="K1558" i="15"/>
  <c r="J1558" i="15"/>
  <c r="I1558" i="15"/>
  <c r="K1557" i="15"/>
  <c r="J1557" i="15"/>
  <c r="I1557" i="15"/>
  <c r="K1556" i="15"/>
  <c r="J1556" i="15"/>
  <c r="I1556" i="15"/>
  <c r="K1555" i="15"/>
  <c r="J1555" i="15"/>
  <c r="I1555" i="15"/>
  <c r="K1554" i="15"/>
  <c r="J1554" i="15"/>
  <c r="I1554" i="15"/>
  <c r="K1553" i="15"/>
  <c r="J1553" i="15"/>
  <c r="I1553" i="15"/>
  <c r="K1552" i="15"/>
  <c r="J1552" i="15"/>
  <c r="I1552" i="15"/>
  <c r="K1551" i="15"/>
  <c r="J1551" i="15"/>
  <c r="I1551" i="15"/>
  <c r="K1550" i="15"/>
  <c r="J1550" i="15"/>
  <c r="I1550" i="15"/>
  <c r="K1549" i="15"/>
  <c r="J1549" i="15"/>
  <c r="I1549" i="15"/>
  <c r="K1548" i="15"/>
  <c r="J1548" i="15"/>
  <c r="I1548" i="15"/>
  <c r="K1547" i="15"/>
  <c r="J1547" i="15"/>
  <c r="I1547" i="15"/>
  <c r="K1546" i="15"/>
  <c r="J1546" i="15"/>
  <c r="I1546" i="15"/>
  <c r="K1545" i="15"/>
  <c r="J1545" i="15"/>
  <c r="I1545" i="15"/>
  <c r="K1544" i="15"/>
  <c r="J1544" i="15"/>
  <c r="I1544" i="15"/>
  <c r="K1543" i="15"/>
  <c r="J1543" i="15"/>
  <c r="I1543" i="15"/>
  <c r="K1542" i="15"/>
  <c r="J1542" i="15"/>
  <c r="I1542" i="15"/>
  <c r="K1541" i="15"/>
  <c r="J1541" i="15"/>
  <c r="I1541" i="15"/>
  <c r="K1540" i="15"/>
  <c r="J1540" i="15"/>
  <c r="I1540" i="15"/>
  <c r="K1539" i="15"/>
  <c r="J1539" i="15"/>
  <c r="I1539" i="15"/>
  <c r="K1538" i="15"/>
  <c r="J1538" i="15"/>
  <c r="I1538" i="15"/>
  <c r="K1537" i="15"/>
  <c r="J1537" i="15"/>
  <c r="I1537" i="15"/>
  <c r="K1536" i="15"/>
  <c r="J1536" i="15"/>
  <c r="I1536" i="15"/>
  <c r="K1535" i="15"/>
  <c r="J1535" i="15"/>
  <c r="I1535" i="15"/>
  <c r="K1534" i="15"/>
  <c r="J1534" i="15"/>
  <c r="I1534" i="15"/>
  <c r="K1533" i="15"/>
  <c r="J1533" i="15"/>
  <c r="I1533" i="15"/>
  <c r="K1532" i="15"/>
  <c r="J1532" i="15"/>
  <c r="I1532" i="15"/>
  <c r="K1531" i="15"/>
  <c r="J1531" i="15"/>
  <c r="I1531" i="15"/>
  <c r="K1530" i="15"/>
  <c r="J1530" i="15"/>
  <c r="I1530" i="15"/>
  <c r="K1529" i="15"/>
  <c r="J1529" i="15"/>
  <c r="I1529" i="15"/>
  <c r="K1528" i="15"/>
  <c r="J1528" i="15"/>
  <c r="I1528" i="15"/>
  <c r="K1527" i="15"/>
  <c r="J1527" i="15"/>
  <c r="I1527" i="15"/>
  <c r="K1526" i="15"/>
  <c r="J1526" i="15"/>
  <c r="I1526" i="15"/>
  <c r="K1525" i="15"/>
  <c r="J1525" i="15"/>
  <c r="I1525" i="15"/>
  <c r="K1524" i="15"/>
  <c r="J1524" i="15"/>
  <c r="I1524" i="15"/>
  <c r="K1523" i="15"/>
  <c r="J1523" i="15"/>
  <c r="I1523" i="15"/>
  <c r="K1522" i="15"/>
  <c r="J1522" i="15"/>
  <c r="I1522" i="15"/>
  <c r="K1521" i="15"/>
  <c r="J1521" i="15"/>
  <c r="I1521" i="15"/>
  <c r="K1520" i="15"/>
  <c r="J1520" i="15"/>
  <c r="I1520" i="15"/>
  <c r="K1519" i="15"/>
  <c r="J1519" i="15"/>
  <c r="I1519" i="15"/>
  <c r="K1518" i="15"/>
  <c r="J1518" i="15"/>
  <c r="I1518" i="15"/>
  <c r="K1517" i="15"/>
  <c r="J1517" i="15"/>
  <c r="I1517" i="15"/>
  <c r="K1516" i="15"/>
  <c r="J1516" i="15"/>
  <c r="I1516" i="15"/>
  <c r="K1515" i="15"/>
  <c r="J1515" i="15"/>
  <c r="I1515" i="15"/>
  <c r="K1514" i="15"/>
  <c r="J1514" i="15"/>
  <c r="I1514" i="15"/>
  <c r="K1513" i="15"/>
  <c r="J1513" i="15"/>
  <c r="I1513" i="15"/>
  <c r="K1512" i="15"/>
  <c r="J1512" i="15"/>
  <c r="I1512" i="15"/>
  <c r="K1511" i="15"/>
  <c r="J1511" i="15"/>
  <c r="I1511" i="15"/>
  <c r="K1510" i="15"/>
  <c r="J1510" i="15"/>
  <c r="I1510" i="15"/>
  <c r="K1509" i="15"/>
  <c r="J1509" i="15"/>
  <c r="I1509" i="15"/>
  <c r="K1508" i="15"/>
  <c r="J1508" i="15"/>
  <c r="I1508" i="15"/>
  <c r="K1507" i="15"/>
  <c r="J1507" i="15"/>
  <c r="I1507" i="15"/>
  <c r="K1506" i="15"/>
  <c r="J1506" i="15"/>
  <c r="I1506" i="15"/>
  <c r="K1505" i="15"/>
  <c r="J1505" i="15"/>
  <c r="I1505" i="15"/>
  <c r="K1504" i="15"/>
  <c r="J1504" i="15"/>
  <c r="I1504" i="15"/>
  <c r="K1503" i="15"/>
  <c r="J1503" i="15"/>
  <c r="I1503" i="15"/>
  <c r="K1502" i="15"/>
  <c r="J1502" i="15"/>
  <c r="I1502" i="15"/>
  <c r="K1501" i="15"/>
  <c r="J1501" i="15"/>
  <c r="I1501" i="15"/>
  <c r="K1500" i="15"/>
  <c r="J1500" i="15"/>
  <c r="I1500" i="15"/>
  <c r="K1499" i="15"/>
  <c r="J1499" i="15"/>
  <c r="I1499" i="15"/>
  <c r="K1498" i="15"/>
  <c r="J1498" i="15"/>
  <c r="I1498" i="15"/>
  <c r="K1497" i="15"/>
  <c r="J1497" i="15"/>
  <c r="I1497" i="15"/>
  <c r="K1496" i="15"/>
  <c r="J1496" i="15"/>
  <c r="I1496" i="15"/>
  <c r="K1495" i="15"/>
  <c r="J1495" i="15"/>
  <c r="I1495" i="15"/>
  <c r="K1494" i="15"/>
  <c r="J1494" i="15"/>
  <c r="I1494" i="15"/>
  <c r="K1493" i="15"/>
  <c r="J1493" i="15"/>
  <c r="I1493" i="15"/>
  <c r="K1492" i="15"/>
  <c r="J1492" i="15"/>
  <c r="I1492" i="15"/>
  <c r="K1491" i="15"/>
  <c r="J1491" i="15"/>
  <c r="I1491" i="15"/>
  <c r="K1490" i="15"/>
  <c r="J1490" i="15"/>
  <c r="I1490" i="15"/>
  <c r="K1489" i="15"/>
  <c r="J1489" i="15"/>
  <c r="I1489" i="15"/>
  <c r="K1488" i="15"/>
  <c r="J1488" i="15"/>
  <c r="I1488" i="15"/>
  <c r="K1487" i="15"/>
  <c r="J1487" i="15"/>
  <c r="I1487" i="15"/>
  <c r="K1486" i="15"/>
  <c r="J1486" i="15"/>
  <c r="I1486" i="15"/>
  <c r="K1485" i="15"/>
  <c r="J1485" i="15"/>
  <c r="I1485" i="15"/>
  <c r="K1484" i="15"/>
  <c r="J1484" i="15"/>
  <c r="I1484" i="15"/>
  <c r="K1483" i="15"/>
  <c r="J1483" i="15"/>
  <c r="I1483" i="15"/>
  <c r="K1482" i="15"/>
  <c r="J1482" i="15"/>
  <c r="I1482" i="15"/>
  <c r="K1481" i="15"/>
  <c r="J1481" i="15"/>
  <c r="I1481" i="15"/>
  <c r="K1480" i="15"/>
  <c r="J1480" i="15"/>
  <c r="I1480" i="15"/>
  <c r="K1479" i="15"/>
  <c r="J1479" i="15"/>
  <c r="I1479" i="15"/>
  <c r="K1478" i="15"/>
  <c r="J1478" i="15"/>
  <c r="I1478" i="15"/>
  <c r="K1477" i="15"/>
  <c r="J1477" i="15"/>
  <c r="I1477" i="15"/>
  <c r="K1476" i="15"/>
  <c r="J1476" i="15"/>
  <c r="I1476" i="15"/>
  <c r="K1475" i="15"/>
  <c r="J1475" i="15"/>
  <c r="I1475" i="15"/>
  <c r="K1474" i="15"/>
  <c r="J1474" i="15"/>
  <c r="I1474" i="15"/>
  <c r="K1473" i="15"/>
  <c r="J1473" i="15"/>
  <c r="I1473" i="15"/>
  <c r="K1472" i="15"/>
  <c r="J1472" i="15"/>
  <c r="I1472" i="15"/>
  <c r="K1471" i="15"/>
  <c r="J1471" i="15"/>
  <c r="I1471" i="15"/>
  <c r="K1470" i="15"/>
  <c r="J1470" i="15"/>
  <c r="I1470" i="15"/>
  <c r="K1469" i="15"/>
  <c r="J1469" i="15"/>
  <c r="I1469" i="15"/>
  <c r="K1468" i="15"/>
  <c r="J1468" i="15"/>
  <c r="I1468" i="15"/>
  <c r="K1467" i="15"/>
  <c r="J1467" i="15"/>
  <c r="I1467" i="15"/>
  <c r="K1466" i="15"/>
  <c r="J1466" i="15"/>
  <c r="I1466" i="15"/>
  <c r="K1465" i="15"/>
  <c r="J1465" i="15"/>
  <c r="I1465" i="15"/>
  <c r="K1464" i="15"/>
  <c r="J1464" i="15"/>
  <c r="I1464" i="15"/>
  <c r="K1463" i="15"/>
  <c r="J1463" i="15"/>
  <c r="I1463" i="15"/>
  <c r="K1462" i="15"/>
  <c r="J1462" i="15"/>
  <c r="I1462" i="15"/>
  <c r="K1461" i="15"/>
  <c r="J1461" i="15"/>
  <c r="I1461" i="15"/>
  <c r="K1460" i="15"/>
  <c r="J1460" i="15"/>
  <c r="I1460" i="15"/>
  <c r="K1459" i="15"/>
  <c r="J1459" i="15"/>
  <c r="I1459" i="15"/>
  <c r="K1458" i="15"/>
  <c r="J1458" i="15"/>
  <c r="I1458" i="15"/>
  <c r="K1457" i="15"/>
  <c r="J1457" i="15"/>
  <c r="I1457" i="15"/>
  <c r="K1456" i="15"/>
  <c r="J1456" i="15"/>
  <c r="I1456" i="15"/>
  <c r="K1455" i="15"/>
  <c r="J1455" i="15"/>
  <c r="I1455" i="15"/>
  <c r="K1454" i="15"/>
  <c r="J1454" i="15"/>
  <c r="I1454" i="15"/>
  <c r="K1453" i="15"/>
  <c r="J1453" i="15"/>
  <c r="I1453" i="15"/>
  <c r="K1452" i="15"/>
  <c r="J1452" i="15"/>
  <c r="I1452" i="15"/>
  <c r="K1451" i="15"/>
  <c r="J1451" i="15"/>
  <c r="I1451" i="15"/>
  <c r="K1450" i="15"/>
  <c r="J1450" i="15"/>
  <c r="I1450" i="15"/>
  <c r="K1449" i="15"/>
  <c r="J1449" i="15"/>
  <c r="I1449" i="15"/>
  <c r="K1448" i="15"/>
  <c r="J1448" i="15"/>
  <c r="I1448" i="15"/>
  <c r="K1447" i="15"/>
  <c r="J1447" i="15"/>
  <c r="I1447" i="15"/>
  <c r="K1446" i="15"/>
  <c r="J1446" i="15"/>
  <c r="I1446" i="15"/>
  <c r="K1445" i="15"/>
  <c r="J1445" i="15"/>
  <c r="I1445" i="15"/>
  <c r="K1444" i="15"/>
  <c r="J1444" i="15"/>
  <c r="I1444" i="15"/>
  <c r="K1443" i="15"/>
  <c r="J1443" i="15"/>
  <c r="I1443" i="15"/>
  <c r="K1442" i="15"/>
  <c r="J1442" i="15"/>
  <c r="I1442" i="15"/>
  <c r="K1441" i="15"/>
  <c r="J1441" i="15"/>
  <c r="I1441" i="15"/>
  <c r="K1440" i="15"/>
  <c r="J1440" i="15"/>
  <c r="I1440" i="15"/>
  <c r="K1439" i="15"/>
  <c r="J1439" i="15"/>
  <c r="I1439" i="15"/>
  <c r="K1438" i="15"/>
  <c r="J1438" i="15"/>
  <c r="I1438" i="15"/>
  <c r="K1437" i="15"/>
  <c r="J1437" i="15"/>
  <c r="I1437" i="15"/>
  <c r="K1436" i="15"/>
  <c r="J1436" i="15"/>
  <c r="I1436" i="15"/>
  <c r="K1435" i="15"/>
  <c r="J1435" i="15"/>
  <c r="I1435" i="15"/>
  <c r="K1434" i="15"/>
  <c r="J1434" i="15"/>
  <c r="I1434" i="15"/>
  <c r="K1433" i="15"/>
  <c r="J1433" i="15"/>
  <c r="I1433" i="15"/>
  <c r="K1432" i="15"/>
  <c r="J1432" i="15"/>
  <c r="I1432" i="15"/>
  <c r="K1431" i="15"/>
  <c r="J1431" i="15"/>
  <c r="I1431" i="15"/>
  <c r="K1430" i="15"/>
  <c r="J1430" i="15"/>
  <c r="I1430" i="15"/>
  <c r="K1429" i="15"/>
  <c r="J1429" i="15"/>
  <c r="I1429" i="15"/>
  <c r="K1428" i="15"/>
  <c r="J1428" i="15"/>
  <c r="I1428" i="15"/>
  <c r="K1427" i="15"/>
  <c r="J1427" i="15"/>
  <c r="I1427" i="15"/>
  <c r="K1426" i="15"/>
  <c r="J1426" i="15"/>
  <c r="I1426" i="15"/>
  <c r="K1425" i="15"/>
  <c r="J1425" i="15"/>
  <c r="I1425" i="15"/>
  <c r="K1424" i="15"/>
  <c r="J1424" i="15"/>
  <c r="I1424" i="15"/>
  <c r="K1423" i="15"/>
  <c r="J1423" i="15"/>
  <c r="I1423" i="15"/>
  <c r="K1422" i="15"/>
  <c r="J1422" i="15"/>
  <c r="I1422" i="15"/>
  <c r="K1421" i="15"/>
  <c r="J1421" i="15"/>
  <c r="I1421" i="15"/>
  <c r="K1420" i="15"/>
  <c r="J1420" i="15"/>
  <c r="I1420" i="15"/>
  <c r="K1419" i="15"/>
  <c r="J1419" i="15"/>
  <c r="I1419" i="15"/>
  <c r="K1418" i="15"/>
  <c r="J1418" i="15"/>
  <c r="I1418" i="15"/>
  <c r="K1417" i="15"/>
  <c r="J1417" i="15"/>
  <c r="I1417" i="15"/>
  <c r="K1416" i="15"/>
  <c r="J1416" i="15"/>
  <c r="I1416" i="15"/>
  <c r="K1415" i="15"/>
  <c r="J1415" i="15"/>
  <c r="I1415" i="15"/>
  <c r="K1414" i="15"/>
  <c r="J1414" i="15"/>
  <c r="I1414" i="15"/>
  <c r="K1413" i="15"/>
  <c r="J1413" i="15"/>
  <c r="I1413" i="15"/>
  <c r="K1412" i="15"/>
  <c r="J1412" i="15"/>
  <c r="I1412" i="15"/>
  <c r="K1411" i="15"/>
  <c r="J1411" i="15"/>
  <c r="I1411" i="15"/>
  <c r="K1410" i="15"/>
  <c r="J1410" i="15"/>
  <c r="I1410" i="15"/>
  <c r="K1409" i="15"/>
  <c r="J1409" i="15"/>
  <c r="I1409" i="15"/>
  <c r="K1408" i="15"/>
  <c r="J1408" i="15"/>
  <c r="I1408" i="15"/>
  <c r="K1407" i="15"/>
  <c r="J1407" i="15"/>
  <c r="I1407" i="15"/>
  <c r="K1406" i="15"/>
  <c r="J1406" i="15"/>
  <c r="I1406" i="15"/>
  <c r="K1405" i="15"/>
  <c r="J1405" i="15"/>
  <c r="I1405" i="15"/>
  <c r="K1404" i="15"/>
  <c r="J1404" i="15"/>
  <c r="I1404" i="15"/>
  <c r="K1403" i="15"/>
  <c r="J1403" i="15"/>
  <c r="I1403" i="15"/>
  <c r="K1402" i="15"/>
  <c r="J1402" i="15"/>
  <c r="I1402" i="15"/>
  <c r="K1401" i="15"/>
  <c r="J1401" i="15"/>
  <c r="I1401" i="15"/>
  <c r="K1400" i="15"/>
  <c r="J1400" i="15"/>
  <c r="I1400" i="15"/>
  <c r="K1399" i="15"/>
  <c r="J1399" i="15"/>
  <c r="I1399" i="15"/>
  <c r="K1398" i="15"/>
  <c r="J1398" i="15"/>
  <c r="I1398" i="15"/>
  <c r="K1397" i="15"/>
  <c r="J1397" i="15"/>
  <c r="I1397" i="15"/>
  <c r="K1396" i="15"/>
  <c r="J1396" i="15"/>
  <c r="I1396" i="15"/>
  <c r="K1395" i="15"/>
  <c r="J1395" i="15"/>
  <c r="I1395" i="15"/>
  <c r="K1394" i="15"/>
  <c r="J1394" i="15"/>
  <c r="I1394" i="15"/>
  <c r="K1393" i="15"/>
  <c r="J1393" i="15"/>
  <c r="I1393" i="15"/>
  <c r="K1392" i="15"/>
  <c r="J1392" i="15"/>
  <c r="I1392" i="15"/>
  <c r="K1391" i="15"/>
  <c r="J1391" i="15"/>
  <c r="I1391" i="15"/>
  <c r="K1390" i="15"/>
  <c r="J1390" i="15"/>
  <c r="I1390" i="15"/>
  <c r="K1389" i="15"/>
  <c r="J1389" i="15"/>
  <c r="I1389" i="15"/>
  <c r="K1388" i="15"/>
  <c r="J1388" i="15"/>
  <c r="I1388" i="15"/>
  <c r="K1387" i="15"/>
  <c r="J1387" i="15"/>
  <c r="I1387" i="15"/>
  <c r="K1386" i="15"/>
  <c r="J1386" i="15"/>
  <c r="I1386" i="15"/>
  <c r="K1385" i="15"/>
  <c r="J1385" i="15"/>
  <c r="I1385" i="15"/>
  <c r="K1384" i="15"/>
  <c r="J1384" i="15"/>
  <c r="I1384" i="15"/>
  <c r="K1383" i="15"/>
  <c r="J1383" i="15"/>
  <c r="I1383" i="15"/>
  <c r="K1382" i="15"/>
  <c r="J1382" i="15"/>
  <c r="I1382" i="15"/>
  <c r="K1381" i="15"/>
  <c r="J1381" i="15"/>
  <c r="I1381" i="15"/>
  <c r="K1380" i="15"/>
  <c r="J1380" i="15"/>
  <c r="I1380" i="15"/>
  <c r="K1379" i="15"/>
  <c r="J1379" i="15"/>
  <c r="I1379" i="15"/>
  <c r="K1378" i="15"/>
  <c r="J1378" i="15"/>
  <c r="I1378" i="15"/>
  <c r="K1377" i="15"/>
  <c r="J1377" i="15"/>
  <c r="I1377" i="15"/>
  <c r="K1376" i="15"/>
  <c r="J1376" i="15"/>
  <c r="I1376" i="15"/>
  <c r="K1375" i="15"/>
  <c r="J1375" i="15"/>
  <c r="I1375" i="15"/>
  <c r="K1374" i="15"/>
  <c r="J1374" i="15"/>
  <c r="I1374" i="15"/>
  <c r="K1373" i="15"/>
  <c r="J1373" i="15"/>
  <c r="I1373" i="15"/>
  <c r="K1372" i="15"/>
  <c r="J1372" i="15"/>
  <c r="I1372" i="15"/>
  <c r="K1371" i="15"/>
  <c r="J1371" i="15"/>
  <c r="I1371" i="15"/>
  <c r="K1370" i="15"/>
  <c r="J1370" i="15"/>
  <c r="I1370" i="15"/>
  <c r="K1369" i="15"/>
  <c r="J1369" i="15"/>
  <c r="I1369" i="15"/>
  <c r="K1368" i="15"/>
  <c r="J1368" i="15"/>
  <c r="I1368" i="15"/>
  <c r="K1367" i="15"/>
  <c r="J1367" i="15"/>
  <c r="I1367" i="15"/>
  <c r="K1366" i="15"/>
  <c r="J1366" i="15"/>
  <c r="I1366" i="15"/>
  <c r="K1365" i="15"/>
  <c r="J1365" i="15"/>
  <c r="I1365" i="15"/>
  <c r="K1364" i="15"/>
  <c r="J1364" i="15"/>
  <c r="I1364" i="15"/>
  <c r="K1363" i="15"/>
  <c r="J1363" i="15"/>
  <c r="I1363" i="15"/>
  <c r="K1362" i="15"/>
  <c r="J1362" i="15"/>
  <c r="I1362" i="15"/>
  <c r="K1361" i="15"/>
  <c r="J1361" i="15"/>
  <c r="I1361" i="15"/>
  <c r="K1360" i="15"/>
  <c r="J1360" i="15"/>
  <c r="I1360" i="15"/>
  <c r="K1359" i="15"/>
  <c r="J1359" i="15"/>
  <c r="I1359" i="15"/>
  <c r="K1358" i="15"/>
  <c r="J1358" i="15"/>
  <c r="I1358" i="15"/>
  <c r="K1357" i="15"/>
  <c r="J1357" i="15"/>
  <c r="I1357" i="15"/>
  <c r="K1356" i="15"/>
  <c r="J1356" i="15"/>
  <c r="I1356" i="15"/>
  <c r="K1355" i="15"/>
  <c r="J1355" i="15"/>
  <c r="I1355" i="15"/>
  <c r="K1354" i="15"/>
  <c r="J1354" i="15"/>
  <c r="I1354" i="15"/>
  <c r="K1353" i="15"/>
  <c r="J1353" i="15"/>
  <c r="I1353" i="15"/>
  <c r="K1352" i="15"/>
  <c r="J1352" i="15"/>
  <c r="I1352" i="15"/>
  <c r="K1351" i="15"/>
  <c r="J1351" i="15"/>
  <c r="I1351" i="15"/>
  <c r="K1350" i="15"/>
  <c r="J1350" i="15"/>
  <c r="I1350" i="15"/>
  <c r="K1349" i="15"/>
  <c r="J1349" i="15"/>
  <c r="I1349" i="15"/>
  <c r="K1348" i="15"/>
  <c r="J1348" i="15"/>
  <c r="I1348" i="15"/>
  <c r="K1347" i="15"/>
  <c r="J1347" i="15"/>
  <c r="I1347" i="15"/>
  <c r="K1346" i="15"/>
  <c r="J1346" i="15"/>
  <c r="I1346" i="15"/>
  <c r="K1345" i="15"/>
  <c r="J1345" i="15"/>
  <c r="I1345" i="15"/>
  <c r="K1344" i="15"/>
  <c r="J1344" i="15"/>
  <c r="I1344" i="15"/>
  <c r="K1343" i="15"/>
  <c r="J1343" i="15"/>
  <c r="I1343" i="15"/>
  <c r="K1342" i="15"/>
  <c r="J1342" i="15"/>
  <c r="I1342" i="15"/>
  <c r="K1341" i="15"/>
  <c r="J1341" i="15"/>
  <c r="I1341" i="15"/>
  <c r="K1340" i="15"/>
  <c r="J1340" i="15"/>
  <c r="I1340" i="15"/>
  <c r="K1339" i="15"/>
  <c r="J1339" i="15"/>
  <c r="I1339" i="15"/>
  <c r="K1338" i="15"/>
  <c r="J1338" i="15"/>
  <c r="I1338" i="15"/>
  <c r="K1337" i="15"/>
  <c r="J1337" i="15"/>
  <c r="I1337" i="15"/>
  <c r="K1336" i="15"/>
  <c r="J1336" i="15"/>
  <c r="I1336" i="15"/>
  <c r="K1335" i="15"/>
  <c r="J1335" i="15"/>
  <c r="I1335" i="15"/>
  <c r="K1334" i="15"/>
  <c r="J1334" i="15"/>
  <c r="I1334" i="15"/>
  <c r="K1333" i="15"/>
  <c r="J1333" i="15"/>
  <c r="I1333" i="15"/>
  <c r="K1332" i="15"/>
  <c r="J1332" i="15"/>
  <c r="I1332" i="15"/>
  <c r="K1331" i="15"/>
  <c r="J1331" i="15"/>
  <c r="I1331" i="15"/>
  <c r="K1330" i="15"/>
  <c r="J1330" i="15"/>
  <c r="I1330" i="15"/>
  <c r="K1329" i="15"/>
  <c r="J1329" i="15"/>
  <c r="I1329" i="15"/>
  <c r="K1328" i="15"/>
  <c r="J1328" i="15"/>
  <c r="I1328" i="15"/>
  <c r="K1327" i="15"/>
  <c r="J1327" i="15"/>
  <c r="I1327" i="15"/>
  <c r="K1326" i="15"/>
  <c r="J1326" i="15"/>
  <c r="I1326" i="15"/>
  <c r="K1325" i="15"/>
  <c r="J1325" i="15"/>
  <c r="I1325" i="15"/>
  <c r="K1324" i="15"/>
  <c r="J1324" i="15"/>
  <c r="I1324" i="15"/>
  <c r="K1323" i="15"/>
  <c r="J1323" i="15"/>
  <c r="I1323" i="15"/>
  <c r="K1322" i="15"/>
  <c r="J1322" i="15"/>
  <c r="I1322" i="15"/>
  <c r="K1321" i="15"/>
  <c r="J1321" i="15"/>
  <c r="I1321" i="15"/>
  <c r="K1320" i="15"/>
  <c r="J1320" i="15"/>
  <c r="I1320" i="15"/>
  <c r="K1319" i="15"/>
  <c r="J1319" i="15"/>
  <c r="I1319" i="15"/>
  <c r="K1318" i="15"/>
  <c r="J1318" i="15"/>
  <c r="I1318" i="15"/>
  <c r="K1317" i="15"/>
  <c r="J1317" i="15"/>
  <c r="I1317" i="15"/>
  <c r="K1316" i="15"/>
  <c r="J1316" i="15"/>
  <c r="I1316" i="15"/>
  <c r="K1315" i="15"/>
  <c r="J1315" i="15"/>
  <c r="I1315" i="15"/>
  <c r="K1314" i="15"/>
  <c r="J1314" i="15"/>
  <c r="I1314" i="15"/>
  <c r="K1313" i="15"/>
  <c r="J1313" i="15"/>
  <c r="I1313" i="15"/>
  <c r="K1312" i="15"/>
  <c r="J1312" i="15"/>
  <c r="I1312" i="15"/>
  <c r="K1311" i="15"/>
  <c r="J1311" i="15"/>
  <c r="I1311" i="15"/>
  <c r="K1310" i="15"/>
  <c r="J1310" i="15"/>
  <c r="I1310" i="15"/>
  <c r="K1309" i="15"/>
  <c r="J1309" i="15"/>
  <c r="I1309" i="15"/>
  <c r="K1308" i="15"/>
  <c r="J1308" i="15"/>
  <c r="I1308" i="15"/>
  <c r="K1307" i="15"/>
  <c r="J1307" i="15"/>
  <c r="I1307" i="15"/>
  <c r="K1306" i="15"/>
  <c r="J1306" i="15"/>
  <c r="I1306" i="15"/>
  <c r="K1305" i="15"/>
  <c r="J1305" i="15"/>
  <c r="I1305" i="15"/>
  <c r="K1304" i="15"/>
  <c r="J1304" i="15"/>
  <c r="I1304" i="15"/>
  <c r="K1303" i="15"/>
  <c r="J1303" i="15"/>
  <c r="I1303" i="15"/>
  <c r="K1302" i="15"/>
  <c r="J1302" i="15"/>
  <c r="I1302" i="15"/>
  <c r="K1301" i="15"/>
  <c r="J1301" i="15"/>
  <c r="I1301" i="15"/>
  <c r="K1300" i="15"/>
  <c r="J1300" i="15"/>
  <c r="I1300" i="15"/>
  <c r="K1299" i="15"/>
  <c r="J1299" i="15"/>
  <c r="I1299" i="15"/>
  <c r="K1298" i="15"/>
  <c r="J1298" i="15"/>
  <c r="I1298" i="15"/>
  <c r="K1297" i="15"/>
  <c r="J1297" i="15"/>
  <c r="I1297" i="15"/>
  <c r="K1296" i="15"/>
  <c r="J1296" i="15"/>
  <c r="I1296" i="15"/>
  <c r="K1295" i="15"/>
  <c r="J1295" i="15"/>
  <c r="I1295" i="15"/>
  <c r="K1294" i="15"/>
  <c r="J1294" i="15"/>
  <c r="I1294" i="15"/>
  <c r="K1293" i="15"/>
  <c r="J1293" i="15"/>
  <c r="I1293" i="15"/>
  <c r="K1292" i="15"/>
  <c r="J1292" i="15"/>
  <c r="I1292" i="15"/>
  <c r="K1291" i="15"/>
  <c r="J1291" i="15"/>
  <c r="I1291" i="15"/>
  <c r="K1290" i="15"/>
  <c r="J1290" i="15"/>
  <c r="I1290" i="15"/>
  <c r="K1289" i="15"/>
  <c r="J1289" i="15"/>
  <c r="I1289" i="15"/>
  <c r="K1288" i="15"/>
  <c r="J1288" i="15"/>
  <c r="I1288" i="15"/>
  <c r="K1287" i="15"/>
  <c r="J1287" i="15"/>
  <c r="I1287" i="15"/>
  <c r="K1286" i="15"/>
  <c r="J1286" i="15"/>
  <c r="I1286" i="15"/>
  <c r="K1285" i="15"/>
  <c r="J1285" i="15"/>
  <c r="I1285" i="15"/>
  <c r="K1284" i="15"/>
  <c r="J1284" i="15"/>
  <c r="I1284" i="15"/>
  <c r="K1283" i="15"/>
  <c r="J1283" i="15"/>
  <c r="I1283" i="15"/>
  <c r="K1282" i="15"/>
  <c r="J1282" i="15"/>
  <c r="I1282" i="15"/>
  <c r="K1281" i="15"/>
  <c r="J1281" i="15"/>
  <c r="I1281" i="15"/>
  <c r="K1280" i="15"/>
  <c r="J1280" i="15"/>
  <c r="I1280" i="15"/>
  <c r="K1279" i="15"/>
  <c r="J1279" i="15"/>
  <c r="I1279" i="15"/>
  <c r="K1278" i="15"/>
  <c r="J1278" i="15"/>
  <c r="I1278" i="15"/>
  <c r="K1277" i="15"/>
  <c r="J1277" i="15"/>
  <c r="I1277" i="15"/>
  <c r="K1276" i="15"/>
  <c r="J1276" i="15"/>
  <c r="I1276" i="15"/>
  <c r="K1275" i="15"/>
  <c r="J1275" i="15"/>
  <c r="I1275" i="15"/>
  <c r="K1274" i="15"/>
  <c r="J1274" i="15"/>
  <c r="I1274" i="15"/>
  <c r="K1273" i="15"/>
  <c r="J1273" i="15"/>
  <c r="I1273" i="15"/>
  <c r="K1272" i="15"/>
  <c r="J1272" i="15"/>
  <c r="I1272" i="15"/>
  <c r="K1271" i="15"/>
  <c r="J1271" i="15"/>
  <c r="I1271" i="15"/>
  <c r="K1270" i="15"/>
  <c r="J1270" i="15"/>
  <c r="I1270" i="15"/>
  <c r="K1269" i="15"/>
  <c r="J1269" i="15"/>
  <c r="I1269" i="15"/>
  <c r="K1268" i="15"/>
  <c r="J1268" i="15"/>
  <c r="I1268" i="15"/>
  <c r="K1267" i="15"/>
  <c r="J1267" i="15"/>
  <c r="I1267" i="15"/>
  <c r="K1266" i="15"/>
  <c r="J1266" i="15"/>
  <c r="I1266" i="15"/>
  <c r="K1265" i="15"/>
  <c r="J1265" i="15"/>
  <c r="I1265" i="15"/>
  <c r="K1264" i="15"/>
  <c r="J1264" i="15"/>
  <c r="I1264" i="15"/>
  <c r="K1263" i="15"/>
  <c r="J1263" i="15"/>
  <c r="I1263" i="15"/>
  <c r="K1262" i="15"/>
  <c r="J1262" i="15"/>
  <c r="I1262" i="15"/>
  <c r="K1261" i="15"/>
  <c r="J1261" i="15"/>
  <c r="I1261" i="15"/>
  <c r="K1260" i="15"/>
  <c r="J1260" i="15"/>
  <c r="I1260" i="15"/>
  <c r="K1259" i="15"/>
  <c r="J1259" i="15"/>
  <c r="I1259" i="15"/>
  <c r="K1258" i="15"/>
  <c r="J1258" i="15"/>
  <c r="I1258" i="15"/>
  <c r="K1257" i="15"/>
  <c r="J1257" i="15"/>
  <c r="I1257" i="15"/>
  <c r="K1256" i="15"/>
  <c r="J1256" i="15"/>
  <c r="I1256" i="15"/>
  <c r="K1255" i="15"/>
  <c r="J1255" i="15"/>
  <c r="I1255" i="15"/>
  <c r="K1254" i="15"/>
  <c r="J1254" i="15"/>
  <c r="I1254" i="15"/>
  <c r="K1253" i="15"/>
  <c r="J1253" i="15"/>
  <c r="I1253" i="15"/>
  <c r="K1252" i="15"/>
  <c r="J1252" i="15"/>
  <c r="I1252" i="15"/>
  <c r="K1251" i="15"/>
  <c r="J1251" i="15"/>
  <c r="I1251" i="15"/>
  <c r="K1250" i="15"/>
  <c r="J1250" i="15"/>
  <c r="I1250" i="15"/>
  <c r="K1249" i="15"/>
  <c r="J1249" i="15"/>
  <c r="I1249" i="15"/>
  <c r="K1248" i="15"/>
  <c r="J1248" i="15"/>
  <c r="I1248" i="15"/>
  <c r="K1247" i="15"/>
  <c r="J1247" i="15"/>
  <c r="I1247" i="15"/>
  <c r="K1246" i="15"/>
  <c r="J1246" i="15"/>
  <c r="I1246" i="15"/>
  <c r="K1245" i="15"/>
  <c r="J1245" i="15"/>
  <c r="I1245" i="15"/>
  <c r="K1244" i="15"/>
  <c r="J1244" i="15"/>
  <c r="I1244" i="15"/>
  <c r="K1243" i="15"/>
  <c r="J1243" i="15"/>
  <c r="I1243" i="15"/>
  <c r="K1242" i="15"/>
  <c r="J1242" i="15"/>
  <c r="I1242" i="15"/>
  <c r="K1241" i="15"/>
  <c r="J1241" i="15"/>
  <c r="I1241" i="15"/>
  <c r="K1240" i="15"/>
  <c r="J1240" i="15"/>
  <c r="I1240" i="15"/>
  <c r="K1239" i="15"/>
  <c r="J1239" i="15"/>
  <c r="I1239" i="15"/>
  <c r="K1238" i="15"/>
  <c r="J1238" i="15"/>
  <c r="I1238" i="15"/>
  <c r="K1237" i="15"/>
  <c r="J1237" i="15"/>
  <c r="I1237" i="15"/>
  <c r="K1236" i="15"/>
  <c r="J1236" i="15"/>
  <c r="I1236" i="15"/>
  <c r="K1235" i="15"/>
  <c r="J1235" i="15"/>
  <c r="I1235" i="15"/>
  <c r="K1234" i="15"/>
  <c r="J1234" i="15"/>
  <c r="I1234" i="15"/>
  <c r="K1233" i="15"/>
  <c r="J1233" i="15"/>
  <c r="I1233" i="15"/>
  <c r="K1232" i="15"/>
  <c r="J1232" i="15"/>
  <c r="I1232" i="15"/>
  <c r="K1231" i="15"/>
  <c r="J1231" i="15"/>
  <c r="I1231" i="15"/>
  <c r="K1230" i="15"/>
  <c r="J1230" i="15"/>
  <c r="I1230" i="15"/>
  <c r="K1229" i="15"/>
  <c r="J1229" i="15"/>
  <c r="I1229" i="15"/>
  <c r="K1228" i="15"/>
  <c r="J1228" i="15"/>
  <c r="I1228" i="15"/>
  <c r="K1227" i="15"/>
  <c r="J1227" i="15"/>
  <c r="I1227" i="15"/>
  <c r="K1226" i="15"/>
  <c r="J1226" i="15"/>
  <c r="I1226" i="15"/>
  <c r="K1225" i="15"/>
  <c r="J1225" i="15"/>
  <c r="I1225" i="15"/>
  <c r="K1224" i="15"/>
  <c r="J1224" i="15"/>
  <c r="I1224" i="15"/>
  <c r="K1223" i="15"/>
  <c r="J1223" i="15"/>
  <c r="I1223" i="15"/>
  <c r="K1222" i="15"/>
  <c r="J1222" i="15"/>
  <c r="I1222" i="15"/>
  <c r="K1221" i="15"/>
  <c r="J1221" i="15"/>
  <c r="I1221" i="15"/>
  <c r="K1220" i="15"/>
  <c r="J1220" i="15"/>
  <c r="I1220" i="15"/>
  <c r="K1219" i="15"/>
  <c r="J1219" i="15"/>
  <c r="I1219" i="15"/>
  <c r="K1218" i="15"/>
  <c r="J1218" i="15"/>
  <c r="I1218" i="15"/>
  <c r="K1217" i="15"/>
  <c r="J1217" i="15"/>
  <c r="I1217" i="15"/>
  <c r="K1216" i="15"/>
  <c r="J1216" i="15"/>
  <c r="I1216" i="15"/>
  <c r="K1215" i="15"/>
  <c r="J1215" i="15"/>
  <c r="I1215" i="15"/>
  <c r="K1214" i="15"/>
  <c r="J1214" i="15"/>
  <c r="I1214" i="15"/>
  <c r="K1213" i="15"/>
  <c r="J1213" i="15"/>
  <c r="I1213" i="15"/>
  <c r="K1212" i="15"/>
  <c r="J1212" i="15"/>
  <c r="I1212" i="15"/>
  <c r="K1211" i="15"/>
  <c r="J1211" i="15"/>
  <c r="I1211" i="15"/>
  <c r="K1210" i="15"/>
  <c r="J1210" i="15"/>
  <c r="I1210" i="15"/>
  <c r="K1209" i="15"/>
  <c r="J1209" i="15"/>
  <c r="I1209" i="15"/>
  <c r="K1208" i="15"/>
  <c r="J1208" i="15"/>
  <c r="I1208" i="15"/>
  <c r="K1207" i="15"/>
  <c r="J1207" i="15"/>
  <c r="I1207" i="15"/>
  <c r="K1206" i="15"/>
  <c r="J1206" i="15"/>
  <c r="I1206" i="15"/>
  <c r="K1205" i="15"/>
  <c r="J1205" i="15"/>
  <c r="I1205" i="15"/>
  <c r="K1204" i="15"/>
  <c r="J1204" i="15"/>
  <c r="I1204" i="15"/>
  <c r="K1203" i="15"/>
  <c r="J1203" i="15"/>
  <c r="I1203" i="15"/>
  <c r="K1202" i="15"/>
  <c r="J1202" i="15"/>
  <c r="I1202" i="15"/>
  <c r="K1201" i="15"/>
  <c r="J1201" i="15"/>
  <c r="I1201" i="15"/>
  <c r="K1200" i="15"/>
  <c r="J1200" i="15"/>
  <c r="I1200" i="15"/>
  <c r="K1199" i="15"/>
  <c r="J1199" i="15"/>
  <c r="I1199" i="15"/>
  <c r="K1198" i="15"/>
  <c r="J1198" i="15"/>
  <c r="I1198" i="15"/>
  <c r="K1197" i="15"/>
  <c r="J1197" i="15"/>
  <c r="I1197" i="15"/>
  <c r="K1196" i="15"/>
  <c r="J1196" i="15"/>
  <c r="I1196" i="15"/>
  <c r="K1195" i="15"/>
  <c r="J1195" i="15"/>
  <c r="I1195" i="15"/>
  <c r="K1194" i="15"/>
  <c r="J1194" i="15"/>
  <c r="I1194" i="15"/>
  <c r="K1193" i="15"/>
  <c r="J1193" i="15"/>
  <c r="I1193" i="15"/>
  <c r="K1192" i="15"/>
  <c r="J1192" i="15"/>
  <c r="I1192" i="15"/>
  <c r="K1191" i="15"/>
  <c r="J1191" i="15"/>
  <c r="I1191" i="15"/>
  <c r="K1190" i="15"/>
  <c r="J1190" i="15"/>
  <c r="I1190" i="15"/>
  <c r="K1189" i="15"/>
  <c r="J1189" i="15"/>
  <c r="I1189" i="15"/>
  <c r="K1188" i="15"/>
  <c r="J1188" i="15"/>
  <c r="I1188" i="15"/>
  <c r="K1187" i="15"/>
  <c r="J1187" i="15"/>
  <c r="I1187" i="15"/>
  <c r="K1186" i="15"/>
  <c r="J1186" i="15"/>
  <c r="I1186" i="15"/>
  <c r="K1185" i="15"/>
  <c r="J1185" i="15"/>
  <c r="I1185" i="15"/>
  <c r="K1184" i="15"/>
  <c r="J1184" i="15"/>
  <c r="I1184" i="15"/>
  <c r="K1183" i="15"/>
  <c r="J1183" i="15"/>
  <c r="I1183" i="15"/>
  <c r="K1182" i="15"/>
  <c r="J1182" i="15"/>
  <c r="I1182" i="15"/>
  <c r="K1181" i="15"/>
  <c r="J1181" i="15"/>
  <c r="I1181" i="15"/>
  <c r="K1180" i="15"/>
  <c r="J1180" i="15"/>
  <c r="I1180" i="15"/>
  <c r="K1179" i="15"/>
  <c r="J1179" i="15"/>
  <c r="I1179" i="15"/>
  <c r="K1178" i="15"/>
  <c r="J1178" i="15"/>
  <c r="I1178" i="15"/>
  <c r="K1177" i="15"/>
  <c r="J1177" i="15"/>
  <c r="I1177" i="15"/>
  <c r="K1176" i="15"/>
  <c r="J1176" i="15"/>
  <c r="I1176" i="15"/>
  <c r="K1175" i="15"/>
  <c r="J1175" i="15"/>
  <c r="I1175" i="15"/>
  <c r="K1174" i="15"/>
  <c r="J1174" i="15"/>
  <c r="I1174" i="15"/>
  <c r="K1173" i="15"/>
  <c r="J1173" i="15"/>
  <c r="I1173" i="15"/>
  <c r="K1172" i="15"/>
  <c r="J1172" i="15"/>
  <c r="I1172" i="15"/>
  <c r="K1171" i="15"/>
  <c r="J1171" i="15"/>
  <c r="I1171" i="15"/>
  <c r="K1170" i="15"/>
  <c r="J1170" i="15"/>
  <c r="I1170" i="15"/>
  <c r="K1169" i="15"/>
  <c r="J1169" i="15"/>
  <c r="I1169" i="15"/>
  <c r="K1168" i="15"/>
  <c r="J1168" i="15"/>
  <c r="I1168" i="15"/>
  <c r="K1167" i="15"/>
  <c r="J1167" i="15"/>
  <c r="I1167" i="15"/>
  <c r="K1166" i="15"/>
  <c r="J1166" i="15"/>
  <c r="I1166" i="15"/>
  <c r="K1165" i="15"/>
  <c r="J1165" i="15"/>
  <c r="I1165" i="15"/>
  <c r="K1164" i="15"/>
  <c r="J1164" i="15"/>
  <c r="I1164" i="15"/>
  <c r="K1163" i="15"/>
  <c r="J1163" i="15"/>
  <c r="I1163" i="15"/>
  <c r="K1162" i="15"/>
  <c r="J1162" i="15"/>
  <c r="I1162" i="15"/>
  <c r="K1161" i="15"/>
  <c r="J1161" i="15"/>
  <c r="I1161" i="15"/>
  <c r="K1160" i="15"/>
  <c r="J1160" i="15"/>
  <c r="I1160" i="15"/>
  <c r="K1159" i="15"/>
  <c r="J1159" i="15"/>
  <c r="I1159" i="15"/>
  <c r="K1158" i="15"/>
  <c r="J1158" i="15"/>
  <c r="I1158" i="15"/>
  <c r="K1157" i="15"/>
  <c r="J1157" i="15"/>
  <c r="I1157" i="15"/>
  <c r="K1156" i="15"/>
  <c r="J1156" i="15"/>
  <c r="I1156" i="15"/>
  <c r="K1155" i="15"/>
  <c r="J1155" i="15"/>
  <c r="I1155" i="15"/>
  <c r="K1154" i="15"/>
  <c r="J1154" i="15"/>
  <c r="I1154" i="15"/>
  <c r="K1153" i="15"/>
  <c r="J1153" i="15"/>
  <c r="I1153" i="15"/>
  <c r="K1152" i="15"/>
  <c r="J1152" i="15"/>
  <c r="I1152" i="15"/>
  <c r="K1151" i="15"/>
  <c r="J1151" i="15"/>
  <c r="I1151" i="15"/>
  <c r="K1150" i="15"/>
  <c r="J1150" i="15"/>
  <c r="I1150" i="15"/>
  <c r="K1149" i="15"/>
  <c r="J1149" i="15"/>
  <c r="I1149" i="15"/>
  <c r="K1148" i="15"/>
  <c r="J1148" i="15"/>
  <c r="I1148" i="15"/>
  <c r="K1147" i="15"/>
  <c r="J1147" i="15"/>
  <c r="I1147" i="15"/>
  <c r="K1146" i="15"/>
  <c r="J1146" i="15"/>
  <c r="I1146" i="15"/>
  <c r="K1145" i="15"/>
  <c r="J1145" i="15"/>
  <c r="I1145" i="15"/>
  <c r="K1144" i="15"/>
  <c r="J1144" i="15"/>
  <c r="I1144" i="15"/>
  <c r="K1143" i="15"/>
  <c r="J1143" i="15"/>
  <c r="I1143" i="15"/>
  <c r="K1142" i="15"/>
  <c r="J1142" i="15"/>
  <c r="I1142" i="15"/>
  <c r="K1141" i="15"/>
  <c r="J1141" i="15"/>
  <c r="I1141" i="15"/>
  <c r="K1140" i="15"/>
  <c r="J1140" i="15"/>
  <c r="I1140" i="15"/>
  <c r="K1139" i="15"/>
  <c r="J1139" i="15"/>
  <c r="I1139" i="15"/>
  <c r="K1138" i="15"/>
  <c r="J1138" i="15"/>
  <c r="I1138" i="15"/>
  <c r="K1137" i="15"/>
  <c r="J1137" i="15"/>
  <c r="I1137" i="15"/>
  <c r="K1136" i="15"/>
  <c r="J1136" i="15"/>
  <c r="I1136" i="15"/>
  <c r="K1135" i="15"/>
  <c r="J1135" i="15"/>
  <c r="I1135" i="15"/>
  <c r="K1134" i="15"/>
  <c r="J1134" i="15"/>
  <c r="I1134" i="15"/>
  <c r="K1133" i="15"/>
  <c r="J1133" i="15"/>
  <c r="I1133" i="15"/>
  <c r="K1132" i="15"/>
  <c r="J1132" i="15"/>
  <c r="I1132" i="15"/>
  <c r="K1131" i="15"/>
  <c r="J1131" i="15"/>
  <c r="I1131" i="15"/>
  <c r="K1130" i="15"/>
  <c r="J1130" i="15"/>
  <c r="I1130" i="15"/>
  <c r="K1129" i="15"/>
  <c r="J1129" i="15"/>
  <c r="I1129" i="15"/>
  <c r="K1128" i="15"/>
  <c r="J1128" i="15"/>
  <c r="I1128" i="15"/>
  <c r="K1127" i="15"/>
  <c r="J1127" i="15"/>
  <c r="I1127" i="15"/>
  <c r="K1126" i="15"/>
  <c r="J1126" i="15"/>
  <c r="I1126" i="15"/>
  <c r="K1125" i="15"/>
  <c r="J1125" i="15"/>
  <c r="I1125" i="15"/>
  <c r="K1124" i="15"/>
  <c r="J1124" i="15"/>
  <c r="I1124" i="15"/>
  <c r="K1123" i="15"/>
  <c r="J1123" i="15"/>
  <c r="I1123" i="15"/>
  <c r="K1122" i="15"/>
  <c r="J1122" i="15"/>
  <c r="I1122" i="15"/>
  <c r="K1121" i="15"/>
  <c r="J1121" i="15"/>
  <c r="I1121" i="15"/>
  <c r="K1120" i="15"/>
  <c r="J1120" i="15"/>
  <c r="I1120" i="15"/>
  <c r="K1119" i="15"/>
  <c r="J1119" i="15"/>
  <c r="I1119" i="15"/>
  <c r="K1118" i="15"/>
  <c r="J1118" i="15"/>
  <c r="I1118" i="15"/>
  <c r="K1117" i="15"/>
  <c r="J1117" i="15"/>
  <c r="I1117" i="15"/>
  <c r="K1116" i="15"/>
  <c r="J1116" i="15"/>
  <c r="I1116" i="15"/>
  <c r="K1115" i="15"/>
  <c r="J1115" i="15"/>
  <c r="I1115" i="15"/>
  <c r="K1114" i="15"/>
  <c r="J1114" i="15"/>
  <c r="I1114" i="15"/>
  <c r="K1113" i="15"/>
  <c r="J1113" i="15"/>
  <c r="I1113" i="15"/>
  <c r="K1112" i="15"/>
  <c r="J1112" i="15"/>
  <c r="I1112" i="15"/>
  <c r="K1111" i="15"/>
  <c r="J1111" i="15"/>
  <c r="I1111" i="15"/>
  <c r="K1110" i="15"/>
  <c r="J1110" i="15"/>
  <c r="I1110" i="15"/>
  <c r="K1109" i="15"/>
  <c r="J1109" i="15"/>
  <c r="I1109" i="15"/>
  <c r="K1108" i="15"/>
  <c r="J1108" i="15"/>
  <c r="I1108" i="15"/>
  <c r="K1107" i="15"/>
  <c r="J1107" i="15"/>
  <c r="I1107" i="15"/>
  <c r="K1106" i="15"/>
  <c r="J1106" i="15"/>
  <c r="I1106" i="15"/>
  <c r="K1105" i="15"/>
  <c r="J1105" i="15"/>
  <c r="I1105" i="15"/>
  <c r="K1104" i="15"/>
  <c r="J1104" i="15"/>
  <c r="I1104" i="15"/>
  <c r="K1103" i="15"/>
  <c r="J1103" i="15"/>
  <c r="I1103" i="15"/>
  <c r="K1102" i="15"/>
  <c r="J1102" i="15"/>
  <c r="I1102" i="15"/>
  <c r="K1101" i="15"/>
  <c r="J1101" i="15"/>
  <c r="I1101" i="15"/>
  <c r="K1100" i="15"/>
  <c r="J1100" i="15"/>
  <c r="I1100" i="15"/>
  <c r="K1099" i="15"/>
  <c r="J1099" i="15"/>
  <c r="I1099" i="15"/>
  <c r="K1098" i="15"/>
  <c r="J1098" i="15"/>
  <c r="I1098" i="15"/>
  <c r="K1097" i="15"/>
  <c r="J1097" i="15"/>
  <c r="I1097" i="15"/>
  <c r="K1096" i="15"/>
  <c r="J1096" i="15"/>
  <c r="I1096" i="15"/>
  <c r="K1095" i="15"/>
  <c r="J1095" i="15"/>
  <c r="I1095" i="15"/>
  <c r="K1094" i="15"/>
  <c r="J1094" i="15"/>
  <c r="I1094" i="15"/>
  <c r="K1093" i="15"/>
  <c r="J1093" i="15"/>
  <c r="I1093" i="15"/>
  <c r="K1092" i="15"/>
  <c r="J1092" i="15"/>
  <c r="I1092" i="15"/>
  <c r="K1091" i="15"/>
  <c r="J1091" i="15"/>
  <c r="I1091" i="15"/>
  <c r="K1090" i="15"/>
  <c r="J1090" i="15"/>
  <c r="I1090" i="15"/>
  <c r="K1089" i="15"/>
  <c r="J1089" i="15"/>
  <c r="I1089" i="15"/>
  <c r="K1088" i="15"/>
  <c r="J1088" i="15"/>
  <c r="I1088" i="15"/>
  <c r="K1087" i="15"/>
  <c r="J1087" i="15"/>
  <c r="I1087" i="15"/>
  <c r="K1086" i="15"/>
  <c r="J1086" i="15"/>
  <c r="I1086" i="15"/>
  <c r="K1085" i="15"/>
  <c r="J1085" i="15"/>
  <c r="I1085" i="15"/>
  <c r="K1084" i="15"/>
  <c r="J1084" i="15"/>
  <c r="I1084" i="15"/>
  <c r="K1083" i="15"/>
  <c r="J1083" i="15"/>
  <c r="I1083" i="15"/>
  <c r="K1082" i="15"/>
  <c r="J1082" i="15"/>
  <c r="I1082" i="15"/>
  <c r="K1081" i="15"/>
  <c r="J1081" i="15"/>
  <c r="I1081" i="15"/>
  <c r="K1080" i="15"/>
  <c r="J1080" i="15"/>
  <c r="I1080" i="15"/>
  <c r="K1079" i="15"/>
  <c r="J1079" i="15"/>
  <c r="I1079" i="15"/>
  <c r="K1078" i="15"/>
  <c r="J1078" i="15"/>
  <c r="I1078" i="15"/>
  <c r="K1077" i="15"/>
  <c r="J1077" i="15"/>
  <c r="I1077" i="15"/>
  <c r="K1076" i="15"/>
  <c r="J1076" i="15"/>
  <c r="I1076" i="15"/>
  <c r="K1075" i="15"/>
  <c r="J1075" i="15"/>
  <c r="I1075" i="15"/>
  <c r="K1074" i="15"/>
  <c r="J1074" i="15"/>
  <c r="I1074" i="15"/>
  <c r="K1073" i="15"/>
  <c r="J1073" i="15"/>
  <c r="I1073" i="15"/>
  <c r="K1072" i="15"/>
  <c r="J1072" i="15"/>
  <c r="I1072" i="15"/>
  <c r="K1071" i="15"/>
  <c r="J1071" i="15"/>
  <c r="I1071" i="15"/>
  <c r="K1070" i="15"/>
  <c r="J1070" i="15"/>
  <c r="I1070" i="15"/>
  <c r="K1069" i="15"/>
  <c r="J1069" i="15"/>
  <c r="I1069" i="15"/>
  <c r="K1068" i="15"/>
  <c r="J1068" i="15"/>
  <c r="I1068" i="15"/>
  <c r="K1067" i="15"/>
  <c r="J1067" i="15"/>
  <c r="I1067" i="15"/>
  <c r="K1066" i="15"/>
  <c r="J1066" i="15"/>
  <c r="I1066" i="15"/>
  <c r="K1065" i="15"/>
  <c r="J1065" i="15"/>
  <c r="I1065" i="15"/>
  <c r="K1064" i="15"/>
  <c r="J1064" i="15"/>
  <c r="I1064" i="15"/>
  <c r="K1063" i="15"/>
  <c r="J1063" i="15"/>
  <c r="I1063" i="15"/>
  <c r="K1062" i="15"/>
  <c r="J1062" i="15"/>
  <c r="I1062" i="15"/>
  <c r="K1061" i="15"/>
  <c r="J1061" i="15"/>
  <c r="I1061" i="15"/>
  <c r="K1060" i="15"/>
  <c r="J1060" i="15"/>
  <c r="I1060" i="15"/>
  <c r="K1059" i="15"/>
  <c r="J1059" i="15"/>
  <c r="I1059" i="15"/>
  <c r="K1058" i="15"/>
  <c r="J1058" i="15"/>
  <c r="I1058" i="15"/>
  <c r="K1057" i="15"/>
  <c r="J1057" i="15"/>
  <c r="I1057" i="15"/>
  <c r="K1056" i="15"/>
  <c r="J1056" i="15"/>
  <c r="I1056" i="15"/>
  <c r="K1055" i="15"/>
  <c r="J1055" i="15"/>
  <c r="I1055" i="15"/>
  <c r="K1054" i="15"/>
  <c r="J1054" i="15"/>
  <c r="I1054" i="15"/>
  <c r="K1053" i="15"/>
  <c r="J1053" i="15"/>
  <c r="I1053" i="15"/>
  <c r="K1052" i="15"/>
  <c r="J1052" i="15"/>
  <c r="I1052" i="15"/>
  <c r="K1051" i="15"/>
  <c r="J1051" i="15"/>
  <c r="I1051" i="15"/>
  <c r="K1050" i="15"/>
  <c r="J1050" i="15"/>
  <c r="I1050" i="15"/>
  <c r="K1049" i="15"/>
  <c r="J1049" i="15"/>
  <c r="I1049" i="15"/>
  <c r="K1048" i="15"/>
  <c r="J1048" i="15"/>
  <c r="I1048" i="15"/>
  <c r="K1047" i="15"/>
  <c r="J1047" i="15"/>
  <c r="I1047" i="15"/>
  <c r="K1046" i="15"/>
  <c r="J1046" i="15"/>
  <c r="I1046" i="15"/>
  <c r="K1045" i="15"/>
  <c r="J1045" i="15"/>
  <c r="I1045" i="15"/>
  <c r="K1044" i="15"/>
  <c r="J1044" i="15"/>
  <c r="I1044" i="15"/>
  <c r="K1043" i="15"/>
  <c r="J1043" i="15"/>
  <c r="I1043" i="15"/>
  <c r="K1042" i="15"/>
  <c r="J1042" i="15"/>
  <c r="I1042" i="15"/>
  <c r="K1041" i="15"/>
  <c r="J1041" i="15"/>
  <c r="I1041" i="15"/>
  <c r="K1040" i="15"/>
  <c r="J1040" i="15"/>
  <c r="I1040" i="15"/>
  <c r="K1039" i="15"/>
  <c r="J1039" i="15"/>
  <c r="I1039" i="15"/>
  <c r="K1038" i="15"/>
  <c r="J1038" i="15"/>
  <c r="I1038" i="15"/>
  <c r="K1037" i="15"/>
  <c r="J1037" i="15"/>
  <c r="I1037" i="15"/>
  <c r="K1036" i="15"/>
  <c r="J1036" i="15"/>
  <c r="I1036" i="15"/>
  <c r="K1035" i="15"/>
  <c r="J1035" i="15"/>
  <c r="I1035" i="15"/>
  <c r="K1034" i="15"/>
  <c r="J1034" i="15"/>
  <c r="I1034" i="15"/>
  <c r="K1033" i="15"/>
  <c r="J1033" i="15"/>
  <c r="I1033" i="15"/>
  <c r="K1032" i="15"/>
  <c r="J1032" i="15"/>
  <c r="I1032" i="15"/>
  <c r="K1031" i="15"/>
  <c r="J1031" i="15"/>
  <c r="I1031" i="15"/>
  <c r="K1030" i="15"/>
  <c r="J1030" i="15"/>
  <c r="I1030" i="15"/>
  <c r="K1029" i="15"/>
  <c r="J1029" i="15"/>
  <c r="I1029" i="15"/>
  <c r="K1028" i="15"/>
  <c r="J1028" i="15"/>
  <c r="I1028" i="15"/>
  <c r="K1027" i="15"/>
  <c r="J1027" i="15"/>
  <c r="I1027" i="15"/>
  <c r="K1026" i="15"/>
  <c r="J1026" i="15"/>
  <c r="I1026" i="15"/>
  <c r="K1025" i="15"/>
  <c r="J1025" i="15"/>
  <c r="I1025" i="15"/>
  <c r="K1024" i="15"/>
  <c r="J1024" i="15"/>
  <c r="I1024" i="15"/>
  <c r="K1023" i="15"/>
  <c r="J1023" i="15"/>
  <c r="I1023" i="15"/>
  <c r="K1022" i="15"/>
  <c r="J1022" i="15"/>
  <c r="I1022" i="15"/>
  <c r="K1021" i="15"/>
  <c r="J1021" i="15"/>
  <c r="I1021" i="15"/>
  <c r="K1020" i="15"/>
  <c r="J1020" i="15"/>
  <c r="I1020" i="15"/>
  <c r="K1019" i="15"/>
  <c r="J1019" i="15"/>
  <c r="I1019" i="15"/>
  <c r="K1018" i="15"/>
  <c r="J1018" i="15"/>
  <c r="I1018" i="15"/>
  <c r="K1017" i="15"/>
  <c r="J1017" i="15"/>
  <c r="I1017" i="15"/>
  <c r="K1016" i="15"/>
  <c r="J1016" i="15"/>
  <c r="I1016" i="15"/>
  <c r="K1015" i="15"/>
  <c r="J1015" i="15"/>
  <c r="I1015" i="15"/>
  <c r="K1014" i="15"/>
  <c r="J1014" i="15"/>
  <c r="I1014" i="15"/>
  <c r="K1013" i="15"/>
  <c r="J1013" i="15"/>
  <c r="I1013" i="15"/>
  <c r="K1012" i="15"/>
  <c r="J1012" i="15"/>
  <c r="I1012" i="15"/>
  <c r="K1011" i="15"/>
  <c r="J1011" i="15"/>
  <c r="I1011" i="15"/>
  <c r="K1010" i="15"/>
  <c r="J1010" i="15"/>
  <c r="I1010" i="15"/>
  <c r="K1009" i="15"/>
  <c r="J1009" i="15"/>
  <c r="I1009" i="15"/>
  <c r="K1008" i="15"/>
  <c r="J1008" i="15"/>
  <c r="I1008" i="15"/>
  <c r="K1007" i="15"/>
  <c r="J1007" i="15"/>
  <c r="I1007" i="15"/>
  <c r="K1006" i="15"/>
  <c r="J1006" i="15"/>
  <c r="I1006" i="15"/>
  <c r="K1005" i="15"/>
  <c r="J1005" i="15"/>
  <c r="I1005" i="15"/>
  <c r="K1004" i="15"/>
  <c r="J1004" i="15"/>
  <c r="I1004" i="15"/>
  <c r="K1003" i="15"/>
  <c r="J1003" i="15"/>
  <c r="I1003" i="15"/>
  <c r="K1002" i="15"/>
  <c r="J1002" i="15"/>
  <c r="I1002" i="15"/>
  <c r="K1001" i="15"/>
  <c r="J1001" i="15"/>
  <c r="I1001" i="15"/>
  <c r="K1000" i="15"/>
  <c r="J1000" i="15"/>
  <c r="I1000" i="15"/>
  <c r="K999" i="15"/>
  <c r="J999" i="15"/>
  <c r="I999" i="15"/>
  <c r="K998" i="15"/>
  <c r="J998" i="15"/>
  <c r="I998" i="15"/>
  <c r="K997" i="15"/>
  <c r="J997" i="15"/>
  <c r="I997" i="15"/>
  <c r="K996" i="15"/>
  <c r="J996" i="15"/>
  <c r="I996" i="15"/>
  <c r="K995" i="15"/>
  <c r="J995" i="15"/>
  <c r="I995" i="15"/>
  <c r="K994" i="15"/>
  <c r="J994" i="15"/>
  <c r="I994" i="15"/>
  <c r="K993" i="15"/>
  <c r="J993" i="15"/>
  <c r="I993" i="15"/>
  <c r="K992" i="15"/>
  <c r="J992" i="15"/>
  <c r="I992" i="15"/>
  <c r="K991" i="15"/>
  <c r="J991" i="15"/>
  <c r="I991" i="15"/>
  <c r="K990" i="15"/>
  <c r="J990" i="15"/>
  <c r="I990" i="15"/>
  <c r="K989" i="15"/>
  <c r="J989" i="15"/>
  <c r="I989" i="15"/>
  <c r="K988" i="15"/>
  <c r="J988" i="15"/>
  <c r="I988" i="15"/>
  <c r="K987" i="15"/>
  <c r="J987" i="15"/>
  <c r="I987" i="15"/>
  <c r="K986" i="15"/>
  <c r="J986" i="15"/>
  <c r="I986" i="15"/>
  <c r="K985" i="15"/>
  <c r="J985" i="15"/>
  <c r="I985" i="15"/>
  <c r="K984" i="15"/>
  <c r="J984" i="15"/>
  <c r="I984" i="15"/>
  <c r="K983" i="15"/>
  <c r="J983" i="15"/>
  <c r="I983" i="15"/>
  <c r="K982" i="15"/>
  <c r="J982" i="15"/>
  <c r="I982" i="15"/>
  <c r="K981" i="15"/>
  <c r="J981" i="15"/>
  <c r="I981" i="15"/>
  <c r="K980" i="15"/>
  <c r="J980" i="15"/>
  <c r="I980" i="15"/>
  <c r="K979" i="15"/>
  <c r="J979" i="15"/>
  <c r="I979" i="15"/>
  <c r="K978" i="15"/>
  <c r="J978" i="15"/>
  <c r="I978" i="15"/>
  <c r="K977" i="15"/>
  <c r="J977" i="15"/>
  <c r="I977" i="15"/>
  <c r="K976" i="15"/>
  <c r="J976" i="15"/>
  <c r="I976" i="15"/>
  <c r="K975" i="15"/>
  <c r="J975" i="15"/>
  <c r="I975" i="15"/>
  <c r="K974" i="15"/>
  <c r="J974" i="15"/>
  <c r="I974" i="15"/>
  <c r="K973" i="15"/>
  <c r="J973" i="15"/>
  <c r="I973" i="15"/>
  <c r="K972" i="15"/>
  <c r="J972" i="15"/>
  <c r="I972" i="15"/>
  <c r="K971" i="15"/>
  <c r="J971" i="15"/>
  <c r="I971" i="15"/>
  <c r="K970" i="15"/>
  <c r="J970" i="15"/>
  <c r="I970" i="15"/>
  <c r="K969" i="15"/>
  <c r="J969" i="15"/>
  <c r="I969" i="15"/>
  <c r="K968" i="15"/>
  <c r="J968" i="15"/>
  <c r="I968" i="15"/>
  <c r="K967" i="15"/>
  <c r="J967" i="15"/>
  <c r="I967" i="15"/>
  <c r="K966" i="15"/>
  <c r="J966" i="15"/>
  <c r="I966" i="15"/>
  <c r="K965" i="15"/>
  <c r="J965" i="15"/>
  <c r="I965" i="15"/>
  <c r="K964" i="15"/>
  <c r="J964" i="15"/>
  <c r="I964" i="15"/>
  <c r="K963" i="15"/>
  <c r="J963" i="15"/>
  <c r="I963" i="15"/>
  <c r="K962" i="15"/>
  <c r="J962" i="15"/>
  <c r="I962" i="15"/>
  <c r="K961" i="15"/>
  <c r="J961" i="15"/>
  <c r="I961" i="15"/>
  <c r="K960" i="15"/>
  <c r="J960" i="15"/>
  <c r="I960" i="15"/>
  <c r="K959" i="15"/>
  <c r="J959" i="15"/>
  <c r="I959" i="15"/>
  <c r="K958" i="15"/>
  <c r="J958" i="15"/>
  <c r="I958" i="15"/>
  <c r="K957" i="15"/>
  <c r="J957" i="15"/>
  <c r="I957" i="15"/>
  <c r="K956" i="15"/>
  <c r="J956" i="15"/>
  <c r="I956" i="15"/>
  <c r="K955" i="15"/>
  <c r="J955" i="15"/>
  <c r="I955" i="15"/>
  <c r="K954" i="15"/>
  <c r="J954" i="15"/>
  <c r="I954" i="15"/>
  <c r="K953" i="15"/>
  <c r="J953" i="15"/>
  <c r="I953" i="15"/>
  <c r="K952" i="15"/>
  <c r="J952" i="15"/>
  <c r="I952" i="15"/>
  <c r="K951" i="15"/>
  <c r="J951" i="15"/>
  <c r="I951" i="15"/>
  <c r="K950" i="15"/>
  <c r="J950" i="15"/>
  <c r="I950" i="15"/>
  <c r="K949" i="15"/>
  <c r="J949" i="15"/>
  <c r="I949" i="15"/>
  <c r="K948" i="15"/>
  <c r="J948" i="15"/>
  <c r="I948" i="15"/>
  <c r="K947" i="15"/>
  <c r="J947" i="15"/>
  <c r="I947" i="15"/>
  <c r="K946" i="15"/>
  <c r="J946" i="15"/>
  <c r="I946" i="15"/>
  <c r="K945" i="15"/>
  <c r="J945" i="15"/>
  <c r="I945" i="15"/>
  <c r="K944" i="15"/>
  <c r="J944" i="15"/>
  <c r="I944" i="15"/>
  <c r="K943" i="15"/>
  <c r="J943" i="15"/>
  <c r="I943" i="15"/>
  <c r="K942" i="15"/>
  <c r="J942" i="15"/>
  <c r="I942" i="15"/>
  <c r="K941" i="15"/>
  <c r="J941" i="15"/>
  <c r="I941" i="15"/>
  <c r="K940" i="15"/>
  <c r="J940" i="15"/>
  <c r="I940" i="15"/>
  <c r="K939" i="15"/>
  <c r="J939" i="15"/>
  <c r="I939" i="15"/>
  <c r="K938" i="15"/>
  <c r="J938" i="15"/>
  <c r="I938" i="15"/>
  <c r="K937" i="15"/>
  <c r="J937" i="15"/>
  <c r="I937" i="15"/>
  <c r="K936" i="15"/>
  <c r="J936" i="15"/>
  <c r="I936" i="15"/>
  <c r="K935" i="15"/>
  <c r="J935" i="15"/>
  <c r="I935" i="15"/>
  <c r="K934" i="15"/>
  <c r="J934" i="15"/>
  <c r="I934" i="15"/>
  <c r="K933" i="15"/>
  <c r="J933" i="15"/>
  <c r="I933" i="15"/>
  <c r="K932" i="15"/>
  <c r="J932" i="15"/>
  <c r="I932" i="15"/>
  <c r="K931" i="15"/>
  <c r="J931" i="15"/>
  <c r="I931" i="15"/>
  <c r="K930" i="15"/>
  <c r="J930" i="15"/>
  <c r="I930" i="15"/>
  <c r="K929" i="15"/>
  <c r="J929" i="15"/>
  <c r="I929" i="15"/>
  <c r="K928" i="15"/>
  <c r="J928" i="15"/>
  <c r="I928" i="15"/>
  <c r="K927" i="15"/>
  <c r="J927" i="15"/>
  <c r="I927" i="15"/>
  <c r="K926" i="15"/>
  <c r="J926" i="15"/>
  <c r="I926" i="15"/>
  <c r="K925" i="15"/>
  <c r="J925" i="15"/>
  <c r="I925" i="15"/>
  <c r="K924" i="15"/>
  <c r="J924" i="15"/>
  <c r="I924" i="15"/>
  <c r="K923" i="15"/>
  <c r="J923" i="15"/>
  <c r="I923" i="15"/>
  <c r="K922" i="15"/>
  <c r="J922" i="15"/>
  <c r="I922" i="15"/>
  <c r="K921" i="15"/>
  <c r="J921" i="15"/>
  <c r="I921" i="15"/>
  <c r="K920" i="15"/>
  <c r="J920" i="15"/>
  <c r="I920" i="15"/>
  <c r="K919" i="15"/>
  <c r="J919" i="15"/>
  <c r="I919" i="15"/>
  <c r="K918" i="15"/>
  <c r="J918" i="15"/>
  <c r="I918" i="15"/>
  <c r="K917" i="15"/>
  <c r="J917" i="15"/>
  <c r="I917" i="15"/>
  <c r="K916" i="15"/>
  <c r="J916" i="15"/>
  <c r="I916" i="15"/>
  <c r="K915" i="15"/>
  <c r="J915" i="15"/>
  <c r="I915" i="15"/>
  <c r="K914" i="15"/>
  <c r="J914" i="15"/>
  <c r="I914" i="15"/>
  <c r="K913" i="15"/>
  <c r="J913" i="15"/>
  <c r="I913" i="15"/>
  <c r="K912" i="15"/>
  <c r="J912" i="15"/>
  <c r="I912" i="15"/>
  <c r="K911" i="15"/>
  <c r="J911" i="15"/>
  <c r="I911" i="15"/>
  <c r="K910" i="15"/>
  <c r="J910" i="15"/>
  <c r="I910" i="15"/>
  <c r="K909" i="15"/>
  <c r="J909" i="15"/>
  <c r="I909" i="15"/>
  <c r="K908" i="15"/>
  <c r="J908" i="15"/>
  <c r="I908" i="15"/>
  <c r="K907" i="15"/>
  <c r="J907" i="15"/>
  <c r="I907" i="15"/>
  <c r="K906" i="15"/>
  <c r="J906" i="15"/>
  <c r="I906" i="15"/>
  <c r="K905" i="15"/>
  <c r="J905" i="15"/>
  <c r="I905" i="15"/>
  <c r="K904" i="15"/>
  <c r="J904" i="15"/>
  <c r="I904" i="15"/>
  <c r="K903" i="15"/>
  <c r="J903" i="15"/>
  <c r="I903" i="15"/>
  <c r="K902" i="15"/>
  <c r="J902" i="15"/>
  <c r="I902" i="15"/>
  <c r="K901" i="15"/>
  <c r="J901" i="15"/>
  <c r="I901" i="15"/>
  <c r="K900" i="15"/>
  <c r="J900" i="15"/>
  <c r="I900" i="15"/>
  <c r="K899" i="15"/>
  <c r="J899" i="15"/>
  <c r="I899" i="15"/>
  <c r="K898" i="15"/>
  <c r="J898" i="15"/>
  <c r="I898" i="15"/>
  <c r="K897" i="15"/>
  <c r="J897" i="15"/>
  <c r="I897" i="15"/>
  <c r="K896" i="15"/>
  <c r="J896" i="15"/>
  <c r="I896" i="15"/>
  <c r="K895" i="15"/>
  <c r="J895" i="15"/>
  <c r="I895" i="15"/>
  <c r="K894" i="15"/>
  <c r="J894" i="15"/>
  <c r="I894" i="15"/>
  <c r="K893" i="15"/>
  <c r="J893" i="15"/>
  <c r="I893" i="15"/>
  <c r="K892" i="15"/>
  <c r="J892" i="15"/>
  <c r="I892" i="15"/>
  <c r="K891" i="15"/>
  <c r="J891" i="15"/>
  <c r="I891" i="15"/>
  <c r="K890" i="15"/>
  <c r="J890" i="15"/>
  <c r="I890" i="15"/>
  <c r="K889" i="15"/>
  <c r="J889" i="15"/>
  <c r="I889" i="15"/>
  <c r="K888" i="15"/>
  <c r="J888" i="15"/>
  <c r="I888" i="15"/>
  <c r="K887" i="15"/>
  <c r="J887" i="15"/>
  <c r="I887" i="15"/>
  <c r="K886" i="15"/>
  <c r="J886" i="15"/>
  <c r="I886" i="15"/>
  <c r="K885" i="15"/>
  <c r="J885" i="15"/>
  <c r="I885" i="15"/>
  <c r="K884" i="15"/>
  <c r="J884" i="15"/>
  <c r="I884" i="15"/>
  <c r="K883" i="15"/>
  <c r="J883" i="15"/>
  <c r="I883" i="15"/>
  <c r="K882" i="15"/>
  <c r="J882" i="15"/>
  <c r="I882" i="15"/>
  <c r="K881" i="15"/>
  <c r="J881" i="15"/>
  <c r="I881" i="15"/>
  <c r="K880" i="15"/>
  <c r="J880" i="15"/>
  <c r="I880" i="15"/>
  <c r="K879" i="15"/>
  <c r="J879" i="15"/>
  <c r="I879" i="15"/>
  <c r="K878" i="15"/>
  <c r="J878" i="15"/>
  <c r="I878" i="15"/>
  <c r="K877" i="15"/>
  <c r="J877" i="15"/>
  <c r="I877" i="15"/>
  <c r="K876" i="15"/>
  <c r="J876" i="15"/>
  <c r="I876" i="15"/>
  <c r="K875" i="15"/>
  <c r="J875" i="15"/>
  <c r="I875" i="15"/>
  <c r="K874" i="15"/>
  <c r="J874" i="15"/>
  <c r="I874" i="15"/>
  <c r="K873" i="15"/>
  <c r="J873" i="15"/>
  <c r="I873" i="15"/>
  <c r="K872" i="15"/>
  <c r="J872" i="15"/>
  <c r="I872" i="15"/>
  <c r="K871" i="15"/>
  <c r="J871" i="15"/>
  <c r="I871" i="15"/>
  <c r="K870" i="15"/>
  <c r="J870" i="15"/>
  <c r="I870" i="15"/>
  <c r="K869" i="15"/>
  <c r="J869" i="15"/>
  <c r="I869" i="15"/>
  <c r="K868" i="15"/>
  <c r="J868" i="15"/>
  <c r="I868" i="15"/>
  <c r="K867" i="15"/>
  <c r="J867" i="15"/>
  <c r="I867" i="15"/>
  <c r="K866" i="15"/>
  <c r="J866" i="15"/>
  <c r="I866" i="15"/>
  <c r="K865" i="15"/>
  <c r="J865" i="15"/>
  <c r="I865" i="15"/>
  <c r="K864" i="15"/>
  <c r="J864" i="15"/>
  <c r="I864" i="15"/>
  <c r="K863" i="15"/>
  <c r="J863" i="15"/>
  <c r="I863" i="15"/>
  <c r="K862" i="15"/>
  <c r="J862" i="15"/>
  <c r="I862" i="15"/>
  <c r="K861" i="15"/>
  <c r="J861" i="15"/>
  <c r="I861" i="15"/>
  <c r="K860" i="15"/>
  <c r="J860" i="15"/>
  <c r="I860" i="15"/>
  <c r="K859" i="15"/>
  <c r="J859" i="15"/>
  <c r="I859" i="15"/>
  <c r="K858" i="15"/>
  <c r="J858" i="15"/>
  <c r="I858" i="15"/>
  <c r="K857" i="15"/>
  <c r="J857" i="15"/>
  <c r="I857" i="15"/>
  <c r="K856" i="15"/>
  <c r="J856" i="15"/>
  <c r="I856" i="15"/>
  <c r="K855" i="15"/>
  <c r="J855" i="15"/>
  <c r="I855" i="15"/>
  <c r="K854" i="15"/>
  <c r="J854" i="15"/>
  <c r="I854" i="15"/>
  <c r="K853" i="15"/>
  <c r="J853" i="15"/>
  <c r="I853" i="15"/>
  <c r="K852" i="15"/>
  <c r="J852" i="15"/>
  <c r="I852" i="15"/>
  <c r="K851" i="15"/>
  <c r="J851" i="15"/>
  <c r="I851" i="15"/>
  <c r="K850" i="15"/>
  <c r="J850" i="15"/>
  <c r="I850" i="15"/>
  <c r="K849" i="15"/>
  <c r="J849" i="15"/>
  <c r="I849" i="15"/>
  <c r="K848" i="15"/>
  <c r="J848" i="15"/>
  <c r="I848" i="15"/>
  <c r="K847" i="15"/>
  <c r="J847" i="15"/>
  <c r="I847" i="15"/>
  <c r="K846" i="15"/>
  <c r="J846" i="15"/>
  <c r="I846" i="15"/>
  <c r="K845" i="15"/>
  <c r="J845" i="15"/>
  <c r="I845" i="15"/>
  <c r="K844" i="15"/>
  <c r="J844" i="15"/>
  <c r="I844" i="15"/>
  <c r="K843" i="15"/>
  <c r="J843" i="15"/>
  <c r="I843" i="15"/>
  <c r="K842" i="15"/>
  <c r="J842" i="15"/>
  <c r="I842" i="15"/>
  <c r="K841" i="15"/>
  <c r="J841" i="15"/>
  <c r="I841" i="15"/>
  <c r="K840" i="15"/>
  <c r="J840" i="15"/>
  <c r="I840" i="15"/>
  <c r="K839" i="15"/>
  <c r="J839" i="15"/>
  <c r="I839" i="15"/>
  <c r="K838" i="15"/>
  <c r="J838" i="15"/>
  <c r="I838" i="15"/>
  <c r="K837" i="15"/>
  <c r="J837" i="15"/>
  <c r="I837" i="15"/>
  <c r="K836" i="15"/>
  <c r="J836" i="15"/>
  <c r="I836" i="15"/>
  <c r="K835" i="15"/>
  <c r="J835" i="15"/>
  <c r="I835" i="15"/>
  <c r="K834" i="15"/>
  <c r="J834" i="15"/>
  <c r="I834" i="15"/>
  <c r="K833" i="15"/>
  <c r="J833" i="15"/>
  <c r="I833" i="15"/>
  <c r="K832" i="15"/>
  <c r="J832" i="15"/>
  <c r="I832" i="15"/>
  <c r="K831" i="15"/>
  <c r="J831" i="15"/>
  <c r="I831" i="15"/>
  <c r="K830" i="15"/>
  <c r="J830" i="15"/>
  <c r="I830" i="15"/>
  <c r="K829" i="15"/>
  <c r="J829" i="15"/>
  <c r="I829" i="15"/>
  <c r="K828" i="15"/>
  <c r="J828" i="15"/>
  <c r="I828" i="15"/>
  <c r="K827" i="15"/>
  <c r="J827" i="15"/>
  <c r="I827" i="15"/>
  <c r="K826" i="15"/>
  <c r="J826" i="15"/>
  <c r="I826" i="15"/>
  <c r="K825" i="15"/>
  <c r="J825" i="15"/>
  <c r="I825" i="15"/>
  <c r="K824" i="15"/>
  <c r="J824" i="15"/>
  <c r="I824" i="15"/>
  <c r="K823" i="15"/>
  <c r="J823" i="15"/>
  <c r="I823" i="15"/>
  <c r="K822" i="15"/>
  <c r="J822" i="15"/>
  <c r="I822" i="15"/>
  <c r="K821" i="15"/>
  <c r="J821" i="15"/>
  <c r="I821" i="15"/>
  <c r="K820" i="15"/>
  <c r="J820" i="15"/>
  <c r="I820" i="15"/>
  <c r="K819" i="15"/>
  <c r="J819" i="15"/>
  <c r="I819" i="15"/>
  <c r="K818" i="15"/>
  <c r="J818" i="15"/>
  <c r="I818" i="15"/>
  <c r="K817" i="15"/>
  <c r="J817" i="15"/>
  <c r="I817" i="15"/>
  <c r="K816" i="15"/>
  <c r="J816" i="15"/>
  <c r="I816" i="15"/>
  <c r="K815" i="15"/>
  <c r="J815" i="15"/>
  <c r="I815" i="15"/>
  <c r="K814" i="15"/>
  <c r="J814" i="15"/>
  <c r="I814" i="15"/>
  <c r="K813" i="15"/>
  <c r="J813" i="15"/>
  <c r="I813" i="15"/>
  <c r="K812" i="15"/>
  <c r="J812" i="15"/>
  <c r="I812" i="15"/>
  <c r="K811" i="15"/>
  <c r="J811" i="15"/>
  <c r="I811" i="15"/>
  <c r="K810" i="15"/>
  <c r="J810" i="15"/>
  <c r="I810" i="15"/>
  <c r="K809" i="15"/>
  <c r="J809" i="15"/>
  <c r="I809" i="15"/>
  <c r="K808" i="15"/>
  <c r="J808" i="15"/>
  <c r="I808" i="15"/>
  <c r="K807" i="15"/>
  <c r="J807" i="15"/>
  <c r="I807" i="15"/>
  <c r="K806" i="15"/>
  <c r="J806" i="15"/>
  <c r="I806" i="15"/>
  <c r="K805" i="15"/>
  <c r="J805" i="15"/>
  <c r="I805" i="15"/>
  <c r="K804" i="15"/>
  <c r="J804" i="15"/>
  <c r="I804" i="15"/>
  <c r="K803" i="15"/>
  <c r="J803" i="15"/>
  <c r="I803" i="15"/>
  <c r="K802" i="15"/>
  <c r="J802" i="15"/>
  <c r="I802" i="15"/>
  <c r="K801" i="15"/>
  <c r="J801" i="15"/>
  <c r="I801" i="15"/>
  <c r="K800" i="15"/>
  <c r="J800" i="15"/>
  <c r="I800" i="15"/>
  <c r="K799" i="15"/>
  <c r="J799" i="15"/>
  <c r="I799" i="15"/>
  <c r="K798" i="15"/>
  <c r="J798" i="15"/>
  <c r="I798" i="15"/>
  <c r="K797" i="15"/>
  <c r="J797" i="15"/>
  <c r="I797" i="15"/>
  <c r="K796" i="15"/>
  <c r="J796" i="15"/>
  <c r="I796" i="15"/>
  <c r="K795" i="15"/>
  <c r="J795" i="15"/>
  <c r="I795" i="15"/>
  <c r="K794" i="15"/>
  <c r="J794" i="15"/>
  <c r="I794" i="15"/>
  <c r="K793" i="15"/>
  <c r="J793" i="15"/>
  <c r="I793" i="15"/>
  <c r="K792" i="15"/>
  <c r="J792" i="15"/>
  <c r="I792" i="15"/>
  <c r="K791" i="15"/>
  <c r="J791" i="15"/>
  <c r="I791" i="15"/>
  <c r="K790" i="15"/>
  <c r="J790" i="15"/>
  <c r="I790" i="15"/>
  <c r="K789" i="15"/>
  <c r="J789" i="15"/>
  <c r="I789" i="15"/>
  <c r="K788" i="15"/>
  <c r="J788" i="15"/>
  <c r="I788" i="15"/>
  <c r="K787" i="15"/>
  <c r="J787" i="15"/>
  <c r="I787" i="15"/>
  <c r="K786" i="15"/>
  <c r="J786" i="15"/>
  <c r="I786" i="15"/>
  <c r="K785" i="15"/>
  <c r="J785" i="15"/>
  <c r="I785" i="15"/>
  <c r="K784" i="15"/>
  <c r="J784" i="15"/>
  <c r="I784" i="15"/>
  <c r="K783" i="15"/>
  <c r="J783" i="15"/>
  <c r="I783" i="15"/>
  <c r="K782" i="15"/>
  <c r="J782" i="15"/>
  <c r="I782" i="15"/>
  <c r="K781" i="15"/>
  <c r="J781" i="15"/>
  <c r="I781" i="15"/>
  <c r="K780" i="15"/>
  <c r="J780" i="15"/>
  <c r="I780" i="15"/>
  <c r="K779" i="15"/>
  <c r="J779" i="15"/>
  <c r="I779" i="15"/>
  <c r="K778" i="15"/>
  <c r="J778" i="15"/>
  <c r="I778" i="15"/>
  <c r="K777" i="15"/>
  <c r="J777" i="15"/>
  <c r="I777" i="15"/>
  <c r="K776" i="15"/>
  <c r="J776" i="15"/>
  <c r="I776" i="15"/>
  <c r="K775" i="15"/>
  <c r="J775" i="15"/>
  <c r="I775" i="15"/>
  <c r="K774" i="15"/>
  <c r="J774" i="15"/>
  <c r="I774" i="15"/>
  <c r="K773" i="15"/>
  <c r="J773" i="15"/>
  <c r="I773" i="15"/>
  <c r="K772" i="15"/>
  <c r="J772" i="15"/>
  <c r="I772" i="15"/>
  <c r="K771" i="15"/>
  <c r="J771" i="15"/>
  <c r="I771" i="15"/>
  <c r="K770" i="15"/>
  <c r="J770" i="15"/>
  <c r="I770" i="15"/>
  <c r="K769" i="15"/>
  <c r="J769" i="15"/>
  <c r="I769" i="15"/>
  <c r="K768" i="15"/>
  <c r="J768" i="15"/>
  <c r="I768" i="15"/>
  <c r="K767" i="15"/>
  <c r="J767" i="15"/>
  <c r="I767" i="15"/>
  <c r="K766" i="15"/>
  <c r="J766" i="15"/>
  <c r="I766" i="15"/>
  <c r="K765" i="15"/>
  <c r="J765" i="15"/>
  <c r="I765" i="15"/>
  <c r="K764" i="15"/>
  <c r="J764" i="15"/>
  <c r="I764" i="15"/>
  <c r="K763" i="15"/>
  <c r="J763" i="15"/>
  <c r="I763" i="15"/>
  <c r="K762" i="15"/>
  <c r="J762" i="15"/>
  <c r="I762" i="15"/>
  <c r="K761" i="15"/>
  <c r="J761" i="15"/>
  <c r="I761" i="15"/>
  <c r="K760" i="15"/>
  <c r="J760" i="15"/>
  <c r="I760" i="15"/>
  <c r="K759" i="15"/>
  <c r="J759" i="15"/>
  <c r="I759" i="15"/>
  <c r="K758" i="15"/>
  <c r="J758" i="15"/>
  <c r="I758" i="15"/>
  <c r="K757" i="15"/>
  <c r="J757" i="15"/>
  <c r="I757" i="15"/>
  <c r="K756" i="15"/>
  <c r="J756" i="15"/>
  <c r="I756" i="15"/>
  <c r="K755" i="15"/>
  <c r="J755" i="15"/>
  <c r="I755" i="15"/>
  <c r="K754" i="15"/>
  <c r="J754" i="15"/>
  <c r="I754" i="15"/>
  <c r="K753" i="15"/>
  <c r="J753" i="15"/>
  <c r="I753" i="15"/>
  <c r="K752" i="15"/>
  <c r="J752" i="15"/>
  <c r="I752" i="15"/>
  <c r="K751" i="15"/>
  <c r="J751" i="15"/>
  <c r="I751" i="15"/>
  <c r="K750" i="15"/>
  <c r="J750" i="15"/>
  <c r="I750" i="15"/>
  <c r="K749" i="15"/>
  <c r="J749" i="15"/>
  <c r="I749" i="15"/>
  <c r="K748" i="15"/>
  <c r="J748" i="15"/>
  <c r="I748" i="15"/>
  <c r="K747" i="15"/>
  <c r="J747" i="15"/>
  <c r="I747" i="15"/>
  <c r="K746" i="15"/>
  <c r="J746" i="15"/>
  <c r="I746" i="15"/>
  <c r="K745" i="15"/>
  <c r="J745" i="15"/>
  <c r="I745" i="15"/>
  <c r="K744" i="15"/>
  <c r="J744" i="15"/>
  <c r="I744" i="15"/>
  <c r="K743" i="15"/>
  <c r="J743" i="15"/>
  <c r="I743" i="15"/>
  <c r="K742" i="15"/>
  <c r="J742" i="15"/>
  <c r="I742" i="15"/>
  <c r="K741" i="15"/>
  <c r="J741" i="15"/>
  <c r="I741" i="15"/>
  <c r="K740" i="15"/>
  <c r="J740" i="15"/>
  <c r="I740" i="15"/>
  <c r="K739" i="15"/>
  <c r="J739" i="15"/>
  <c r="I739" i="15"/>
  <c r="K738" i="15"/>
  <c r="J738" i="15"/>
  <c r="I738" i="15"/>
  <c r="K737" i="15"/>
  <c r="J737" i="15"/>
  <c r="I737" i="15"/>
  <c r="K736" i="15"/>
  <c r="J736" i="15"/>
  <c r="I736" i="15"/>
  <c r="K735" i="15"/>
  <c r="J735" i="15"/>
  <c r="I735" i="15"/>
  <c r="K734" i="15"/>
  <c r="J734" i="15"/>
  <c r="I734" i="15"/>
  <c r="K733" i="15"/>
  <c r="J733" i="15"/>
  <c r="I733" i="15"/>
  <c r="K732" i="15"/>
  <c r="J732" i="15"/>
  <c r="I732" i="15"/>
  <c r="K731" i="15"/>
  <c r="J731" i="15"/>
  <c r="I731" i="15"/>
  <c r="K730" i="15"/>
  <c r="J730" i="15"/>
  <c r="I730" i="15"/>
  <c r="K729" i="15"/>
  <c r="J729" i="15"/>
  <c r="I729" i="15"/>
  <c r="K728" i="15"/>
  <c r="J728" i="15"/>
  <c r="I728" i="15"/>
  <c r="K727" i="15"/>
  <c r="J727" i="15"/>
  <c r="I727" i="15"/>
  <c r="K726" i="15"/>
  <c r="J726" i="15"/>
  <c r="I726" i="15"/>
  <c r="K725" i="15"/>
  <c r="J725" i="15"/>
  <c r="I725" i="15"/>
  <c r="K724" i="15"/>
  <c r="J724" i="15"/>
  <c r="I724" i="15"/>
  <c r="K723" i="15"/>
  <c r="J723" i="15"/>
  <c r="I723" i="15"/>
  <c r="K722" i="15"/>
  <c r="J722" i="15"/>
  <c r="I722" i="15"/>
  <c r="K721" i="15"/>
  <c r="J721" i="15"/>
  <c r="I721" i="15"/>
  <c r="K720" i="15"/>
  <c r="J720" i="15"/>
  <c r="I720" i="15"/>
  <c r="K719" i="15"/>
  <c r="J719" i="15"/>
  <c r="I719" i="15"/>
  <c r="K718" i="15"/>
  <c r="J718" i="15"/>
  <c r="I718" i="15"/>
  <c r="K717" i="15"/>
  <c r="J717" i="15"/>
  <c r="I717" i="15"/>
  <c r="K716" i="15"/>
  <c r="J716" i="15"/>
  <c r="I716" i="15"/>
  <c r="K715" i="15"/>
  <c r="J715" i="15"/>
  <c r="I715" i="15"/>
  <c r="K714" i="15"/>
  <c r="J714" i="15"/>
  <c r="I714" i="15"/>
  <c r="K713" i="15"/>
  <c r="J713" i="15"/>
  <c r="I713" i="15"/>
  <c r="K712" i="15"/>
  <c r="J712" i="15"/>
  <c r="I712" i="15"/>
  <c r="K711" i="15"/>
  <c r="J711" i="15"/>
  <c r="I711" i="15"/>
  <c r="K710" i="15"/>
  <c r="J710" i="15"/>
  <c r="I710" i="15"/>
  <c r="K709" i="15"/>
  <c r="J709" i="15"/>
  <c r="I709" i="15"/>
  <c r="K708" i="15"/>
  <c r="J708" i="15"/>
  <c r="I708" i="15"/>
  <c r="K707" i="15"/>
  <c r="J707" i="15"/>
  <c r="I707" i="15"/>
  <c r="K706" i="15"/>
  <c r="J706" i="15"/>
  <c r="I706" i="15"/>
  <c r="K705" i="15"/>
  <c r="J705" i="15"/>
  <c r="I705" i="15"/>
  <c r="K704" i="15"/>
  <c r="J704" i="15"/>
  <c r="I704" i="15"/>
  <c r="K703" i="15"/>
  <c r="J703" i="15"/>
  <c r="I703" i="15"/>
  <c r="K702" i="15"/>
  <c r="J702" i="15"/>
  <c r="I702" i="15"/>
  <c r="K701" i="15"/>
  <c r="J701" i="15"/>
  <c r="I701" i="15"/>
  <c r="K700" i="15"/>
  <c r="J700" i="15"/>
  <c r="I700" i="15"/>
  <c r="K699" i="15"/>
  <c r="J699" i="15"/>
  <c r="I699" i="15"/>
  <c r="K698" i="15"/>
  <c r="J698" i="15"/>
  <c r="I698" i="15"/>
  <c r="K697" i="15"/>
  <c r="J697" i="15"/>
  <c r="I697" i="15"/>
  <c r="K696" i="15"/>
  <c r="J696" i="15"/>
  <c r="I696" i="15"/>
  <c r="K695" i="15"/>
  <c r="J695" i="15"/>
  <c r="I695" i="15"/>
  <c r="K694" i="15"/>
  <c r="J694" i="15"/>
  <c r="I694" i="15"/>
  <c r="K693" i="15"/>
  <c r="J693" i="15"/>
  <c r="I693" i="15"/>
  <c r="K692" i="15"/>
  <c r="J692" i="15"/>
  <c r="I692" i="15"/>
  <c r="K691" i="15"/>
  <c r="J691" i="15"/>
  <c r="I691" i="15"/>
  <c r="K690" i="15"/>
  <c r="J690" i="15"/>
  <c r="I690" i="15"/>
  <c r="K689" i="15"/>
  <c r="J689" i="15"/>
  <c r="I689" i="15"/>
  <c r="K688" i="15"/>
  <c r="J688" i="15"/>
  <c r="I688" i="15"/>
  <c r="K687" i="15"/>
  <c r="J687" i="15"/>
  <c r="I687" i="15"/>
  <c r="K686" i="15"/>
  <c r="J686" i="15"/>
  <c r="I686" i="15"/>
  <c r="K685" i="15"/>
  <c r="J685" i="15"/>
  <c r="I685" i="15"/>
  <c r="K684" i="15"/>
  <c r="J684" i="15"/>
  <c r="I684" i="15"/>
  <c r="K683" i="15"/>
  <c r="J683" i="15"/>
  <c r="I683" i="15"/>
  <c r="K682" i="15"/>
  <c r="J682" i="15"/>
  <c r="I682" i="15"/>
  <c r="K681" i="15"/>
  <c r="J681" i="15"/>
  <c r="I681" i="15"/>
  <c r="K680" i="15"/>
  <c r="J680" i="15"/>
  <c r="I680" i="15"/>
  <c r="K679" i="15"/>
  <c r="J679" i="15"/>
  <c r="I679" i="15"/>
  <c r="K678" i="15"/>
  <c r="J678" i="15"/>
  <c r="I678" i="15"/>
  <c r="K677" i="15"/>
  <c r="J677" i="15"/>
  <c r="I677" i="15"/>
  <c r="K676" i="15"/>
  <c r="J676" i="15"/>
  <c r="I676" i="15"/>
  <c r="K675" i="15"/>
  <c r="J675" i="15"/>
  <c r="I675" i="15"/>
  <c r="K674" i="15"/>
  <c r="J674" i="15"/>
  <c r="I674" i="15"/>
  <c r="K673" i="15"/>
  <c r="J673" i="15"/>
  <c r="I673" i="15"/>
  <c r="K672" i="15"/>
  <c r="J672" i="15"/>
  <c r="I672" i="15"/>
  <c r="K671" i="15"/>
  <c r="J671" i="15"/>
  <c r="I671" i="15"/>
  <c r="K670" i="15"/>
  <c r="J670" i="15"/>
  <c r="I670" i="15"/>
  <c r="K669" i="15"/>
  <c r="J669" i="15"/>
  <c r="I669" i="15"/>
  <c r="K668" i="15"/>
  <c r="J668" i="15"/>
  <c r="I668" i="15"/>
  <c r="K667" i="15"/>
  <c r="J667" i="15"/>
  <c r="I667" i="15"/>
  <c r="K666" i="15"/>
  <c r="J666" i="15"/>
  <c r="I666" i="15"/>
  <c r="K665" i="15"/>
  <c r="J665" i="15"/>
  <c r="I665" i="15"/>
  <c r="K664" i="15"/>
  <c r="J664" i="15"/>
  <c r="I664" i="15"/>
  <c r="K663" i="15"/>
  <c r="J663" i="15"/>
  <c r="I663" i="15"/>
  <c r="K662" i="15"/>
  <c r="J662" i="15"/>
  <c r="I662" i="15"/>
  <c r="K661" i="15"/>
  <c r="J661" i="15"/>
  <c r="I661" i="15"/>
  <c r="K660" i="15"/>
  <c r="J660" i="15"/>
  <c r="I660" i="15"/>
  <c r="K659" i="15"/>
  <c r="J659" i="15"/>
  <c r="I659" i="15"/>
  <c r="K658" i="15"/>
  <c r="J658" i="15"/>
  <c r="I658" i="15"/>
  <c r="K657" i="15"/>
  <c r="J657" i="15"/>
  <c r="I657" i="15"/>
  <c r="K656" i="15"/>
  <c r="J656" i="15"/>
  <c r="I656" i="15"/>
  <c r="K655" i="15"/>
  <c r="J655" i="15"/>
  <c r="I655" i="15"/>
  <c r="K654" i="15"/>
  <c r="J654" i="15"/>
  <c r="I654" i="15"/>
  <c r="K653" i="15"/>
  <c r="J653" i="15"/>
  <c r="I653" i="15"/>
  <c r="K652" i="15"/>
  <c r="J652" i="15"/>
  <c r="I652" i="15"/>
  <c r="K651" i="15"/>
  <c r="J651" i="15"/>
  <c r="I651" i="15"/>
  <c r="K650" i="15"/>
  <c r="J650" i="15"/>
  <c r="I650" i="15"/>
  <c r="K649" i="15"/>
  <c r="J649" i="15"/>
  <c r="I649" i="15"/>
  <c r="K648" i="15"/>
  <c r="J648" i="15"/>
  <c r="I648" i="15"/>
  <c r="K647" i="15"/>
  <c r="J647" i="15"/>
  <c r="I647" i="15"/>
  <c r="K646" i="15"/>
  <c r="J646" i="15"/>
  <c r="I646" i="15"/>
  <c r="K645" i="15"/>
  <c r="J645" i="15"/>
  <c r="I645" i="15"/>
  <c r="K644" i="15"/>
  <c r="J644" i="15"/>
  <c r="I644" i="15"/>
  <c r="K643" i="15"/>
  <c r="J643" i="15"/>
  <c r="I643" i="15"/>
  <c r="K642" i="15"/>
  <c r="J642" i="15"/>
  <c r="I642" i="15"/>
  <c r="K641" i="15"/>
  <c r="J641" i="15"/>
  <c r="I641" i="15"/>
  <c r="K640" i="15"/>
  <c r="J640" i="15"/>
  <c r="I640" i="15"/>
  <c r="K639" i="15"/>
  <c r="J639" i="15"/>
  <c r="I639" i="15"/>
  <c r="K638" i="15"/>
  <c r="J638" i="15"/>
  <c r="I638" i="15"/>
  <c r="K637" i="15"/>
  <c r="J637" i="15"/>
  <c r="I637" i="15"/>
  <c r="K636" i="15"/>
  <c r="J636" i="15"/>
  <c r="I636" i="15"/>
  <c r="K635" i="15"/>
  <c r="J635" i="15"/>
  <c r="I635" i="15"/>
  <c r="K634" i="15"/>
  <c r="J634" i="15"/>
  <c r="I634" i="15"/>
  <c r="K633" i="15"/>
  <c r="J633" i="15"/>
  <c r="I633" i="15"/>
  <c r="K632" i="15"/>
  <c r="J632" i="15"/>
  <c r="I632" i="15"/>
  <c r="K631" i="15"/>
  <c r="J631" i="15"/>
  <c r="I631" i="15"/>
  <c r="K630" i="15"/>
  <c r="J630" i="15"/>
  <c r="I630" i="15"/>
  <c r="K629" i="15"/>
  <c r="J629" i="15"/>
  <c r="I629" i="15"/>
  <c r="K628" i="15"/>
  <c r="J628" i="15"/>
  <c r="I628" i="15"/>
  <c r="K627" i="15"/>
  <c r="J627" i="15"/>
  <c r="I627" i="15"/>
  <c r="K626" i="15"/>
  <c r="J626" i="15"/>
  <c r="I626" i="15"/>
  <c r="K625" i="15"/>
  <c r="J625" i="15"/>
  <c r="I625" i="15"/>
  <c r="K624" i="15"/>
  <c r="J624" i="15"/>
  <c r="I624" i="15"/>
  <c r="K623" i="15"/>
  <c r="J623" i="15"/>
  <c r="I623" i="15"/>
  <c r="K622" i="15"/>
  <c r="J622" i="15"/>
  <c r="I622" i="15"/>
  <c r="K621" i="15"/>
  <c r="J621" i="15"/>
  <c r="I621" i="15"/>
  <c r="K620" i="15"/>
  <c r="J620" i="15"/>
  <c r="I620" i="15"/>
  <c r="K619" i="15"/>
  <c r="J619" i="15"/>
  <c r="I619" i="15"/>
  <c r="K618" i="15"/>
  <c r="J618" i="15"/>
  <c r="I618" i="15"/>
  <c r="K617" i="15"/>
  <c r="J617" i="15"/>
  <c r="I617" i="15"/>
  <c r="K616" i="15"/>
  <c r="J616" i="15"/>
  <c r="I616" i="15"/>
  <c r="K615" i="15"/>
  <c r="J615" i="15"/>
  <c r="I615" i="15"/>
  <c r="K614" i="15"/>
  <c r="J614" i="15"/>
  <c r="I614" i="15"/>
  <c r="K613" i="15"/>
  <c r="J613" i="15"/>
  <c r="I613" i="15"/>
  <c r="K612" i="15"/>
  <c r="J612" i="15"/>
  <c r="I612" i="15"/>
  <c r="K611" i="15"/>
  <c r="J611" i="15"/>
  <c r="I611" i="15"/>
  <c r="K610" i="15"/>
  <c r="J610" i="15"/>
  <c r="I610" i="15"/>
  <c r="K609" i="15"/>
  <c r="J609" i="15"/>
  <c r="I609" i="15"/>
  <c r="K608" i="15"/>
  <c r="J608" i="15"/>
  <c r="I608" i="15"/>
  <c r="K607" i="15"/>
  <c r="J607" i="15"/>
  <c r="I607" i="15"/>
  <c r="K606" i="15"/>
  <c r="J606" i="15"/>
  <c r="I606" i="15"/>
  <c r="K605" i="15"/>
  <c r="J605" i="15"/>
  <c r="I605" i="15"/>
  <c r="K604" i="15"/>
  <c r="J604" i="15"/>
  <c r="I604" i="15"/>
  <c r="K603" i="15"/>
  <c r="J603" i="15"/>
  <c r="I603" i="15"/>
  <c r="K602" i="15"/>
  <c r="J602" i="15"/>
  <c r="I602" i="15"/>
  <c r="K601" i="15"/>
  <c r="J601" i="15"/>
  <c r="I601" i="15"/>
  <c r="K600" i="15"/>
  <c r="J600" i="15"/>
  <c r="I600" i="15"/>
  <c r="K599" i="15"/>
  <c r="J599" i="15"/>
  <c r="I599" i="15"/>
  <c r="K598" i="15"/>
  <c r="J598" i="15"/>
  <c r="I598" i="15"/>
  <c r="K597" i="15"/>
  <c r="J597" i="15"/>
  <c r="I597" i="15"/>
  <c r="K596" i="15"/>
  <c r="J596" i="15"/>
  <c r="I596" i="15"/>
  <c r="K595" i="15"/>
  <c r="J595" i="15"/>
  <c r="I595" i="15"/>
  <c r="K594" i="15"/>
  <c r="J594" i="15"/>
  <c r="I594" i="15"/>
  <c r="K593" i="15"/>
  <c r="J593" i="15"/>
  <c r="I593" i="15"/>
  <c r="K592" i="15"/>
  <c r="J592" i="15"/>
  <c r="I592" i="15"/>
  <c r="K591" i="15"/>
  <c r="J591" i="15"/>
  <c r="I591" i="15"/>
  <c r="K590" i="15"/>
  <c r="J590" i="15"/>
  <c r="I590" i="15"/>
  <c r="K589" i="15"/>
  <c r="J589" i="15"/>
  <c r="I589" i="15"/>
  <c r="K588" i="15"/>
  <c r="J588" i="15"/>
  <c r="I588" i="15"/>
  <c r="K587" i="15"/>
  <c r="J587" i="15"/>
  <c r="I587" i="15"/>
  <c r="K586" i="15"/>
  <c r="J586" i="15"/>
  <c r="I586" i="15"/>
  <c r="K585" i="15"/>
  <c r="J585" i="15"/>
  <c r="I585" i="15"/>
  <c r="K584" i="15"/>
  <c r="J584" i="15"/>
  <c r="I584" i="15"/>
  <c r="K583" i="15"/>
  <c r="J583" i="15"/>
  <c r="I583" i="15"/>
  <c r="K582" i="15"/>
  <c r="J582" i="15"/>
  <c r="I582" i="15"/>
  <c r="K581" i="15"/>
  <c r="J581" i="15"/>
  <c r="I581" i="15"/>
  <c r="K580" i="15"/>
  <c r="J580" i="15"/>
  <c r="I580" i="15"/>
  <c r="K579" i="15"/>
  <c r="J579" i="15"/>
  <c r="I579" i="15"/>
  <c r="K578" i="15"/>
  <c r="J578" i="15"/>
  <c r="I578" i="15"/>
  <c r="K577" i="15"/>
  <c r="J577" i="15"/>
  <c r="I577" i="15"/>
  <c r="K576" i="15"/>
  <c r="J576" i="15"/>
  <c r="I576" i="15"/>
  <c r="K575" i="15"/>
  <c r="J575" i="15"/>
  <c r="I575" i="15"/>
  <c r="K574" i="15"/>
  <c r="J574" i="15"/>
  <c r="I574" i="15"/>
  <c r="K573" i="15"/>
  <c r="J573" i="15"/>
  <c r="I573" i="15"/>
  <c r="K572" i="15"/>
  <c r="J572" i="15"/>
  <c r="I572" i="15"/>
  <c r="K571" i="15"/>
  <c r="J571" i="15"/>
  <c r="I571" i="15"/>
  <c r="K570" i="15"/>
  <c r="J570" i="15"/>
  <c r="I570" i="15"/>
  <c r="K569" i="15"/>
  <c r="J569" i="15"/>
  <c r="I569" i="15"/>
  <c r="K568" i="15"/>
  <c r="J568" i="15"/>
  <c r="I568" i="15"/>
  <c r="K567" i="15"/>
  <c r="J567" i="15"/>
  <c r="I567" i="15"/>
  <c r="K566" i="15"/>
  <c r="J566" i="15"/>
  <c r="I566" i="15"/>
  <c r="K565" i="15"/>
  <c r="J565" i="15"/>
  <c r="I565" i="15"/>
  <c r="K564" i="15"/>
  <c r="J564" i="15"/>
  <c r="I564" i="15"/>
  <c r="K563" i="15"/>
  <c r="J563" i="15"/>
  <c r="I563" i="15"/>
  <c r="K562" i="15"/>
  <c r="J562" i="15"/>
  <c r="I562" i="15"/>
  <c r="K561" i="15"/>
  <c r="J561" i="15"/>
  <c r="I561" i="15"/>
  <c r="K560" i="15"/>
  <c r="J560" i="15"/>
  <c r="I560" i="15"/>
  <c r="K559" i="15"/>
  <c r="J559" i="15"/>
  <c r="I559" i="15"/>
  <c r="K558" i="15"/>
  <c r="J558" i="15"/>
  <c r="I558" i="15"/>
  <c r="K557" i="15"/>
  <c r="J557" i="15"/>
  <c r="I557" i="15"/>
  <c r="K556" i="15"/>
  <c r="J556" i="15"/>
  <c r="I556" i="15"/>
  <c r="K555" i="15"/>
  <c r="J555" i="15"/>
  <c r="I555" i="15"/>
  <c r="K554" i="15"/>
  <c r="J554" i="15"/>
  <c r="I554" i="15"/>
  <c r="K553" i="15"/>
  <c r="J553" i="15"/>
  <c r="I553" i="15"/>
  <c r="K552" i="15"/>
  <c r="J552" i="15"/>
  <c r="I552" i="15"/>
  <c r="K551" i="15"/>
  <c r="J551" i="15"/>
  <c r="I551" i="15"/>
  <c r="K550" i="15"/>
  <c r="J550" i="15"/>
  <c r="I550" i="15"/>
  <c r="K549" i="15"/>
  <c r="J549" i="15"/>
  <c r="I549" i="15"/>
  <c r="K548" i="15"/>
  <c r="J548" i="15"/>
  <c r="I548" i="15"/>
  <c r="K547" i="15"/>
  <c r="J547" i="15"/>
  <c r="I547" i="15"/>
  <c r="K546" i="15"/>
  <c r="J546" i="15"/>
  <c r="I546" i="15"/>
  <c r="K545" i="15"/>
  <c r="J545" i="15"/>
  <c r="I545" i="15"/>
  <c r="K544" i="15"/>
  <c r="J544" i="15"/>
  <c r="I544" i="15"/>
  <c r="K543" i="15"/>
  <c r="J543" i="15"/>
  <c r="I543" i="15"/>
  <c r="K542" i="15"/>
  <c r="J542" i="15"/>
  <c r="I542" i="15"/>
  <c r="K541" i="15"/>
  <c r="J541" i="15"/>
  <c r="I541" i="15"/>
  <c r="K540" i="15"/>
  <c r="J540" i="15"/>
  <c r="I540" i="15"/>
  <c r="K539" i="15"/>
  <c r="J539" i="15"/>
  <c r="I539" i="15"/>
  <c r="K538" i="15"/>
  <c r="J538" i="15"/>
  <c r="I538" i="15"/>
  <c r="K537" i="15"/>
  <c r="J537" i="15"/>
  <c r="I537" i="15"/>
  <c r="K536" i="15"/>
  <c r="J536" i="15"/>
  <c r="I536" i="15"/>
  <c r="K535" i="15"/>
  <c r="J535" i="15"/>
  <c r="I535" i="15"/>
  <c r="K534" i="15"/>
  <c r="J534" i="15"/>
  <c r="I534" i="15"/>
  <c r="K533" i="15"/>
  <c r="J533" i="15"/>
  <c r="I533" i="15"/>
  <c r="K532" i="15"/>
  <c r="J532" i="15"/>
  <c r="I532" i="15"/>
  <c r="K531" i="15"/>
  <c r="J531" i="15"/>
  <c r="I531" i="15"/>
  <c r="K530" i="15"/>
  <c r="J530" i="15"/>
  <c r="I530" i="15"/>
  <c r="K529" i="15"/>
  <c r="J529" i="15"/>
  <c r="I529" i="15"/>
  <c r="K528" i="15"/>
  <c r="J528" i="15"/>
  <c r="I528" i="15"/>
  <c r="K527" i="15"/>
  <c r="J527" i="15"/>
  <c r="I527" i="15"/>
  <c r="K526" i="15"/>
  <c r="J526" i="15"/>
  <c r="I526" i="15"/>
  <c r="K525" i="15"/>
  <c r="J525" i="15"/>
  <c r="I525" i="15"/>
  <c r="K524" i="15"/>
  <c r="J524" i="15"/>
  <c r="I524" i="15"/>
  <c r="K523" i="15"/>
  <c r="J523" i="15"/>
  <c r="I523" i="15"/>
  <c r="K522" i="15"/>
  <c r="J522" i="15"/>
  <c r="I522" i="15"/>
  <c r="K521" i="15"/>
  <c r="J521" i="15"/>
  <c r="I521" i="15"/>
  <c r="K520" i="15"/>
  <c r="J520" i="15"/>
  <c r="I520" i="15"/>
  <c r="K519" i="15"/>
  <c r="J519" i="15"/>
  <c r="I519" i="15"/>
  <c r="K518" i="15"/>
  <c r="J518" i="15"/>
  <c r="I518" i="15"/>
  <c r="K517" i="15"/>
  <c r="J517" i="15"/>
  <c r="I517" i="15"/>
  <c r="K516" i="15"/>
  <c r="J516" i="15"/>
  <c r="I516" i="15"/>
  <c r="K515" i="15"/>
  <c r="J515" i="15"/>
  <c r="I515" i="15"/>
  <c r="K514" i="15"/>
  <c r="J514" i="15"/>
  <c r="I514" i="15"/>
  <c r="K513" i="15"/>
  <c r="J513" i="15"/>
  <c r="I513" i="15"/>
  <c r="K512" i="15"/>
  <c r="J512" i="15"/>
  <c r="I512" i="15"/>
  <c r="K511" i="15"/>
  <c r="J511" i="15"/>
  <c r="I511" i="15"/>
  <c r="K510" i="15"/>
  <c r="J510" i="15"/>
  <c r="I510" i="15"/>
  <c r="K509" i="15"/>
  <c r="J509" i="15"/>
  <c r="I509" i="15"/>
  <c r="K508" i="15"/>
  <c r="J508" i="15"/>
  <c r="I508" i="15"/>
  <c r="K507" i="15"/>
  <c r="J507" i="15"/>
  <c r="I507" i="15"/>
  <c r="K506" i="15"/>
  <c r="J506" i="15"/>
  <c r="I506" i="15"/>
  <c r="K505" i="15"/>
  <c r="J505" i="15"/>
  <c r="I505" i="15"/>
  <c r="K504" i="15"/>
  <c r="J504" i="15"/>
  <c r="I504" i="15"/>
  <c r="K503" i="15"/>
  <c r="J503" i="15"/>
  <c r="I503" i="15"/>
  <c r="K502" i="15"/>
  <c r="J502" i="15"/>
  <c r="I502" i="15"/>
  <c r="K501" i="15"/>
  <c r="J501" i="15"/>
  <c r="I501" i="15"/>
  <c r="K500" i="15"/>
  <c r="J500" i="15"/>
  <c r="I500" i="15"/>
  <c r="K499" i="15"/>
  <c r="J499" i="15"/>
  <c r="I499" i="15"/>
  <c r="K498" i="15"/>
  <c r="J498" i="15"/>
  <c r="I498" i="15"/>
  <c r="K497" i="15"/>
  <c r="J497" i="15"/>
  <c r="I497" i="15"/>
  <c r="K496" i="15"/>
  <c r="J496" i="15"/>
  <c r="I496" i="15"/>
  <c r="K495" i="15"/>
  <c r="J495" i="15"/>
  <c r="I495" i="15"/>
  <c r="K494" i="15"/>
  <c r="J494" i="15"/>
  <c r="I494" i="15"/>
  <c r="K493" i="15"/>
  <c r="J493" i="15"/>
  <c r="I493" i="15"/>
  <c r="K492" i="15"/>
  <c r="J492" i="15"/>
  <c r="I492" i="15"/>
  <c r="K491" i="15"/>
  <c r="J491" i="15"/>
  <c r="I491" i="15"/>
  <c r="K490" i="15"/>
  <c r="J490" i="15"/>
  <c r="I490" i="15"/>
  <c r="K489" i="15"/>
  <c r="J489" i="15"/>
  <c r="I489" i="15"/>
  <c r="K488" i="15"/>
  <c r="J488" i="15"/>
  <c r="I488" i="15"/>
  <c r="K487" i="15"/>
  <c r="J487" i="15"/>
  <c r="I487" i="15"/>
  <c r="K486" i="15"/>
  <c r="J486" i="15"/>
  <c r="I486" i="15"/>
  <c r="K485" i="15"/>
  <c r="J485" i="15"/>
  <c r="I485" i="15"/>
  <c r="K484" i="15"/>
  <c r="J484" i="15"/>
  <c r="I484" i="15"/>
  <c r="K483" i="15"/>
  <c r="J483" i="15"/>
  <c r="I483" i="15"/>
  <c r="K482" i="15"/>
  <c r="J482" i="15"/>
  <c r="I482" i="15"/>
  <c r="K481" i="15"/>
  <c r="J481" i="15"/>
  <c r="I481" i="15"/>
  <c r="K480" i="15"/>
  <c r="J480" i="15"/>
  <c r="I480" i="15"/>
  <c r="K479" i="15"/>
  <c r="J479" i="15"/>
  <c r="I479" i="15"/>
  <c r="K478" i="15"/>
  <c r="J478" i="15"/>
  <c r="I478" i="15"/>
  <c r="K477" i="15"/>
  <c r="J477" i="15"/>
  <c r="I477" i="15"/>
  <c r="K476" i="15"/>
  <c r="J476" i="15"/>
  <c r="I476" i="15"/>
  <c r="K475" i="15"/>
  <c r="J475" i="15"/>
  <c r="I475" i="15"/>
  <c r="K474" i="15"/>
  <c r="J474" i="15"/>
  <c r="I474" i="15"/>
  <c r="K473" i="15"/>
  <c r="J473" i="15"/>
  <c r="I473" i="15"/>
  <c r="K472" i="15"/>
  <c r="J472" i="15"/>
  <c r="I472" i="15"/>
  <c r="K471" i="15"/>
  <c r="J471" i="15"/>
  <c r="I471" i="15"/>
  <c r="K470" i="15"/>
  <c r="J470" i="15"/>
  <c r="I470" i="15"/>
  <c r="K469" i="15"/>
  <c r="J469" i="15"/>
  <c r="I469" i="15"/>
  <c r="K468" i="15"/>
  <c r="J468" i="15"/>
  <c r="I468" i="15"/>
  <c r="K467" i="15"/>
  <c r="J467" i="15"/>
  <c r="I467" i="15"/>
  <c r="K466" i="15"/>
  <c r="J466" i="15"/>
  <c r="I466" i="15"/>
  <c r="K465" i="15"/>
  <c r="J465" i="15"/>
  <c r="I465" i="15"/>
  <c r="K464" i="15"/>
  <c r="J464" i="15"/>
  <c r="I464" i="15"/>
  <c r="K463" i="15"/>
  <c r="J463" i="15"/>
  <c r="I463" i="15"/>
  <c r="K462" i="15"/>
  <c r="J462" i="15"/>
  <c r="I462" i="15"/>
  <c r="K461" i="15"/>
  <c r="J461" i="15"/>
  <c r="I461" i="15"/>
  <c r="K460" i="15"/>
  <c r="J460" i="15"/>
  <c r="I460" i="15"/>
  <c r="K459" i="15"/>
  <c r="J459" i="15"/>
  <c r="I459" i="15"/>
  <c r="K458" i="15"/>
  <c r="J458" i="15"/>
  <c r="I458" i="15"/>
  <c r="K457" i="15"/>
  <c r="J457" i="15"/>
  <c r="I457" i="15"/>
  <c r="K456" i="15"/>
  <c r="J456" i="15"/>
  <c r="I456" i="15"/>
  <c r="K455" i="15"/>
  <c r="J455" i="15"/>
  <c r="I455" i="15"/>
  <c r="K454" i="15"/>
  <c r="J454" i="15"/>
  <c r="I454" i="15"/>
  <c r="K453" i="15"/>
  <c r="J453" i="15"/>
  <c r="I453" i="15"/>
  <c r="K452" i="15"/>
  <c r="J452" i="15"/>
  <c r="I452" i="15"/>
  <c r="K451" i="15"/>
  <c r="J451" i="15"/>
  <c r="I451" i="15"/>
  <c r="K450" i="15"/>
  <c r="J450" i="15"/>
  <c r="I450" i="15"/>
  <c r="K449" i="15"/>
  <c r="J449" i="15"/>
  <c r="I449" i="15"/>
  <c r="K448" i="15"/>
  <c r="J448" i="15"/>
  <c r="I448" i="15"/>
  <c r="K447" i="15"/>
  <c r="J447" i="15"/>
  <c r="I447" i="15"/>
  <c r="K446" i="15"/>
  <c r="J446" i="15"/>
  <c r="I446" i="15"/>
  <c r="K445" i="15"/>
  <c r="J445" i="15"/>
  <c r="I445" i="15"/>
  <c r="K444" i="15"/>
  <c r="J444" i="15"/>
  <c r="I444" i="15"/>
  <c r="K443" i="15"/>
  <c r="J443" i="15"/>
  <c r="I443" i="15"/>
  <c r="K442" i="15"/>
  <c r="J442" i="15"/>
  <c r="I442" i="15"/>
  <c r="K441" i="15"/>
  <c r="J441" i="15"/>
  <c r="I441" i="15"/>
  <c r="K440" i="15"/>
  <c r="J440" i="15"/>
  <c r="I440" i="15"/>
  <c r="K439" i="15"/>
  <c r="J439" i="15"/>
  <c r="I439" i="15"/>
  <c r="K438" i="15"/>
  <c r="J438" i="15"/>
  <c r="I438" i="15"/>
  <c r="K437" i="15"/>
  <c r="J437" i="15"/>
  <c r="I437" i="15"/>
  <c r="K436" i="15"/>
  <c r="J436" i="15"/>
  <c r="I436" i="15"/>
  <c r="K435" i="15"/>
  <c r="J435" i="15"/>
  <c r="I435" i="15"/>
  <c r="K434" i="15"/>
  <c r="J434" i="15"/>
  <c r="I434" i="15"/>
  <c r="K433" i="15"/>
  <c r="J433" i="15"/>
  <c r="I433" i="15"/>
  <c r="K432" i="15"/>
  <c r="J432" i="15"/>
  <c r="I432" i="15"/>
  <c r="K431" i="15"/>
  <c r="J431" i="15"/>
  <c r="I431" i="15"/>
  <c r="K430" i="15"/>
  <c r="J430" i="15"/>
  <c r="I430" i="15"/>
  <c r="K429" i="15"/>
  <c r="J429" i="15"/>
  <c r="I429" i="15"/>
  <c r="K428" i="15"/>
  <c r="J428" i="15"/>
  <c r="I428" i="15"/>
  <c r="K427" i="15"/>
  <c r="J427" i="15"/>
  <c r="I427" i="15"/>
  <c r="K426" i="15"/>
  <c r="J426" i="15"/>
  <c r="I426" i="15"/>
  <c r="K425" i="15"/>
  <c r="J425" i="15"/>
  <c r="I425" i="15"/>
  <c r="K424" i="15"/>
  <c r="J424" i="15"/>
  <c r="I424" i="15"/>
  <c r="K423" i="15"/>
  <c r="J423" i="15"/>
  <c r="I423" i="15"/>
  <c r="K422" i="15"/>
  <c r="J422" i="15"/>
  <c r="I422" i="15"/>
  <c r="K421" i="15"/>
  <c r="J421" i="15"/>
  <c r="I421" i="15"/>
  <c r="K420" i="15"/>
  <c r="J420" i="15"/>
  <c r="I420" i="15"/>
  <c r="K419" i="15"/>
  <c r="J419" i="15"/>
  <c r="I419" i="15"/>
  <c r="K418" i="15"/>
  <c r="J418" i="15"/>
  <c r="I418" i="15"/>
  <c r="K417" i="15"/>
  <c r="J417" i="15"/>
  <c r="I417" i="15"/>
  <c r="K416" i="15"/>
  <c r="J416" i="15"/>
  <c r="I416" i="15"/>
  <c r="K415" i="15"/>
  <c r="J415" i="15"/>
  <c r="I415" i="15"/>
  <c r="K414" i="15"/>
  <c r="J414" i="15"/>
  <c r="I414" i="15"/>
  <c r="K413" i="15"/>
  <c r="J413" i="15"/>
  <c r="I413" i="15"/>
  <c r="K412" i="15"/>
  <c r="J412" i="15"/>
  <c r="I412" i="15"/>
  <c r="K411" i="15"/>
  <c r="J411" i="15"/>
  <c r="I411" i="15"/>
  <c r="K410" i="15"/>
  <c r="J410" i="15"/>
  <c r="I410" i="15"/>
  <c r="K409" i="15"/>
  <c r="J409" i="15"/>
  <c r="I409" i="15"/>
  <c r="K408" i="15"/>
  <c r="J408" i="15"/>
  <c r="I408" i="15"/>
  <c r="K407" i="15"/>
  <c r="J407" i="15"/>
  <c r="I407" i="15"/>
  <c r="K406" i="15"/>
  <c r="J406" i="15"/>
  <c r="I406" i="15"/>
  <c r="K405" i="15"/>
  <c r="J405" i="15"/>
  <c r="I405" i="15"/>
  <c r="K404" i="15"/>
  <c r="J404" i="15"/>
  <c r="I404" i="15"/>
  <c r="K403" i="15"/>
  <c r="J403" i="15"/>
  <c r="I403" i="15"/>
  <c r="K402" i="15"/>
  <c r="J402" i="15"/>
  <c r="I402" i="15"/>
  <c r="K401" i="15"/>
  <c r="J401" i="15"/>
  <c r="I401" i="15"/>
  <c r="K400" i="15"/>
  <c r="J400" i="15"/>
  <c r="I400" i="15"/>
  <c r="K399" i="15"/>
  <c r="J399" i="15"/>
  <c r="I399" i="15"/>
  <c r="K398" i="15"/>
  <c r="J398" i="15"/>
  <c r="I398" i="15"/>
  <c r="K397" i="15"/>
  <c r="J397" i="15"/>
  <c r="I397" i="15"/>
  <c r="K396" i="15"/>
  <c r="J396" i="15"/>
  <c r="I396" i="15"/>
  <c r="K395" i="15"/>
  <c r="J395" i="15"/>
  <c r="I395" i="15"/>
  <c r="K394" i="15"/>
  <c r="J394" i="15"/>
  <c r="I394" i="15"/>
  <c r="K393" i="15"/>
  <c r="J393" i="15"/>
  <c r="I393" i="15"/>
  <c r="K392" i="15"/>
  <c r="J392" i="15"/>
  <c r="I392" i="15"/>
  <c r="K391" i="15"/>
  <c r="J391" i="15"/>
  <c r="I391" i="15"/>
  <c r="K390" i="15"/>
  <c r="J390" i="15"/>
  <c r="I390" i="15"/>
  <c r="K389" i="15"/>
  <c r="J389" i="15"/>
  <c r="I389" i="15"/>
  <c r="K388" i="15"/>
  <c r="J388" i="15"/>
  <c r="I388" i="15"/>
  <c r="K387" i="15"/>
  <c r="J387" i="15"/>
  <c r="I387" i="15"/>
  <c r="K386" i="15"/>
  <c r="J386" i="15"/>
  <c r="I386" i="15"/>
  <c r="K385" i="15"/>
  <c r="J385" i="15"/>
  <c r="I385" i="15"/>
  <c r="K384" i="15"/>
  <c r="J384" i="15"/>
  <c r="I384" i="15"/>
  <c r="K383" i="15"/>
  <c r="J383" i="15"/>
  <c r="I383" i="15"/>
  <c r="K382" i="15"/>
  <c r="J382" i="15"/>
  <c r="I382" i="15"/>
  <c r="K381" i="15"/>
  <c r="J381" i="15"/>
  <c r="I381" i="15"/>
  <c r="K380" i="15"/>
  <c r="J380" i="15"/>
  <c r="I380" i="15"/>
  <c r="K379" i="15"/>
  <c r="J379" i="15"/>
  <c r="I379" i="15"/>
  <c r="K378" i="15"/>
  <c r="J378" i="15"/>
  <c r="I378" i="15"/>
  <c r="K377" i="15"/>
  <c r="J377" i="15"/>
  <c r="I377" i="15"/>
  <c r="K376" i="15"/>
  <c r="J376" i="15"/>
  <c r="I376" i="15"/>
  <c r="K375" i="15"/>
  <c r="J375" i="15"/>
  <c r="I375" i="15"/>
  <c r="K374" i="15"/>
  <c r="J374" i="15"/>
  <c r="I374" i="15"/>
  <c r="K373" i="15"/>
  <c r="J373" i="15"/>
  <c r="I373" i="15"/>
  <c r="K372" i="15"/>
  <c r="J372" i="15"/>
  <c r="I372" i="15"/>
  <c r="K371" i="15"/>
  <c r="J371" i="15"/>
  <c r="I371" i="15"/>
  <c r="K370" i="15"/>
  <c r="J370" i="15"/>
  <c r="I370" i="15"/>
  <c r="K369" i="15"/>
  <c r="J369" i="15"/>
  <c r="I369" i="15"/>
  <c r="K368" i="15"/>
  <c r="J368" i="15"/>
  <c r="I368" i="15"/>
  <c r="K367" i="15"/>
  <c r="J367" i="15"/>
  <c r="I367" i="15"/>
  <c r="K366" i="15"/>
  <c r="J366" i="15"/>
  <c r="I366" i="15"/>
  <c r="K365" i="15"/>
  <c r="J365" i="15"/>
  <c r="I365" i="15"/>
  <c r="K364" i="15"/>
  <c r="J364" i="15"/>
  <c r="I364" i="15"/>
  <c r="K363" i="15"/>
  <c r="J363" i="15"/>
  <c r="I363" i="15"/>
  <c r="K362" i="15"/>
  <c r="J362" i="15"/>
  <c r="I362" i="15"/>
  <c r="K361" i="15"/>
  <c r="J361" i="15"/>
  <c r="I361" i="15"/>
  <c r="K360" i="15"/>
  <c r="J360" i="15"/>
  <c r="I360" i="15"/>
  <c r="K359" i="15"/>
  <c r="J359" i="15"/>
  <c r="I359" i="15"/>
  <c r="K358" i="15"/>
  <c r="J358" i="15"/>
  <c r="I358" i="15"/>
  <c r="K357" i="15"/>
  <c r="J357" i="15"/>
  <c r="I357" i="15"/>
  <c r="K356" i="15"/>
  <c r="J356" i="15"/>
  <c r="I356" i="15"/>
  <c r="K355" i="15"/>
  <c r="J355" i="15"/>
  <c r="I355" i="15"/>
  <c r="K354" i="15"/>
  <c r="J354" i="15"/>
  <c r="I354" i="15"/>
  <c r="K353" i="15"/>
  <c r="J353" i="15"/>
  <c r="I353" i="15"/>
  <c r="K352" i="15"/>
  <c r="J352" i="15"/>
  <c r="I352" i="15"/>
  <c r="K351" i="15"/>
  <c r="J351" i="15"/>
  <c r="I351" i="15"/>
  <c r="K350" i="15"/>
  <c r="J350" i="15"/>
  <c r="I350" i="15"/>
  <c r="K349" i="15"/>
  <c r="J349" i="15"/>
  <c r="I349" i="15"/>
  <c r="K348" i="15"/>
  <c r="J348" i="15"/>
  <c r="I348" i="15"/>
  <c r="K347" i="15"/>
  <c r="J347" i="15"/>
  <c r="I347" i="15"/>
  <c r="K346" i="15"/>
  <c r="J346" i="15"/>
  <c r="I346" i="15"/>
  <c r="K345" i="15"/>
  <c r="J345" i="15"/>
  <c r="I345" i="15"/>
  <c r="K344" i="15"/>
  <c r="J344" i="15"/>
  <c r="I344" i="15"/>
  <c r="K343" i="15"/>
  <c r="J343" i="15"/>
  <c r="I343" i="15"/>
  <c r="K342" i="15"/>
  <c r="J342" i="15"/>
  <c r="I342" i="15"/>
  <c r="K341" i="15"/>
  <c r="J341" i="15"/>
  <c r="I341" i="15"/>
  <c r="K340" i="15"/>
  <c r="J340" i="15"/>
  <c r="I340" i="15"/>
  <c r="K339" i="15"/>
  <c r="J339" i="15"/>
  <c r="I339" i="15"/>
  <c r="K338" i="15"/>
  <c r="J338" i="15"/>
  <c r="I338" i="15"/>
  <c r="K337" i="15"/>
  <c r="J337" i="15"/>
  <c r="I337" i="15"/>
  <c r="K336" i="15"/>
  <c r="J336" i="15"/>
  <c r="I336" i="15"/>
  <c r="K335" i="15"/>
  <c r="J335" i="15"/>
  <c r="I335" i="15"/>
  <c r="K334" i="15"/>
  <c r="J334" i="15"/>
  <c r="I334" i="15"/>
  <c r="K333" i="15"/>
  <c r="J333" i="15"/>
  <c r="I333" i="15"/>
  <c r="K332" i="15"/>
  <c r="J332" i="15"/>
  <c r="I332" i="15"/>
  <c r="K331" i="15"/>
  <c r="J331" i="15"/>
  <c r="I331" i="15"/>
  <c r="K330" i="15"/>
  <c r="J330" i="15"/>
  <c r="I330" i="15"/>
  <c r="K329" i="15"/>
  <c r="J329" i="15"/>
  <c r="I329" i="15"/>
  <c r="K328" i="15"/>
  <c r="J328" i="15"/>
  <c r="I328" i="15"/>
  <c r="K327" i="15"/>
  <c r="J327" i="15"/>
  <c r="I327" i="15"/>
  <c r="K326" i="15"/>
  <c r="J326" i="15"/>
  <c r="I326" i="15"/>
  <c r="K325" i="15"/>
  <c r="J325" i="15"/>
  <c r="I325" i="15"/>
  <c r="K324" i="15"/>
  <c r="J324" i="15"/>
  <c r="I324" i="15"/>
  <c r="K323" i="15"/>
  <c r="J323" i="15"/>
  <c r="I323" i="15"/>
  <c r="K322" i="15"/>
  <c r="J322" i="15"/>
  <c r="I322" i="15"/>
  <c r="K321" i="15"/>
  <c r="J321" i="15"/>
  <c r="I321" i="15"/>
  <c r="K320" i="15"/>
  <c r="J320" i="15"/>
  <c r="I320" i="15"/>
  <c r="K319" i="15"/>
  <c r="J319" i="15"/>
  <c r="I319" i="15"/>
  <c r="K318" i="15"/>
  <c r="J318" i="15"/>
  <c r="I318" i="15"/>
  <c r="K317" i="15"/>
  <c r="J317" i="15"/>
  <c r="I317" i="15"/>
  <c r="K316" i="15"/>
  <c r="J316" i="15"/>
  <c r="I316" i="15"/>
  <c r="K315" i="15"/>
  <c r="J315" i="15"/>
  <c r="I315" i="15"/>
  <c r="K314" i="15"/>
  <c r="J314" i="15"/>
  <c r="I314" i="15"/>
  <c r="K313" i="15"/>
  <c r="J313" i="15"/>
  <c r="I313" i="15"/>
  <c r="K312" i="15"/>
  <c r="J312" i="15"/>
  <c r="I312" i="15"/>
  <c r="K311" i="15"/>
  <c r="J311" i="15"/>
  <c r="I311" i="15"/>
  <c r="K310" i="15"/>
  <c r="J310" i="15"/>
  <c r="I310" i="15"/>
  <c r="K309" i="15"/>
  <c r="J309" i="15"/>
  <c r="I309" i="15"/>
  <c r="K308" i="15"/>
  <c r="J308" i="15"/>
  <c r="I308" i="15"/>
  <c r="K307" i="15"/>
  <c r="J307" i="15"/>
  <c r="I307" i="15"/>
  <c r="K306" i="15"/>
  <c r="J306" i="15"/>
  <c r="I306" i="15"/>
  <c r="K305" i="15"/>
  <c r="J305" i="15"/>
  <c r="I305" i="15"/>
  <c r="K304" i="15"/>
  <c r="J304" i="15"/>
  <c r="I304" i="15"/>
  <c r="K303" i="15"/>
  <c r="J303" i="15"/>
  <c r="I303" i="15"/>
  <c r="K302" i="15"/>
  <c r="J302" i="15"/>
  <c r="I302" i="15"/>
  <c r="K301" i="15"/>
  <c r="J301" i="15"/>
  <c r="I301" i="15"/>
  <c r="K300" i="15"/>
  <c r="J300" i="15"/>
  <c r="I300" i="15"/>
  <c r="K299" i="15"/>
  <c r="J299" i="15"/>
  <c r="I299" i="15"/>
  <c r="K298" i="15"/>
  <c r="J298" i="15"/>
  <c r="I298" i="15"/>
  <c r="K297" i="15"/>
  <c r="J297" i="15"/>
  <c r="I297" i="15"/>
  <c r="K296" i="15"/>
  <c r="J296" i="15"/>
  <c r="I296" i="15"/>
  <c r="K295" i="15"/>
  <c r="J295" i="15"/>
  <c r="I295" i="15"/>
  <c r="K294" i="15"/>
  <c r="J294" i="15"/>
  <c r="I294" i="15"/>
  <c r="K293" i="15"/>
  <c r="J293" i="15"/>
  <c r="I293" i="15"/>
  <c r="K292" i="15"/>
  <c r="J292" i="15"/>
  <c r="I292" i="15"/>
  <c r="K291" i="15"/>
  <c r="J291" i="15"/>
  <c r="I291" i="15"/>
  <c r="K290" i="15"/>
  <c r="J290" i="15"/>
  <c r="I290" i="15"/>
  <c r="K289" i="15"/>
  <c r="J289" i="15"/>
  <c r="I289" i="15"/>
  <c r="K288" i="15"/>
  <c r="J288" i="15"/>
  <c r="I288" i="15"/>
  <c r="K287" i="15"/>
  <c r="J287" i="15"/>
  <c r="I287" i="15"/>
  <c r="K286" i="15"/>
  <c r="J286" i="15"/>
  <c r="I286" i="15"/>
  <c r="K285" i="15"/>
  <c r="J285" i="15"/>
  <c r="I285" i="15"/>
  <c r="K284" i="15"/>
  <c r="J284" i="15"/>
  <c r="I284" i="15"/>
  <c r="K283" i="15"/>
  <c r="J283" i="15"/>
  <c r="I283" i="15"/>
  <c r="K282" i="15"/>
  <c r="J282" i="15"/>
  <c r="I282" i="15"/>
  <c r="K281" i="15"/>
  <c r="J281" i="15"/>
  <c r="I281" i="15"/>
  <c r="K280" i="15"/>
  <c r="J280" i="15"/>
  <c r="I280" i="15"/>
  <c r="K279" i="15"/>
  <c r="J279" i="15"/>
  <c r="I279" i="15"/>
  <c r="K278" i="15"/>
  <c r="J278" i="15"/>
  <c r="I278" i="15"/>
  <c r="K277" i="15"/>
  <c r="J277" i="15"/>
  <c r="I277" i="15"/>
  <c r="K276" i="15"/>
  <c r="J276" i="15"/>
  <c r="I276" i="15"/>
  <c r="K275" i="15"/>
  <c r="J275" i="15"/>
  <c r="I275" i="15"/>
  <c r="K274" i="15"/>
  <c r="J274" i="15"/>
  <c r="I274" i="15"/>
  <c r="K273" i="15"/>
  <c r="J273" i="15"/>
  <c r="I273" i="15"/>
  <c r="K272" i="15"/>
  <c r="J272" i="15"/>
  <c r="I272" i="15"/>
  <c r="K271" i="15"/>
  <c r="J271" i="15"/>
  <c r="I271" i="15"/>
  <c r="K270" i="15"/>
  <c r="J270" i="15"/>
  <c r="I270" i="15"/>
  <c r="K269" i="15"/>
  <c r="J269" i="15"/>
  <c r="I269" i="15"/>
  <c r="K268" i="15"/>
  <c r="J268" i="15"/>
  <c r="I268" i="15"/>
  <c r="K267" i="15"/>
  <c r="J267" i="15"/>
  <c r="I267" i="15"/>
  <c r="K266" i="15"/>
  <c r="J266" i="15"/>
  <c r="I266" i="15"/>
  <c r="K265" i="15"/>
  <c r="J265" i="15"/>
  <c r="I265" i="15"/>
  <c r="K264" i="15"/>
  <c r="J264" i="15"/>
  <c r="I264" i="15"/>
  <c r="K263" i="15"/>
  <c r="J263" i="15"/>
  <c r="I263" i="15"/>
  <c r="K262" i="15"/>
  <c r="J262" i="15"/>
  <c r="I262" i="15"/>
  <c r="K261" i="15"/>
  <c r="J261" i="15"/>
  <c r="I261" i="15"/>
  <c r="K260" i="15"/>
  <c r="J260" i="15"/>
  <c r="I260" i="15"/>
  <c r="K259" i="15"/>
  <c r="J259" i="15"/>
  <c r="I259" i="15"/>
  <c r="K258" i="15"/>
  <c r="J258" i="15"/>
  <c r="I258" i="15"/>
  <c r="K257" i="15"/>
  <c r="J257" i="15"/>
  <c r="I257" i="15"/>
  <c r="K256" i="15"/>
  <c r="J256" i="15"/>
  <c r="I256" i="15"/>
  <c r="K255" i="15"/>
  <c r="J255" i="15"/>
  <c r="I255" i="15"/>
  <c r="K254" i="15"/>
  <c r="J254" i="15"/>
  <c r="I254" i="15"/>
  <c r="K253" i="15"/>
  <c r="J253" i="15"/>
  <c r="I253" i="15"/>
  <c r="K252" i="15"/>
  <c r="J252" i="15"/>
  <c r="I252" i="15"/>
  <c r="K251" i="15"/>
  <c r="J251" i="15"/>
  <c r="I251" i="15"/>
  <c r="K250" i="15"/>
  <c r="J250" i="15"/>
  <c r="I250" i="15"/>
  <c r="K249" i="15"/>
  <c r="J249" i="15"/>
  <c r="I249" i="15"/>
  <c r="K248" i="15"/>
  <c r="J248" i="15"/>
  <c r="I248" i="15"/>
  <c r="K247" i="15"/>
  <c r="J247" i="15"/>
  <c r="I247" i="15"/>
  <c r="K246" i="15"/>
  <c r="J246" i="15"/>
  <c r="I246" i="15"/>
  <c r="K245" i="15"/>
  <c r="J245" i="15"/>
  <c r="I245" i="15"/>
  <c r="K244" i="15"/>
  <c r="J244" i="15"/>
  <c r="I244" i="15"/>
  <c r="K243" i="15"/>
  <c r="J243" i="15"/>
  <c r="I243" i="15"/>
  <c r="K242" i="15"/>
  <c r="J242" i="15"/>
  <c r="I242" i="15"/>
  <c r="K241" i="15"/>
  <c r="J241" i="15"/>
  <c r="I241" i="15"/>
  <c r="K240" i="15"/>
  <c r="J240" i="15"/>
  <c r="I240" i="15"/>
  <c r="K239" i="15"/>
  <c r="J239" i="15"/>
  <c r="I239" i="15"/>
  <c r="K238" i="15"/>
  <c r="J238" i="15"/>
  <c r="I238" i="15"/>
  <c r="K237" i="15"/>
  <c r="J237" i="15"/>
  <c r="I237" i="15"/>
  <c r="K236" i="15"/>
  <c r="J236" i="15"/>
  <c r="I236" i="15"/>
  <c r="K235" i="15"/>
  <c r="J235" i="15"/>
  <c r="I235" i="15"/>
  <c r="K234" i="15"/>
  <c r="J234" i="15"/>
  <c r="I234" i="15"/>
  <c r="K233" i="15"/>
  <c r="J233" i="15"/>
  <c r="I233" i="15"/>
  <c r="K232" i="15"/>
  <c r="J232" i="15"/>
  <c r="I232" i="15"/>
  <c r="K231" i="15"/>
  <c r="J231" i="15"/>
  <c r="I231" i="15"/>
  <c r="K230" i="15"/>
  <c r="J230" i="15"/>
  <c r="I230" i="15"/>
  <c r="K229" i="15"/>
  <c r="J229" i="15"/>
  <c r="I229" i="15"/>
  <c r="K228" i="15"/>
  <c r="J228" i="15"/>
  <c r="I228" i="15"/>
  <c r="K227" i="15"/>
  <c r="J227" i="15"/>
  <c r="I227" i="15"/>
  <c r="K226" i="15"/>
  <c r="J226" i="15"/>
  <c r="I226" i="15"/>
  <c r="K225" i="15"/>
  <c r="J225" i="15"/>
  <c r="I225" i="15"/>
  <c r="K224" i="15"/>
  <c r="J224" i="15"/>
  <c r="I224" i="15"/>
  <c r="K223" i="15"/>
  <c r="J223" i="15"/>
  <c r="I223" i="15"/>
  <c r="K222" i="15"/>
  <c r="J222" i="15"/>
  <c r="I222" i="15"/>
  <c r="K221" i="15"/>
  <c r="J221" i="15"/>
  <c r="I221" i="15"/>
  <c r="K220" i="15"/>
  <c r="J220" i="15"/>
  <c r="I220" i="15"/>
  <c r="K219" i="15"/>
  <c r="J219" i="15"/>
  <c r="I219" i="15"/>
  <c r="K218" i="15"/>
  <c r="J218" i="15"/>
  <c r="I218" i="15"/>
  <c r="K217" i="15"/>
  <c r="J217" i="15"/>
  <c r="I217" i="15"/>
  <c r="K216" i="15"/>
  <c r="J216" i="15"/>
  <c r="I216" i="15"/>
  <c r="K215" i="15"/>
  <c r="J215" i="15"/>
  <c r="I215" i="15"/>
  <c r="K214" i="15"/>
  <c r="J214" i="15"/>
  <c r="I214" i="15"/>
  <c r="K213" i="15"/>
  <c r="J213" i="15"/>
  <c r="I213" i="15"/>
  <c r="K212" i="15"/>
  <c r="J212" i="15"/>
  <c r="I212" i="15"/>
  <c r="K211" i="15"/>
  <c r="J211" i="15"/>
  <c r="I211" i="15"/>
  <c r="K210" i="15"/>
  <c r="J210" i="15"/>
  <c r="I210" i="15"/>
  <c r="K209" i="15"/>
  <c r="J209" i="15"/>
  <c r="I209" i="15"/>
  <c r="K208" i="15"/>
  <c r="J208" i="15"/>
  <c r="I208" i="15"/>
  <c r="K207" i="15"/>
  <c r="J207" i="15"/>
  <c r="I207" i="15"/>
  <c r="K206" i="15"/>
  <c r="J206" i="15"/>
  <c r="I206" i="15"/>
  <c r="K205" i="15"/>
  <c r="J205" i="15"/>
  <c r="I205" i="15"/>
  <c r="K204" i="15"/>
  <c r="J204" i="15"/>
  <c r="I204" i="15"/>
  <c r="K203" i="15"/>
  <c r="J203" i="15"/>
  <c r="I203" i="15"/>
  <c r="K202" i="15"/>
  <c r="J202" i="15"/>
  <c r="I202" i="15"/>
  <c r="K201" i="15"/>
  <c r="J201" i="15"/>
  <c r="I201" i="15"/>
  <c r="K200" i="15"/>
  <c r="J200" i="15"/>
  <c r="I200" i="15"/>
  <c r="K199" i="15"/>
  <c r="J199" i="15"/>
  <c r="I199" i="15"/>
  <c r="K198" i="15"/>
  <c r="J198" i="15"/>
  <c r="I198" i="15"/>
  <c r="K197" i="15"/>
  <c r="J197" i="15"/>
  <c r="I197" i="15"/>
  <c r="K196" i="15"/>
  <c r="J196" i="15"/>
  <c r="I196" i="15"/>
  <c r="K195" i="15"/>
  <c r="J195" i="15"/>
  <c r="I195" i="15"/>
  <c r="K194" i="15"/>
  <c r="J194" i="15"/>
  <c r="I194" i="15"/>
  <c r="K193" i="15"/>
  <c r="J193" i="15"/>
  <c r="I193" i="15"/>
  <c r="K192" i="15"/>
  <c r="J192" i="15"/>
  <c r="I192" i="15"/>
  <c r="K191" i="15"/>
  <c r="J191" i="15"/>
  <c r="I191" i="15"/>
  <c r="K190" i="15"/>
  <c r="J190" i="15"/>
  <c r="I190" i="15"/>
  <c r="K189" i="15"/>
  <c r="J189" i="15"/>
  <c r="I189" i="15"/>
  <c r="K188" i="15"/>
  <c r="J188" i="15"/>
  <c r="I188" i="15"/>
  <c r="K187" i="15"/>
  <c r="J187" i="15"/>
  <c r="I187" i="15"/>
  <c r="K186" i="15"/>
  <c r="J186" i="15"/>
  <c r="I186" i="15"/>
  <c r="K185" i="15"/>
  <c r="J185" i="15"/>
  <c r="I185" i="15"/>
  <c r="K184" i="15"/>
  <c r="J184" i="15"/>
  <c r="I184" i="15"/>
  <c r="K183" i="15"/>
  <c r="J183" i="15"/>
  <c r="I183" i="15"/>
  <c r="K182" i="15"/>
  <c r="J182" i="15"/>
  <c r="I182" i="15"/>
  <c r="K181" i="15"/>
  <c r="J181" i="15"/>
  <c r="I181" i="15"/>
  <c r="K180" i="15"/>
  <c r="J180" i="15"/>
  <c r="I180" i="15"/>
  <c r="K179" i="15"/>
  <c r="J179" i="15"/>
  <c r="I179" i="15"/>
  <c r="K178" i="15"/>
  <c r="J178" i="15"/>
  <c r="I178" i="15"/>
  <c r="K177" i="15"/>
  <c r="J177" i="15"/>
  <c r="I177" i="15"/>
  <c r="K176" i="15"/>
  <c r="J176" i="15"/>
  <c r="I176" i="15"/>
  <c r="K175" i="15"/>
  <c r="J175" i="15"/>
  <c r="I175" i="15"/>
  <c r="K174" i="15"/>
  <c r="J174" i="15"/>
  <c r="I174" i="15"/>
  <c r="K173" i="15"/>
  <c r="J173" i="15"/>
  <c r="I173" i="15"/>
  <c r="K172" i="15"/>
  <c r="J172" i="15"/>
  <c r="I172" i="15"/>
  <c r="K171" i="15"/>
  <c r="J171" i="15"/>
  <c r="I171" i="15"/>
  <c r="K170" i="15"/>
  <c r="J170" i="15"/>
  <c r="I170" i="15"/>
  <c r="K169" i="15"/>
  <c r="J169" i="15"/>
  <c r="I169" i="15"/>
  <c r="K168" i="15"/>
  <c r="J168" i="15"/>
  <c r="I168" i="15"/>
  <c r="K167" i="15"/>
  <c r="J167" i="15"/>
  <c r="I167" i="15"/>
  <c r="K166" i="15"/>
  <c r="J166" i="15"/>
  <c r="I166" i="15"/>
  <c r="K165" i="15"/>
  <c r="J165" i="15"/>
  <c r="I165" i="15"/>
  <c r="K164" i="15"/>
  <c r="J164" i="15"/>
  <c r="I164" i="15"/>
  <c r="K163" i="15"/>
  <c r="J163" i="15"/>
  <c r="I163" i="15"/>
  <c r="K162" i="15"/>
  <c r="J162" i="15"/>
  <c r="I162" i="15"/>
  <c r="K161" i="15"/>
  <c r="J161" i="15"/>
  <c r="I161" i="15"/>
  <c r="K160" i="15"/>
  <c r="J160" i="15"/>
  <c r="I160" i="15"/>
  <c r="K159" i="15"/>
  <c r="J159" i="15"/>
  <c r="I159" i="15"/>
  <c r="K158" i="15"/>
  <c r="J158" i="15"/>
  <c r="I158" i="15"/>
  <c r="K157" i="15"/>
  <c r="J157" i="15"/>
  <c r="I157" i="15"/>
  <c r="K156" i="15"/>
  <c r="J156" i="15"/>
  <c r="I156" i="15"/>
  <c r="K155" i="15"/>
  <c r="J155" i="15"/>
  <c r="I155" i="15"/>
  <c r="K154" i="15"/>
  <c r="J154" i="15"/>
  <c r="I154" i="15"/>
  <c r="K153" i="15"/>
  <c r="J153" i="15"/>
  <c r="I153" i="15"/>
  <c r="K152" i="15"/>
  <c r="J152" i="15"/>
  <c r="I152" i="15"/>
  <c r="K151" i="15"/>
  <c r="J151" i="15"/>
  <c r="I151" i="15"/>
  <c r="K150" i="15"/>
  <c r="J150" i="15"/>
  <c r="I150" i="15"/>
  <c r="K149" i="15"/>
  <c r="J149" i="15"/>
  <c r="I149" i="15"/>
  <c r="K148" i="15"/>
  <c r="J148" i="15"/>
  <c r="I148" i="15"/>
  <c r="K147" i="15"/>
  <c r="J147" i="15"/>
  <c r="I147" i="15"/>
  <c r="K146" i="15"/>
  <c r="J146" i="15"/>
  <c r="I146" i="15"/>
  <c r="K145" i="15"/>
  <c r="J145" i="15"/>
  <c r="I145" i="15"/>
  <c r="K144" i="15"/>
  <c r="J144" i="15"/>
  <c r="I144" i="15"/>
  <c r="K143" i="15"/>
  <c r="J143" i="15"/>
  <c r="I143" i="15"/>
  <c r="K142" i="15"/>
  <c r="J142" i="15"/>
  <c r="I142" i="15"/>
  <c r="K141" i="15"/>
  <c r="J141" i="15"/>
  <c r="I141" i="15"/>
  <c r="K140" i="15"/>
  <c r="J140" i="15"/>
  <c r="I140" i="15"/>
  <c r="K139" i="15"/>
  <c r="J139" i="15"/>
  <c r="I139" i="15"/>
  <c r="K138" i="15"/>
  <c r="J138" i="15"/>
  <c r="I138" i="15"/>
  <c r="K137" i="15"/>
  <c r="J137" i="15"/>
  <c r="I137" i="15"/>
  <c r="K136" i="15"/>
  <c r="J136" i="15"/>
  <c r="I136" i="15"/>
  <c r="K135" i="15"/>
  <c r="J135" i="15"/>
  <c r="I135" i="15"/>
  <c r="K134" i="15"/>
  <c r="J134" i="15"/>
  <c r="I134" i="15"/>
  <c r="K133" i="15"/>
  <c r="J133" i="15"/>
  <c r="I133" i="15"/>
  <c r="K132" i="15"/>
  <c r="J132" i="15"/>
  <c r="I132" i="15"/>
  <c r="K131" i="15"/>
  <c r="J131" i="15"/>
  <c r="I131" i="15"/>
  <c r="K130" i="15"/>
  <c r="J130" i="15"/>
  <c r="I130" i="15"/>
  <c r="K129" i="15"/>
  <c r="J129" i="15"/>
  <c r="I129" i="15"/>
  <c r="K128" i="15"/>
  <c r="J128" i="15"/>
  <c r="I128" i="15"/>
  <c r="K127" i="15"/>
  <c r="J127" i="15"/>
  <c r="I127" i="15"/>
  <c r="K126" i="15"/>
  <c r="J126" i="15"/>
  <c r="I126" i="15"/>
  <c r="K125" i="15"/>
  <c r="J125" i="15"/>
  <c r="I125" i="15"/>
  <c r="K124" i="15"/>
  <c r="J124" i="15"/>
  <c r="I124" i="15"/>
  <c r="K123" i="15"/>
  <c r="J123" i="15"/>
  <c r="I123" i="15"/>
  <c r="K122" i="15"/>
  <c r="J122" i="15"/>
  <c r="I122" i="15"/>
  <c r="K121" i="15"/>
  <c r="J121" i="15"/>
  <c r="I121" i="15"/>
  <c r="K120" i="15"/>
  <c r="J120" i="15"/>
  <c r="I120" i="15"/>
  <c r="K119" i="15"/>
  <c r="J119" i="15"/>
  <c r="I119" i="15"/>
  <c r="K118" i="15"/>
  <c r="J118" i="15"/>
  <c r="I118" i="15"/>
  <c r="K117" i="15"/>
  <c r="J117" i="15"/>
  <c r="I117" i="15"/>
  <c r="K116" i="15"/>
  <c r="J116" i="15"/>
  <c r="I116" i="15"/>
  <c r="K115" i="15"/>
  <c r="J115" i="15"/>
  <c r="I115" i="15"/>
  <c r="K114" i="15"/>
  <c r="J114" i="15"/>
  <c r="I114" i="15"/>
  <c r="K113" i="15"/>
  <c r="J113" i="15"/>
  <c r="I113" i="15"/>
  <c r="K112" i="15"/>
  <c r="J112" i="15"/>
  <c r="I112" i="15"/>
  <c r="K111" i="15"/>
  <c r="J111" i="15"/>
  <c r="I111" i="15"/>
  <c r="K110" i="15"/>
  <c r="J110" i="15"/>
  <c r="I110" i="15"/>
  <c r="K109" i="15"/>
  <c r="J109" i="15"/>
  <c r="I109" i="15"/>
  <c r="K108" i="15"/>
  <c r="J108" i="15"/>
  <c r="I108" i="15"/>
  <c r="K107" i="15"/>
  <c r="J107" i="15"/>
  <c r="I107" i="15"/>
  <c r="K106" i="15"/>
  <c r="J106" i="15"/>
  <c r="I106" i="15"/>
  <c r="K105" i="15"/>
  <c r="J105" i="15"/>
  <c r="I105" i="15"/>
  <c r="K104" i="15"/>
  <c r="J104" i="15"/>
  <c r="I104" i="15"/>
  <c r="K103" i="15"/>
  <c r="J103" i="15"/>
  <c r="I103" i="15"/>
  <c r="K102" i="15"/>
  <c r="J102" i="15"/>
  <c r="I102" i="15"/>
  <c r="K101" i="15"/>
  <c r="J101" i="15"/>
  <c r="I101" i="15"/>
  <c r="K100" i="15"/>
  <c r="J100" i="15"/>
  <c r="I100" i="15"/>
  <c r="K99" i="15"/>
  <c r="J99" i="15"/>
  <c r="I99" i="15"/>
  <c r="K98" i="15"/>
  <c r="J98" i="15"/>
  <c r="I98" i="15"/>
  <c r="K97" i="15"/>
  <c r="J97" i="15"/>
  <c r="I97" i="15"/>
  <c r="K96" i="15"/>
  <c r="J96" i="15"/>
  <c r="I96" i="15"/>
  <c r="K95" i="15"/>
  <c r="J95" i="15"/>
  <c r="I95" i="15"/>
  <c r="K94" i="15"/>
  <c r="J94" i="15"/>
  <c r="I94" i="15"/>
  <c r="K93" i="15"/>
  <c r="J93" i="15"/>
  <c r="I93" i="15"/>
  <c r="K92" i="15"/>
  <c r="J92" i="15"/>
  <c r="I92" i="15"/>
  <c r="K91" i="15"/>
  <c r="J91" i="15"/>
  <c r="I91" i="15"/>
  <c r="K90" i="15"/>
  <c r="J90" i="15"/>
  <c r="I90" i="15"/>
  <c r="K89" i="15"/>
  <c r="J89" i="15"/>
  <c r="I89" i="15"/>
  <c r="K88" i="15"/>
  <c r="J88" i="15"/>
  <c r="I88" i="15"/>
  <c r="K87" i="15"/>
  <c r="J87" i="15"/>
  <c r="I87" i="15"/>
  <c r="K86" i="15"/>
  <c r="J86" i="15"/>
  <c r="I86" i="15"/>
  <c r="K85" i="15"/>
  <c r="J85" i="15"/>
  <c r="I85" i="15"/>
  <c r="K84" i="15"/>
  <c r="J84" i="15"/>
  <c r="I84" i="15"/>
  <c r="K83" i="15"/>
  <c r="J83" i="15"/>
  <c r="I83" i="15"/>
  <c r="K82" i="15"/>
  <c r="J82" i="15"/>
  <c r="I82" i="15"/>
  <c r="K81" i="15"/>
  <c r="J81" i="15"/>
  <c r="I81" i="15"/>
  <c r="K80" i="15"/>
  <c r="J80" i="15"/>
  <c r="I80" i="15"/>
  <c r="K79" i="15"/>
  <c r="J79" i="15"/>
  <c r="I79" i="15"/>
  <c r="K78" i="15"/>
  <c r="J78" i="15"/>
  <c r="I78" i="15"/>
  <c r="K77" i="15"/>
  <c r="J77" i="15"/>
  <c r="I77" i="15"/>
  <c r="K76" i="15"/>
  <c r="J76" i="15"/>
  <c r="I76" i="15"/>
  <c r="K75" i="15"/>
  <c r="J75" i="15"/>
  <c r="I75" i="15"/>
  <c r="K74" i="15"/>
  <c r="J74" i="15"/>
  <c r="I74" i="15"/>
  <c r="K73" i="15"/>
  <c r="J73" i="15"/>
  <c r="I73" i="15"/>
  <c r="K72" i="15"/>
  <c r="J72" i="15"/>
  <c r="I72" i="15"/>
  <c r="K71" i="15"/>
  <c r="J71" i="15"/>
  <c r="I71" i="15"/>
  <c r="K70" i="15"/>
  <c r="J70" i="15"/>
  <c r="I70" i="15"/>
  <c r="K69" i="15"/>
  <c r="J69" i="15"/>
  <c r="I69" i="15"/>
  <c r="K68" i="15"/>
  <c r="J68" i="15"/>
  <c r="I68" i="15"/>
  <c r="K67" i="15"/>
  <c r="J67" i="15"/>
  <c r="I67" i="15"/>
  <c r="K66" i="15"/>
  <c r="J66" i="15"/>
  <c r="I66" i="15"/>
  <c r="K65" i="15"/>
  <c r="J65" i="15"/>
  <c r="I65" i="15"/>
  <c r="K64" i="15"/>
  <c r="J64" i="15"/>
  <c r="I64" i="15"/>
  <c r="K63" i="15"/>
  <c r="J63" i="15"/>
  <c r="I63" i="15"/>
  <c r="K62" i="15"/>
  <c r="J62" i="15"/>
  <c r="I62" i="15"/>
  <c r="K61" i="15"/>
  <c r="J61" i="15"/>
  <c r="I61" i="15"/>
  <c r="K60" i="15"/>
  <c r="J60" i="15"/>
  <c r="I60" i="15"/>
  <c r="K59" i="15"/>
  <c r="J59" i="15"/>
  <c r="I59" i="15"/>
  <c r="K58" i="15"/>
  <c r="J58" i="15"/>
  <c r="I58" i="15"/>
  <c r="K57" i="15"/>
  <c r="J57" i="15"/>
  <c r="I57" i="15"/>
  <c r="K56" i="15"/>
  <c r="J56" i="15"/>
  <c r="I56" i="15"/>
  <c r="K55" i="15"/>
  <c r="J55" i="15"/>
  <c r="I55" i="15"/>
  <c r="K54" i="15"/>
  <c r="J54" i="15"/>
  <c r="I54" i="15"/>
  <c r="K53" i="15"/>
  <c r="J53" i="15"/>
  <c r="I53" i="15"/>
  <c r="K52" i="15"/>
  <c r="J52" i="15"/>
  <c r="I52" i="15"/>
  <c r="K51" i="15"/>
  <c r="J51" i="15"/>
  <c r="I51" i="15"/>
  <c r="K50" i="15"/>
  <c r="J50" i="15"/>
  <c r="I50" i="15"/>
  <c r="K49" i="15"/>
  <c r="J49" i="15"/>
  <c r="I49" i="15"/>
  <c r="K48" i="15"/>
  <c r="J48" i="15"/>
  <c r="I48" i="15"/>
  <c r="K47" i="15"/>
  <c r="J47" i="15"/>
  <c r="I47" i="15"/>
  <c r="K46" i="15"/>
  <c r="J46" i="15"/>
  <c r="I46" i="15"/>
  <c r="K45" i="15"/>
  <c r="J45" i="15"/>
  <c r="I45" i="15"/>
  <c r="K44" i="15"/>
  <c r="J44" i="15"/>
  <c r="I44" i="15"/>
  <c r="K43" i="15"/>
  <c r="J43" i="15"/>
  <c r="I43" i="15"/>
  <c r="K42" i="15"/>
  <c r="J42" i="15"/>
  <c r="I42" i="15"/>
  <c r="K41" i="15"/>
  <c r="J41" i="15"/>
  <c r="I41" i="15"/>
  <c r="K40" i="15"/>
  <c r="J40" i="15"/>
  <c r="I40" i="15"/>
  <c r="K39" i="15"/>
  <c r="J39" i="15"/>
  <c r="I39" i="15"/>
  <c r="K38" i="15"/>
  <c r="J38" i="15"/>
  <c r="I38" i="15"/>
  <c r="K37" i="15"/>
  <c r="J37" i="15"/>
  <c r="I37" i="15"/>
  <c r="K36" i="15"/>
  <c r="J36" i="15"/>
  <c r="I36" i="15"/>
  <c r="K35" i="15"/>
  <c r="J35" i="15"/>
  <c r="I35" i="15"/>
  <c r="K34" i="15"/>
  <c r="J34" i="15"/>
  <c r="I34" i="15"/>
  <c r="K33" i="15"/>
  <c r="J33" i="15"/>
  <c r="I33" i="15"/>
  <c r="K32" i="15"/>
  <c r="J32" i="15"/>
  <c r="I32" i="15"/>
  <c r="K31" i="15"/>
  <c r="J31" i="15"/>
  <c r="I31" i="15"/>
  <c r="K30" i="15"/>
  <c r="J30" i="15"/>
  <c r="I30" i="15"/>
  <c r="K29" i="15"/>
  <c r="J29" i="15"/>
  <c r="I29" i="15"/>
  <c r="K28" i="15"/>
  <c r="J28" i="15"/>
  <c r="I28" i="15"/>
  <c r="K27" i="15"/>
  <c r="J27" i="15"/>
  <c r="I27" i="15"/>
  <c r="K26" i="15"/>
  <c r="J26" i="15"/>
  <c r="I26" i="15"/>
  <c r="K25" i="15"/>
  <c r="J25" i="15"/>
  <c r="I25" i="15"/>
  <c r="K24" i="15"/>
  <c r="J24" i="15"/>
  <c r="I24" i="15"/>
  <c r="K23" i="15"/>
  <c r="J23" i="15"/>
  <c r="I23" i="15"/>
  <c r="K22" i="15"/>
  <c r="J22" i="15"/>
  <c r="I22" i="15"/>
  <c r="K21" i="15"/>
  <c r="J21" i="15"/>
  <c r="I21" i="15"/>
  <c r="K20" i="15"/>
  <c r="J20" i="15"/>
  <c r="I20" i="15"/>
  <c r="K19" i="15"/>
  <c r="J19" i="15"/>
  <c r="I19" i="15"/>
  <c r="K18" i="15"/>
  <c r="J18" i="15"/>
  <c r="I18" i="15"/>
  <c r="K17" i="15"/>
  <c r="J17" i="15"/>
  <c r="I17" i="15"/>
  <c r="K16" i="15"/>
  <c r="J16" i="15"/>
  <c r="I16" i="15"/>
  <c r="K15" i="15"/>
  <c r="J15" i="15"/>
  <c r="I15" i="15"/>
  <c r="K14" i="15"/>
  <c r="J14" i="15"/>
  <c r="I14" i="15"/>
  <c r="K13" i="15"/>
  <c r="J13" i="15"/>
  <c r="I13" i="15"/>
  <c r="K12" i="15"/>
  <c r="J12" i="15"/>
  <c r="I12" i="15"/>
  <c r="K11" i="15"/>
  <c r="J11" i="15"/>
  <c r="I11" i="15"/>
  <c r="K10" i="15"/>
  <c r="J10" i="15"/>
  <c r="I10" i="15"/>
  <c r="K9" i="15"/>
  <c r="J9" i="15"/>
  <c r="I9" i="15"/>
  <c r="K8" i="15"/>
  <c r="J8" i="15"/>
  <c r="I8" i="15"/>
  <c r="K7" i="15"/>
  <c r="J7" i="15"/>
  <c r="I7" i="15"/>
  <c r="K6" i="15"/>
  <c r="J6" i="15"/>
  <c r="I6" i="15"/>
  <c r="K5" i="15"/>
  <c r="J5" i="15"/>
  <c r="I5" i="15"/>
  <c r="K4" i="15"/>
  <c r="J4" i="15"/>
  <c r="I4" i="15"/>
  <c r="K3" i="15"/>
  <c r="J3" i="15"/>
  <c r="I3" i="15"/>
  <c r="L33" i="4"/>
  <c r="J33" i="4"/>
  <c r="D40" i="3" s="1"/>
  <c r="F40" i="3" s="1"/>
  <c r="L3873" i="15"/>
  <c r="M3873" i="15"/>
  <c r="I3878" i="15"/>
  <c r="J3878" i="15"/>
  <c r="K3878" i="15"/>
  <c r="V3878" i="15"/>
  <c r="I3879" i="15"/>
  <c r="J3879" i="15"/>
  <c r="K3879" i="15"/>
  <c r="V3879" i="15"/>
  <c r="I3880" i="15"/>
  <c r="J3880" i="15"/>
  <c r="K3880" i="15"/>
  <c r="V3880" i="15"/>
  <c r="I3881" i="15"/>
  <c r="J3881" i="15"/>
  <c r="K3881" i="15"/>
  <c r="V3881" i="15"/>
  <c r="I3883" i="15"/>
  <c r="J3883" i="15"/>
  <c r="K3883" i="15"/>
  <c r="V3883" i="15"/>
  <c r="I3884" i="15"/>
  <c r="J3884" i="15"/>
  <c r="K3884" i="15"/>
  <c r="V3884" i="15"/>
  <c r="I3886" i="15"/>
  <c r="J3886" i="15"/>
  <c r="K3886" i="15"/>
  <c r="I3887" i="15"/>
  <c r="J3887" i="15"/>
  <c r="K3887" i="15"/>
  <c r="I3889" i="15"/>
  <c r="J3889" i="15"/>
  <c r="K3889" i="15"/>
  <c r="V3889" i="15"/>
  <c r="I3890" i="15"/>
  <c r="J3890" i="15"/>
  <c r="K3890" i="15"/>
  <c r="V3890" i="15"/>
  <c r="H191" i="2"/>
  <c r="G191" i="2"/>
  <c r="H188" i="2"/>
  <c r="H187" i="2"/>
  <c r="O188" i="2"/>
  <c r="Q201" i="2" l="1"/>
  <c r="D24" i="11"/>
  <c r="G24" i="11"/>
  <c r="E25" i="11"/>
  <c r="G25" i="11" s="1"/>
  <c r="G20" i="11"/>
  <c r="G19" i="11"/>
  <c r="G18" i="11"/>
  <c r="G10" i="11" l="1"/>
  <c r="H22" i="30"/>
  <c r="F24" i="30"/>
  <c r="F51" i="30"/>
  <c r="H6" i="30"/>
  <c r="F6" i="30"/>
  <c r="I78" i="29"/>
  <c r="H78" i="29"/>
  <c r="I77" i="29"/>
  <c r="H77" i="29"/>
  <c r="G78" i="29"/>
  <c r="G77" i="29"/>
  <c r="K9" i="16"/>
  <c r="H66" i="29"/>
  <c r="F31" i="30"/>
  <c r="F12" i="30"/>
  <c r="M261" i="4"/>
  <c r="P261" i="4" s="1"/>
  <c r="R261" i="4" s="1"/>
  <c r="T261" i="4" s="1"/>
  <c r="L261" i="4"/>
  <c r="J261" i="4"/>
  <c r="M161" i="4"/>
  <c r="P161" i="4" s="1"/>
  <c r="R161" i="4" s="1"/>
  <c r="T161" i="4" s="1"/>
  <c r="L161" i="4"/>
  <c r="J161" i="4"/>
  <c r="L141" i="4"/>
  <c r="J141" i="4"/>
  <c r="D80" i="3" s="1"/>
  <c r="F80" i="3" s="1"/>
  <c r="U2" i="15"/>
  <c r="G5" i="29"/>
  <c r="F3" i="29" s="1"/>
  <c r="H47" i="30"/>
  <c r="H33" i="30"/>
  <c r="H15" i="30"/>
  <c r="H25" i="30" s="1"/>
  <c r="G58" i="29" l="1"/>
  <c r="G38" i="29"/>
  <c r="F30" i="30" s="1"/>
  <c r="H50" i="30"/>
  <c r="H52" i="30" s="1"/>
  <c r="J78" i="29"/>
  <c r="J77" i="29"/>
  <c r="H79" i="29"/>
  <c r="G70" i="29" s="1"/>
  <c r="I79" i="29"/>
  <c r="G71" i="29" s="1"/>
  <c r="G79" i="29"/>
  <c r="F14" i="30"/>
  <c r="F28" i="30"/>
  <c r="F33" i="30" l="1"/>
  <c r="G49" i="29"/>
  <c r="F62" i="30"/>
  <c r="H71" i="29"/>
  <c r="H62" i="30"/>
  <c r="H63" i="30" s="1"/>
  <c r="J79" i="29"/>
  <c r="B36" i="10" l="1"/>
  <c r="C36" i="10" s="1"/>
  <c r="B13" i="10"/>
  <c r="C13" i="10" s="1"/>
  <c r="B11" i="10"/>
  <c r="C11" i="10" s="1"/>
  <c r="L75" i="4"/>
  <c r="L74" i="4"/>
  <c r="L73" i="4"/>
  <c r="L72" i="4"/>
  <c r="L71" i="4"/>
  <c r="L70" i="4"/>
  <c r="L69" i="4"/>
  <c r="L68" i="4"/>
  <c r="L67" i="4"/>
  <c r="L66" i="4"/>
  <c r="L65" i="4"/>
  <c r="L64" i="4"/>
  <c r="L63" i="4"/>
  <c r="L62" i="4"/>
  <c r="L61" i="4"/>
  <c r="L60" i="4"/>
  <c r="L59" i="4"/>
  <c r="H30" i="9" s="1"/>
  <c r="L58" i="4"/>
  <c r="L57" i="4"/>
  <c r="L56" i="4"/>
  <c r="H38" i="9"/>
  <c r="H34" i="9"/>
  <c r="H32" i="9"/>
  <c r="H27" i="10"/>
  <c r="H12" i="10"/>
  <c r="H12" i="9"/>
  <c r="H11" i="9"/>
  <c r="L149" i="4"/>
  <c r="L148" i="4"/>
  <c r="L147" i="4"/>
  <c r="L146" i="4"/>
  <c r="L145" i="4"/>
  <c r="L144" i="4"/>
  <c r="L143" i="4"/>
  <c r="L142" i="4"/>
  <c r="L140" i="4"/>
  <c r="L139" i="4"/>
  <c r="L138" i="4"/>
  <c r="L137" i="4"/>
  <c r="H37" i="9" s="1"/>
  <c r="L136" i="4"/>
  <c r="L135" i="4"/>
  <c r="L134" i="4"/>
  <c r="L133" i="4"/>
  <c r="L132" i="4"/>
  <c r="L131" i="4"/>
  <c r="L130" i="4"/>
  <c r="L129" i="4"/>
  <c r="L128" i="4"/>
  <c r="L127" i="4"/>
  <c r="L126" i="4"/>
  <c r="L125" i="4"/>
  <c r="L124" i="4"/>
  <c r="L123" i="4"/>
  <c r="L122" i="4"/>
  <c r="L121" i="4"/>
  <c r="L120" i="4"/>
  <c r="H33" i="9" s="1"/>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162" i="4"/>
  <c r="L160" i="4"/>
  <c r="L159" i="4"/>
  <c r="L158" i="4"/>
  <c r="L157" i="4"/>
  <c r="L156" i="4"/>
  <c r="L155" i="4"/>
  <c r="L154" i="4"/>
  <c r="H28" i="10" s="1"/>
  <c r="L153" i="4"/>
  <c r="L152" i="4"/>
  <c r="H26" i="10" s="1"/>
  <c r="L151" i="4"/>
  <c r="L150" i="4"/>
  <c r="M270" i="4"/>
  <c r="O270" i="4" s="1"/>
  <c r="L270" i="4"/>
  <c r="J270" i="4"/>
  <c r="I270" i="4"/>
  <c r="L269" i="4"/>
  <c r="L268" i="4"/>
  <c r="L267" i="4"/>
  <c r="L266" i="4"/>
  <c r="L265" i="4"/>
  <c r="L264" i="4"/>
  <c r="L263" i="4"/>
  <c r="L262"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55" i="4"/>
  <c r="L54" i="4"/>
  <c r="L53" i="4"/>
  <c r="H22" i="9" s="1"/>
  <c r="L52" i="4"/>
  <c r="L51" i="4"/>
  <c r="L50" i="4"/>
  <c r="L49" i="4"/>
  <c r="L48" i="4"/>
  <c r="L47" i="4"/>
  <c r="L46" i="4"/>
  <c r="L45" i="4"/>
  <c r="L44" i="4"/>
  <c r="L43" i="4"/>
  <c r="L42" i="4"/>
  <c r="L41" i="4"/>
  <c r="L40" i="4"/>
  <c r="L39" i="4"/>
  <c r="L38" i="4"/>
  <c r="L37" i="4"/>
  <c r="L36" i="4"/>
  <c r="L35" i="4"/>
  <c r="L34" i="4"/>
  <c r="L32" i="4"/>
  <c r="L31" i="4"/>
  <c r="L30" i="4"/>
  <c r="L29" i="4"/>
  <c r="L28" i="4"/>
  <c r="L27" i="4"/>
  <c r="L26" i="4"/>
  <c r="L25" i="4"/>
  <c r="L24" i="4"/>
  <c r="L23" i="4"/>
  <c r="L22" i="4"/>
  <c r="L21" i="4"/>
  <c r="L20" i="4"/>
  <c r="L19" i="4"/>
  <c r="L18" i="4"/>
  <c r="L17" i="4"/>
  <c r="L16" i="4"/>
  <c r="L15" i="4"/>
  <c r="L14" i="4"/>
  <c r="L13" i="4"/>
  <c r="L12" i="4"/>
  <c r="L11" i="4"/>
  <c r="L10" i="4"/>
  <c r="L9" i="4"/>
  <c r="L8" i="4"/>
  <c r="L7" i="4"/>
  <c r="H19" i="9" s="1"/>
  <c r="L6" i="4"/>
  <c r="L5" i="4"/>
  <c r="L4" i="4"/>
  <c r="L3" i="4"/>
  <c r="L2" i="4"/>
  <c r="L128" i="28"/>
  <c r="K128" i="28"/>
  <c r="L123" i="28"/>
  <c r="K23" i="28"/>
  <c r="N270" i="4" l="1"/>
  <c r="H33" i="10"/>
  <c r="H23" i="10"/>
  <c r="H18" i="10"/>
  <c r="H35" i="9"/>
  <c r="H9" i="9"/>
  <c r="H46" i="9"/>
  <c r="H24" i="10"/>
  <c r="H25" i="10"/>
  <c r="H8" i="9"/>
  <c r="H21" i="9"/>
  <c r="H10" i="9"/>
  <c r="H13" i="9"/>
  <c r="L274" i="4"/>
  <c r="H17" i="10"/>
  <c r="H36" i="9"/>
  <c r="H14" i="9"/>
  <c r="H20" i="9"/>
  <c r="H48" i="9"/>
  <c r="H16" i="10"/>
  <c r="H39" i="9"/>
  <c r="L280" i="4"/>
  <c r="H37" i="10"/>
  <c r="B37" i="10" s="1"/>
  <c r="C37" i="10" s="1"/>
  <c r="H47" i="9"/>
  <c r="H31" i="9"/>
  <c r="L281" i="4"/>
  <c r="L275" i="4"/>
  <c r="H10" i="10"/>
  <c r="P270" i="4"/>
  <c r="R270" i="4" s="1"/>
  <c r="T270" i="4" s="1"/>
  <c r="K270" i="4"/>
  <c r="L272" i="4"/>
  <c r="L277" i="4" l="1"/>
  <c r="L282" i="4" s="1"/>
  <c r="L283" i="4" s="1"/>
  <c r="T322" i="4"/>
  <c r="S322" i="4" s="1"/>
  <c r="T324" i="4"/>
  <c r="T325" i="4" s="1"/>
  <c r="K13" i="9" l="1"/>
  <c r="T316" i="4"/>
  <c r="G20" i="29" l="1"/>
  <c r="I261" i="4"/>
  <c r="I161" i="4"/>
  <c r="G54" i="29"/>
  <c r="F37" i="30" s="1"/>
  <c r="G25" i="29"/>
  <c r="F21" i="30" s="1"/>
  <c r="G24" i="29"/>
  <c r="F20" i="30" s="1"/>
  <c r="G11" i="29" l="1"/>
  <c r="F11" i="30" s="1"/>
  <c r="G59" i="29"/>
  <c r="F38" i="30" s="1"/>
  <c r="N261" i="4"/>
  <c r="K261" i="4"/>
  <c r="H73" i="29"/>
  <c r="G80" i="29" s="1"/>
  <c r="N161" i="4"/>
  <c r="K161" i="4"/>
  <c r="G26" i="29"/>
  <c r="F22" i="30" s="1"/>
  <c r="G53" i="29"/>
  <c r="G8" i="29"/>
  <c r="F8" i="30" s="1"/>
  <c r="I141" i="4"/>
  <c r="F13" i="30"/>
  <c r="G6" i="26"/>
  <c r="C5" i="26"/>
  <c r="O187" i="2"/>
  <c r="Q183" i="2"/>
  <c r="G21" i="29" l="1"/>
  <c r="G29" i="29" s="1"/>
  <c r="F15" i="30"/>
  <c r="F25" i="30" s="1"/>
  <c r="F36" i="30"/>
  <c r="F47" i="30" s="1"/>
  <c r="G65" i="29"/>
  <c r="H36" i="26"/>
  <c r="H41" i="26" s="1"/>
  <c r="H42" i="26" s="1"/>
  <c r="F50" i="30" l="1"/>
  <c r="F52" i="30" s="1"/>
  <c r="F63" i="30" s="1"/>
  <c r="G66" i="29"/>
  <c r="Q193" i="2"/>
  <c r="J160" i="4"/>
  <c r="F27" i="10"/>
  <c r="B27" i="10" s="1"/>
  <c r="C27" i="10" s="1"/>
  <c r="L158" i="16"/>
  <c r="K144" i="16"/>
  <c r="K143" i="16"/>
  <c r="I160" i="4"/>
  <c r="O148" i="2"/>
  <c r="P7" i="2"/>
  <c r="L143" i="16" l="1"/>
  <c r="L144" i="16" s="1"/>
  <c r="G2" i="29"/>
  <c r="G69" i="29"/>
  <c r="I73" i="29" s="1"/>
  <c r="I66" i="29"/>
  <c r="H148" i="2"/>
  <c r="P148" i="2"/>
  <c r="I148" i="2"/>
  <c r="J148" i="2"/>
  <c r="K148" i="2"/>
  <c r="O158" i="2"/>
  <c r="L148" i="2"/>
  <c r="E148" i="2"/>
  <c r="M148" i="2"/>
  <c r="F148" i="2"/>
  <c r="N148" i="2"/>
  <c r="G148" i="2"/>
  <c r="K160" i="4"/>
  <c r="N158" i="2"/>
  <c r="J12" i="2"/>
  <c r="J164" i="4"/>
  <c r="I164" i="4"/>
  <c r="O12" i="2"/>
  <c r="O70" i="2"/>
  <c r="I265" i="4"/>
  <c r="J12" i="4"/>
  <c r="J265" i="4"/>
  <c r="J67" i="4"/>
  <c r="J89" i="4"/>
  <c r="S148" i="2" l="1"/>
  <c r="Q148" i="2"/>
  <c r="A148" i="2"/>
  <c r="I12" i="2"/>
  <c r="L12" i="2"/>
  <c r="M12" i="2"/>
  <c r="N12" i="2"/>
  <c r="K12" i="2"/>
  <c r="F12" i="2"/>
  <c r="G12" i="2"/>
  <c r="P12" i="2"/>
  <c r="E12" i="2"/>
  <c r="H12" i="2"/>
  <c r="O11" i="2"/>
  <c r="K164" i="4"/>
  <c r="L126" i="2"/>
  <c r="I67" i="4"/>
  <c r="I12" i="4"/>
  <c r="L143" i="2"/>
  <c r="L174" i="2" s="1"/>
  <c r="E143" i="2"/>
  <c r="E174" i="2" s="1"/>
  <c r="M143" i="2"/>
  <c r="M174" i="2" s="1"/>
  <c r="F143" i="2"/>
  <c r="F174" i="2" s="1"/>
  <c r="N143" i="2"/>
  <c r="N174" i="2" s="1"/>
  <c r="G143" i="2"/>
  <c r="G174" i="2" s="1"/>
  <c r="O143" i="2"/>
  <c r="O174" i="2" s="1"/>
  <c r="I89" i="4"/>
  <c r="H143" i="2"/>
  <c r="H174" i="2" s="1"/>
  <c r="P143" i="2"/>
  <c r="P174" i="2" s="1"/>
  <c r="I143" i="2"/>
  <c r="I174" i="2" s="1"/>
  <c r="J143" i="2"/>
  <c r="J174" i="2" s="1"/>
  <c r="K143" i="2"/>
  <c r="K174" i="2" s="1"/>
  <c r="K265" i="4"/>
  <c r="K28" i="16"/>
  <c r="L28" i="16" s="1"/>
  <c r="L167" i="2"/>
  <c r="M167" i="2" s="1"/>
  <c r="N167" i="2" s="1"/>
  <c r="O167" i="2" s="1"/>
  <c r="M127" i="2"/>
  <c r="M66" i="2"/>
  <c r="I188" i="4"/>
  <c r="J258" i="4"/>
  <c r="J188" i="4"/>
  <c r="J88" i="4"/>
  <c r="P18" i="2"/>
  <c r="H18" i="2"/>
  <c r="E18" i="2"/>
  <c r="L18" i="2"/>
  <c r="I2" i="15"/>
  <c r="J2" i="15"/>
  <c r="J3873" i="15" l="1"/>
  <c r="J3875" i="15"/>
  <c r="S12" i="2"/>
  <c r="Q12" i="2"/>
  <c r="M164" i="4" s="1"/>
  <c r="A12" i="2"/>
  <c r="Q143" i="2"/>
  <c r="Q174" i="2" s="1"/>
  <c r="A143" i="2"/>
  <c r="S143" i="2"/>
  <c r="M153" i="2"/>
  <c r="E66" i="2"/>
  <c r="M18" i="2"/>
  <c r="N126" i="2"/>
  <c r="N171" i="2" s="1"/>
  <c r="L66" i="2"/>
  <c r="M52" i="2"/>
  <c r="M126" i="2"/>
  <c r="M171" i="2" s="1"/>
  <c r="M131" i="2"/>
  <c r="M123" i="2"/>
  <c r="I88" i="4"/>
  <c r="M79" i="2"/>
  <c r="M122" i="2"/>
  <c r="M51" i="2"/>
  <c r="M125" i="2"/>
  <c r="M124" i="2"/>
  <c r="I258" i="4"/>
  <c r="K258" i="4" s="1"/>
  <c r="G126" i="2"/>
  <c r="G171" i="2" s="1"/>
  <c r="O126" i="2"/>
  <c r="O171" i="2" s="1"/>
  <c r="F18" i="2"/>
  <c r="N18" i="2"/>
  <c r="F66" i="2"/>
  <c r="N66" i="2"/>
  <c r="H126" i="2"/>
  <c r="H171" i="2" s="1"/>
  <c r="P126" i="2"/>
  <c r="P171" i="2" s="1"/>
  <c r="G18" i="2"/>
  <c r="O18" i="2"/>
  <c r="G66" i="2"/>
  <c r="O66" i="2"/>
  <c r="I126" i="2"/>
  <c r="I171" i="2" s="1"/>
  <c r="H66" i="2"/>
  <c r="P66" i="2"/>
  <c r="J126" i="2"/>
  <c r="J171" i="2" s="1"/>
  <c r="I18" i="2"/>
  <c r="I66" i="2"/>
  <c r="K126" i="2"/>
  <c r="K171" i="2" s="1"/>
  <c r="J18" i="2"/>
  <c r="J66" i="2"/>
  <c r="L171" i="2"/>
  <c r="K18" i="2"/>
  <c r="K66" i="2"/>
  <c r="E126" i="2"/>
  <c r="F126" i="2"/>
  <c r="F171" i="2" s="1"/>
  <c r="K188" i="4"/>
  <c r="K131" i="2"/>
  <c r="K176" i="2" s="1"/>
  <c r="K130" i="2"/>
  <c r="K52" i="2"/>
  <c r="K147" i="2"/>
  <c r="K123" i="2"/>
  <c r="K79" i="2"/>
  <c r="K122" i="2"/>
  <c r="K51" i="2"/>
  <c r="K124" i="2"/>
  <c r="J168" i="4"/>
  <c r="L16" i="2"/>
  <c r="P17" i="2"/>
  <c r="I168" i="4"/>
  <c r="I130" i="2"/>
  <c r="H85" i="2"/>
  <c r="J194" i="4"/>
  <c r="J129" i="4"/>
  <c r="J128" i="4"/>
  <c r="J127" i="4"/>
  <c r="J35" i="4"/>
  <c r="P164" i="4" l="1"/>
  <c r="R164" i="4" s="1"/>
  <c r="T164" i="4" s="1"/>
  <c r="N164" i="4"/>
  <c r="A66" i="2"/>
  <c r="S66" i="2"/>
  <c r="A126" i="2"/>
  <c r="A18" i="2"/>
  <c r="Q66" i="2"/>
  <c r="M188" i="4" s="1"/>
  <c r="Q18" i="2"/>
  <c r="Q126" i="2"/>
  <c r="S18" i="2"/>
  <c r="S126" i="2"/>
  <c r="E171" i="2"/>
  <c r="E16" i="2"/>
  <c r="F16" i="2"/>
  <c r="G16" i="2"/>
  <c r="I122" i="2"/>
  <c r="M16" i="2"/>
  <c r="I123" i="2"/>
  <c r="N16" i="2"/>
  <c r="O16" i="2"/>
  <c r="I17" i="2"/>
  <c r="I124" i="2"/>
  <c r="J17" i="2"/>
  <c r="K17" i="2"/>
  <c r="H16" i="2"/>
  <c r="P16" i="2"/>
  <c r="L17" i="2"/>
  <c r="I16" i="2"/>
  <c r="E17" i="2"/>
  <c r="M17" i="2"/>
  <c r="J16" i="2"/>
  <c r="F17" i="2"/>
  <c r="N17" i="2"/>
  <c r="I131" i="2"/>
  <c r="I176" i="2" s="1"/>
  <c r="K16" i="2"/>
  <c r="G17" i="2"/>
  <c r="O17" i="2"/>
  <c r="H17" i="2"/>
  <c r="K168" i="4"/>
  <c r="M176" i="2"/>
  <c r="I132" i="2"/>
  <c r="I194" i="4"/>
  <c r="K194" i="4" s="1"/>
  <c r="I128" i="4"/>
  <c r="J130" i="2"/>
  <c r="F131" i="2"/>
  <c r="F176" i="2" s="1"/>
  <c r="N131" i="2"/>
  <c r="N176" i="2" s="1"/>
  <c r="J132" i="2"/>
  <c r="G131" i="2"/>
  <c r="G176" i="2" s="1"/>
  <c r="O131" i="2"/>
  <c r="O176" i="2" s="1"/>
  <c r="K132" i="2"/>
  <c r="I129" i="4"/>
  <c r="L130" i="2"/>
  <c r="H131" i="2"/>
  <c r="H176" i="2" s="1"/>
  <c r="P131" i="2"/>
  <c r="P176" i="2" s="1"/>
  <c r="L132" i="2"/>
  <c r="E130" i="2"/>
  <c r="M130" i="2"/>
  <c r="E132" i="2"/>
  <c r="M132" i="2"/>
  <c r="F130" i="2"/>
  <c r="N130" i="2"/>
  <c r="J131" i="2"/>
  <c r="J176" i="2" s="1"/>
  <c r="F132" i="2"/>
  <c r="N132" i="2"/>
  <c r="G130" i="2"/>
  <c r="O130" i="2"/>
  <c r="G132" i="2"/>
  <c r="O132" i="2"/>
  <c r="I127" i="4"/>
  <c r="H130" i="2"/>
  <c r="P130" i="2"/>
  <c r="L131" i="2"/>
  <c r="L176" i="2" s="1"/>
  <c r="H132" i="2"/>
  <c r="P132" i="2"/>
  <c r="E131" i="2"/>
  <c r="E176" i="2" s="1"/>
  <c r="L158" i="2"/>
  <c r="O7" i="2"/>
  <c r="J19" i="4"/>
  <c r="J105" i="4"/>
  <c r="J31" i="4"/>
  <c r="I105" i="4"/>
  <c r="I31" i="4"/>
  <c r="K88" i="2"/>
  <c r="P188" i="4" l="1"/>
  <c r="R188" i="4" s="1"/>
  <c r="T188" i="4" s="1"/>
  <c r="N188" i="4"/>
  <c r="M258" i="4"/>
  <c r="P258" i="4" s="1"/>
  <c r="Q171" i="2"/>
  <c r="I7" i="2"/>
  <c r="H7" i="2"/>
  <c r="Q17" i="2"/>
  <c r="M168" i="4" s="1"/>
  <c r="Q16" i="2"/>
  <c r="A17" i="2"/>
  <c r="A16" i="2"/>
  <c r="S16" i="2"/>
  <c r="S17" i="2"/>
  <c r="Q130" i="2"/>
  <c r="S130" i="2"/>
  <c r="S132" i="2"/>
  <c r="Q131" i="2"/>
  <c r="Q176" i="2" s="1"/>
  <c r="S131" i="2"/>
  <c r="Q132" i="2"/>
  <c r="M194" i="4" s="1"/>
  <c r="E88" i="2"/>
  <c r="M88" i="2"/>
  <c r="L88" i="2"/>
  <c r="F88" i="2"/>
  <c r="N88" i="2"/>
  <c r="G88" i="2"/>
  <c r="O88" i="2"/>
  <c r="H88" i="2"/>
  <c r="P88" i="2"/>
  <c r="I88" i="2"/>
  <c r="J88" i="2"/>
  <c r="K2" i="15"/>
  <c r="V2" i="15"/>
  <c r="I145" i="4"/>
  <c r="I139" i="4"/>
  <c r="I138" i="4"/>
  <c r="I137" i="4"/>
  <c r="J103" i="4"/>
  <c r="I103" i="4"/>
  <c r="B6" i="25"/>
  <c r="C6" i="25"/>
  <c r="E6" i="25" s="1"/>
  <c r="F2" i="25"/>
  <c r="F6" i="25" s="1"/>
  <c r="E2" i="25"/>
  <c r="P194" i="4" l="1"/>
  <c r="R194" i="4" s="1"/>
  <c r="T194" i="4" s="1"/>
  <c r="P168" i="4"/>
  <c r="R168" i="4" s="1"/>
  <c r="T168" i="4" s="1"/>
  <c r="N168" i="4"/>
  <c r="N258" i="4"/>
  <c r="Q258" i="4"/>
  <c r="R258" i="4" s="1"/>
  <c r="T258" i="4" s="1"/>
  <c r="N194" i="4"/>
  <c r="S88" i="2"/>
  <c r="Q88" i="2"/>
  <c r="A88" i="2"/>
  <c r="I112" i="4"/>
  <c r="G6" i="25"/>
  <c r="G2" i="25"/>
  <c r="L219" i="23"/>
  <c r="K219" i="23"/>
  <c r="U217" i="23"/>
  <c r="J217" i="23"/>
  <c r="I217" i="23"/>
  <c r="U216" i="23"/>
  <c r="J216" i="23"/>
  <c r="I216" i="23"/>
  <c r="U215" i="23"/>
  <c r="J215" i="23"/>
  <c r="I215" i="23"/>
  <c r="U214" i="23"/>
  <c r="J214" i="23"/>
  <c r="I214" i="23"/>
  <c r="U213" i="23"/>
  <c r="J213" i="23"/>
  <c r="I213" i="23"/>
  <c r="U212" i="23"/>
  <c r="J212" i="23"/>
  <c r="I212" i="23"/>
  <c r="U211" i="23"/>
  <c r="J211" i="23"/>
  <c r="I211" i="23"/>
  <c r="U210" i="23"/>
  <c r="J210" i="23"/>
  <c r="I210" i="23"/>
  <c r="U209" i="23"/>
  <c r="J209" i="23"/>
  <c r="I209" i="23"/>
  <c r="U208" i="23"/>
  <c r="J208" i="23"/>
  <c r="I208" i="23"/>
  <c r="U207" i="23"/>
  <c r="J207" i="23"/>
  <c r="I207" i="23"/>
  <c r="U206" i="23"/>
  <c r="J206" i="23"/>
  <c r="I206" i="23"/>
  <c r="U205" i="23"/>
  <c r="J205" i="23"/>
  <c r="I205" i="23"/>
  <c r="U204" i="23"/>
  <c r="J204" i="23"/>
  <c r="I204" i="23"/>
  <c r="U203" i="23"/>
  <c r="J203" i="23"/>
  <c r="I203" i="23"/>
  <c r="U202" i="23"/>
  <c r="J202" i="23"/>
  <c r="I202" i="23"/>
  <c r="U201" i="23"/>
  <c r="J201" i="23"/>
  <c r="I201" i="23"/>
  <c r="U200" i="23"/>
  <c r="J200" i="23"/>
  <c r="I200" i="23"/>
  <c r="U199" i="23"/>
  <c r="J199" i="23"/>
  <c r="I199" i="23"/>
  <c r="U198" i="23"/>
  <c r="J198" i="23"/>
  <c r="I198" i="23"/>
  <c r="U197" i="23"/>
  <c r="J197" i="23"/>
  <c r="I197" i="23"/>
  <c r="U196" i="23"/>
  <c r="J196" i="23"/>
  <c r="I196" i="23"/>
  <c r="U195" i="23"/>
  <c r="J195" i="23"/>
  <c r="I195" i="23"/>
  <c r="U194" i="23"/>
  <c r="J194" i="23"/>
  <c r="I194" i="23"/>
  <c r="U193" i="23"/>
  <c r="J193" i="23"/>
  <c r="I193" i="23"/>
  <c r="U192" i="23"/>
  <c r="J192" i="23"/>
  <c r="I192" i="23"/>
  <c r="U191" i="23"/>
  <c r="J191" i="23"/>
  <c r="I191" i="23"/>
  <c r="U190" i="23"/>
  <c r="J190" i="23"/>
  <c r="I190" i="23"/>
  <c r="U189" i="23"/>
  <c r="J189" i="23"/>
  <c r="I189" i="23"/>
  <c r="U188" i="23"/>
  <c r="J188" i="23"/>
  <c r="I188" i="23"/>
  <c r="U187" i="23"/>
  <c r="J187" i="23"/>
  <c r="I187" i="23"/>
  <c r="U186" i="23"/>
  <c r="J186" i="23"/>
  <c r="I186" i="23"/>
  <c r="U185" i="23"/>
  <c r="J185" i="23"/>
  <c r="I185" i="23"/>
  <c r="U184" i="23"/>
  <c r="J184" i="23"/>
  <c r="I184" i="23"/>
  <c r="U183" i="23"/>
  <c r="J183" i="23"/>
  <c r="I183" i="23"/>
  <c r="U182" i="23"/>
  <c r="J182" i="23"/>
  <c r="I182" i="23"/>
  <c r="U181" i="23"/>
  <c r="J181" i="23"/>
  <c r="I181" i="23"/>
  <c r="U180" i="23"/>
  <c r="J180" i="23"/>
  <c r="I180" i="23"/>
  <c r="U179" i="23"/>
  <c r="J179" i="23"/>
  <c r="I179" i="23"/>
  <c r="U178" i="23"/>
  <c r="J178" i="23"/>
  <c r="I178" i="23"/>
  <c r="U177" i="23"/>
  <c r="J177" i="23"/>
  <c r="I177" i="23"/>
  <c r="U176" i="23"/>
  <c r="J176" i="23"/>
  <c r="I176" i="23"/>
  <c r="U175" i="23"/>
  <c r="J175" i="23"/>
  <c r="I175" i="23"/>
  <c r="U174" i="23"/>
  <c r="J174" i="23"/>
  <c r="I174" i="23"/>
  <c r="U173" i="23"/>
  <c r="J173" i="23"/>
  <c r="I173" i="23"/>
  <c r="U172" i="23"/>
  <c r="J172" i="23"/>
  <c r="I172" i="23"/>
  <c r="U171" i="23"/>
  <c r="J171" i="23"/>
  <c r="I171" i="23"/>
  <c r="U170" i="23"/>
  <c r="J170" i="23"/>
  <c r="I170" i="23"/>
  <c r="U169" i="23"/>
  <c r="J169" i="23"/>
  <c r="I169" i="23"/>
  <c r="U168" i="23"/>
  <c r="J168" i="23"/>
  <c r="I168" i="23"/>
  <c r="U167" i="23"/>
  <c r="J167" i="23"/>
  <c r="I167" i="23"/>
  <c r="U166" i="23"/>
  <c r="J166" i="23"/>
  <c r="I166" i="23"/>
  <c r="U165" i="23"/>
  <c r="J165" i="23"/>
  <c r="I165" i="23"/>
  <c r="U164" i="23"/>
  <c r="J164" i="23"/>
  <c r="I164" i="23"/>
  <c r="U163" i="23"/>
  <c r="J163" i="23"/>
  <c r="I163" i="23"/>
  <c r="U162" i="23"/>
  <c r="J162" i="23"/>
  <c r="I162" i="23"/>
  <c r="U161" i="23"/>
  <c r="J161" i="23"/>
  <c r="I161" i="23"/>
  <c r="U160" i="23"/>
  <c r="J160" i="23"/>
  <c r="I160" i="23"/>
  <c r="U159" i="23"/>
  <c r="J159" i="23"/>
  <c r="I159" i="23"/>
  <c r="U158" i="23"/>
  <c r="J158" i="23"/>
  <c r="I158" i="23"/>
  <c r="U157" i="23"/>
  <c r="J157" i="23"/>
  <c r="I157" i="23"/>
  <c r="U156" i="23"/>
  <c r="J156" i="23"/>
  <c r="I156" i="23"/>
  <c r="U155" i="23"/>
  <c r="J155" i="23"/>
  <c r="I155" i="23"/>
  <c r="U154" i="23"/>
  <c r="J154" i="23"/>
  <c r="I154" i="23"/>
  <c r="U153" i="23"/>
  <c r="J153" i="23"/>
  <c r="I153" i="23"/>
  <c r="U152" i="23"/>
  <c r="J152" i="23"/>
  <c r="I152" i="23"/>
  <c r="U151" i="23"/>
  <c r="J151" i="23"/>
  <c r="I151" i="23"/>
  <c r="U150" i="23"/>
  <c r="J150" i="23"/>
  <c r="I150" i="23"/>
  <c r="U149" i="23"/>
  <c r="J149" i="23"/>
  <c r="I149" i="23"/>
  <c r="U148" i="23"/>
  <c r="J148" i="23"/>
  <c r="I148" i="23"/>
  <c r="U147" i="23"/>
  <c r="J147" i="23"/>
  <c r="I147" i="23"/>
  <c r="U146" i="23"/>
  <c r="J146" i="23"/>
  <c r="I146" i="23"/>
  <c r="U145" i="23"/>
  <c r="J145" i="23"/>
  <c r="I145" i="23"/>
  <c r="U144" i="23"/>
  <c r="J144" i="23"/>
  <c r="I144" i="23"/>
  <c r="U143" i="23"/>
  <c r="J143" i="23"/>
  <c r="I143" i="23"/>
  <c r="U142" i="23"/>
  <c r="J142" i="23"/>
  <c r="I142" i="23"/>
  <c r="U141" i="23"/>
  <c r="J141" i="23"/>
  <c r="I141" i="23"/>
  <c r="U140" i="23"/>
  <c r="J140" i="23"/>
  <c r="I140" i="23"/>
  <c r="U139" i="23"/>
  <c r="J139" i="23"/>
  <c r="I139" i="23"/>
  <c r="U138" i="23"/>
  <c r="J138" i="23"/>
  <c r="I138" i="23"/>
  <c r="U137" i="23"/>
  <c r="J137" i="23"/>
  <c r="I137" i="23"/>
  <c r="U136" i="23"/>
  <c r="J136" i="23"/>
  <c r="I136" i="23"/>
  <c r="U135" i="23"/>
  <c r="J135" i="23"/>
  <c r="I135" i="23"/>
  <c r="U134" i="23"/>
  <c r="J134" i="23"/>
  <c r="I134" i="23"/>
  <c r="U133" i="23"/>
  <c r="J133" i="23"/>
  <c r="I133" i="23"/>
  <c r="U132" i="23"/>
  <c r="J132" i="23"/>
  <c r="I132" i="23"/>
  <c r="U131" i="23"/>
  <c r="J131" i="23"/>
  <c r="I131" i="23"/>
  <c r="U130" i="23"/>
  <c r="J130" i="23"/>
  <c r="I130" i="23"/>
  <c r="U129" i="23"/>
  <c r="J129" i="23"/>
  <c r="I129" i="23"/>
  <c r="U128" i="23"/>
  <c r="J128" i="23"/>
  <c r="I128" i="23"/>
  <c r="U127" i="23"/>
  <c r="J127" i="23"/>
  <c r="I127" i="23"/>
  <c r="U126" i="23"/>
  <c r="J126" i="23"/>
  <c r="I126" i="23"/>
  <c r="U125" i="23"/>
  <c r="J125" i="23"/>
  <c r="I125" i="23"/>
  <c r="U124" i="23"/>
  <c r="J124" i="23"/>
  <c r="I124" i="23"/>
  <c r="U123" i="23"/>
  <c r="J123" i="23"/>
  <c r="I123" i="23"/>
  <c r="U122" i="23"/>
  <c r="J122" i="23"/>
  <c r="I122" i="23"/>
  <c r="U121" i="23"/>
  <c r="J121" i="23"/>
  <c r="I121" i="23"/>
  <c r="U120" i="23"/>
  <c r="J120" i="23"/>
  <c r="I120" i="23"/>
  <c r="U119" i="23"/>
  <c r="J119" i="23"/>
  <c r="I119" i="23"/>
  <c r="U118" i="23"/>
  <c r="J118" i="23"/>
  <c r="I118" i="23"/>
  <c r="U117" i="23"/>
  <c r="J117" i="23"/>
  <c r="I117" i="23"/>
  <c r="U116" i="23"/>
  <c r="J116" i="23"/>
  <c r="I116" i="23"/>
  <c r="U115" i="23"/>
  <c r="J115" i="23"/>
  <c r="I115" i="23"/>
  <c r="U114" i="23"/>
  <c r="J114" i="23"/>
  <c r="I114" i="23"/>
  <c r="U113" i="23"/>
  <c r="J113" i="23"/>
  <c r="I113" i="23"/>
  <c r="U112" i="23"/>
  <c r="J112" i="23"/>
  <c r="I112" i="23"/>
  <c r="U111" i="23"/>
  <c r="J111" i="23"/>
  <c r="I111" i="23"/>
  <c r="U110" i="23"/>
  <c r="J110" i="23"/>
  <c r="I110" i="23"/>
  <c r="U109" i="23"/>
  <c r="J109" i="23"/>
  <c r="I109" i="23"/>
  <c r="U108" i="23"/>
  <c r="J108" i="23"/>
  <c r="I108" i="23"/>
  <c r="U107" i="23"/>
  <c r="J107" i="23"/>
  <c r="I107" i="23"/>
  <c r="U106" i="23"/>
  <c r="J106" i="23"/>
  <c r="I106" i="23"/>
  <c r="U105" i="23"/>
  <c r="J105" i="23"/>
  <c r="I105" i="23"/>
  <c r="U104" i="23"/>
  <c r="J104" i="23"/>
  <c r="I104" i="23"/>
  <c r="U103" i="23"/>
  <c r="J103" i="23"/>
  <c r="I103" i="23"/>
  <c r="U102" i="23"/>
  <c r="J102" i="23"/>
  <c r="I102" i="23"/>
  <c r="U101" i="23"/>
  <c r="J101" i="23"/>
  <c r="I101" i="23"/>
  <c r="U100" i="23"/>
  <c r="J100" i="23"/>
  <c r="I100" i="23"/>
  <c r="U99" i="23"/>
  <c r="J99" i="23"/>
  <c r="I99" i="23"/>
  <c r="U98" i="23"/>
  <c r="J98" i="23"/>
  <c r="I98" i="23"/>
  <c r="U97" i="23"/>
  <c r="J97" i="23"/>
  <c r="I97" i="23"/>
  <c r="U96" i="23"/>
  <c r="J96" i="23"/>
  <c r="I96" i="23"/>
  <c r="U95" i="23"/>
  <c r="J95" i="23"/>
  <c r="I95" i="23"/>
  <c r="U94" i="23"/>
  <c r="J94" i="23"/>
  <c r="I94" i="23"/>
  <c r="U93" i="23"/>
  <c r="J93" i="23"/>
  <c r="I93" i="23"/>
  <c r="U92" i="23"/>
  <c r="J92" i="23"/>
  <c r="I92" i="23"/>
  <c r="U91" i="23"/>
  <c r="J91" i="23"/>
  <c r="I91" i="23"/>
  <c r="U90" i="23"/>
  <c r="J90" i="23"/>
  <c r="I90" i="23"/>
  <c r="U89" i="23"/>
  <c r="J89" i="23"/>
  <c r="I89" i="23"/>
  <c r="U88" i="23"/>
  <c r="J88" i="23"/>
  <c r="I88" i="23"/>
  <c r="U87" i="23"/>
  <c r="J87" i="23"/>
  <c r="I87" i="23"/>
  <c r="U86" i="23"/>
  <c r="J86" i="23"/>
  <c r="I86" i="23"/>
  <c r="U85" i="23"/>
  <c r="J85" i="23"/>
  <c r="I85" i="23"/>
  <c r="U84" i="23"/>
  <c r="J84" i="23"/>
  <c r="I84" i="23"/>
  <c r="U83" i="23"/>
  <c r="J83" i="23"/>
  <c r="I83" i="23"/>
  <c r="U82" i="23"/>
  <c r="J82" i="23"/>
  <c r="I82" i="23"/>
  <c r="U81" i="23"/>
  <c r="J81" i="23"/>
  <c r="I81" i="23"/>
  <c r="U80" i="23"/>
  <c r="J80" i="23"/>
  <c r="I80" i="23"/>
  <c r="U79" i="23"/>
  <c r="J79" i="23"/>
  <c r="I79" i="23"/>
  <c r="U78" i="23"/>
  <c r="J78" i="23"/>
  <c r="I78" i="23"/>
  <c r="U77" i="23"/>
  <c r="J77" i="23"/>
  <c r="I77" i="23"/>
  <c r="U76" i="23"/>
  <c r="J76" i="23"/>
  <c r="I76" i="23"/>
  <c r="U75" i="23"/>
  <c r="J75" i="23"/>
  <c r="I75" i="23"/>
  <c r="U74" i="23"/>
  <c r="J74" i="23"/>
  <c r="I74" i="23"/>
  <c r="U73" i="23"/>
  <c r="J73" i="23"/>
  <c r="I73" i="23"/>
  <c r="U72" i="23"/>
  <c r="J72" i="23"/>
  <c r="I72" i="23"/>
  <c r="U71" i="23"/>
  <c r="J71" i="23"/>
  <c r="I71" i="23"/>
  <c r="U70" i="23"/>
  <c r="J70" i="23"/>
  <c r="I70" i="23"/>
  <c r="U69" i="23"/>
  <c r="J69" i="23"/>
  <c r="I69" i="23"/>
  <c r="U68" i="23"/>
  <c r="J68" i="23"/>
  <c r="I68" i="23"/>
  <c r="U67" i="23"/>
  <c r="J67" i="23"/>
  <c r="I67" i="23"/>
  <c r="U66" i="23"/>
  <c r="J66" i="23"/>
  <c r="I66" i="23"/>
  <c r="U65" i="23"/>
  <c r="J65" i="23"/>
  <c r="I65" i="23"/>
  <c r="U64" i="23"/>
  <c r="J64" i="23"/>
  <c r="I64" i="23"/>
  <c r="U63" i="23"/>
  <c r="J63" i="23"/>
  <c r="I63" i="23"/>
  <c r="U62" i="23"/>
  <c r="J62" i="23"/>
  <c r="I62" i="23"/>
  <c r="U61" i="23"/>
  <c r="J61" i="23"/>
  <c r="I61" i="23"/>
  <c r="U60" i="23"/>
  <c r="J60" i="23"/>
  <c r="I60" i="23"/>
  <c r="U59" i="23"/>
  <c r="J59" i="23"/>
  <c r="I59" i="23"/>
  <c r="U58" i="23"/>
  <c r="J58" i="23"/>
  <c r="I58" i="23"/>
  <c r="U57" i="23"/>
  <c r="J57" i="23"/>
  <c r="I57" i="23"/>
  <c r="U56" i="23"/>
  <c r="J56" i="23"/>
  <c r="I56" i="23"/>
  <c r="U55" i="23"/>
  <c r="J55" i="23"/>
  <c r="I55" i="23"/>
  <c r="U54" i="23"/>
  <c r="J54" i="23"/>
  <c r="I54" i="23"/>
  <c r="U53" i="23"/>
  <c r="J53" i="23"/>
  <c r="I53" i="23"/>
  <c r="U52" i="23"/>
  <c r="J52" i="23"/>
  <c r="I52" i="23"/>
  <c r="U51" i="23"/>
  <c r="J51" i="23"/>
  <c r="I51" i="23"/>
  <c r="U50" i="23"/>
  <c r="J50" i="23"/>
  <c r="I50" i="23"/>
  <c r="U49" i="23"/>
  <c r="J49" i="23"/>
  <c r="I49" i="23"/>
  <c r="U48" i="23"/>
  <c r="J48" i="23"/>
  <c r="I48" i="23"/>
  <c r="U47" i="23"/>
  <c r="J47" i="23"/>
  <c r="I47" i="23"/>
  <c r="U46" i="23"/>
  <c r="J46" i="23"/>
  <c r="I46" i="23"/>
  <c r="U45" i="23"/>
  <c r="J45" i="23"/>
  <c r="I45" i="23"/>
  <c r="U44" i="23"/>
  <c r="J44" i="23"/>
  <c r="I44" i="23"/>
  <c r="U43" i="23"/>
  <c r="J43" i="23"/>
  <c r="I43" i="23"/>
  <c r="U42" i="23"/>
  <c r="J42" i="23"/>
  <c r="I42" i="23"/>
  <c r="U41" i="23"/>
  <c r="J41" i="23"/>
  <c r="I41" i="23"/>
  <c r="U40" i="23"/>
  <c r="J40" i="23"/>
  <c r="I40" i="23"/>
  <c r="U39" i="23"/>
  <c r="J39" i="23"/>
  <c r="I39" i="23"/>
  <c r="U38" i="23"/>
  <c r="J38" i="23"/>
  <c r="I38" i="23"/>
  <c r="U37" i="23"/>
  <c r="J37" i="23"/>
  <c r="I37" i="23"/>
  <c r="U36" i="23"/>
  <c r="J36" i="23"/>
  <c r="I36" i="23"/>
  <c r="U35" i="23"/>
  <c r="J35" i="23"/>
  <c r="I35" i="23"/>
  <c r="U34" i="23"/>
  <c r="J34" i="23"/>
  <c r="I34" i="23"/>
  <c r="U33" i="23"/>
  <c r="J33" i="23"/>
  <c r="I33" i="23"/>
  <c r="U32" i="23"/>
  <c r="J32" i="23"/>
  <c r="I32" i="23"/>
  <c r="U31" i="23"/>
  <c r="J31" i="23"/>
  <c r="I31" i="23"/>
  <c r="U30" i="23"/>
  <c r="J30" i="23"/>
  <c r="I30" i="23"/>
  <c r="U29" i="23"/>
  <c r="J29" i="23"/>
  <c r="I29" i="23"/>
  <c r="U28" i="23"/>
  <c r="J28" i="23"/>
  <c r="I28" i="23"/>
  <c r="U27" i="23"/>
  <c r="J27" i="23"/>
  <c r="I27" i="23"/>
  <c r="U26" i="23"/>
  <c r="J26" i="23"/>
  <c r="I26" i="23"/>
  <c r="U25" i="23"/>
  <c r="J25" i="23"/>
  <c r="I25" i="23"/>
  <c r="U24" i="23"/>
  <c r="J24" i="23"/>
  <c r="I24" i="23"/>
  <c r="U23" i="23"/>
  <c r="J23" i="23"/>
  <c r="I23" i="23"/>
  <c r="U22" i="23"/>
  <c r="J22" i="23"/>
  <c r="I22" i="23"/>
  <c r="U21" i="23"/>
  <c r="J21" i="23"/>
  <c r="I21" i="23"/>
  <c r="U20" i="23"/>
  <c r="J20" i="23"/>
  <c r="I20" i="23"/>
  <c r="U19" i="23"/>
  <c r="J19" i="23"/>
  <c r="I19" i="23"/>
  <c r="U18" i="23"/>
  <c r="J18" i="23"/>
  <c r="I18" i="23"/>
  <c r="U17" i="23"/>
  <c r="J17" i="23"/>
  <c r="I17" i="23"/>
  <c r="U16" i="23"/>
  <c r="J16" i="23"/>
  <c r="I16" i="23"/>
  <c r="U15" i="23"/>
  <c r="J15" i="23"/>
  <c r="I15" i="23"/>
  <c r="U14" i="23"/>
  <c r="J14" i="23"/>
  <c r="I14" i="23"/>
  <c r="U13" i="23"/>
  <c r="J13" i="23"/>
  <c r="I13" i="23"/>
  <c r="U12" i="23"/>
  <c r="J12" i="23"/>
  <c r="I12" i="23"/>
  <c r="U11" i="23"/>
  <c r="J11" i="23"/>
  <c r="I11" i="23"/>
  <c r="U10" i="23"/>
  <c r="J10" i="23"/>
  <c r="I10" i="23"/>
  <c r="U9" i="23"/>
  <c r="J9" i="23"/>
  <c r="I9" i="23"/>
  <c r="U8" i="23"/>
  <c r="J8" i="23"/>
  <c r="I8" i="23"/>
  <c r="U7" i="23"/>
  <c r="J7" i="23"/>
  <c r="I7" i="23"/>
  <c r="U6" i="23"/>
  <c r="J6" i="23"/>
  <c r="I6" i="23"/>
  <c r="U5" i="23"/>
  <c r="J5" i="23"/>
  <c r="I5" i="23"/>
  <c r="U4" i="23"/>
  <c r="J4" i="23"/>
  <c r="I4" i="23"/>
  <c r="U3" i="23"/>
  <c r="J3" i="23"/>
  <c r="I3" i="23"/>
  <c r="U2" i="23"/>
  <c r="J2" i="23"/>
  <c r="I2" i="23"/>
  <c r="I219" i="23" l="1"/>
  <c r="P127" i="2"/>
  <c r="I269" i="4"/>
  <c r="J269" i="4"/>
  <c r="P125" i="2" l="1"/>
  <c r="P51" i="2"/>
  <c r="P144" i="2"/>
  <c r="P175" i="2" s="1"/>
  <c r="P30" i="2"/>
  <c r="P147" i="2"/>
  <c r="P122" i="2"/>
  <c r="P124" i="2"/>
  <c r="P123" i="2"/>
  <c r="P52" i="2"/>
  <c r="K269" i="4"/>
  <c r="P24" i="2" l="1"/>
  <c r="P25" i="2"/>
  <c r="P26" i="2"/>
  <c r="P23" i="2"/>
  <c r="P29" i="2"/>
  <c r="P28" i="2"/>
  <c r="M162" i="4"/>
  <c r="J162" i="4"/>
  <c r="I162" i="4"/>
  <c r="J159" i="4"/>
  <c r="P162" i="4" l="1"/>
  <c r="R162" i="4" s="1"/>
  <c r="T162" i="4" s="1"/>
  <c r="O109" i="2"/>
  <c r="N162" i="4"/>
  <c r="K162" i="4"/>
  <c r="P101" i="2"/>
  <c r="O101" i="2"/>
  <c r="N101" i="2"/>
  <c r="M101" i="2"/>
  <c r="L101" i="2"/>
  <c r="K101" i="2"/>
  <c r="J101" i="2"/>
  <c r="I101" i="2"/>
  <c r="H101" i="2"/>
  <c r="G101" i="2"/>
  <c r="F101" i="2"/>
  <c r="E101" i="2"/>
  <c r="J197" i="4"/>
  <c r="I197" i="4"/>
  <c r="N127" i="2"/>
  <c r="I159" i="4" l="1"/>
  <c r="K159" i="4" s="1"/>
  <c r="S101" i="2"/>
  <c r="A101" i="2"/>
  <c r="Q101" i="2"/>
  <c r="K197" i="4"/>
  <c r="N52" i="2"/>
  <c r="N125" i="2"/>
  <c r="N8" i="2"/>
  <c r="N123" i="2"/>
  <c r="N122" i="2"/>
  <c r="N124" i="2"/>
  <c r="N61" i="2"/>
  <c r="N144" i="2"/>
  <c r="N175" i="2" s="1"/>
  <c r="N60" i="2"/>
  <c r="N51" i="2"/>
  <c r="M8" i="2"/>
  <c r="N147" i="2"/>
  <c r="M60" i="2" l="1"/>
  <c r="M144" i="2"/>
  <c r="M175" i="2" s="1"/>
  <c r="M61" i="2"/>
  <c r="I53" i="4"/>
  <c r="J220" i="4"/>
  <c r="I220" i="4"/>
  <c r="L71" i="2"/>
  <c r="I30" i="4" l="1"/>
  <c r="I54" i="4"/>
  <c r="I131" i="4"/>
  <c r="I11" i="4"/>
  <c r="E71" i="2"/>
  <c r="M71" i="2"/>
  <c r="F71" i="2"/>
  <c r="N71" i="2"/>
  <c r="G71" i="2"/>
  <c r="O71" i="2"/>
  <c r="H71" i="2"/>
  <c r="P71" i="2"/>
  <c r="I71" i="2"/>
  <c r="J71" i="2"/>
  <c r="K71" i="2"/>
  <c r="K220" i="4"/>
  <c r="L61" i="2"/>
  <c r="L63" i="2"/>
  <c r="L62" i="2"/>
  <c r="F158" i="2"/>
  <c r="E158" i="2"/>
  <c r="M158" i="2"/>
  <c r="K158" i="2"/>
  <c r="P158" i="2"/>
  <c r="J158" i="2"/>
  <c r="H158" i="2"/>
  <c r="I158" i="2"/>
  <c r="G158" i="2"/>
  <c r="L60" i="2"/>
  <c r="L64" i="2"/>
  <c r="A71" i="2" l="1"/>
  <c r="Q71" i="2"/>
  <c r="S71" i="2"/>
  <c r="J217" i="4" l="1"/>
  <c r="J165" i="4"/>
  <c r="J111" i="4"/>
  <c r="P13" i="2"/>
  <c r="I165" i="4"/>
  <c r="I111" i="4"/>
  <c r="L69" i="2" l="1"/>
  <c r="I217" i="4"/>
  <c r="K217" i="4" s="1"/>
  <c r="H13" i="2"/>
  <c r="E69" i="2"/>
  <c r="M69" i="2"/>
  <c r="I13" i="2"/>
  <c r="F69" i="2"/>
  <c r="N69" i="2"/>
  <c r="J13" i="2"/>
  <c r="G69" i="2"/>
  <c r="O69" i="2"/>
  <c r="K13" i="2"/>
  <c r="H69" i="2"/>
  <c r="P69" i="2"/>
  <c r="L13" i="2"/>
  <c r="I69" i="2"/>
  <c r="E13" i="2"/>
  <c r="M13" i="2"/>
  <c r="J69" i="2"/>
  <c r="F13" i="2"/>
  <c r="N13" i="2"/>
  <c r="K69" i="2"/>
  <c r="G13" i="2"/>
  <c r="O13" i="2"/>
  <c r="K165" i="4"/>
  <c r="J14" i="4"/>
  <c r="I14" i="4"/>
  <c r="J104" i="4"/>
  <c r="P34" i="2"/>
  <c r="O34" i="2"/>
  <c r="N34" i="2"/>
  <c r="M34" i="2"/>
  <c r="L34" i="2"/>
  <c r="K34" i="2"/>
  <c r="J34" i="2"/>
  <c r="I34" i="2"/>
  <c r="H34" i="2"/>
  <c r="G34" i="2"/>
  <c r="F34" i="2"/>
  <c r="E34" i="2"/>
  <c r="J176" i="4"/>
  <c r="J95" i="4"/>
  <c r="P68" i="2"/>
  <c r="O68" i="2"/>
  <c r="N68" i="2"/>
  <c r="M68" i="2"/>
  <c r="L68" i="2"/>
  <c r="K68" i="2"/>
  <c r="J68" i="2"/>
  <c r="I68" i="2"/>
  <c r="H68" i="2"/>
  <c r="G68" i="2"/>
  <c r="F68" i="2"/>
  <c r="E68" i="2"/>
  <c r="P67" i="2"/>
  <c r="O67" i="2"/>
  <c r="N67" i="2"/>
  <c r="M67" i="2"/>
  <c r="L67" i="2"/>
  <c r="K67" i="2"/>
  <c r="J67" i="2"/>
  <c r="I67" i="2"/>
  <c r="H67" i="2"/>
  <c r="G67" i="2"/>
  <c r="F67" i="2"/>
  <c r="E67" i="2"/>
  <c r="J203" i="4"/>
  <c r="J79" i="4"/>
  <c r="J30" i="4"/>
  <c r="P149" i="2"/>
  <c r="O149" i="2"/>
  <c r="N149" i="2"/>
  <c r="M149" i="2"/>
  <c r="L149" i="2"/>
  <c r="K149" i="2"/>
  <c r="J149" i="2"/>
  <c r="P142" i="2"/>
  <c r="O142" i="2"/>
  <c r="N142" i="2"/>
  <c r="M142" i="2"/>
  <c r="L142" i="2"/>
  <c r="K142" i="2"/>
  <c r="J142" i="2"/>
  <c r="P141" i="2"/>
  <c r="O141" i="2"/>
  <c r="N141" i="2"/>
  <c r="M141" i="2"/>
  <c r="L141" i="2"/>
  <c r="K141" i="2"/>
  <c r="J141" i="2"/>
  <c r="P139" i="2"/>
  <c r="O139" i="2"/>
  <c r="N139" i="2"/>
  <c r="M139" i="2"/>
  <c r="L139" i="2"/>
  <c r="K139" i="2"/>
  <c r="J139" i="2"/>
  <c r="P138" i="2"/>
  <c r="O138" i="2"/>
  <c r="N138" i="2"/>
  <c r="M138" i="2"/>
  <c r="L138" i="2"/>
  <c r="K138" i="2"/>
  <c r="J138" i="2"/>
  <c r="P133" i="2"/>
  <c r="O133" i="2"/>
  <c r="N133" i="2"/>
  <c r="M133" i="2"/>
  <c r="L133" i="2"/>
  <c r="K133" i="2"/>
  <c r="J133" i="2"/>
  <c r="O127" i="2"/>
  <c r="L127" i="2"/>
  <c r="K127" i="2"/>
  <c r="J127" i="2"/>
  <c r="P119" i="2"/>
  <c r="O119" i="2"/>
  <c r="N119" i="2"/>
  <c r="M119" i="2"/>
  <c r="L119" i="2"/>
  <c r="K119" i="2"/>
  <c r="J119" i="2"/>
  <c r="P118" i="2"/>
  <c r="O118" i="2"/>
  <c r="N118" i="2"/>
  <c r="M118" i="2"/>
  <c r="L118" i="2"/>
  <c r="K118" i="2"/>
  <c r="J118" i="2"/>
  <c r="P117" i="2"/>
  <c r="O117" i="2"/>
  <c r="N117" i="2"/>
  <c r="M117" i="2"/>
  <c r="L117" i="2"/>
  <c r="K117" i="2"/>
  <c r="J117" i="2"/>
  <c r="P116" i="2"/>
  <c r="O116" i="2"/>
  <c r="N116" i="2"/>
  <c r="M116" i="2"/>
  <c r="L116" i="2"/>
  <c r="K116" i="2"/>
  <c r="J116" i="2"/>
  <c r="P115" i="2"/>
  <c r="O115" i="2"/>
  <c r="N115" i="2"/>
  <c r="M115" i="2"/>
  <c r="L115" i="2"/>
  <c r="K115" i="2"/>
  <c r="J115" i="2"/>
  <c r="P114" i="2"/>
  <c r="O114" i="2"/>
  <c r="N114" i="2"/>
  <c r="M114" i="2"/>
  <c r="L114" i="2"/>
  <c r="K114" i="2"/>
  <c r="J114" i="2"/>
  <c r="P110" i="2"/>
  <c r="O110" i="2"/>
  <c r="N110" i="2"/>
  <c r="M110" i="2"/>
  <c r="L110" i="2"/>
  <c r="K110" i="2"/>
  <c r="J110" i="2"/>
  <c r="P109" i="2"/>
  <c r="N109" i="2"/>
  <c r="M109" i="2"/>
  <c r="L109" i="2"/>
  <c r="K109" i="2"/>
  <c r="J109" i="2"/>
  <c r="P105" i="2"/>
  <c r="O105" i="2"/>
  <c r="N105" i="2"/>
  <c r="M105" i="2"/>
  <c r="L105" i="2"/>
  <c r="K105" i="2"/>
  <c r="J105" i="2"/>
  <c r="P104" i="2"/>
  <c r="O104" i="2"/>
  <c r="N104" i="2"/>
  <c r="M104" i="2"/>
  <c r="L104" i="2"/>
  <c r="K104" i="2"/>
  <c r="J104" i="2"/>
  <c r="P103" i="2"/>
  <c r="O103" i="2"/>
  <c r="N103" i="2"/>
  <c r="M103" i="2"/>
  <c r="L103" i="2"/>
  <c r="K103" i="2"/>
  <c r="J103" i="2"/>
  <c r="P100" i="2"/>
  <c r="O100" i="2"/>
  <c r="N100" i="2"/>
  <c r="M100" i="2"/>
  <c r="L100" i="2"/>
  <c r="K100" i="2"/>
  <c r="J100" i="2"/>
  <c r="P95" i="2"/>
  <c r="O95" i="2"/>
  <c r="N95" i="2"/>
  <c r="M95" i="2"/>
  <c r="L95" i="2"/>
  <c r="K95" i="2"/>
  <c r="J95" i="2"/>
  <c r="P94" i="2"/>
  <c r="O94" i="2"/>
  <c r="N94" i="2"/>
  <c r="M94" i="2"/>
  <c r="L94" i="2"/>
  <c r="K94" i="2"/>
  <c r="J94" i="2"/>
  <c r="P91" i="2"/>
  <c r="O91" i="2"/>
  <c r="N91" i="2"/>
  <c r="M91" i="2"/>
  <c r="L91" i="2"/>
  <c r="K91" i="2"/>
  <c r="J91" i="2"/>
  <c r="P90" i="2"/>
  <c r="O90" i="2"/>
  <c r="N90" i="2"/>
  <c r="M90" i="2"/>
  <c r="L90" i="2"/>
  <c r="K90" i="2"/>
  <c r="J90" i="2"/>
  <c r="P89" i="2"/>
  <c r="O89" i="2"/>
  <c r="N89" i="2"/>
  <c r="M89" i="2"/>
  <c r="L89" i="2"/>
  <c r="K89" i="2"/>
  <c r="J89" i="2"/>
  <c r="P87" i="2"/>
  <c r="O87" i="2"/>
  <c r="N87" i="2"/>
  <c r="M87" i="2"/>
  <c r="L87" i="2"/>
  <c r="K87" i="2"/>
  <c r="J87" i="2"/>
  <c r="P82" i="2"/>
  <c r="O82" i="2"/>
  <c r="N82" i="2"/>
  <c r="M82" i="2"/>
  <c r="L82" i="2"/>
  <c r="K82" i="2"/>
  <c r="J82" i="2"/>
  <c r="P81" i="2"/>
  <c r="O81" i="2"/>
  <c r="N81" i="2"/>
  <c r="M81" i="2"/>
  <c r="L81" i="2"/>
  <c r="K81" i="2"/>
  <c r="J81" i="2"/>
  <c r="P77" i="2"/>
  <c r="O77" i="2"/>
  <c r="N77" i="2"/>
  <c r="M77" i="2"/>
  <c r="L77" i="2"/>
  <c r="K77" i="2"/>
  <c r="J77" i="2"/>
  <c r="P56" i="2"/>
  <c r="O56" i="2"/>
  <c r="N56" i="2"/>
  <c r="M56" i="2"/>
  <c r="L56" i="2"/>
  <c r="K56" i="2"/>
  <c r="J56" i="2"/>
  <c r="P55" i="2"/>
  <c r="O55" i="2"/>
  <c r="N55" i="2"/>
  <c r="M55" i="2"/>
  <c r="L55" i="2"/>
  <c r="K55" i="2"/>
  <c r="J55" i="2"/>
  <c r="P50" i="2"/>
  <c r="O50" i="2"/>
  <c r="N50" i="2"/>
  <c r="M50" i="2"/>
  <c r="L50" i="2"/>
  <c r="K50" i="2"/>
  <c r="J50" i="2"/>
  <c r="P49" i="2"/>
  <c r="O49" i="2"/>
  <c r="N49" i="2"/>
  <c r="M49" i="2"/>
  <c r="L49" i="2"/>
  <c r="K49" i="2"/>
  <c r="J49" i="2"/>
  <c r="P48" i="2"/>
  <c r="O48" i="2"/>
  <c r="N48" i="2"/>
  <c r="M48" i="2"/>
  <c r="L48" i="2"/>
  <c r="K48" i="2"/>
  <c r="J48" i="2"/>
  <c r="P47" i="2"/>
  <c r="O47" i="2"/>
  <c r="N47" i="2"/>
  <c r="M47" i="2"/>
  <c r="L47" i="2"/>
  <c r="K47" i="2"/>
  <c r="J47" i="2"/>
  <c r="P44" i="2"/>
  <c r="O44" i="2"/>
  <c r="N44" i="2"/>
  <c r="M44" i="2"/>
  <c r="L44" i="2"/>
  <c r="K44" i="2"/>
  <c r="J44" i="2"/>
  <c r="P40" i="2"/>
  <c r="O40" i="2"/>
  <c r="N40" i="2"/>
  <c r="M40" i="2"/>
  <c r="L40" i="2"/>
  <c r="K40" i="2"/>
  <c r="J40" i="2"/>
  <c r="P36" i="2"/>
  <c r="O36" i="2"/>
  <c r="O164" i="2" s="1"/>
  <c r="N36" i="2"/>
  <c r="N164" i="2" s="1"/>
  <c r="M36" i="2"/>
  <c r="M164" i="2" s="1"/>
  <c r="L36" i="2"/>
  <c r="L164" i="2" s="1"/>
  <c r="K36" i="2"/>
  <c r="K164" i="2" s="1"/>
  <c r="J36" i="2"/>
  <c r="J164" i="2" s="1"/>
  <c r="P35" i="2"/>
  <c r="O35" i="2"/>
  <c r="N35" i="2"/>
  <c r="M35" i="2"/>
  <c r="L35" i="2"/>
  <c r="K35" i="2"/>
  <c r="J35" i="2"/>
  <c r="P33" i="2"/>
  <c r="O33" i="2"/>
  <c r="N33" i="2"/>
  <c r="M33" i="2"/>
  <c r="L33" i="2"/>
  <c r="K33" i="2"/>
  <c r="J33" i="2"/>
  <c r="P21" i="2"/>
  <c r="O21" i="2"/>
  <c r="N21" i="2"/>
  <c r="M21" i="2"/>
  <c r="L21" i="2"/>
  <c r="K21" i="2"/>
  <c r="J21" i="2"/>
  <c r="P20" i="2"/>
  <c r="P172" i="2" s="1"/>
  <c r="O20" i="2"/>
  <c r="O172" i="2" s="1"/>
  <c r="N20" i="2"/>
  <c r="N172" i="2" s="1"/>
  <c r="M20" i="2"/>
  <c r="M172" i="2" s="1"/>
  <c r="L20" i="2"/>
  <c r="L172" i="2" s="1"/>
  <c r="K20" i="2"/>
  <c r="K172" i="2" s="1"/>
  <c r="J20" i="2"/>
  <c r="J172" i="2" s="1"/>
  <c r="P19" i="2"/>
  <c r="O19" i="2"/>
  <c r="N19" i="2"/>
  <c r="M19" i="2"/>
  <c r="L19" i="2"/>
  <c r="K19" i="2"/>
  <c r="J19" i="2"/>
  <c r="P14" i="2"/>
  <c r="O14" i="2"/>
  <c r="N14" i="2"/>
  <c r="M14" i="2"/>
  <c r="L14" i="2"/>
  <c r="K14" i="2"/>
  <c r="J14" i="2"/>
  <c r="S147" i="20"/>
  <c r="O147" i="20"/>
  <c r="N147" i="20"/>
  <c r="M147" i="20"/>
  <c r="L147" i="20"/>
  <c r="K147" i="20"/>
  <c r="J147" i="20"/>
  <c r="I147" i="20"/>
  <c r="H147" i="20"/>
  <c r="G147" i="20"/>
  <c r="F147" i="20"/>
  <c r="E147" i="20"/>
  <c r="D147" i="20"/>
  <c r="S143" i="20"/>
  <c r="S139" i="20"/>
  <c r="O138" i="20"/>
  <c r="N138" i="20"/>
  <c r="M138" i="20"/>
  <c r="L138" i="20"/>
  <c r="K138" i="20"/>
  <c r="J138" i="20"/>
  <c r="I138" i="20"/>
  <c r="H138" i="20"/>
  <c r="G138" i="20"/>
  <c r="F138" i="20"/>
  <c r="E138" i="20"/>
  <c r="D138" i="20"/>
  <c r="S135" i="20"/>
  <c r="O133" i="20"/>
  <c r="N133" i="20"/>
  <c r="M133" i="20"/>
  <c r="L133" i="20"/>
  <c r="K133" i="20"/>
  <c r="J133" i="20"/>
  <c r="I133" i="20"/>
  <c r="H133" i="20"/>
  <c r="G133" i="20"/>
  <c r="F133" i="20"/>
  <c r="E133" i="20"/>
  <c r="D133" i="20"/>
  <c r="O132" i="20"/>
  <c r="N132" i="20"/>
  <c r="M132" i="20"/>
  <c r="L132" i="20"/>
  <c r="K132" i="20"/>
  <c r="J132" i="20"/>
  <c r="I132" i="20"/>
  <c r="H132" i="20"/>
  <c r="G132" i="20"/>
  <c r="F132" i="20"/>
  <c r="E132" i="20"/>
  <c r="D132" i="20"/>
  <c r="O130" i="20"/>
  <c r="N130" i="20"/>
  <c r="M130" i="20"/>
  <c r="L130" i="20"/>
  <c r="K130" i="20"/>
  <c r="J130" i="20"/>
  <c r="I130" i="20"/>
  <c r="H130" i="20"/>
  <c r="G130" i="20"/>
  <c r="F130" i="20"/>
  <c r="E130" i="20"/>
  <c r="D130" i="20"/>
  <c r="O129" i="20"/>
  <c r="N129" i="20"/>
  <c r="M129" i="20"/>
  <c r="L129" i="20"/>
  <c r="K129" i="20"/>
  <c r="J129" i="20"/>
  <c r="I129" i="20"/>
  <c r="H129" i="20"/>
  <c r="G129" i="20"/>
  <c r="F129" i="20"/>
  <c r="E129" i="20"/>
  <c r="D129" i="20"/>
  <c r="S125" i="20"/>
  <c r="H124" i="20"/>
  <c r="I124" i="20" s="1"/>
  <c r="J124" i="20" s="1"/>
  <c r="K124" i="20" s="1"/>
  <c r="L124" i="20" s="1"/>
  <c r="M124" i="20" s="1"/>
  <c r="N124" i="20" s="1"/>
  <c r="O124" i="20" s="1"/>
  <c r="G124" i="20"/>
  <c r="F124" i="20"/>
  <c r="E124" i="20"/>
  <c r="D124" i="20"/>
  <c r="J123" i="20"/>
  <c r="K123" i="20" s="1"/>
  <c r="L123" i="20" s="1"/>
  <c r="M123" i="20" s="1"/>
  <c r="N123" i="20" s="1"/>
  <c r="O123" i="20" s="1"/>
  <c r="S120" i="20"/>
  <c r="H119" i="20"/>
  <c r="I119" i="20" s="1"/>
  <c r="J119" i="20" s="1"/>
  <c r="K119" i="20" s="1"/>
  <c r="L119" i="20" s="1"/>
  <c r="M119" i="20" s="1"/>
  <c r="N119" i="20" s="1"/>
  <c r="O119" i="20" s="1"/>
  <c r="G119" i="20"/>
  <c r="F119" i="20"/>
  <c r="E119" i="20"/>
  <c r="D119" i="20"/>
  <c r="J118" i="20"/>
  <c r="K118" i="20" s="1"/>
  <c r="L118" i="20" s="1"/>
  <c r="M118" i="20" s="1"/>
  <c r="N118" i="20" s="1"/>
  <c r="O118" i="20" s="1"/>
  <c r="J117" i="20"/>
  <c r="K117" i="20" s="1"/>
  <c r="L117" i="20" s="1"/>
  <c r="M117" i="20" s="1"/>
  <c r="N117" i="20" s="1"/>
  <c r="O117" i="20" s="1"/>
  <c r="S113" i="20"/>
  <c r="O112" i="20"/>
  <c r="N112" i="20"/>
  <c r="M112" i="20"/>
  <c r="L112" i="20"/>
  <c r="K112" i="20"/>
  <c r="J112" i="20"/>
  <c r="I112" i="20"/>
  <c r="H112" i="20"/>
  <c r="G112" i="20"/>
  <c r="F112" i="20"/>
  <c r="E112" i="20"/>
  <c r="D112" i="20"/>
  <c r="O111" i="20"/>
  <c r="N111" i="20"/>
  <c r="M111" i="20"/>
  <c r="L111" i="20"/>
  <c r="K111" i="20"/>
  <c r="J111" i="20"/>
  <c r="I111" i="20"/>
  <c r="H111" i="20"/>
  <c r="G111" i="20"/>
  <c r="F111" i="20"/>
  <c r="E111" i="20"/>
  <c r="D111" i="20"/>
  <c r="O110" i="20"/>
  <c r="N110" i="20"/>
  <c r="M110" i="20"/>
  <c r="L110" i="20"/>
  <c r="K110" i="20"/>
  <c r="J110" i="20"/>
  <c r="I110" i="20"/>
  <c r="H110" i="20"/>
  <c r="G110" i="20"/>
  <c r="F110" i="20"/>
  <c r="E110" i="20"/>
  <c r="D110" i="20"/>
  <c r="O109" i="20"/>
  <c r="N109" i="20"/>
  <c r="M109" i="20"/>
  <c r="L109" i="20"/>
  <c r="K109" i="20"/>
  <c r="J109" i="20"/>
  <c r="I109" i="20"/>
  <c r="H109" i="20"/>
  <c r="G109" i="20"/>
  <c r="F109" i="20"/>
  <c r="E109" i="20"/>
  <c r="D109" i="20"/>
  <c r="O108" i="20"/>
  <c r="N108" i="20"/>
  <c r="M108" i="20"/>
  <c r="L108" i="20"/>
  <c r="K108" i="20"/>
  <c r="J108" i="20"/>
  <c r="I108" i="20"/>
  <c r="H108" i="20"/>
  <c r="G108" i="20"/>
  <c r="F108" i="20"/>
  <c r="E108" i="20"/>
  <c r="D108" i="20"/>
  <c r="O107" i="20"/>
  <c r="N107" i="20"/>
  <c r="M107" i="20"/>
  <c r="L107" i="20"/>
  <c r="K107" i="20"/>
  <c r="J107" i="20"/>
  <c r="I107" i="20"/>
  <c r="H107" i="20"/>
  <c r="G107" i="20"/>
  <c r="F107" i="20"/>
  <c r="E107" i="20"/>
  <c r="D107" i="20"/>
  <c r="O106" i="20"/>
  <c r="N106" i="20"/>
  <c r="M106" i="20"/>
  <c r="L106" i="20"/>
  <c r="K106" i="20"/>
  <c r="J106" i="20"/>
  <c r="I106" i="20"/>
  <c r="H106" i="20"/>
  <c r="G106" i="20"/>
  <c r="F106" i="20"/>
  <c r="E106" i="20"/>
  <c r="D106" i="20"/>
  <c r="S103" i="20"/>
  <c r="O102" i="20"/>
  <c r="N102" i="20"/>
  <c r="M102" i="20"/>
  <c r="L102" i="20"/>
  <c r="K102" i="20"/>
  <c r="J102" i="20"/>
  <c r="I102" i="20"/>
  <c r="H102" i="20"/>
  <c r="G102" i="20"/>
  <c r="F102" i="20"/>
  <c r="E102" i="20"/>
  <c r="D102" i="20"/>
  <c r="O101" i="20"/>
  <c r="N101" i="20"/>
  <c r="M101" i="20"/>
  <c r="L101" i="20"/>
  <c r="K101" i="20"/>
  <c r="J101" i="20"/>
  <c r="I101" i="20"/>
  <c r="H101" i="20"/>
  <c r="G101" i="20"/>
  <c r="F101" i="20"/>
  <c r="E101" i="20"/>
  <c r="D101" i="20"/>
  <c r="H97" i="20"/>
  <c r="I97" i="20" s="1"/>
  <c r="J97" i="20" s="1"/>
  <c r="K97" i="20" s="1"/>
  <c r="L97" i="20" s="1"/>
  <c r="M97" i="20" s="1"/>
  <c r="N97" i="20" s="1"/>
  <c r="O97" i="20" s="1"/>
  <c r="G97" i="20"/>
  <c r="F97" i="20"/>
  <c r="E97" i="20"/>
  <c r="D97" i="20"/>
  <c r="H96" i="20"/>
  <c r="I96" i="20" s="1"/>
  <c r="J96" i="20" s="1"/>
  <c r="K96" i="20" s="1"/>
  <c r="L96" i="20" s="1"/>
  <c r="M96" i="20" s="1"/>
  <c r="N96" i="20" s="1"/>
  <c r="O96" i="20" s="1"/>
  <c r="G96" i="20"/>
  <c r="F96" i="20"/>
  <c r="E96" i="20"/>
  <c r="D96" i="20"/>
  <c r="H95" i="20"/>
  <c r="I95" i="20" s="1"/>
  <c r="J95" i="20" s="1"/>
  <c r="K95" i="20" s="1"/>
  <c r="L95" i="20" s="1"/>
  <c r="M95" i="20" s="1"/>
  <c r="N95" i="20" s="1"/>
  <c r="O95" i="20" s="1"/>
  <c r="G95" i="20"/>
  <c r="F95" i="20"/>
  <c r="E95" i="20"/>
  <c r="D95" i="20"/>
  <c r="O93" i="20"/>
  <c r="N93" i="20"/>
  <c r="M93" i="20"/>
  <c r="L93" i="20"/>
  <c r="K93" i="20"/>
  <c r="J93" i="20"/>
  <c r="I93" i="20"/>
  <c r="H93" i="20"/>
  <c r="G93" i="20"/>
  <c r="F93" i="20"/>
  <c r="E93" i="20"/>
  <c r="D93" i="20"/>
  <c r="S92" i="20"/>
  <c r="M91" i="20"/>
  <c r="N91" i="20" s="1"/>
  <c r="O91" i="20" s="1"/>
  <c r="M90" i="20"/>
  <c r="N90" i="20" s="1"/>
  <c r="O90" i="20" s="1"/>
  <c r="J89" i="20"/>
  <c r="K89" i="20" s="1"/>
  <c r="L89" i="20" s="1"/>
  <c r="M89" i="20" s="1"/>
  <c r="N89" i="20" s="1"/>
  <c r="O89" i="20" s="1"/>
  <c r="H88" i="20"/>
  <c r="I88" i="20" s="1"/>
  <c r="J88" i="20" s="1"/>
  <c r="K88" i="20" s="1"/>
  <c r="L88" i="20" s="1"/>
  <c r="M88" i="20" s="1"/>
  <c r="N88" i="20" s="1"/>
  <c r="O88" i="20" s="1"/>
  <c r="G88" i="20"/>
  <c r="F88" i="20"/>
  <c r="E88" i="20"/>
  <c r="D88" i="20"/>
  <c r="H87" i="20"/>
  <c r="I87" i="20" s="1"/>
  <c r="J87" i="20" s="1"/>
  <c r="K87" i="20" s="1"/>
  <c r="L87" i="20" s="1"/>
  <c r="M87" i="20" s="1"/>
  <c r="N87" i="20" s="1"/>
  <c r="O87" i="20" s="1"/>
  <c r="G87" i="20"/>
  <c r="F87" i="20"/>
  <c r="E87" i="20"/>
  <c r="D87" i="20"/>
  <c r="H84" i="20"/>
  <c r="I84" i="20" s="1"/>
  <c r="J84" i="20" s="1"/>
  <c r="K84" i="20" s="1"/>
  <c r="L84" i="20" s="1"/>
  <c r="M84" i="20" s="1"/>
  <c r="N84" i="20" s="1"/>
  <c r="O84" i="20" s="1"/>
  <c r="G84" i="20"/>
  <c r="F84" i="20"/>
  <c r="E84" i="20"/>
  <c r="D84" i="20"/>
  <c r="H83" i="20"/>
  <c r="I83" i="20" s="1"/>
  <c r="J83" i="20" s="1"/>
  <c r="K83" i="20" s="1"/>
  <c r="L83" i="20" s="1"/>
  <c r="M83" i="20" s="1"/>
  <c r="N83" i="20" s="1"/>
  <c r="O83" i="20" s="1"/>
  <c r="G83" i="20"/>
  <c r="F83" i="20"/>
  <c r="E83" i="20"/>
  <c r="D83" i="20"/>
  <c r="I82" i="20"/>
  <c r="J82" i="20" s="1"/>
  <c r="K82" i="20" s="1"/>
  <c r="L82" i="20" s="1"/>
  <c r="M82" i="20" s="1"/>
  <c r="N82" i="20" s="1"/>
  <c r="O82" i="20" s="1"/>
  <c r="H81" i="20"/>
  <c r="I81" i="20" s="1"/>
  <c r="J81" i="20" s="1"/>
  <c r="K81" i="20" s="1"/>
  <c r="L81" i="20" s="1"/>
  <c r="M81" i="20" s="1"/>
  <c r="N81" i="20" s="1"/>
  <c r="O81" i="20" s="1"/>
  <c r="G81" i="20"/>
  <c r="F81" i="20"/>
  <c r="E81" i="20"/>
  <c r="D81" i="20"/>
  <c r="H80" i="20"/>
  <c r="I80" i="20" s="1"/>
  <c r="J80" i="20" s="1"/>
  <c r="K80" i="20" s="1"/>
  <c r="L80" i="20" s="1"/>
  <c r="M80" i="20" s="1"/>
  <c r="N80" i="20" s="1"/>
  <c r="O80" i="20" s="1"/>
  <c r="G80" i="20"/>
  <c r="F80" i="20"/>
  <c r="E80" i="20"/>
  <c r="D80" i="20"/>
  <c r="S76" i="20"/>
  <c r="O75" i="20"/>
  <c r="N75" i="20"/>
  <c r="M75" i="20"/>
  <c r="L75" i="20"/>
  <c r="K75" i="20"/>
  <c r="J75" i="20"/>
  <c r="I75" i="20"/>
  <c r="H75" i="20"/>
  <c r="G75" i="20"/>
  <c r="F75" i="20"/>
  <c r="E75" i="20"/>
  <c r="D75" i="20"/>
  <c r="O74" i="20"/>
  <c r="N74" i="20"/>
  <c r="M74" i="20"/>
  <c r="L74" i="20"/>
  <c r="K74" i="20"/>
  <c r="J74" i="20"/>
  <c r="I74" i="20"/>
  <c r="H74" i="20"/>
  <c r="G74" i="20"/>
  <c r="F74" i="20"/>
  <c r="E74" i="20"/>
  <c r="D74" i="20"/>
  <c r="J73" i="20"/>
  <c r="K73" i="20" s="1"/>
  <c r="L73" i="20" s="1"/>
  <c r="M73" i="20" s="1"/>
  <c r="N73" i="20" s="1"/>
  <c r="O73" i="20" s="1"/>
  <c r="H70" i="20"/>
  <c r="I70" i="20" s="1"/>
  <c r="J70" i="20" s="1"/>
  <c r="K70" i="20" s="1"/>
  <c r="L70" i="20" s="1"/>
  <c r="M70" i="20" s="1"/>
  <c r="N70" i="20" s="1"/>
  <c r="O70" i="20" s="1"/>
  <c r="G70" i="20"/>
  <c r="F70" i="20"/>
  <c r="E70" i="20"/>
  <c r="D70" i="20"/>
  <c r="S66" i="20"/>
  <c r="N63" i="20"/>
  <c r="O63" i="20" s="1"/>
  <c r="J62" i="20"/>
  <c r="K62" i="20" s="1"/>
  <c r="L62" i="20" s="1"/>
  <c r="M62" i="20" s="1"/>
  <c r="N62" i="20" s="1"/>
  <c r="O62" i="20" s="1"/>
  <c r="H61" i="20"/>
  <c r="I61" i="20" s="1"/>
  <c r="J61" i="20" s="1"/>
  <c r="K61" i="20" s="1"/>
  <c r="L61" i="20" s="1"/>
  <c r="M61" i="20" s="1"/>
  <c r="N61" i="20" s="1"/>
  <c r="O61" i="20" s="1"/>
  <c r="G61" i="20"/>
  <c r="F61" i="20"/>
  <c r="E61" i="20"/>
  <c r="D61" i="20"/>
  <c r="H60" i="20"/>
  <c r="I60" i="20" s="1"/>
  <c r="J60" i="20" s="1"/>
  <c r="K60" i="20" s="1"/>
  <c r="L60" i="20" s="1"/>
  <c r="M60" i="20" s="1"/>
  <c r="N60" i="20" s="1"/>
  <c r="O60" i="20" s="1"/>
  <c r="G60" i="20"/>
  <c r="F60" i="20"/>
  <c r="E60" i="20"/>
  <c r="D60" i="20"/>
  <c r="J58" i="20"/>
  <c r="K58" i="20" s="1"/>
  <c r="L58" i="20" s="1"/>
  <c r="M58" i="20" s="1"/>
  <c r="N58" i="20" s="1"/>
  <c r="O58" i="20" s="1"/>
  <c r="J57" i="20"/>
  <c r="K57" i="20" s="1"/>
  <c r="L57" i="20" s="1"/>
  <c r="S54" i="20"/>
  <c r="O53" i="20"/>
  <c r="N53" i="20"/>
  <c r="M53" i="20"/>
  <c r="L53" i="20"/>
  <c r="K53" i="20"/>
  <c r="J53" i="20"/>
  <c r="I53" i="20"/>
  <c r="H53" i="20"/>
  <c r="G53" i="20"/>
  <c r="F53" i="20"/>
  <c r="E53" i="20"/>
  <c r="D53" i="20"/>
  <c r="O52" i="20"/>
  <c r="N52" i="20"/>
  <c r="M52" i="20"/>
  <c r="L52" i="20"/>
  <c r="K52" i="20"/>
  <c r="J52" i="20"/>
  <c r="I52" i="20"/>
  <c r="H52" i="20"/>
  <c r="G52" i="20"/>
  <c r="F52" i="20"/>
  <c r="E52" i="20"/>
  <c r="D52" i="20"/>
  <c r="S50" i="20"/>
  <c r="O47" i="20"/>
  <c r="N47" i="20"/>
  <c r="M47" i="20"/>
  <c r="L47" i="20"/>
  <c r="K47" i="20"/>
  <c r="J47" i="20"/>
  <c r="I47" i="20"/>
  <c r="H47" i="20"/>
  <c r="G47" i="20"/>
  <c r="F47" i="20"/>
  <c r="E47" i="20"/>
  <c r="D47" i="20"/>
  <c r="O46" i="20"/>
  <c r="N46" i="20"/>
  <c r="M46" i="20"/>
  <c r="L46" i="20"/>
  <c r="K46" i="20"/>
  <c r="J46" i="20"/>
  <c r="I46" i="20"/>
  <c r="H46" i="20"/>
  <c r="G46" i="20"/>
  <c r="F46" i="20"/>
  <c r="E46" i="20"/>
  <c r="D46" i="20"/>
  <c r="O45" i="20"/>
  <c r="N45" i="20"/>
  <c r="M45" i="20"/>
  <c r="L45" i="20"/>
  <c r="K45" i="20"/>
  <c r="J45" i="20"/>
  <c r="I45" i="20"/>
  <c r="H45" i="20"/>
  <c r="G45" i="20"/>
  <c r="F45" i="20"/>
  <c r="E45" i="20"/>
  <c r="D45" i="20"/>
  <c r="O44" i="20"/>
  <c r="N44" i="20"/>
  <c r="M44" i="20"/>
  <c r="L44" i="20"/>
  <c r="K44" i="20"/>
  <c r="J44" i="20"/>
  <c r="I44" i="20"/>
  <c r="H44" i="20"/>
  <c r="G44" i="20"/>
  <c r="F44" i="20"/>
  <c r="E44" i="20"/>
  <c r="D44" i="20"/>
  <c r="S42" i="20"/>
  <c r="O41" i="20"/>
  <c r="N41" i="20"/>
  <c r="M41" i="20"/>
  <c r="L41" i="20"/>
  <c r="K41" i="20"/>
  <c r="J41" i="20"/>
  <c r="I41" i="20"/>
  <c r="H41" i="20"/>
  <c r="G41" i="20"/>
  <c r="F41" i="20"/>
  <c r="E41" i="20"/>
  <c r="D41" i="20"/>
  <c r="J39" i="20"/>
  <c r="K39" i="20" s="1"/>
  <c r="L39" i="20" s="1"/>
  <c r="M39" i="20" s="1"/>
  <c r="N39" i="20" s="1"/>
  <c r="O39" i="20" s="1"/>
  <c r="O37" i="20"/>
  <c r="N37" i="20"/>
  <c r="M37" i="20"/>
  <c r="L37" i="20"/>
  <c r="K37" i="20"/>
  <c r="J37" i="20"/>
  <c r="I37" i="20"/>
  <c r="H37" i="20"/>
  <c r="G37" i="20"/>
  <c r="F37" i="20"/>
  <c r="E37" i="20"/>
  <c r="D37" i="20"/>
  <c r="S34" i="20"/>
  <c r="O33" i="20"/>
  <c r="N33" i="20"/>
  <c r="M33" i="20"/>
  <c r="L33" i="20"/>
  <c r="K33" i="20"/>
  <c r="J33" i="20"/>
  <c r="I33" i="20"/>
  <c r="H33" i="20"/>
  <c r="G33" i="20"/>
  <c r="F33" i="20"/>
  <c r="E33" i="20"/>
  <c r="D33" i="20"/>
  <c r="O32" i="20"/>
  <c r="N32" i="20"/>
  <c r="M32" i="20"/>
  <c r="L32" i="20"/>
  <c r="K32" i="20"/>
  <c r="J32" i="20"/>
  <c r="I32" i="20"/>
  <c r="H32" i="20"/>
  <c r="G32" i="20"/>
  <c r="F32" i="20"/>
  <c r="E32" i="20"/>
  <c r="D32" i="20"/>
  <c r="O31" i="20"/>
  <c r="N31" i="20"/>
  <c r="M31" i="20"/>
  <c r="L31" i="20"/>
  <c r="K31" i="20"/>
  <c r="J31" i="20"/>
  <c r="I31" i="20"/>
  <c r="H31" i="20"/>
  <c r="G31" i="20"/>
  <c r="F31" i="20"/>
  <c r="E31" i="20"/>
  <c r="D31" i="20"/>
  <c r="O30" i="20"/>
  <c r="N30" i="20"/>
  <c r="M30" i="20"/>
  <c r="L30" i="20"/>
  <c r="K30" i="20"/>
  <c r="J30" i="20"/>
  <c r="I30" i="20"/>
  <c r="H30" i="20"/>
  <c r="G30" i="20"/>
  <c r="F30" i="20"/>
  <c r="E30" i="20"/>
  <c r="D30" i="20"/>
  <c r="S29" i="20"/>
  <c r="S20" i="20"/>
  <c r="O19" i="20"/>
  <c r="N19" i="20"/>
  <c r="M19" i="20"/>
  <c r="L19" i="20"/>
  <c r="K19" i="20"/>
  <c r="J19" i="20"/>
  <c r="I19" i="20"/>
  <c r="H19" i="20"/>
  <c r="G19" i="20"/>
  <c r="F19" i="20"/>
  <c r="E19" i="20"/>
  <c r="D19" i="20"/>
  <c r="O18" i="20"/>
  <c r="N18" i="20"/>
  <c r="M18" i="20"/>
  <c r="L18" i="20"/>
  <c r="K18" i="20"/>
  <c r="J18" i="20"/>
  <c r="I18" i="20"/>
  <c r="H18" i="20"/>
  <c r="G18" i="20"/>
  <c r="F18" i="20"/>
  <c r="E18" i="20"/>
  <c r="D18" i="20"/>
  <c r="O17" i="20"/>
  <c r="N17" i="20"/>
  <c r="M17" i="20"/>
  <c r="L17" i="20"/>
  <c r="K17" i="20"/>
  <c r="J17" i="20"/>
  <c r="I17" i="20"/>
  <c r="H17" i="20"/>
  <c r="G17" i="20"/>
  <c r="F17" i="20"/>
  <c r="E17" i="20"/>
  <c r="D17" i="20"/>
  <c r="H15" i="20"/>
  <c r="I15" i="20" s="1"/>
  <c r="J15" i="20" s="1"/>
  <c r="K15" i="20" s="1"/>
  <c r="L15" i="20" s="1"/>
  <c r="M15" i="20" s="1"/>
  <c r="N15" i="20" s="1"/>
  <c r="O15" i="20" s="1"/>
  <c r="G15" i="20"/>
  <c r="F15" i="20"/>
  <c r="E15" i="20"/>
  <c r="D15" i="20"/>
  <c r="S12" i="20"/>
  <c r="O11" i="20"/>
  <c r="N11" i="20"/>
  <c r="M11" i="20"/>
  <c r="L11" i="20"/>
  <c r="K11" i="20"/>
  <c r="J11" i="20"/>
  <c r="I11" i="20"/>
  <c r="H11" i="20"/>
  <c r="G11" i="20"/>
  <c r="F11" i="20"/>
  <c r="E11" i="20"/>
  <c r="D11" i="20"/>
  <c r="O10" i="20"/>
  <c r="N10" i="20"/>
  <c r="M10" i="20"/>
  <c r="L10" i="20"/>
  <c r="K10" i="20"/>
  <c r="J10" i="20"/>
  <c r="I10" i="20"/>
  <c r="H10" i="20"/>
  <c r="G10" i="20"/>
  <c r="F10" i="20"/>
  <c r="E10" i="20"/>
  <c r="D10" i="20"/>
  <c r="I8" i="20"/>
  <c r="J8" i="20" s="1"/>
  <c r="D46" i="3" l="1"/>
  <c r="F46" i="3" s="1"/>
  <c r="C22" i="26"/>
  <c r="S69" i="2"/>
  <c r="Q13" i="2"/>
  <c r="M165" i="4" s="1"/>
  <c r="Q69" i="2"/>
  <c r="M217" i="4" s="1"/>
  <c r="S13" i="2"/>
  <c r="A13" i="2"/>
  <c r="O32" i="2"/>
  <c r="O37" i="2" s="1"/>
  <c r="L32" i="2"/>
  <c r="L37" i="2" s="1"/>
  <c r="P32" i="2"/>
  <c r="P37" i="2" s="1"/>
  <c r="K32" i="2"/>
  <c r="K37" i="2" s="1"/>
  <c r="J32" i="2"/>
  <c r="J37" i="2" s="1"/>
  <c r="S104" i="20"/>
  <c r="M32" i="2"/>
  <c r="M37" i="2" s="1"/>
  <c r="N32" i="2"/>
  <c r="N37" i="2" s="1"/>
  <c r="I104" i="4"/>
  <c r="I176" i="4"/>
  <c r="K176" i="4" s="1"/>
  <c r="S35" i="20"/>
  <c r="S34" i="2"/>
  <c r="A34" i="2"/>
  <c r="Q34" i="2"/>
  <c r="A68" i="2"/>
  <c r="A67" i="2"/>
  <c r="J34" i="20"/>
  <c r="H54" i="20"/>
  <c r="D34" i="20"/>
  <c r="L34" i="20"/>
  <c r="I34" i="20"/>
  <c r="R33" i="20"/>
  <c r="R41" i="20"/>
  <c r="K34" i="20"/>
  <c r="O54" i="20"/>
  <c r="G113" i="20"/>
  <c r="O113" i="20"/>
  <c r="P61" i="20"/>
  <c r="R60" i="20"/>
  <c r="R70" i="20"/>
  <c r="I54" i="20"/>
  <c r="E54" i="20"/>
  <c r="R19" i="20"/>
  <c r="K54" i="20"/>
  <c r="R110" i="20"/>
  <c r="R130" i="20"/>
  <c r="H34" i="20"/>
  <c r="R45" i="20"/>
  <c r="P46" i="20"/>
  <c r="D54" i="20"/>
  <c r="L54" i="20"/>
  <c r="R10" i="20"/>
  <c r="R32" i="20"/>
  <c r="R44" i="20"/>
  <c r="K113" i="20"/>
  <c r="P41" i="20"/>
  <c r="P11" i="20"/>
  <c r="E34" i="20"/>
  <c r="M34" i="20"/>
  <c r="P37" i="20"/>
  <c r="P45" i="20"/>
  <c r="R47" i="20"/>
  <c r="M54" i="20"/>
  <c r="H113" i="20"/>
  <c r="P107" i="20"/>
  <c r="M113" i="20"/>
  <c r="P17" i="20"/>
  <c r="P18" i="20"/>
  <c r="F34" i="20"/>
  <c r="N34" i="20"/>
  <c r="F54" i="20"/>
  <c r="N54" i="20"/>
  <c r="J54" i="20"/>
  <c r="I113" i="20"/>
  <c r="P15" i="20"/>
  <c r="G34" i="20"/>
  <c r="O34" i="20"/>
  <c r="G54" i="20"/>
  <c r="R80" i="20"/>
  <c r="R11" i="20"/>
  <c r="P31" i="20"/>
  <c r="R17" i="20"/>
  <c r="R53" i="20"/>
  <c r="R75" i="20"/>
  <c r="R109" i="20"/>
  <c r="P110" i="20"/>
  <c r="P119" i="20"/>
  <c r="F113" i="20"/>
  <c r="N113" i="20"/>
  <c r="R129" i="20"/>
  <c r="P132" i="20"/>
  <c r="R133" i="20"/>
  <c r="P124" i="20"/>
  <c r="S68" i="2"/>
  <c r="O57" i="2"/>
  <c r="N57" i="2"/>
  <c r="S67" i="2"/>
  <c r="Q68" i="2"/>
  <c r="O120" i="2"/>
  <c r="Q67" i="2"/>
  <c r="L57" i="2"/>
  <c r="M57" i="2"/>
  <c r="P57" i="2"/>
  <c r="J57" i="2"/>
  <c r="J120" i="2"/>
  <c r="K120" i="2"/>
  <c r="L120" i="2"/>
  <c r="K57" i="2"/>
  <c r="M120" i="2"/>
  <c r="N120" i="2"/>
  <c r="P120" i="2"/>
  <c r="K8" i="20"/>
  <c r="M57" i="20"/>
  <c r="R112" i="20"/>
  <c r="P112" i="20"/>
  <c r="P10" i="20"/>
  <c r="R15" i="20"/>
  <c r="R18" i="20"/>
  <c r="R31" i="20"/>
  <c r="R37" i="20"/>
  <c r="P52" i="20"/>
  <c r="R83" i="20"/>
  <c r="R84" i="20"/>
  <c r="P87" i="20"/>
  <c r="R106" i="20"/>
  <c r="R108" i="20"/>
  <c r="P108" i="20"/>
  <c r="R132" i="20"/>
  <c r="R147" i="20"/>
  <c r="R30" i="20"/>
  <c r="P44" i="20"/>
  <c r="R46" i="20"/>
  <c r="R74" i="20"/>
  <c r="P75" i="20"/>
  <c r="P83" i="20"/>
  <c r="P96" i="20"/>
  <c r="P101" i="20"/>
  <c r="P33" i="20"/>
  <c r="P47" i="20"/>
  <c r="P60" i="20"/>
  <c r="P88" i="20"/>
  <c r="P97" i="20"/>
  <c r="P106" i="20"/>
  <c r="R138" i="20"/>
  <c r="P138" i="20"/>
  <c r="P30" i="20"/>
  <c r="R52" i="20"/>
  <c r="P74" i="20"/>
  <c r="P81" i="20"/>
  <c r="P19" i="20"/>
  <c r="P32" i="20"/>
  <c r="R61" i="20"/>
  <c r="P84" i="20"/>
  <c r="R95" i="20"/>
  <c r="R96" i="20"/>
  <c r="J113" i="20"/>
  <c r="P109" i="20"/>
  <c r="P111" i="20"/>
  <c r="R119" i="20"/>
  <c r="R124" i="20"/>
  <c r="P53" i="20"/>
  <c r="R81" i="20"/>
  <c r="R87" i="20"/>
  <c r="R88" i="20"/>
  <c r="P95" i="20"/>
  <c r="R102" i="20"/>
  <c r="P102" i="20"/>
  <c r="P80" i="20"/>
  <c r="D113" i="20"/>
  <c r="L113" i="20"/>
  <c r="R93" i="20"/>
  <c r="R97" i="20"/>
  <c r="R101" i="20"/>
  <c r="R107" i="20"/>
  <c r="R111" i="20"/>
  <c r="E113" i="20"/>
  <c r="P130" i="20"/>
  <c r="P70" i="20"/>
  <c r="P129" i="20"/>
  <c r="P133" i="20"/>
  <c r="P147" i="20"/>
  <c r="P93" i="20"/>
  <c r="P217" i="4" l="1"/>
  <c r="R217" i="4" s="1"/>
  <c r="T217" i="4" s="1"/>
  <c r="P165" i="4"/>
  <c r="R165" i="4" s="1"/>
  <c r="T165" i="4" s="1"/>
  <c r="N217" i="4"/>
  <c r="N165" i="4"/>
  <c r="S127" i="20"/>
  <c r="S145" i="20" s="1"/>
  <c r="S149" i="20" s="1"/>
  <c r="R54" i="20"/>
  <c r="P34" i="20"/>
  <c r="R113" i="20"/>
  <c r="P113" i="20"/>
  <c r="R34" i="20"/>
  <c r="P54" i="20"/>
  <c r="N57" i="20"/>
  <c r="L8" i="20"/>
  <c r="M8" i="20" l="1"/>
  <c r="O57" i="20"/>
  <c r="N8" i="20" l="1"/>
  <c r="O8" i="20" l="1"/>
  <c r="I14" i="2" l="1"/>
  <c r="J151" i="4"/>
  <c r="I151" i="4"/>
  <c r="J38" i="4"/>
  <c r="J202" i="4"/>
  <c r="J62" i="4"/>
  <c r="J150" i="4"/>
  <c r="J11" i="4"/>
  <c r="J70" i="4"/>
  <c r="J66" i="4"/>
  <c r="M7" i="2" l="1"/>
  <c r="N7" i="2"/>
  <c r="K7" i="2"/>
  <c r="I95" i="4"/>
  <c r="D26" i="8"/>
  <c r="F26" i="8" s="1"/>
  <c r="I63" i="2"/>
  <c r="P63" i="2"/>
  <c r="H63" i="2"/>
  <c r="O63" i="2"/>
  <c r="G63" i="2"/>
  <c r="N63" i="2"/>
  <c r="F63" i="2"/>
  <c r="M63" i="2"/>
  <c r="E63" i="2"/>
  <c r="J63" i="2"/>
  <c r="G62" i="20"/>
  <c r="K63" i="2"/>
  <c r="F62" i="20"/>
  <c r="E62" i="20"/>
  <c r="H62" i="20"/>
  <c r="D62" i="20"/>
  <c r="P102" i="2"/>
  <c r="O102" i="2"/>
  <c r="N102" i="2"/>
  <c r="M102" i="2"/>
  <c r="L102" i="2"/>
  <c r="K102" i="2"/>
  <c r="J102" i="2"/>
  <c r="H94" i="20"/>
  <c r="G94" i="20"/>
  <c r="F94" i="20"/>
  <c r="E94" i="20"/>
  <c r="D94" i="20"/>
  <c r="O43" i="2"/>
  <c r="N43" i="2"/>
  <c r="M43" i="2"/>
  <c r="L43" i="2"/>
  <c r="K43" i="2"/>
  <c r="J43" i="2"/>
  <c r="P43" i="2"/>
  <c r="H40" i="20"/>
  <c r="I40" i="20" s="1"/>
  <c r="J40" i="20" s="1"/>
  <c r="K40" i="20" s="1"/>
  <c r="L40" i="20" s="1"/>
  <c r="M40" i="20" s="1"/>
  <c r="N40" i="20" s="1"/>
  <c r="O40" i="20" s="1"/>
  <c r="G40" i="20"/>
  <c r="F40" i="20"/>
  <c r="E40" i="20"/>
  <c r="D40" i="20"/>
  <c r="M97" i="2"/>
  <c r="L97" i="2"/>
  <c r="K97" i="2"/>
  <c r="J97" i="2"/>
  <c r="H90" i="20"/>
  <c r="P97" i="2"/>
  <c r="N97" i="2"/>
  <c r="O97" i="2"/>
  <c r="E90" i="20"/>
  <c r="D90" i="20"/>
  <c r="G90" i="20"/>
  <c r="F90" i="20"/>
  <c r="M65" i="2"/>
  <c r="L65" i="2"/>
  <c r="K65" i="2"/>
  <c r="J65" i="2"/>
  <c r="P65" i="2"/>
  <c r="N65" i="2"/>
  <c r="H63" i="20"/>
  <c r="G63" i="20"/>
  <c r="F63" i="20"/>
  <c r="E63" i="20"/>
  <c r="D63" i="20"/>
  <c r="O65" i="2"/>
  <c r="J25" i="2"/>
  <c r="O25" i="2"/>
  <c r="N25" i="2"/>
  <c r="M25" i="2"/>
  <c r="K25" i="2"/>
  <c r="L25" i="2"/>
  <c r="H23" i="20"/>
  <c r="I23" i="20" s="1"/>
  <c r="J23" i="20" s="1"/>
  <c r="K23" i="20" s="1"/>
  <c r="L23" i="20" s="1"/>
  <c r="M23" i="20" s="1"/>
  <c r="N23" i="20" s="1"/>
  <c r="O23" i="20" s="1"/>
  <c r="G23" i="20"/>
  <c r="F23" i="20"/>
  <c r="D23" i="20"/>
  <c r="E23" i="20"/>
  <c r="L27" i="2"/>
  <c r="K27" i="2"/>
  <c r="J27" i="2"/>
  <c r="P27" i="2"/>
  <c r="O27" i="2"/>
  <c r="M27" i="2"/>
  <c r="H25" i="20"/>
  <c r="I25" i="20" s="1"/>
  <c r="J25" i="20" s="1"/>
  <c r="K25" i="20" s="1"/>
  <c r="L25" i="20" s="1"/>
  <c r="M25" i="20" s="1"/>
  <c r="N25" i="20" s="1"/>
  <c r="O25" i="20" s="1"/>
  <c r="G25" i="20"/>
  <c r="F25" i="20"/>
  <c r="E25" i="20"/>
  <c r="D25" i="20"/>
  <c r="N27" i="2"/>
  <c r="P84" i="2"/>
  <c r="O84" i="2"/>
  <c r="N84" i="2"/>
  <c r="M84" i="2"/>
  <c r="L84" i="2"/>
  <c r="J84" i="2"/>
  <c r="H77" i="20"/>
  <c r="K84" i="2"/>
  <c r="G77" i="20"/>
  <c r="F77" i="20"/>
  <c r="E77" i="20"/>
  <c r="D77" i="20"/>
  <c r="N80" i="2"/>
  <c r="M80" i="2"/>
  <c r="L80" i="2"/>
  <c r="K80" i="2"/>
  <c r="E73" i="20"/>
  <c r="J80" i="2"/>
  <c r="O80" i="2"/>
  <c r="P80" i="2"/>
  <c r="H73" i="20"/>
  <c r="G73" i="20"/>
  <c r="F73" i="20"/>
  <c r="D73" i="20"/>
  <c r="H115" i="20"/>
  <c r="I115" i="20" s="1"/>
  <c r="O122" i="2"/>
  <c r="G115" i="20"/>
  <c r="F115" i="20"/>
  <c r="E115" i="20"/>
  <c r="L122" i="2"/>
  <c r="J122" i="2"/>
  <c r="D115" i="20"/>
  <c r="J140" i="2"/>
  <c r="J173" i="2" s="1"/>
  <c r="N131" i="20"/>
  <c r="F131" i="20"/>
  <c r="M131" i="20"/>
  <c r="E131" i="20"/>
  <c r="P140" i="2"/>
  <c r="P173" i="2" s="1"/>
  <c r="L131" i="20"/>
  <c r="D131" i="20"/>
  <c r="O140" i="2"/>
  <c r="O173" i="2" s="1"/>
  <c r="K131" i="20"/>
  <c r="N140" i="2"/>
  <c r="N173" i="2" s="1"/>
  <c r="J131" i="20"/>
  <c r="M140" i="2"/>
  <c r="M173" i="2" s="1"/>
  <c r="I131" i="20"/>
  <c r="K140" i="2"/>
  <c r="K173" i="2" s="1"/>
  <c r="O131" i="20"/>
  <c r="G131" i="20"/>
  <c r="H131" i="20"/>
  <c r="L140" i="2"/>
  <c r="L173" i="2" s="1"/>
  <c r="N70" i="2"/>
  <c r="M70" i="2"/>
  <c r="L70" i="2"/>
  <c r="K70" i="2"/>
  <c r="J70" i="2"/>
  <c r="H64" i="20"/>
  <c r="I64" i="20" s="1"/>
  <c r="J64" i="20" s="1"/>
  <c r="K64" i="20" s="1"/>
  <c r="L64" i="20" s="1"/>
  <c r="M64" i="20" s="1"/>
  <c r="N64" i="20" s="1"/>
  <c r="O64" i="20" s="1"/>
  <c r="G64" i="20"/>
  <c r="F64" i="20"/>
  <c r="E64" i="20"/>
  <c r="P70" i="2"/>
  <c r="D64" i="20"/>
  <c r="N98" i="2"/>
  <c r="M98" i="2"/>
  <c r="L98" i="2"/>
  <c r="K98" i="2"/>
  <c r="H91" i="20"/>
  <c r="J98" i="2"/>
  <c r="O98" i="2"/>
  <c r="P98" i="2"/>
  <c r="D91" i="20"/>
  <c r="E91" i="20"/>
  <c r="F91" i="20"/>
  <c r="G91" i="20"/>
  <c r="K125" i="2"/>
  <c r="D118" i="20"/>
  <c r="J125" i="2"/>
  <c r="O125" i="2"/>
  <c r="G118" i="20"/>
  <c r="L125" i="2"/>
  <c r="E118" i="20"/>
  <c r="H118" i="20"/>
  <c r="F118" i="20"/>
  <c r="L52" i="2"/>
  <c r="J52" i="2"/>
  <c r="O52" i="2"/>
  <c r="G49" i="20"/>
  <c r="F49" i="20"/>
  <c r="E49" i="20"/>
  <c r="H49" i="20"/>
  <c r="I49" i="20" s="1"/>
  <c r="J49" i="20" s="1"/>
  <c r="K49" i="20" s="1"/>
  <c r="L49" i="20" s="1"/>
  <c r="M49" i="20" s="1"/>
  <c r="N49" i="20" s="1"/>
  <c r="O49" i="20" s="1"/>
  <c r="D49" i="20"/>
  <c r="J124" i="2"/>
  <c r="D117" i="20"/>
  <c r="O124" i="2"/>
  <c r="G117" i="20"/>
  <c r="E117" i="20"/>
  <c r="F117" i="20"/>
  <c r="L124" i="2"/>
  <c r="H117" i="20"/>
  <c r="P74" i="2"/>
  <c r="O74" i="2"/>
  <c r="N74" i="2"/>
  <c r="M74" i="2"/>
  <c r="D67" i="20"/>
  <c r="L74" i="2"/>
  <c r="K74" i="2"/>
  <c r="F67" i="20"/>
  <c r="J74" i="2"/>
  <c r="H67" i="20"/>
  <c r="G67" i="20"/>
  <c r="E67" i="20"/>
  <c r="I153" i="2"/>
  <c r="K142" i="20"/>
  <c r="P153" i="2"/>
  <c r="J142" i="20"/>
  <c r="O153" i="2"/>
  <c r="I142" i="20"/>
  <c r="N153" i="2"/>
  <c r="H142" i="20"/>
  <c r="O142" i="20"/>
  <c r="G142" i="20"/>
  <c r="L153" i="2"/>
  <c r="N142" i="20"/>
  <c r="F142" i="20"/>
  <c r="J153" i="2"/>
  <c r="L142" i="20"/>
  <c r="D142" i="20"/>
  <c r="E142" i="20"/>
  <c r="K153" i="2"/>
  <c r="M142" i="20"/>
  <c r="O72" i="2"/>
  <c r="N72" i="2"/>
  <c r="M72" i="2"/>
  <c r="L72" i="2"/>
  <c r="D65" i="20"/>
  <c r="K72" i="2"/>
  <c r="J72" i="2"/>
  <c r="P72" i="2"/>
  <c r="H65" i="20"/>
  <c r="I65" i="20" s="1"/>
  <c r="J65" i="20" s="1"/>
  <c r="K65" i="20" s="1"/>
  <c r="L65" i="20" s="1"/>
  <c r="M65" i="20" s="1"/>
  <c r="N65" i="20" s="1"/>
  <c r="O65" i="20" s="1"/>
  <c r="G65" i="20"/>
  <c r="F65" i="20"/>
  <c r="E65" i="20"/>
  <c r="K86" i="2"/>
  <c r="J86" i="2"/>
  <c r="P86" i="2"/>
  <c r="F79" i="20"/>
  <c r="O86" i="2"/>
  <c r="N86" i="2"/>
  <c r="L86" i="2"/>
  <c r="E79" i="20"/>
  <c r="G79" i="20"/>
  <c r="D79" i="20"/>
  <c r="H79" i="20"/>
  <c r="I79" i="20" s="1"/>
  <c r="J79" i="20" s="1"/>
  <c r="K79" i="20" s="1"/>
  <c r="L79" i="20" s="1"/>
  <c r="M79" i="20" s="1"/>
  <c r="N79" i="20" s="1"/>
  <c r="O79" i="20" s="1"/>
  <c r="M86" i="2"/>
  <c r="J85" i="2"/>
  <c r="P85" i="2"/>
  <c r="O85" i="2"/>
  <c r="E78" i="20"/>
  <c r="N85" i="2"/>
  <c r="M85" i="2"/>
  <c r="K85" i="2"/>
  <c r="L85" i="2"/>
  <c r="F78" i="20"/>
  <c r="D78" i="20"/>
  <c r="H78" i="20"/>
  <c r="I78" i="20" s="1"/>
  <c r="J78" i="20" s="1"/>
  <c r="K78" i="20" s="1"/>
  <c r="L78" i="20" s="1"/>
  <c r="M78" i="20" s="1"/>
  <c r="N78" i="20" s="1"/>
  <c r="O78" i="20" s="1"/>
  <c r="G78" i="20"/>
  <c r="K62" i="2"/>
  <c r="J62" i="2"/>
  <c r="P62" i="2"/>
  <c r="D59" i="20"/>
  <c r="O62" i="2"/>
  <c r="N62" i="2"/>
  <c r="M62" i="2"/>
  <c r="H59" i="20"/>
  <c r="I59" i="20" s="1"/>
  <c r="G59" i="20"/>
  <c r="F59" i="20"/>
  <c r="E59" i="20"/>
  <c r="J11" i="2"/>
  <c r="P11" i="2"/>
  <c r="N11" i="2"/>
  <c r="M11" i="2"/>
  <c r="K11" i="2"/>
  <c r="L11" i="2"/>
  <c r="H14" i="20"/>
  <c r="G14" i="20"/>
  <c r="F14" i="20"/>
  <c r="E14" i="20"/>
  <c r="D14" i="20"/>
  <c r="K26" i="2"/>
  <c r="J26" i="2"/>
  <c r="O26" i="2"/>
  <c r="N26" i="2"/>
  <c r="L26" i="2"/>
  <c r="E24" i="20"/>
  <c r="D24" i="20"/>
  <c r="G24" i="20"/>
  <c r="F24" i="20"/>
  <c r="H24" i="20"/>
  <c r="I24" i="20" s="1"/>
  <c r="J24" i="20" s="1"/>
  <c r="K24" i="20" s="1"/>
  <c r="L24" i="20" s="1"/>
  <c r="M24" i="20" s="1"/>
  <c r="N24" i="20" s="1"/>
  <c r="O24" i="20" s="1"/>
  <c r="M26" i="2"/>
  <c r="D122" i="20"/>
  <c r="H122" i="20"/>
  <c r="G122" i="20"/>
  <c r="E122" i="20"/>
  <c r="F122" i="20"/>
  <c r="P152" i="2"/>
  <c r="O141" i="20"/>
  <c r="G141" i="20"/>
  <c r="O152" i="2"/>
  <c r="N141" i="20"/>
  <c r="F141" i="20"/>
  <c r="N152" i="2"/>
  <c r="M141" i="20"/>
  <c r="E141" i="20"/>
  <c r="M152" i="2"/>
  <c r="L141" i="20"/>
  <c r="D141" i="20"/>
  <c r="L152" i="2"/>
  <c r="K141" i="20"/>
  <c r="K152" i="2"/>
  <c r="J141" i="20"/>
  <c r="H141" i="20"/>
  <c r="J152" i="2"/>
  <c r="I141" i="20"/>
  <c r="O8" i="2"/>
  <c r="L8" i="2"/>
  <c r="K8" i="2"/>
  <c r="J8" i="2"/>
  <c r="P8" i="2"/>
  <c r="H9" i="20"/>
  <c r="J9" i="20"/>
  <c r="J12" i="20" s="1"/>
  <c r="J122" i="20" s="1"/>
  <c r="J125" i="20" s="1"/>
  <c r="O9" i="20"/>
  <c r="O12" i="20" s="1"/>
  <c r="O122" i="20" s="1"/>
  <c r="O125" i="20" s="1"/>
  <c r="G9" i="20"/>
  <c r="N9" i="20"/>
  <c r="N12" i="20" s="1"/>
  <c r="N122" i="20" s="1"/>
  <c r="N125" i="20" s="1"/>
  <c r="F9" i="20"/>
  <c r="I9" i="20"/>
  <c r="I12" i="20" s="1"/>
  <c r="I122" i="20" s="1"/>
  <c r="I125" i="20" s="1"/>
  <c r="M9" i="20"/>
  <c r="M12" i="20" s="1"/>
  <c r="M122" i="20" s="1"/>
  <c r="M125" i="20" s="1"/>
  <c r="E9" i="20"/>
  <c r="D9" i="20"/>
  <c r="L9" i="20"/>
  <c r="L12" i="20" s="1"/>
  <c r="L122" i="20" s="1"/>
  <c r="L125" i="20" s="1"/>
  <c r="K9" i="20"/>
  <c r="K12" i="20" s="1"/>
  <c r="K122" i="20" s="1"/>
  <c r="K125" i="20" s="1"/>
  <c r="O24" i="2"/>
  <c r="N24" i="2"/>
  <c r="M24" i="2"/>
  <c r="L24" i="2"/>
  <c r="J24" i="2"/>
  <c r="K24" i="2"/>
  <c r="H22" i="20"/>
  <c r="I22" i="20" s="1"/>
  <c r="J22" i="20" s="1"/>
  <c r="K22" i="20" s="1"/>
  <c r="L22" i="20" s="1"/>
  <c r="M22" i="20" s="1"/>
  <c r="N22" i="20" s="1"/>
  <c r="O22" i="20" s="1"/>
  <c r="G22" i="20"/>
  <c r="F22" i="20"/>
  <c r="E22" i="20"/>
  <c r="D22" i="20"/>
  <c r="O123" i="2"/>
  <c r="H116" i="20"/>
  <c r="I116" i="20" s="1"/>
  <c r="J116" i="20" s="1"/>
  <c r="K116" i="20" s="1"/>
  <c r="L116" i="20" s="1"/>
  <c r="M116" i="20" s="1"/>
  <c r="N116" i="20" s="1"/>
  <c r="O116" i="20" s="1"/>
  <c r="G116" i="20"/>
  <c r="L123" i="2"/>
  <c r="E116" i="20"/>
  <c r="J123" i="2"/>
  <c r="F116" i="20"/>
  <c r="D116" i="20"/>
  <c r="L106" i="2"/>
  <c r="K106" i="2"/>
  <c r="J106" i="2"/>
  <c r="P106" i="2"/>
  <c r="O106" i="2"/>
  <c r="M106" i="2"/>
  <c r="H98" i="20"/>
  <c r="I98" i="20" s="1"/>
  <c r="J98" i="20" s="1"/>
  <c r="K98" i="20" s="1"/>
  <c r="L98" i="20" s="1"/>
  <c r="M98" i="20" s="1"/>
  <c r="N98" i="20" s="1"/>
  <c r="O98" i="20" s="1"/>
  <c r="G98" i="20"/>
  <c r="N106" i="2"/>
  <c r="F98" i="20"/>
  <c r="E98" i="20"/>
  <c r="D98" i="20"/>
  <c r="P93" i="2"/>
  <c r="O93" i="2"/>
  <c r="N93" i="2"/>
  <c r="M93" i="2"/>
  <c r="L93" i="2"/>
  <c r="J93" i="2"/>
  <c r="K93" i="2"/>
  <c r="D86" i="20"/>
  <c r="H86" i="20"/>
  <c r="I86" i="20" s="1"/>
  <c r="J86" i="20" s="1"/>
  <c r="K86" i="20" s="1"/>
  <c r="L86" i="20" s="1"/>
  <c r="M86" i="20" s="1"/>
  <c r="N86" i="20" s="1"/>
  <c r="O86" i="20" s="1"/>
  <c r="G86" i="20"/>
  <c r="F86" i="20"/>
  <c r="E86" i="20"/>
  <c r="L96" i="2"/>
  <c r="K96" i="2"/>
  <c r="J96" i="2"/>
  <c r="H89" i="20"/>
  <c r="P96" i="2"/>
  <c r="O96" i="2"/>
  <c r="M96" i="2"/>
  <c r="N96" i="2"/>
  <c r="D89" i="20"/>
  <c r="G89" i="20"/>
  <c r="F89" i="20"/>
  <c r="E89" i="20"/>
  <c r="L51" i="2"/>
  <c r="J51" i="2"/>
  <c r="D48" i="20"/>
  <c r="F48" i="20"/>
  <c r="O51" i="2"/>
  <c r="H48" i="20"/>
  <c r="E48" i="20"/>
  <c r="G48" i="20"/>
  <c r="P60" i="2"/>
  <c r="O60" i="2"/>
  <c r="J60" i="2"/>
  <c r="E57" i="20"/>
  <c r="D57" i="20"/>
  <c r="K60" i="2"/>
  <c r="G57" i="20"/>
  <c r="F57" i="20"/>
  <c r="H57" i="20"/>
  <c r="G123" i="20"/>
  <c r="F123" i="20"/>
  <c r="E123" i="20"/>
  <c r="D123" i="20"/>
  <c r="H123" i="20"/>
  <c r="J76" i="2"/>
  <c r="P76" i="2"/>
  <c r="O76" i="2"/>
  <c r="G69" i="20"/>
  <c r="N76" i="2"/>
  <c r="M76" i="2"/>
  <c r="K76" i="2"/>
  <c r="H69" i="20"/>
  <c r="I69" i="20" s="1"/>
  <c r="J69" i="20" s="1"/>
  <c r="K69" i="20" s="1"/>
  <c r="L69" i="20" s="1"/>
  <c r="M69" i="20" s="1"/>
  <c r="N69" i="20" s="1"/>
  <c r="O69" i="20" s="1"/>
  <c r="L76" i="2"/>
  <c r="F69" i="20"/>
  <c r="E69" i="20"/>
  <c r="D69" i="20"/>
  <c r="L7" i="2"/>
  <c r="J7" i="2"/>
  <c r="F8" i="20"/>
  <c r="E8" i="20"/>
  <c r="G8" i="20"/>
  <c r="D8" i="20"/>
  <c r="H8" i="20"/>
  <c r="I134" i="20"/>
  <c r="L144" i="2"/>
  <c r="L175" i="2" s="1"/>
  <c r="H134" i="20"/>
  <c r="K144" i="2"/>
  <c r="K175" i="2" s="1"/>
  <c r="O134" i="20"/>
  <c r="G134" i="20"/>
  <c r="J144" i="2"/>
  <c r="J175" i="2" s="1"/>
  <c r="N134" i="20"/>
  <c r="F134" i="20"/>
  <c r="M134" i="20"/>
  <c r="E134" i="20"/>
  <c r="L134" i="20"/>
  <c r="D134" i="20"/>
  <c r="J134" i="20"/>
  <c r="K134" i="20"/>
  <c r="O144" i="2"/>
  <c r="O175" i="2" s="1"/>
  <c r="I203" i="4"/>
  <c r="K203" i="4" s="1"/>
  <c r="L78" i="2"/>
  <c r="K78" i="2"/>
  <c r="J78" i="2"/>
  <c r="P78" i="2"/>
  <c r="O78" i="2"/>
  <c r="M78" i="2"/>
  <c r="D71" i="20"/>
  <c r="N78" i="2"/>
  <c r="F71" i="20"/>
  <c r="E71" i="20"/>
  <c r="H71" i="20"/>
  <c r="I71" i="20" s="1"/>
  <c r="J71" i="20" s="1"/>
  <c r="K71" i="20" s="1"/>
  <c r="L71" i="20" s="1"/>
  <c r="M71" i="20" s="1"/>
  <c r="N71" i="20" s="1"/>
  <c r="O71" i="20" s="1"/>
  <c r="G71" i="20"/>
  <c r="N108" i="2"/>
  <c r="M108" i="2"/>
  <c r="L108" i="2"/>
  <c r="K108" i="2"/>
  <c r="O100" i="20"/>
  <c r="G100" i="20"/>
  <c r="J108" i="2"/>
  <c r="O108" i="2"/>
  <c r="P108" i="2"/>
  <c r="H100" i="20"/>
  <c r="F100" i="20"/>
  <c r="I100" i="20"/>
  <c r="N100" i="20"/>
  <c r="E100" i="20"/>
  <c r="M100" i="20"/>
  <c r="D100" i="20"/>
  <c r="L100" i="20"/>
  <c r="K100" i="20"/>
  <c r="J100" i="20"/>
  <c r="N42" i="2"/>
  <c r="M42" i="2"/>
  <c r="L42" i="2"/>
  <c r="K42" i="2"/>
  <c r="J42" i="2"/>
  <c r="O42" i="2"/>
  <c r="G39" i="20"/>
  <c r="F39" i="20"/>
  <c r="H39" i="20"/>
  <c r="E39" i="20"/>
  <c r="D39" i="20"/>
  <c r="P42" i="2"/>
  <c r="L15" i="2"/>
  <c r="K15" i="2"/>
  <c r="J15" i="2"/>
  <c r="P15" i="2"/>
  <c r="O15" i="2"/>
  <c r="M15" i="2"/>
  <c r="H16" i="20"/>
  <c r="I16" i="20" s="1"/>
  <c r="J16" i="20" s="1"/>
  <c r="K16" i="20" s="1"/>
  <c r="L16" i="20" s="1"/>
  <c r="M16" i="20" s="1"/>
  <c r="N16" i="20" s="1"/>
  <c r="O16" i="20" s="1"/>
  <c r="G16" i="20"/>
  <c r="F16" i="20"/>
  <c r="E16" i="20"/>
  <c r="N15" i="2"/>
  <c r="D16" i="20"/>
  <c r="O30" i="2"/>
  <c r="N30" i="2"/>
  <c r="M30" i="2"/>
  <c r="L30" i="2"/>
  <c r="K30" i="2"/>
  <c r="J30" i="2"/>
  <c r="G28" i="20"/>
  <c r="F28" i="20"/>
  <c r="E28" i="20"/>
  <c r="H28" i="20"/>
  <c r="I28" i="20" s="1"/>
  <c r="J28" i="20" s="1"/>
  <c r="K28" i="20" s="1"/>
  <c r="L28" i="20" s="1"/>
  <c r="M28" i="20" s="1"/>
  <c r="N28" i="20" s="1"/>
  <c r="O28" i="20" s="1"/>
  <c r="D28" i="20"/>
  <c r="N29" i="2"/>
  <c r="M29" i="2"/>
  <c r="L29" i="2"/>
  <c r="K29" i="2"/>
  <c r="J29" i="2"/>
  <c r="O29" i="2"/>
  <c r="D27" i="20"/>
  <c r="E27" i="20"/>
  <c r="H27" i="20"/>
  <c r="I27" i="20" s="1"/>
  <c r="J27" i="20" s="1"/>
  <c r="K27" i="20" s="1"/>
  <c r="L27" i="20" s="1"/>
  <c r="M27" i="20" s="1"/>
  <c r="N27" i="20" s="1"/>
  <c r="O27" i="20" s="1"/>
  <c r="G27" i="20"/>
  <c r="F27" i="20"/>
  <c r="N150" i="2"/>
  <c r="K137" i="20"/>
  <c r="K139" i="20" s="1"/>
  <c r="M147" i="2"/>
  <c r="M150" i="2" s="1"/>
  <c r="J137" i="20"/>
  <c r="J139" i="20" s="1"/>
  <c r="L147" i="2"/>
  <c r="L150" i="2" s="1"/>
  <c r="I137" i="20"/>
  <c r="I139" i="20" s="1"/>
  <c r="K150" i="2"/>
  <c r="H137" i="20"/>
  <c r="H139" i="20" s="1"/>
  <c r="J147" i="2"/>
  <c r="J150" i="2" s="1"/>
  <c r="O137" i="20"/>
  <c r="O139" i="20" s="1"/>
  <c r="G137" i="20"/>
  <c r="G139" i="20" s="1"/>
  <c r="N137" i="20"/>
  <c r="N139" i="20" s="1"/>
  <c r="F137" i="20"/>
  <c r="F139" i="20" s="1"/>
  <c r="O147" i="2"/>
  <c r="O150" i="2" s="1"/>
  <c r="L137" i="20"/>
  <c r="L139" i="20" s="1"/>
  <c r="D137" i="20"/>
  <c r="P150" i="2"/>
  <c r="E137" i="20"/>
  <c r="E139" i="20" s="1"/>
  <c r="M137" i="20"/>
  <c r="M139" i="20" s="1"/>
  <c r="L79" i="2"/>
  <c r="J79" i="2"/>
  <c r="P79" i="2"/>
  <c r="N79" i="2"/>
  <c r="G72" i="20"/>
  <c r="O79" i="2"/>
  <c r="F72" i="20"/>
  <c r="E72" i="20"/>
  <c r="D72" i="20"/>
  <c r="H72" i="20"/>
  <c r="I72" i="20" s="1"/>
  <c r="J72" i="20" s="1"/>
  <c r="K72" i="20" s="1"/>
  <c r="L72" i="20" s="1"/>
  <c r="M72" i="20" s="1"/>
  <c r="N72" i="20" s="1"/>
  <c r="O72" i="20" s="1"/>
  <c r="K64" i="2"/>
  <c r="J64" i="2"/>
  <c r="P64" i="2"/>
  <c r="O64" i="2"/>
  <c r="M64" i="2"/>
  <c r="N64" i="2"/>
  <c r="P92" i="2"/>
  <c r="O92" i="2"/>
  <c r="N92" i="2"/>
  <c r="M92" i="2"/>
  <c r="H85" i="20"/>
  <c r="I85" i="20" s="1"/>
  <c r="J85" i="20" s="1"/>
  <c r="K85" i="20" s="1"/>
  <c r="L85" i="20" s="1"/>
  <c r="M85" i="20" s="1"/>
  <c r="N85" i="20" s="1"/>
  <c r="O85" i="20" s="1"/>
  <c r="L92" i="2"/>
  <c r="K92" i="2"/>
  <c r="G85" i="20"/>
  <c r="J92" i="2"/>
  <c r="F85" i="20"/>
  <c r="E85" i="20"/>
  <c r="D85" i="20"/>
  <c r="P75" i="2"/>
  <c r="O75" i="2"/>
  <c r="N75" i="2"/>
  <c r="F68" i="20"/>
  <c r="M75" i="2"/>
  <c r="L75" i="2"/>
  <c r="J75" i="2"/>
  <c r="G68" i="20"/>
  <c r="E68" i="20"/>
  <c r="H68" i="20"/>
  <c r="I68" i="20" s="1"/>
  <c r="J68" i="20" s="1"/>
  <c r="K68" i="20" s="1"/>
  <c r="L68" i="20" s="1"/>
  <c r="M68" i="20" s="1"/>
  <c r="N68" i="20" s="1"/>
  <c r="O68" i="20" s="1"/>
  <c r="D68" i="20"/>
  <c r="K75" i="2"/>
  <c r="M41" i="2"/>
  <c r="L41" i="2"/>
  <c r="K41" i="2"/>
  <c r="J41" i="2"/>
  <c r="P41" i="2"/>
  <c r="N41" i="2"/>
  <c r="D38" i="20"/>
  <c r="F38" i="20"/>
  <c r="H38" i="20"/>
  <c r="O41" i="2"/>
  <c r="G38" i="20"/>
  <c r="E38" i="20"/>
  <c r="O23" i="2"/>
  <c r="N23" i="2"/>
  <c r="M23" i="2"/>
  <c r="L23" i="2"/>
  <c r="K23" i="2"/>
  <c r="F21" i="20"/>
  <c r="H21" i="20"/>
  <c r="J23" i="2"/>
  <c r="E21" i="20"/>
  <c r="D21" i="20"/>
  <c r="G21" i="20"/>
  <c r="M28" i="2"/>
  <c r="L28" i="2"/>
  <c r="K28" i="2"/>
  <c r="J28" i="2"/>
  <c r="N28" i="2"/>
  <c r="H26" i="20"/>
  <c r="I26" i="20" s="1"/>
  <c r="J26" i="20" s="1"/>
  <c r="K26" i="20" s="1"/>
  <c r="L26" i="20" s="1"/>
  <c r="M26" i="20" s="1"/>
  <c r="N26" i="20" s="1"/>
  <c r="O26" i="20" s="1"/>
  <c r="G26" i="20"/>
  <c r="D26" i="20"/>
  <c r="O28" i="2"/>
  <c r="F26" i="20"/>
  <c r="E26" i="20"/>
  <c r="J61" i="2"/>
  <c r="P61" i="2"/>
  <c r="O61" i="2"/>
  <c r="K61" i="2"/>
  <c r="F58" i="20"/>
  <c r="G58" i="20"/>
  <c r="E58" i="20"/>
  <c r="D58" i="20"/>
  <c r="H58" i="20"/>
  <c r="M107" i="2"/>
  <c r="L107" i="2"/>
  <c r="K107" i="2"/>
  <c r="J107" i="2"/>
  <c r="K99" i="20"/>
  <c r="P107" i="2"/>
  <c r="N107" i="2"/>
  <c r="J99" i="20"/>
  <c r="O107" i="2"/>
  <c r="I99" i="20"/>
  <c r="H99" i="20"/>
  <c r="D99" i="20"/>
  <c r="G99" i="20"/>
  <c r="M99" i="20"/>
  <c r="O99" i="20"/>
  <c r="F99" i="20"/>
  <c r="N99" i="20"/>
  <c r="E99" i="20"/>
  <c r="L99" i="20"/>
  <c r="I79" i="4"/>
  <c r="I8" i="2"/>
  <c r="E8" i="2"/>
  <c r="F8" i="2"/>
  <c r="G8" i="2"/>
  <c r="H8" i="2"/>
  <c r="K151" i="4"/>
  <c r="E152" i="2"/>
  <c r="G152" i="2"/>
  <c r="F152" i="2"/>
  <c r="H152" i="2"/>
  <c r="I152" i="2"/>
  <c r="I64" i="2"/>
  <c r="I150" i="4"/>
  <c r="F10" i="10" s="1"/>
  <c r="B10" i="10" s="1"/>
  <c r="C10" i="10" s="1"/>
  <c r="I70" i="4"/>
  <c r="I202" i="4"/>
  <c r="K202" i="4" s="1"/>
  <c r="D15" i="8"/>
  <c r="F15" i="8" s="1"/>
  <c r="I66" i="4"/>
  <c r="I38" i="4"/>
  <c r="I62" i="4"/>
  <c r="H64" i="2"/>
  <c r="H153" i="2"/>
  <c r="E153" i="2"/>
  <c r="E64" i="2"/>
  <c r="F64" i="2"/>
  <c r="F153" i="2"/>
  <c r="G64" i="2"/>
  <c r="G153" i="2"/>
  <c r="N165" i="2" l="1"/>
  <c r="O165" i="2"/>
  <c r="J165" i="2"/>
  <c r="M165" i="2"/>
  <c r="K165" i="2"/>
  <c r="L165" i="2"/>
  <c r="K150" i="4"/>
  <c r="O143" i="20"/>
  <c r="G143" i="20"/>
  <c r="N143" i="20"/>
  <c r="F143" i="20"/>
  <c r="G50" i="20"/>
  <c r="J53" i="2"/>
  <c r="J166" i="2" s="1"/>
  <c r="J9" i="2"/>
  <c r="P9" i="2"/>
  <c r="N154" i="2"/>
  <c r="M154" i="2"/>
  <c r="J143" i="20"/>
  <c r="M143" i="20"/>
  <c r="H12" i="20"/>
  <c r="K143" i="20"/>
  <c r="F42" i="20"/>
  <c r="E12" i="20"/>
  <c r="K154" i="2"/>
  <c r="A153" i="2"/>
  <c r="A152" i="2"/>
  <c r="P53" i="2"/>
  <c r="L154" i="2"/>
  <c r="O9" i="2"/>
  <c r="A64" i="2"/>
  <c r="A63" i="2"/>
  <c r="A8" i="2"/>
  <c r="M45" i="2"/>
  <c r="P154" i="2"/>
  <c r="K45" i="2"/>
  <c r="P73" i="2"/>
  <c r="F125" i="20"/>
  <c r="O22" i="2"/>
  <c r="G76" i="20"/>
  <c r="N83" i="2"/>
  <c r="H135" i="20"/>
  <c r="F120" i="20"/>
  <c r="E50" i="20"/>
  <c r="M9" i="2"/>
  <c r="O154" i="2"/>
  <c r="P45" i="2"/>
  <c r="J45" i="2"/>
  <c r="G12" i="20"/>
  <c r="N9" i="2"/>
  <c r="O53" i="2"/>
  <c r="O166" i="2" s="1"/>
  <c r="M53" i="2"/>
  <c r="M166" i="2" s="1"/>
  <c r="I143" i="20"/>
  <c r="F50" i="20"/>
  <c r="L45" i="2"/>
  <c r="E143" i="20"/>
  <c r="L31" i="2"/>
  <c r="P100" i="20"/>
  <c r="O73" i="2"/>
  <c r="N53" i="2"/>
  <c r="N166" i="2" s="1"/>
  <c r="O134" i="2"/>
  <c r="K134" i="2"/>
  <c r="E76" i="20"/>
  <c r="P49" i="20"/>
  <c r="L145" i="2"/>
  <c r="N145" i="2"/>
  <c r="P25" i="20"/>
  <c r="J111" i="2"/>
  <c r="I38" i="20"/>
  <c r="H42" i="20"/>
  <c r="P24" i="20"/>
  <c r="R24" i="20"/>
  <c r="G29" i="20"/>
  <c r="K111" i="2"/>
  <c r="R58" i="20"/>
  <c r="P58" i="20"/>
  <c r="D29" i="20"/>
  <c r="N31" i="2"/>
  <c r="D42" i="20"/>
  <c r="P68" i="20"/>
  <c r="R68" i="20"/>
  <c r="R16" i="20"/>
  <c r="R100" i="20"/>
  <c r="K9" i="2"/>
  <c r="D66" i="20"/>
  <c r="P57" i="20"/>
  <c r="R57" i="20"/>
  <c r="R116" i="20"/>
  <c r="E125" i="20"/>
  <c r="D125" i="20"/>
  <c r="R122" i="20"/>
  <c r="P122" i="20"/>
  <c r="F20" i="20"/>
  <c r="P22" i="2"/>
  <c r="R78" i="20"/>
  <c r="P78" i="20"/>
  <c r="R142" i="20"/>
  <c r="H76" i="20"/>
  <c r="I67" i="20"/>
  <c r="O83" i="2"/>
  <c r="R49" i="20"/>
  <c r="G135" i="20"/>
  <c r="O145" i="2"/>
  <c r="J145" i="2"/>
  <c r="N128" i="2"/>
  <c r="L99" i="2"/>
  <c r="L111" i="2"/>
  <c r="N135" i="20"/>
  <c r="R62" i="20"/>
  <c r="E29" i="20"/>
  <c r="O31" i="2"/>
  <c r="N45" i="2"/>
  <c r="P28" i="20"/>
  <c r="R134" i="20"/>
  <c r="P134" i="20"/>
  <c r="L9" i="2"/>
  <c r="E66" i="20"/>
  <c r="K53" i="2"/>
  <c r="K166" i="2" s="1"/>
  <c r="N134" i="2"/>
  <c r="M134" i="2"/>
  <c r="G20" i="20"/>
  <c r="J22" i="2"/>
  <c r="J83" i="2"/>
  <c r="P83" i="2"/>
  <c r="P91" i="20"/>
  <c r="R91" i="20"/>
  <c r="O135" i="20"/>
  <c r="R131" i="20"/>
  <c r="D135" i="20"/>
  <c r="P131" i="20"/>
  <c r="D120" i="20"/>
  <c r="G120" i="20"/>
  <c r="D92" i="20"/>
  <c r="M99" i="2"/>
  <c r="R25" i="20"/>
  <c r="D103" i="20"/>
  <c r="M111" i="2"/>
  <c r="N22" i="2"/>
  <c r="M83" i="2"/>
  <c r="M128" i="2"/>
  <c r="I77" i="20"/>
  <c r="H92" i="20"/>
  <c r="P72" i="20"/>
  <c r="R72" i="20"/>
  <c r="J31" i="2"/>
  <c r="P31" i="2"/>
  <c r="R27" i="20"/>
  <c r="P27" i="20"/>
  <c r="R39" i="20"/>
  <c r="P39" i="20"/>
  <c r="D12" i="20"/>
  <c r="R8" i="20"/>
  <c r="P8" i="20"/>
  <c r="J73" i="2"/>
  <c r="H50" i="20"/>
  <c r="I48" i="20"/>
  <c r="L53" i="2"/>
  <c r="L166" i="2" s="1"/>
  <c r="P116" i="20"/>
  <c r="P9" i="20"/>
  <c r="R9" i="20"/>
  <c r="R141" i="20"/>
  <c r="P141" i="20"/>
  <c r="D143" i="20"/>
  <c r="G125" i="20"/>
  <c r="I14" i="20"/>
  <c r="H20" i="20"/>
  <c r="F76" i="20"/>
  <c r="H120" i="20"/>
  <c r="P64" i="20"/>
  <c r="R64" i="20"/>
  <c r="K145" i="2"/>
  <c r="L135" i="20"/>
  <c r="J128" i="2"/>
  <c r="O128" i="2"/>
  <c r="E92" i="20"/>
  <c r="N99" i="2"/>
  <c r="R23" i="20"/>
  <c r="P23" i="20"/>
  <c r="E103" i="20"/>
  <c r="N111" i="2"/>
  <c r="K135" i="20"/>
  <c r="R99" i="20"/>
  <c r="P99" i="20"/>
  <c r="G66" i="20"/>
  <c r="H29" i="20"/>
  <c r="I21" i="20"/>
  <c r="E42" i="20"/>
  <c r="P85" i="20"/>
  <c r="R85" i="20"/>
  <c r="R28" i="20"/>
  <c r="L73" i="2"/>
  <c r="L143" i="20"/>
  <c r="P134" i="2"/>
  <c r="L22" i="2"/>
  <c r="K83" i="2"/>
  <c r="I135" i="20"/>
  <c r="P145" i="2"/>
  <c r="K128" i="2"/>
  <c r="J115" i="20"/>
  <c r="I120" i="20"/>
  <c r="F92" i="20"/>
  <c r="O99" i="2"/>
  <c r="P90" i="20"/>
  <c r="R90" i="20"/>
  <c r="F103" i="20"/>
  <c r="O111" i="2"/>
  <c r="D20" i="20"/>
  <c r="R63" i="20"/>
  <c r="P63" i="20"/>
  <c r="R89" i="20"/>
  <c r="P89" i="20"/>
  <c r="L134" i="2"/>
  <c r="F29" i="20"/>
  <c r="G42" i="20"/>
  <c r="R69" i="20"/>
  <c r="P69" i="20"/>
  <c r="P123" i="20"/>
  <c r="R123" i="20"/>
  <c r="H66" i="20"/>
  <c r="M73" i="2"/>
  <c r="R86" i="20"/>
  <c r="P86" i="20"/>
  <c r="R98" i="20"/>
  <c r="P98" i="20"/>
  <c r="P22" i="20"/>
  <c r="R22" i="20"/>
  <c r="J154" i="2"/>
  <c r="H125" i="20"/>
  <c r="K22" i="2"/>
  <c r="P79" i="20"/>
  <c r="R79" i="20"/>
  <c r="L83" i="2"/>
  <c r="P117" i="20"/>
  <c r="R117" i="20"/>
  <c r="P118" i="20"/>
  <c r="R118" i="20"/>
  <c r="M145" i="2"/>
  <c r="E135" i="20"/>
  <c r="L128" i="2"/>
  <c r="P128" i="2"/>
  <c r="G92" i="20"/>
  <c r="P99" i="2"/>
  <c r="G103" i="20"/>
  <c r="P111" i="2"/>
  <c r="P26" i="20"/>
  <c r="R26" i="20"/>
  <c r="F135" i="20"/>
  <c r="M31" i="2"/>
  <c r="K73" i="2"/>
  <c r="E20" i="20"/>
  <c r="J99" i="2"/>
  <c r="K31" i="2"/>
  <c r="O45" i="2"/>
  <c r="D139" i="20"/>
  <c r="R137" i="20"/>
  <c r="R139" i="20" s="1"/>
  <c r="P137" i="20"/>
  <c r="P139" i="20" s="1"/>
  <c r="P16" i="20"/>
  <c r="P71" i="20"/>
  <c r="R71" i="20"/>
  <c r="F12" i="20"/>
  <c r="F66" i="20"/>
  <c r="N73" i="2"/>
  <c r="D50" i="20"/>
  <c r="H143" i="20"/>
  <c r="J134" i="2"/>
  <c r="M22" i="2"/>
  <c r="J59" i="20"/>
  <c r="I66" i="20"/>
  <c r="R65" i="20"/>
  <c r="P65" i="20"/>
  <c r="P142" i="20"/>
  <c r="D76" i="20"/>
  <c r="J135" i="20"/>
  <c r="M135" i="20"/>
  <c r="E120" i="20"/>
  <c r="P73" i="20"/>
  <c r="R73" i="20"/>
  <c r="K99" i="2"/>
  <c r="P40" i="20"/>
  <c r="R40" i="20"/>
  <c r="I94" i="20"/>
  <c r="H103" i="20"/>
  <c r="P62" i="20"/>
  <c r="S63" i="2"/>
  <c r="Q63" i="2"/>
  <c r="S8" i="2"/>
  <c r="Q8" i="2"/>
  <c r="M151" i="4" s="1"/>
  <c r="S64" i="2"/>
  <c r="Q64" i="2"/>
  <c r="G29" i="2"/>
  <c r="J190" i="4"/>
  <c r="J196" i="4"/>
  <c r="I196" i="4"/>
  <c r="I190" i="4"/>
  <c r="P151" i="4" l="1"/>
  <c r="R151" i="4" s="1"/>
  <c r="T151" i="4" s="1"/>
  <c r="N151" i="4"/>
  <c r="O38" i="2"/>
  <c r="A154" i="2"/>
  <c r="A151" i="2"/>
  <c r="L38" i="2"/>
  <c r="M38" i="2"/>
  <c r="N112" i="2"/>
  <c r="D35" i="20"/>
  <c r="L112" i="2"/>
  <c r="M112" i="2"/>
  <c r="H35" i="20"/>
  <c r="P38" i="2"/>
  <c r="P112" i="2"/>
  <c r="F35" i="20"/>
  <c r="O112" i="2"/>
  <c r="J120" i="20"/>
  <c r="K115" i="20"/>
  <c r="P12" i="20"/>
  <c r="J94" i="20"/>
  <c r="I103" i="20"/>
  <c r="K59" i="20"/>
  <c r="J66" i="20"/>
  <c r="F104" i="20"/>
  <c r="K38" i="2"/>
  <c r="R12" i="20"/>
  <c r="E104" i="20"/>
  <c r="D104" i="20"/>
  <c r="E35" i="20"/>
  <c r="J77" i="20"/>
  <c r="I92" i="20"/>
  <c r="I20" i="20"/>
  <c r="J14" i="20"/>
  <c r="J38" i="2"/>
  <c r="K112" i="2"/>
  <c r="G104" i="20"/>
  <c r="J21" i="20"/>
  <c r="I29" i="20"/>
  <c r="J48" i="20"/>
  <c r="I50" i="20"/>
  <c r="R135" i="20"/>
  <c r="P135" i="20"/>
  <c r="G35" i="20"/>
  <c r="I76" i="20"/>
  <c r="J67" i="20"/>
  <c r="R143" i="20"/>
  <c r="R125" i="20"/>
  <c r="P125" i="20"/>
  <c r="H104" i="20"/>
  <c r="P143" i="20"/>
  <c r="J112" i="2"/>
  <c r="N38" i="2"/>
  <c r="J38" i="20"/>
  <c r="I42" i="20"/>
  <c r="M202" i="4"/>
  <c r="M203" i="4"/>
  <c r="E43" i="2"/>
  <c r="G75" i="2"/>
  <c r="I43" i="2"/>
  <c r="H75" i="2"/>
  <c r="I75" i="2"/>
  <c r="F43" i="2"/>
  <c r="E75" i="2"/>
  <c r="G43" i="2"/>
  <c r="F75" i="2"/>
  <c r="H43" i="2"/>
  <c r="K190" i="4"/>
  <c r="K196" i="4"/>
  <c r="F38" i="9"/>
  <c r="B38" i="9" s="1"/>
  <c r="C38" i="9" s="1"/>
  <c r="F34" i="9"/>
  <c r="B34" i="9" s="1"/>
  <c r="C34" i="9" s="1"/>
  <c r="F32" i="9"/>
  <c r="B32" i="9" s="1"/>
  <c r="C32" i="9" s="1"/>
  <c r="F12" i="9"/>
  <c r="B12" i="9" s="1"/>
  <c r="C12" i="9" s="1"/>
  <c r="F11" i="9"/>
  <c r="B11" i="9" s="1"/>
  <c r="C11" i="9" s="1"/>
  <c r="E1" i="8"/>
  <c r="J100" i="4"/>
  <c r="J61" i="4"/>
  <c r="J80" i="4"/>
  <c r="D78" i="3"/>
  <c r="D77" i="3"/>
  <c r="D76" i="3"/>
  <c r="D70" i="3"/>
  <c r="D69" i="3"/>
  <c r="D65" i="3"/>
  <c r="D61" i="3"/>
  <c r="D47" i="3"/>
  <c r="D44" i="3"/>
  <c r="D43" i="3"/>
  <c r="D41" i="3"/>
  <c r="D33" i="3"/>
  <c r="D32" i="3"/>
  <c r="D31" i="3"/>
  <c r="D25" i="3"/>
  <c r="D19" i="3"/>
  <c r="D18" i="3"/>
  <c r="D17" i="3"/>
  <c r="D16" i="3"/>
  <c r="D15" i="3"/>
  <c r="D14" i="3"/>
  <c r="D9" i="3"/>
  <c r="I148" i="4"/>
  <c r="I146" i="4"/>
  <c r="J53" i="4"/>
  <c r="C21" i="26" s="1"/>
  <c r="J140" i="4"/>
  <c r="J209" i="4"/>
  <c r="J200" i="4"/>
  <c r="J56" i="4"/>
  <c r="I140" i="4"/>
  <c r="I56" i="4"/>
  <c r="I209" i="4"/>
  <c r="I149" i="4"/>
  <c r="I147" i="4"/>
  <c r="I200" i="4"/>
  <c r="I94" i="2"/>
  <c r="H94" i="2"/>
  <c r="G94" i="2"/>
  <c r="F94" i="2"/>
  <c r="E94" i="2"/>
  <c r="I91" i="2"/>
  <c r="H91" i="2"/>
  <c r="G91" i="2"/>
  <c r="F91" i="2"/>
  <c r="E91" i="2"/>
  <c r="I90" i="2"/>
  <c r="H90" i="2"/>
  <c r="G90" i="2"/>
  <c r="F90" i="2"/>
  <c r="E90" i="2"/>
  <c r="P203" i="4" l="1"/>
  <c r="R203" i="4" s="1"/>
  <c r="S203" i="4" s="1"/>
  <c r="P202" i="4"/>
  <c r="R202" i="4" s="1"/>
  <c r="T202" i="4" s="1"/>
  <c r="N203" i="4"/>
  <c r="N202" i="4"/>
  <c r="D51" i="3"/>
  <c r="O136" i="2"/>
  <c r="P136" i="2"/>
  <c r="P156" i="2" s="1"/>
  <c r="M136" i="2"/>
  <c r="L136" i="2"/>
  <c r="A91" i="2"/>
  <c r="A94" i="2"/>
  <c r="A90" i="2"/>
  <c r="A43" i="2"/>
  <c r="A75" i="2"/>
  <c r="G127" i="20"/>
  <c r="G145" i="20" s="1"/>
  <c r="G149" i="20" s="1"/>
  <c r="K136" i="2"/>
  <c r="N136" i="2"/>
  <c r="F127" i="20"/>
  <c r="F145" i="20" s="1"/>
  <c r="F149" i="20" s="1"/>
  <c r="D127" i="20"/>
  <c r="D145" i="20" s="1"/>
  <c r="D149" i="20" s="1"/>
  <c r="H127" i="20"/>
  <c r="H145" i="20" s="1"/>
  <c r="H149" i="20" s="1"/>
  <c r="I104" i="20"/>
  <c r="E127" i="20"/>
  <c r="E145" i="20" s="1"/>
  <c r="E149" i="20" s="1"/>
  <c r="K38" i="20"/>
  <c r="J42" i="20"/>
  <c r="K94" i="20"/>
  <c r="J103" i="20"/>
  <c r="K67" i="20"/>
  <c r="J76" i="20"/>
  <c r="K21" i="20"/>
  <c r="J29" i="20"/>
  <c r="J92" i="20"/>
  <c r="K77" i="20"/>
  <c r="L59" i="20"/>
  <c r="K66" i="20"/>
  <c r="J136" i="2"/>
  <c r="L115" i="20"/>
  <c r="K120" i="20"/>
  <c r="K14" i="20"/>
  <c r="J20" i="20"/>
  <c r="K48" i="20"/>
  <c r="J50" i="20"/>
  <c r="I35" i="20"/>
  <c r="S43" i="2"/>
  <c r="S75" i="2"/>
  <c r="Q43" i="2"/>
  <c r="M190" i="4" s="1"/>
  <c r="Q75" i="2"/>
  <c r="F22" i="9"/>
  <c r="B22" i="9" s="1"/>
  <c r="C22" i="9" s="1"/>
  <c r="I100" i="4"/>
  <c r="H76" i="2"/>
  <c r="I80" i="4"/>
  <c r="I61" i="4"/>
  <c r="I76" i="2"/>
  <c r="E149" i="2"/>
  <c r="F149" i="2"/>
  <c r="G149" i="2"/>
  <c r="H149" i="2"/>
  <c r="I149" i="2"/>
  <c r="E76" i="2"/>
  <c r="F76" i="2"/>
  <c r="G76" i="2"/>
  <c r="D14" i="8"/>
  <c r="F14" i="8" s="1"/>
  <c r="K209" i="4"/>
  <c r="K200" i="4"/>
  <c r="S91" i="2"/>
  <c r="S90" i="2"/>
  <c r="S94" i="2"/>
  <c r="Q91" i="2"/>
  <c r="Q90" i="2"/>
  <c r="Q94" i="2"/>
  <c r="D66" i="8"/>
  <c r="F66" i="8" s="1"/>
  <c r="D65" i="8"/>
  <c r="F65" i="8" s="1"/>
  <c r="D61" i="8"/>
  <c r="F61" i="8" s="1"/>
  <c r="D60" i="8"/>
  <c r="F60" i="8" s="1"/>
  <c r="J219" i="4"/>
  <c r="J218" i="4"/>
  <c r="J149" i="4"/>
  <c r="J147" i="4"/>
  <c r="J57" i="4"/>
  <c r="F35" i="9" s="1"/>
  <c r="B35" i="9" s="1"/>
  <c r="C35" i="9" s="1"/>
  <c r="T203" i="4" l="1"/>
  <c r="P190" i="4"/>
  <c r="R190" i="4" s="1"/>
  <c r="T190" i="4" s="1"/>
  <c r="N190" i="4"/>
  <c r="N156" i="2"/>
  <c r="N170" i="2" s="1"/>
  <c r="N178" i="2" s="1"/>
  <c r="N179" i="2" s="1"/>
  <c r="N180" i="2" s="1"/>
  <c r="N163" i="2"/>
  <c r="N168" i="2" s="1"/>
  <c r="O156" i="2"/>
  <c r="O160" i="2" s="1"/>
  <c r="O163" i="2"/>
  <c r="O168" i="2" s="1"/>
  <c r="J156" i="2"/>
  <c r="J170" i="2" s="1"/>
  <c r="J178" i="2" s="1"/>
  <c r="J179" i="2" s="1"/>
  <c r="J180" i="2" s="1"/>
  <c r="J163" i="2"/>
  <c r="J168" i="2" s="1"/>
  <c r="L156" i="2"/>
  <c r="L160" i="2" s="1"/>
  <c r="L163" i="2"/>
  <c r="L168" i="2" s="1"/>
  <c r="K156" i="2"/>
  <c r="K160" i="2" s="1"/>
  <c r="K163" i="2"/>
  <c r="K168" i="2" s="1"/>
  <c r="M156" i="2"/>
  <c r="M160" i="2" s="1"/>
  <c r="M163" i="2"/>
  <c r="M168" i="2" s="1"/>
  <c r="P160" i="2"/>
  <c r="P170" i="2"/>
  <c r="P178" i="2" s="1"/>
  <c r="P179" i="2" s="1"/>
  <c r="P180" i="2" s="1"/>
  <c r="J104" i="20"/>
  <c r="I127" i="20"/>
  <c r="I145" i="20" s="1"/>
  <c r="I149" i="20" s="1"/>
  <c r="A149" i="2"/>
  <c r="A76" i="2"/>
  <c r="J35" i="20"/>
  <c r="L48" i="20"/>
  <c r="K50" i="20"/>
  <c r="M59" i="20"/>
  <c r="L66" i="20"/>
  <c r="L38" i="20"/>
  <c r="K42" i="20"/>
  <c r="L94" i="20"/>
  <c r="K103" i="20"/>
  <c r="L77" i="20"/>
  <c r="K92" i="20"/>
  <c r="L67" i="20"/>
  <c r="K76" i="20"/>
  <c r="L14" i="20"/>
  <c r="K20" i="20"/>
  <c r="M115" i="20"/>
  <c r="L120" i="20"/>
  <c r="L21" i="20"/>
  <c r="K29" i="20"/>
  <c r="Q76" i="2"/>
  <c r="M209" i="4" s="1"/>
  <c r="S149" i="2"/>
  <c r="S76" i="2"/>
  <c r="Q149" i="2"/>
  <c r="D67" i="8"/>
  <c r="D62" i="8"/>
  <c r="P209" i="4" l="1"/>
  <c r="R209" i="4" s="1"/>
  <c r="T209" i="4" s="1"/>
  <c r="N209" i="4"/>
  <c r="M160" i="4"/>
  <c r="N160" i="2"/>
  <c r="O170" i="2"/>
  <c r="O178" i="2" s="1"/>
  <c r="O179" i="2" s="1"/>
  <c r="O180" i="2" s="1"/>
  <c r="J160" i="2"/>
  <c r="L170" i="2"/>
  <c r="L178" i="2" s="1"/>
  <c r="L179" i="2" s="1"/>
  <c r="L180" i="2" s="1"/>
  <c r="K170" i="2"/>
  <c r="K178" i="2" s="1"/>
  <c r="K179" i="2" s="1"/>
  <c r="K180" i="2" s="1"/>
  <c r="M170" i="2"/>
  <c r="M178" i="2" s="1"/>
  <c r="M179" i="2" s="1"/>
  <c r="M180" i="2" s="1"/>
  <c r="J127" i="20"/>
  <c r="J145" i="20" s="1"/>
  <c r="J149" i="20" s="1"/>
  <c r="K104" i="20"/>
  <c r="M21" i="20"/>
  <c r="L29" i="20"/>
  <c r="M38" i="20"/>
  <c r="L42" i="20"/>
  <c r="M120" i="20"/>
  <c r="N115" i="20"/>
  <c r="M77" i="20"/>
  <c r="L92" i="20"/>
  <c r="N59" i="20"/>
  <c r="M66" i="20"/>
  <c r="M67" i="20"/>
  <c r="L76" i="20"/>
  <c r="K35" i="20"/>
  <c r="M48" i="20"/>
  <c r="L50" i="20"/>
  <c r="L20" i="20"/>
  <c r="M14" i="20"/>
  <c r="M94" i="20"/>
  <c r="L103" i="20"/>
  <c r="D69" i="8"/>
  <c r="J117" i="4"/>
  <c r="I117" i="4"/>
  <c r="I57" i="4"/>
  <c r="P160" i="4" l="1"/>
  <c r="R160" i="4" s="1"/>
  <c r="T160" i="4" s="1"/>
  <c r="N160" i="4"/>
  <c r="K127" i="20"/>
  <c r="K145" i="20" s="1"/>
  <c r="K149" i="20" s="1"/>
  <c r="L35" i="20"/>
  <c r="N48" i="20"/>
  <c r="M50" i="20"/>
  <c r="N38" i="20"/>
  <c r="M42" i="20"/>
  <c r="O59" i="20"/>
  <c r="O66" i="20" s="1"/>
  <c r="N66" i="20"/>
  <c r="L104" i="20"/>
  <c r="N94" i="20"/>
  <c r="M103" i="20"/>
  <c r="N14" i="20"/>
  <c r="M20" i="20"/>
  <c r="M92" i="20"/>
  <c r="N77" i="20"/>
  <c r="M29" i="20"/>
  <c r="N21" i="20"/>
  <c r="M76" i="20"/>
  <c r="N67" i="20"/>
  <c r="N120" i="20"/>
  <c r="O115" i="20"/>
  <c r="H93" i="2"/>
  <c r="G93" i="2"/>
  <c r="F93" i="2"/>
  <c r="E93" i="2"/>
  <c r="I93" i="2"/>
  <c r="F92" i="2"/>
  <c r="E92" i="2"/>
  <c r="I92" i="2"/>
  <c r="H92" i="2"/>
  <c r="G92" i="2"/>
  <c r="I218" i="4"/>
  <c r="I65" i="2"/>
  <c r="H65" i="2"/>
  <c r="G65" i="2"/>
  <c r="F65" i="2"/>
  <c r="E65" i="2"/>
  <c r="I219" i="4"/>
  <c r="L127" i="20" l="1"/>
  <c r="L145" i="20" s="1"/>
  <c r="L149" i="20" s="1"/>
  <c r="A93" i="2"/>
  <c r="A92" i="2"/>
  <c r="A65" i="2"/>
  <c r="R59" i="20"/>
  <c r="P59" i="20"/>
  <c r="P66" i="20" s="1"/>
  <c r="O21" i="20"/>
  <c r="O29" i="20" s="1"/>
  <c r="N29" i="20"/>
  <c r="N92" i="20"/>
  <c r="O77" i="20"/>
  <c r="O92" i="20" s="1"/>
  <c r="O94" i="20"/>
  <c r="N103" i="20"/>
  <c r="P115" i="20"/>
  <c r="P120" i="20" s="1"/>
  <c r="O120" i="20"/>
  <c r="R120" i="20" s="1"/>
  <c r="R115" i="20"/>
  <c r="M104" i="20"/>
  <c r="O38" i="20"/>
  <c r="N42" i="20"/>
  <c r="M35" i="20"/>
  <c r="O48" i="20"/>
  <c r="N50" i="20"/>
  <c r="O67" i="20"/>
  <c r="N76" i="20"/>
  <c r="N20" i="20"/>
  <c r="O14" i="20"/>
  <c r="R66" i="20"/>
  <c r="K219" i="4"/>
  <c r="K218" i="4"/>
  <c r="S92" i="2"/>
  <c r="Q92" i="2"/>
  <c r="S93" i="2"/>
  <c r="Q93" i="2"/>
  <c r="S65" i="2"/>
  <c r="Q65" i="2"/>
  <c r="R77" i="20" l="1"/>
  <c r="P77" i="20"/>
  <c r="P92" i="20" s="1"/>
  <c r="N35" i="20"/>
  <c r="R92" i="20"/>
  <c r="M127" i="20"/>
  <c r="M145" i="20" s="1"/>
  <c r="M149" i="20" s="1"/>
  <c r="P21" i="20"/>
  <c r="R21" i="20"/>
  <c r="P14" i="20"/>
  <c r="P20" i="20" s="1"/>
  <c r="O20" i="20"/>
  <c r="O35" i="20" s="1"/>
  <c r="R14" i="20"/>
  <c r="R20" i="20" s="1"/>
  <c r="R38" i="20"/>
  <c r="R42" i="20" s="1"/>
  <c r="O42" i="20"/>
  <c r="N104" i="20"/>
  <c r="O50" i="20"/>
  <c r="P48" i="20"/>
  <c r="P50" i="20" s="1"/>
  <c r="R48" i="20"/>
  <c r="R50" i="20" s="1"/>
  <c r="O76" i="20"/>
  <c r="P67" i="20"/>
  <c r="P76" i="20" s="1"/>
  <c r="R67" i="20"/>
  <c r="R76" i="20" s="1"/>
  <c r="P38" i="20"/>
  <c r="P42" i="20" s="1"/>
  <c r="O103" i="20"/>
  <c r="P94" i="20"/>
  <c r="P103" i="20" s="1"/>
  <c r="R94" i="20"/>
  <c r="R103" i="20" s="1"/>
  <c r="R29" i="20"/>
  <c r="P29" i="20"/>
  <c r="I78" i="4"/>
  <c r="I32" i="4"/>
  <c r="I36" i="4"/>
  <c r="I264" i="4"/>
  <c r="J264" i="4"/>
  <c r="J206" i="4"/>
  <c r="J78" i="4"/>
  <c r="J36" i="4"/>
  <c r="P104" i="20" l="1"/>
  <c r="N127" i="20"/>
  <c r="N145" i="20" s="1"/>
  <c r="N149" i="20" s="1"/>
  <c r="R35" i="20"/>
  <c r="R104" i="20"/>
  <c r="O104" i="20"/>
  <c r="O127" i="20" s="1"/>
  <c r="O145" i="20" s="1"/>
  <c r="O149" i="20" s="1"/>
  <c r="P35" i="20"/>
  <c r="F85" i="2"/>
  <c r="I85" i="2"/>
  <c r="E85" i="2"/>
  <c r="G85" i="2"/>
  <c r="I142" i="2"/>
  <c r="E142" i="2"/>
  <c r="F142" i="2"/>
  <c r="G142" i="2"/>
  <c r="H142" i="2"/>
  <c r="K264" i="4"/>
  <c r="H80" i="2"/>
  <c r="I206" i="4"/>
  <c r="E80" i="2"/>
  <c r="G80" i="2"/>
  <c r="F80" i="2"/>
  <c r="I80" i="2"/>
  <c r="J126" i="4"/>
  <c r="I126" i="4"/>
  <c r="I234" i="4"/>
  <c r="I72" i="2"/>
  <c r="I207" i="4"/>
  <c r="I96" i="2"/>
  <c r="I245" i="4"/>
  <c r="I256" i="4"/>
  <c r="I237" i="4"/>
  <c r="I97" i="4"/>
  <c r="I211" i="4"/>
  <c r="I107" i="4"/>
  <c r="I226" i="4"/>
  <c r="I108" i="4"/>
  <c r="I13" i="4"/>
  <c r="I142" i="4"/>
  <c r="J77" i="4"/>
  <c r="I48" i="4"/>
  <c r="I102" i="4"/>
  <c r="I248" i="4"/>
  <c r="I98" i="4"/>
  <c r="I195" i="4"/>
  <c r="I92" i="4"/>
  <c r="I214" i="4"/>
  <c r="I75" i="4"/>
  <c r="I205" i="4"/>
  <c r="J158" i="4"/>
  <c r="J157" i="4"/>
  <c r="J156" i="4"/>
  <c r="J155" i="4"/>
  <c r="J154" i="4"/>
  <c r="J153" i="4"/>
  <c r="J152" i="4"/>
  <c r="J148" i="4"/>
  <c r="J146" i="4"/>
  <c r="J145" i="4"/>
  <c r="J144" i="4"/>
  <c r="J143" i="4"/>
  <c r="J142" i="4"/>
  <c r="J139" i="4"/>
  <c r="J138" i="4"/>
  <c r="J137" i="4"/>
  <c r="J136" i="4"/>
  <c r="J135" i="4"/>
  <c r="J134" i="4"/>
  <c r="J133" i="4"/>
  <c r="J132" i="4"/>
  <c r="J131" i="4"/>
  <c r="J130" i="4"/>
  <c r="J125" i="4"/>
  <c r="J124" i="4"/>
  <c r="J123" i="4"/>
  <c r="J122" i="4"/>
  <c r="J121" i="4"/>
  <c r="J120" i="4"/>
  <c r="J119" i="4"/>
  <c r="J118" i="4"/>
  <c r="J116" i="4"/>
  <c r="J115" i="4"/>
  <c r="J114" i="4"/>
  <c r="J113" i="4"/>
  <c r="J112" i="4"/>
  <c r="J110" i="4"/>
  <c r="J109" i="4"/>
  <c r="J108" i="4"/>
  <c r="J107" i="4"/>
  <c r="J106" i="4"/>
  <c r="J102" i="4"/>
  <c r="J101" i="4"/>
  <c r="J99" i="4"/>
  <c r="J98" i="4"/>
  <c r="J97" i="4"/>
  <c r="J96" i="4"/>
  <c r="J94" i="4"/>
  <c r="J93" i="4"/>
  <c r="J92" i="4"/>
  <c r="J91" i="4"/>
  <c r="J90" i="4"/>
  <c r="J87" i="4"/>
  <c r="J86" i="4"/>
  <c r="J85" i="4"/>
  <c r="J84" i="4"/>
  <c r="C13" i="26" s="1"/>
  <c r="J83" i="4"/>
  <c r="J82" i="4"/>
  <c r="J81" i="4"/>
  <c r="J76" i="4"/>
  <c r="J75" i="4"/>
  <c r="J74" i="4"/>
  <c r="J73" i="4"/>
  <c r="J72" i="4"/>
  <c r="J71" i="4"/>
  <c r="J69" i="4"/>
  <c r="J68" i="4"/>
  <c r="J65" i="4"/>
  <c r="J64" i="4"/>
  <c r="J63" i="4"/>
  <c r="J60" i="4"/>
  <c r="J59" i="4"/>
  <c r="J58" i="4"/>
  <c r="C12" i="26" s="1"/>
  <c r="J268" i="4"/>
  <c r="J267" i="4"/>
  <c r="J266" i="4"/>
  <c r="J263" i="4"/>
  <c r="J262" i="4"/>
  <c r="J260" i="4"/>
  <c r="J259" i="4"/>
  <c r="J257" i="4"/>
  <c r="J256" i="4"/>
  <c r="J255" i="4"/>
  <c r="J254" i="4"/>
  <c r="J253" i="4"/>
  <c r="J252" i="4"/>
  <c r="J251" i="4"/>
  <c r="J250" i="4"/>
  <c r="J249" i="4"/>
  <c r="J248" i="4"/>
  <c r="J247" i="4"/>
  <c r="J246" i="4"/>
  <c r="J245" i="4"/>
  <c r="J244" i="4"/>
  <c r="J243" i="4"/>
  <c r="J242" i="4"/>
  <c r="J241" i="4"/>
  <c r="J240" i="4"/>
  <c r="J239" i="4"/>
  <c r="J238" i="4"/>
  <c r="J237" i="4"/>
  <c r="J236" i="4"/>
  <c r="J235" i="4"/>
  <c r="J234" i="4"/>
  <c r="J233" i="4"/>
  <c r="J232" i="4"/>
  <c r="J231" i="4"/>
  <c r="J230" i="4"/>
  <c r="J229" i="4"/>
  <c r="J228" i="4"/>
  <c r="J227" i="4"/>
  <c r="J226" i="4"/>
  <c r="J225" i="4"/>
  <c r="J224" i="4"/>
  <c r="J223" i="4"/>
  <c r="J222" i="4"/>
  <c r="J221" i="4"/>
  <c r="J216" i="4"/>
  <c r="J215" i="4"/>
  <c r="J214" i="4"/>
  <c r="J213" i="4"/>
  <c r="J212" i="4"/>
  <c r="J211" i="4"/>
  <c r="J210" i="4"/>
  <c r="J208" i="4"/>
  <c r="J207" i="4"/>
  <c r="J205" i="4"/>
  <c r="J204" i="4"/>
  <c r="J201" i="4"/>
  <c r="J199" i="4"/>
  <c r="J198" i="4"/>
  <c r="J195" i="4"/>
  <c r="J193" i="4"/>
  <c r="J192" i="4"/>
  <c r="J191" i="4"/>
  <c r="J189" i="4"/>
  <c r="J187" i="4"/>
  <c r="J185" i="4"/>
  <c r="J186" i="4"/>
  <c r="J184" i="4"/>
  <c r="J183" i="4"/>
  <c r="J182" i="4"/>
  <c r="J181" i="4"/>
  <c r="J180" i="4"/>
  <c r="J179" i="4"/>
  <c r="J178" i="4"/>
  <c r="J177" i="4"/>
  <c r="J175" i="4"/>
  <c r="J174" i="4"/>
  <c r="J173" i="4"/>
  <c r="J172" i="4"/>
  <c r="J171" i="4"/>
  <c r="J170" i="4"/>
  <c r="J169" i="4"/>
  <c r="J167" i="4"/>
  <c r="J166" i="4"/>
  <c r="J163" i="4"/>
  <c r="J55" i="4"/>
  <c r="D11" i="3" s="1"/>
  <c r="J54" i="4"/>
  <c r="D50" i="3" s="1"/>
  <c r="F50" i="3" s="1"/>
  <c r="J52" i="4"/>
  <c r="J51" i="4"/>
  <c r="J50" i="4"/>
  <c r="J49" i="4"/>
  <c r="D49" i="3" s="1"/>
  <c r="J48" i="4"/>
  <c r="J47" i="4"/>
  <c r="J46" i="4"/>
  <c r="J45" i="4"/>
  <c r="J44" i="4"/>
  <c r="D24" i="3" s="1"/>
  <c r="J43" i="4"/>
  <c r="J42" i="4"/>
  <c r="J41" i="4"/>
  <c r="J40" i="4"/>
  <c r="J39" i="4"/>
  <c r="J37" i="4"/>
  <c r="J34" i="4"/>
  <c r="J32" i="4"/>
  <c r="C6" i="26" s="1"/>
  <c r="J29" i="4"/>
  <c r="J28" i="4"/>
  <c r="J27" i="4"/>
  <c r="J26" i="4"/>
  <c r="J25" i="4"/>
  <c r="J24" i="4"/>
  <c r="J23" i="4"/>
  <c r="J22" i="4"/>
  <c r="J21" i="4"/>
  <c r="J20" i="4"/>
  <c r="J18" i="4"/>
  <c r="J17" i="4"/>
  <c r="J16" i="4"/>
  <c r="D42" i="3" s="1"/>
  <c r="J15" i="4"/>
  <c r="J13" i="4"/>
  <c r="J10" i="4"/>
  <c r="J9" i="4"/>
  <c r="J8" i="4"/>
  <c r="J7" i="4"/>
  <c r="J6" i="4"/>
  <c r="J5" i="4"/>
  <c r="J4" i="4"/>
  <c r="J3" i="4"/>
  <c r="D55" i="3" s="1"/>
  <c r="J2" i="4"/>
  <c r="M156" i="4"/>
  <c r="M155" i="4"/>
  <c r="M154" i="4"/>
  <c r="M266" i="4"/>
  <c r="M251" i="4"/>
  <c r="M250" i="4"/>
  <c r="M249" i="4"/>
  <c r="M235" i="4"/>
  <c r="M215" i="4"/>
  <c r="M198" i="4"/>
  <c r="M187" i="4"/>
  <c r="M182" i="4"/>
  <c r="M174" i="4"/>
  <c r="M167" i="4"/>
  <c r="I37" i="4"/>
  <c r="F12" i="10"/>
  <c r="B12" i="10" s="1"/>
  <c r="C12" i="10" s="1"/>
  <c r="H8" i="10"/>
  <c r="F8" i="10"/>
  <c r="G7" i="2"/>
  <c r="F7" i="2"/>
  <c r="E7" i="2"/>
  <c r="I133" i="2"/>
  <c r="H133" i="2"/>
  <c r="G133" i="2"/>
  <c r="F133" i="2"/>
  <c r="E133" i="2"/>
  <c r="I127" i="2"/>
  <c r="H127" i="2"/>
  <c r="G127" i="2"/>
  <c r="F127" i="2"/>
  <c r="E127" i="2"/>
  <c r="I140" i="2"/>
  <c r="I173" i="2" s="1"/>
  <c r="H140" i="2"/>
  <c r="H173" i="2" s="1"/>
  <c r="G140" i="2"/>
  <c r="G173" i="2" s="1"/>
  <c r="F140" i="2"/>
  <c r="F173" i="2" s="1"/>
  <c r="E140" i="2"/>
  <c r="E173" i="2" s="1"/>
  <c r="I139" i="2"/>
  <c r="H139" i="2"/>
  <c r="G139" i="2"/>
  <c r="F139" i="2"/>
  <c r="E139" i="2"/>
  <c r="I138" i="2"/>
  <c r="H138" i="2"/>
  <c r="G138" i="2"/>
  <c r="F138" i="2"/>
  <c r="E138" i="2"/>
  <c r="I125" i="2"/>
  <c r="H125" i="2"/>
  <c r="G125" i="2"/>
  <c r="F125" i="2"/>
  <c r="E125" i="2"/>
  <c r="I119" i="2"/>
  <c r="H119" i="2"/>
  <c r="G119" i="2"/>
  <c r="F119" i="2"/>
  <c r="E119" i="2"/>
  <c r="I117" i="2"/>
  <c r="H117" i="2"/>
  <c r="G117" i="2"/>
  <c r="F117" i="2"/>
  <c r="E117" i="2"/>
  <c r="I116" i="2"/>
  <c r="H116" i="2"/>
  <c r="G116" i="2"/>
  <c r="F116" i="2"/>
  <c r="E116" i="2"/>
  <c r="I115" i="2"/>
  <c r="H115" i="2"/>
  <c r="G115" i="2"/>
  <c r="F115" i="2"/>
  <c r="E115" i="2"/>
  <c r="I114" i="2"/>
  <c r="H114" i="2"/>
  <c r="G114" i="2"/>
  <c r="F114" i="2"/>
  <c r="E114" i="2"/>
  <c r="E50" i="2"/>
  <c r="F50" i="2"/>
  <c r="G50" i="2"/>
  <c r="H50" i="2"/>
  <c r="I50" i="2"/>
  <c r="I130" i="4"/>
  <c r="I125" i="4"/>
  <c r="I124" i="4"/>
  <c r="I121" i="4"/>
  <c r="I120" i="4"/>
  <c r="I118" i="4"/>
  <c r="I116" i="4"/>
  <c r="I91" i="4"/>
  <c r="I90" i="4"/>
  <c r="I157" i="4"/>
  <c r="I156" i="4"/>
  <c r="I155" i="4"/>
  <c r="I154" i="4"/>
  <c r="I153" i="4"/>
  <c r="F33" i="10"/>
  <c r="B33" i="10" s="1"/>
  <c r="C33" i="10" s="1"/>
  <c r="I268" i="4"/>
  <c r="I267" i="4"/>
  <c r="I266" i="4"/>
  <c r="I259" i="4"/>
  <c r="I257" i="4"/>
  <c r="I253" i="4"/>
  <c r="I252" i="4"/>
  <c r="I251" i="4"/>
  <c r="I250" i="4"/>
  <c r="I249" i="4"/>
  <c r="I242" i="4"/>
  <c r="I241" i="4"/>
  <c r="I235" i="4"/>
  <c r="I232" i="4"/>
  <c r="I231" i="4"/>
  <c r="I230" i="4"/>
  <c r="I229" i="4"/>
  <c r="I228" i="4"/>
  <c r="I227" i="4"/>
  <c r="I225" i="4"/>
  <c r="I224" i="4"/>
  <c r="I223" i="4"/>
  <c r="I222" i="4"/>
  <c r="I221" i="4"/>
  <c r="I216" i="4"/>
  <c r="I215" i="4"/>
  <c r="I213" i="4"/>
  <c r="I212" i="4"/>
  <c r="I199" i="4"/>
  <c r="I198" i="4"/>
  <c r="I192" i="4"/>
  <c r="I191" i="4"/>
  <c r="I187" i="4"/>
  <c r="I185" i="4"/>
  <c r="I182" i="4"/>
  <c r="I177" i="4"/>
  <c r="I175" i="4"/>
  <c r="I174" i="4"/>
  <c r="I167" i="4"/>
  <c r="I110" i="2"/>
  <c r="H110" i="2"/>
  <c r="G110" i="2"/>
  <c r="F110" i="2"/>
  <c r="E110" i="2"/>
  <c r="I109" i="2"/>
  <c r="H109" i="2"/>
  <c r="G109" i="2"/>
  <c r="F109" i="2"/>
  <c r="E109" i="2"/>
  <c r="I104" i="2"/>
  <c r="H104" i="2"/>
  <c r="G104" i="2"/>
  <c r="F104" i="2"/>
  <c r="E104" i="2"/>
  <c r="I103" i="2"/>
  <c r="H103" i="2"/>
  <c r="G103" i="2"/>
  <c r="F103" i="2"/>
  <c r="E103" i="2"/>
  <c r="I102" i="2"/>
  <c r="H102" i="2"/>
  <c r="G102" i="2"/>
  <c r="F102" i="2"/>
  <c r="E102" i="2"/>
  <c r="I100" i="2"/>
  <c r="H100" i="2"/>
  <c r="G100" i="2"/>
  <c r="F100" i="2"/>
  <c r="E100" i="2"/>
  <c r="I87" i="2"/>
  <c r="H87" i="2"/>
  <c r="G87" i="2"/>
  <c r="F87" i="2"/>
  <c r="E87" i="2"/>
  <c r="I95" i="2"/>
  <c r="H95" i="2"/>
  <c r="G95" i="2"/>
  <c r="F95" i="2"/>
  <c r="E95" i="2"/>
  <c r="I89" i="2"/>
  <c r="H89" i="2"/>
  <c r="G89" i="2"/>
  <c r="F89" i="2"/>
  <c r="E89" i="2"/>
  <c r="I84" i="2"/>
  <c r="H84" i="2"/>
  <c r="G84" i="2"/>
  <c r="F84" i="2"/>
  <c r="E84" i="2"/>
  <c r="I82" i="2"/>
  <c r="H82" i="2"/>
  <c r="G82" i="2"/>
  <c r="F82" i="2"/>
  <c r="E82" i="2"/>
  <c r="I81" i="2"/>
  <c r="H81" i="2"/>
  <c r="G81" i="2"/>
  <c r="F81" i="2"/>
  <c r="E81" i="2"/>
  <c r="I77" i="2"/>
  <c r="H77" i="2"/>
  <c r="G77" i="2"/>
  <c r="F77" i="2"/>
  <c r="E77" i="2"/>
  <c r="I70" i="2"/>
  <c r="H70" i="2"/>
  <c r="G70" i="2"/>
  <c r="F70" i="2"/>
  <c r="E70" i="2"/>
  <c r="I56" i="2"/>
  <c r="H56" i="2"/>
  <c r="G56" i="2"/>
  <c r="F56" i="2"/>
  <c r="E56" i="2"/>
  <c r="I55" i="2"/>
  <c r="H55" i="2"/>
  <c r="G55" i="2"/>
  <c r="F55" i="2"/>
  <c r="E55" i="2"/>
  <c r="I49" i="2"/>
  <c r="H49" i="2"/>
  <c r="G49" i="2"/>
  <c r="F49" i="2"/>
  <c r="E49" i="2"/>
  <c r="I48" i="2"/>
  <c r="H48" i="2"/>
  <c r="G48" i="2"/>
  <c r="F48" i="2"/>
  <c r="E48" i="2"/>
  <c r="I47" i="2"/>
  <c r="H47" i="2"/>
  <c r="G47" i="2"/>
  <c r="F47" i="2"/>
  <c r="E47" i="2"/>
  <c r="I40" i="2"/>
  <c r="H40" i="2"/>
  <c r="G40" i="2"/>
  <c r="F40" i="2"/>
  <c r="E40" i="2"/>
  <c r="I32" i="2"/>
  <c r="H32" i="2"/>
  <c r="G32" i="2"/>
  <c r="F32" i="2"/>
  <c r="E32" i="2"/>
  <c r="I21" i="2"/>
  <c r="H21" i="2"/>
  <c r="G21" i="2"/>
  <c r="F21" i="2"/>
  <c r="E21" i="2"/>
  <c r="I20" i="2"/>
  <c r="I172" i="2" s="1"/>
  <c r="H20" i="2"/>
  <c r="H172" i="2" s="1"/>
  <c r="G20" i="2"/>
  <c r="G172" i="2" s="1"/>
  <c r="F20" i="2"/>
  <c r="F172" i="2" s="1"/>
  <c r="E20" i="2"/>
  <c r="E172" i="2" s="1"/>
  <c r="I19" i="2"/>
  <c r="H19" i="2"/>
  <c r="G19" i="2"/>
  <c r="F19" i="2"/>
  <c r="E19" i="2"/>
  <c r="I247" i="4"/>
  <c r="I42" i="4"/>
  <c r="I94" i="4"/>
  <c r="F8" i="9" l="1"/>
  <c r="P235" i="4"/>
  <c r="R235" i="4" s="1"/>
  <c r="T235" i="4" s="1"/>
  <c r="P249" i="4"/>
  <c r="R249" i="4" s="1"/>
  <c r="T249" i="4" s="1"/>
  <c r="P167" i="4"/>
  <c r="R167" i="4" s="1"/>
  <c r="T167" i="4" s="1"/>
  <c r="P250" i="4"/>
  <c r="R250" i="4" s="1"/>
  <c r="T250" i="4" s="1"/>
  <c r="P174" i="4"/>
  <c r="R174" i="4" s="1"/>
  <c r="T174" i="4" s="1"/>
  <c r="P251" i="4"/>
  <c r="R251" i="4" s="1"/>
  <c r="T251" i="4" s="1"/>
  <c r="P182" i="4"/>
  <c r="R182" i="4" s="1"/>
  <c r="T182" i="4" s="1"/>
  <c r="P266" i="4"/>
  <c r="R266" i="4" s="1"/>
  <c r="T266" i="4" s="1"/>
  <c r="P187" i="4"/>
  <c r="R187" i="4" s="1"/>
  <c r="T187" i="4" s="1"/>
  <c r="P154" i="4"/>
  <c r="R154" i="4" s="1"/>
  <c r="T154" i="4" s="1"/>
  <c r="P198" i="4"/>
  <c r="R198" i="4" s="1"/>
  <c r="T198" i="4" s="1"/>
  <c r="P155" i="4"/>
  <c r="R155" i="4" s="1"/>
  <c r="T155" i="4" s="1"/>
  <c r="P215" i="4"/>
  <c r="R215" i="4" s="1"/>
  <c r="T215" i="4" s="1"/>
  <c r="P156" i="4"/>
  <c r="R156" i="4" s="1"/>
  <c r="T156" i="4" s="1"/>
  <c r="C4" i="26"/>
  <c r="C15" i="26"/>
  <c r="C30" i="26"/>
  <c r="C7" i="26"/>
  <c r="F9" i="9"/>
  <c r="B9" i="9" s="1"/>
  <c r="C9" i="9" s="1"/>
  <c r="C8" i="26"/>
  <c r="F33" i="9"/>
  <c r="B33" i="9" s="1"/>
  <c r="C33" i="9" s="1"/>
  <c r="C20" i="26"/>
  <c r="C16" i="26"/>
  <c r="F19" i="9"/>
  <c r="B19" i="9" s="1"/>
  <c r="C19" i="9" s="1"/>
  <c r="F37" i="9"/>
  <c r="B37" i="9" s="1"/>
  <c r="C37" i="9" s="1"/>
  <c r="C31" i="26"/>
  <c r="J274" i="4"/>
  <c r="J275" i="4"/>
  <c r="J280" i="4"/>
  <c r="J281" i="4"/>
  <c r="A19" i="2"/>
  <c r="A21" i="2"/>
  <c r="A20" i="2"/>
  <c r="A138" i="2"/>
  <c r="A133" i="2"/>
  <c r="A55" i="2"/>
  <c r="A95" i="2"/>
  <c r="A114" i="2"/>
  <c r="A139" i="2"/>
  <c r="A7" i="2"/>
  <c r="A9" i="2" s="1"/>
  <c r="A6" i="2" s="1"/>
  <c r="A49" i="2"/>
  <c r="A89" i="2"/>
  <c r="A110" i="2"/>
  <c r="A47" i="2"/>
  <c r="A82" i="2"/>
  <c r="A104" i="2"/>
  <c r="A119" i="2"/>
  <c r="A70" i="2"/>
  <c r="A100" i="2"/>
  <c r="A116" i="2"/>
  <c r="A127" i="2"/>
  <c r="A142" i="2"/>
  <c r="A103" i="2"/>
  <c r="A115" i="2"/>
  <c r="A140" i="2"/>
  <c r="A125" i="2"/>
  <c r="A109" i="2"/>
  <c r="A102" i="2"/>
  <c r="A117" i="2"/>
  <c r="A130" i="2"/>
  <c r="A40" i="2"/>
  <c r="A81" i="2"/>
  <c r="A80" i="2"/>
  <c r="A56" i="2"/>
  <c r="A87" i="2"/>
  <c r="A48" i="2"/>
  <c r="A84" i="2"/>
  <c r="A85" i="2"/>
  <c r="A32" i="2"/>
  <c r="A77" i="2"/>
  <c r="A50" i="2"/>
  <c r="P127" i="20"/>
  <c r="P145" i="20" s="1"/>
  <c r="P149" i="20" s="1"/>
  <c r="R127" i="20"/>
  <c r="R145" i="20" s="1"/>
  <c r="R149" i="20" s="1"/>
  <c r="Q133" i="2"/>
  <c r="M192" i="4" s="1"/>
  <c r="J272" i="4"/>
  <c r="D39" i="3"/>
  <c r="D45" i="3"/>
  <c r="F14" i="9"/>
  <c r="D63" i="3"/>
  <c r="F47" i="9"/>
  <c r="B47" i="9" s="1"/>
  <c r="C47" i="9" s="1"/>
  <c r="D10" i="3"/>
  <c r="F21" i="9"/>
  <c r="B21" i="9" s="1"/>
  <c r="C21" i="9" s="1"/>
  <c r="D72" i="3"/>
  <c r="F31" i="9"/>
  <c r="B31" i="9" s="1"/>
  <c r="C31" i="9" s="1"/>
  <c r="F48" i="9"/>
  <c r="B48" i="9" s="1"/>
  <c r="C48" i="9" s="1"/>
  <c r="D73" i="3"/>
  <c r="F30" i="9"/>
  <c r="B30" i="9" s="1"/>
  <c r="C30" i="9" s="1"/>
  <c r="F20" i="9"/>
  <c r="F36" i="9"/>
  <c r="B36" i="9" s="1"/>
  <c r="C36" i="9" s="1"/>
  <c r="F46" i="9"/>
  <c r="B46" i="9" s="1"/>
  <c r="C46" i="9" s="1"/>
  <c r="D54" i="3"/>
  <c r="F39" i="9"/>
  <c r="B39" i="9" s="1"/>
  <c r="C39" i="9" s="1"/>
  <c r="D38" i="3"/>
  <c r="F10" i="9"/>
  <c r="B10" i="9" s="1"/>
  <c r="C10" i="9" s="1"/>
  <c r="F13" i="9"/>
  <c r="D67" i="3"/>
  <c r="D53" i="3"/>
  <c r="D27" i="3"/>
  <c r="D22" i="3"/>
  <c r="D21" i="3"/>
  <c r="D37" i="3"/>
  <c r="D28" i="3"/>
  <c r="D62" i="3"/>
  <c r="D79" i="3"/>
  <c r="D81" i="3"/>
  <c r="D60" i="3"/>
  <c r="D74" i="3"/>
  <c r="D75" i="3"/>
  <c r="K206" i="4"/>
  <c r="Q85" i="2"/>
  <c r="M213" i="4" s="1"/>
  <c r="S85" i="2"/>
  <c r="S142" i="2"/>
  <c r="Q142" i="2"/>
  <c r="S80" i="2"/>
  <c r="Q80" i="2"/>
  <c r="M206" i="4" s="1"/>
  <c r="K214" i="4"/>
  <c r="K256" i="4"/>
  <c r="I87" i="4"/>
  <c r="I85" i="4"/>
  <c r="K248" i="4"/>
  <c r="I77" i="4"/>
  <c r="K234" i="4"/>
  <c r="K237" i="4"/>
  <c r="I236" i="4"/>
  <c r="K236" i="4" s="1"/>
  <c r="I186" i="4"/>
  <c r="E96" i="2"/>
  <c r="F96" i="2"/>
  <c r="G96" i="2"/>
  <c r="H96" i="2"/>
  <c r="I29" i="2"/>
  <c r="I106" i="4"/>
  <c r="I260" i="4"/>
  <c r="I15" i="4"/>
  <c r="K205" i="4"/>
  <c r="N155" i="4"/>
  <c r="I43" i="4"/>
  <c r="N156" i="4"/>
  <c r="I108" i="2"/>
  <c r="H29" i="2"/>
  <c r="N154" i="4"/>
  <c r="N266" i="4"/>
  <c r="N251" i="4"/>
  <c r="N167" i="4"/>
  <c r="N174" i="4"/>
  <c r="N198" i="4"/>
  <c r="N182" i="4"/>
  <c r="N215" i="4"/>
  <c r="N187" i="4"/>
  <c r="N235" i="4"/>
  <c r="N249" i="4"/>
  <c r="N250" i="4"/>
  <c r="E29" i="2"/>
  <c r="I210" i="4"/>
  <c r="I201" i="4"/>
  <c r="I47" i="4"/>
  <c r="I41" i="4"/>
  <c r="I158" i="4"/>
  <c r="F29" i="2"/>
  <c r="I238" i="4"/>
  <c r="I179" i="4"/>
  <c r="I183" i="4"/>
  <c r="K183" i="4" s="1"/>
  <c r="I86" i="4"/>
  <c r="G51" i="2"/>
  <c r="H51" i="2"/>
  <c r="I51" i="2"/>
  <c r="E35" i="2"/>
  <c r="E72" i="2"/>
  <c r="F35" i="2"/>
  <c r="F72" i="2"/>
  <c r="G35" i="2"/>
  <c r="G72" i="2"/>
  <c r="H35" i="2"/>
  <c r="H72" i="2"/>
  <c r="E51" i="2"/>
  <c r="I35" i="2"/>
  <c r="F51" i="2"/>
  <c r="I233" i="4"/>
  <c r="F24" i="10"/>
  <c r="B24" i="10" s="1"/>
  <c r="C24" i="10" s="1"/>
  <c r="F28" i="10"/>
  <c r="B28" i="10" s="1"/>
  <c r="C28" i="10" s="1"/>
  <c r="D41" i="8"/>
  <c r="G154" i="2"/>
  <c r="I144" i="4"/>
  <c r="F44" i="2"/>
  <c r="D13" i="8"/>
  <c r="D27" i="8"/>
  <c r="D16" i="8"/>
  <c r="D30" i="8"/>
  <c r="D42" i="8"/>
  <c r="D17" i="8"/>
  <c r="D31" i="8"/>
  <c r="D43" i="8"/>
  <c r="D18" i="8"/>
  <c r="D32" i="8"/>
  <c r="D48" i="8"/>
  <c r="D19" i="8"/>
  <c r="D37" i="8"/>
  <c r="D49" i="8"/>
  <c r="D23" i="8"/>
  <c r="D38" i="8"/>
  <c r="D51" i="8"/>
  <c r="D9" i="8"/>
  <c r="D24" i="8"/>
  <c r="D39" i="8"/>
  <c r="D52" i="8"/>
  <c r="D12" i="8"/>
  <c r="D25" i="8"/>
  <c r="D40" i="8"/>
  <c r="D50" i="8"/>
  <c r="F154" i="2"/>
  <c r="E154" i="2"/>
  <c r="H154" i="2"/>
  <c r="I154" i="2"/>
  <c r="H123" i="2"/>
  <c r="I189" i="4"/>
  <c r="I143" i="4"/>
  <c r="I81" i="4"/>
  <c r="I64" i="4"/>
  <c r="I170" i="4"/>
  <c r="F27" i="2"/>
  <c r="F74" i="2"/>
  <c r="F11" i="2"/>
  <c r="G27" i="2"/>
  <c r="H124" i="2"/>
  <c r="I72" i="4"/>
  <c r="I240" i="4"/>
  <c r="K240" i="4" s="1"/>
  <c r="I184" i="4"/>
  <c r="I69" i="4"/>
  <c r="I163" i="4"/>
  <c r="I173" i="4"/>
  <c r="I136" i="4"/>
  <c r="I114" i="4"/>
  <c r="H122" i="2"/>
  <c r="H134" i="2"/>
  <c r="G147" i="2"/>
  <c r="G150" i="2" s="1"/>
  <c r="H118" i="2"/>
  <c r="H120" i="2" s="1"/>
  <c r="H141" i="2"/>
  <c r="I118" i="2"/>
  <c r="I120" i="2" s="1"/>
  <c r="E144" i="2"/>
  <c r="E175" i="2" s="1"/>
  <c r="I141" i="2"/>
  <c r="I134" i="2"/>
  <c r="H147" i="2"/>
  <c r="H150" i="2" s="1"/>
  <c r="I115" i="4"/>
  <c r="F144" i="2"/>
  <c r="F175" i="2" s="1"/>
  <c r="I147" i="2"/>
  <c r="I150" i="2" s="1"/>
  <c r="G52" i="2"/>
  <c r="F62" i="2"/>
  <c r="G144" i="2"/>
  <c r="G175" i="2" s="1"/>
  <c r="I262" i="4"/>
  <c r="I63" i="4"/>
  <c r="I71" i="4"/>
  <c r="I2" i="4"/>
  <c r="I93" i="4"/>
  <c r="I110" i="4"/>
  <c r="I254" i="4"/>
  <c r="I255" i="4"/>
  <c r="I193" i="4"/>
  <c r="I243" i="4"/>
  <c r="I76" i="4"/>
  <c r="I172" i="4"/>
  <c r="I135" i="4"/>
  <c r="I178" i="4"/>
  <c r="H144" i="2"/>
  <c r="H175" i="2" s="1"/>
  <c r="G25" i="2"/>
  <c r="E118" i="2"/>
  <c r="E122" i="2"/>
  <c r="E123" i="2"/>
  <c r="E124" i="2"/>
  <c r="I144" i="2"/>
  <c r="I175" i="2" s="1"/>
  <c r="E141" i="2"/>
  <c r="I97" i="2"/>
  <c r="I263" i="4"/>
  <c r="I208" i="4"/>
  <c r="I109" i="4"/>
  <c r="I122" i="4"/>
  <c r="I82" i="4"/>
  <c r="I101" i="4"/>
  <c r="I123" i="4"/>
  <c r="I84" i="4"/>
  <c r="I132" i="4"/>
  <c r="F118" i="2"/>
  <c r="F120" i="2" s="1"/>
  <c r="F122" i="2"/>
  <c r="F123" i="2"/>
  <c r="F124" i="2"/>
  <c r="F141" i="2"/>
  <c r="F134" i="2"/>
  <c r="E147" i="2"/>
  <c r="F60" i="2"/>
  <c r="G118" i="2"/>
  <c r="G120" i="2" s="1"/>
  <c r="G122" i="2"/>
  <c r="G123" i="2"/>
  <c r="G124" i="2"/>
  <c r="G141" i="2"/>
  <c r="G134" i="2"/>
  <c r="F147" i="2"/>
  <c r="F150" i="2" s="1"/>
  <c r="S133" i="2"/>
  <c r="Q138" i="2"/>
  <c r="M252" i="4" s="1"/>
  <c r="Q140" i="2"/>
  <c r="S127" i="2"/>
  <c r="S138" i="2"/>
  <c r="Q139" i="2"/>
  <c r="M267" i="4" s="1"/>
  <c r="S139" i="2"/>
  <c r="Q127" i="2"/>
  <c r="S140" i="2"/>
  <c r="S125" i="2"/>
  <c r="Q125" i="2"/>
  <c r="Q153" i="2"/>
  <c r="M259" i="4" s="1"/>
  <c r="Q152" i="2"/>
  <c r="S152" i="2"/>
  <c r="S153" i="2"/>
  <c r="Q119" i="2"/>
  <c r="S114" i="2"/>
  <c r="Q116" i="2"/>
  <c r="S115" i="2"/>
  <c r="S117" i="2"/>
  <c r="Q115" i="2"/>
  <c r="Q117" i="2"/>
  <c r="S116" i="2"/>
  <c r="S119" i="2"/>
  <c r="Q114" i="2"/>
  <c r="I65" i="4"/>
  <c r="I98" i="2"/>
  <c r="H86" i="2"/>
  <c r="G86" i="2"/>
  <c r="F86" i="2"/>
  <c r="E86" i="2"/>
  <c r="I86" i="2"/>
  <c r="H42" i="2"/>
  <c r="G42" i="2"/>
  <c r="F42" i="2"/>
  <c r="E42" i="2"/>
  <c r="I42" i="2"/>
  <c r="I6" i="4"/>
  <c r="I204" i="4"/>
  <c r="I152" i="4"/>
  <c r="I49" i="4"/>
  <c r="I169" i="4"/>
  <c r="I133" i="4"/>
  <c r="I180" i="4"/>
  <c r="I181" i="4"/>
  <c r="G24" i="2"/>
  <c r="F106" i="2"/>
  <c r="I11" i="2"/>
  <c r="E11" i="2"/>
  <c r="H44" i="2"/>
  <c r="I44" i="2"/>
  <c r="E44" i="2"/>
  <c r="G44" i="2"/>
  <c r="H61" i="2"/>
  <c r="G61" i="2"/>
  <c r="F61" i="2"/>
  <c r="E61" i="2"/>
  <c r="I61" i="2"/>
  <c r="I15" i="2"/>
  <c r="H15" i="2"/>
  <c r="E15" i="2"/>
  <c r="I23" i="2"/>
  <c r="H23" i="2"/>
  <c r="E23" i="2"/>
  <c r="H28" i="2"/>
  <c r="F28" i="2"/>
  <c r="E28" i="2"/>
  <c r="I28" i="2"/>
  <c r="H30" i="2"/>
  <c r="F30" i="2"/>
  <c r="E30" i="2"/>
  <c r="I30" i="2"/>
  <c r="G11" i="2"/>
  <c r="G26" i="2"/>
  <c r="G33" i="2"/>
  <c r="I74" i="2"/>
  <c r="H74" i="2"/>
  <c r="G74" i="2"/>
  <c r="E74" i="2"/>
  <c r="H107" i="2"/>
  <c r="G107" i="2"/>
  <c r="F107" i="2"/>
  <c r="E107" i="2"/>
  <c r="I107" i="2"/>
  <c r="I73" i="4"/>
  <c r="I246" i="4"/>
  <c r="I58" i="4"/>
  <c r="I60" i="4"/>
  <c r="I83" i="4"/>
  <c r="I166" i="4"/>
  <c r="I68" i="4"/>
  <c r="I99" i="4"/>
  <c r="I239" i="4"/>
  <c r="I113" i="4"/>
  <c r="I171" i="4"/>
  <c r="I134" i="4"/>
  <c r="H11" i="2"/>
  <c r="F15" i="2"/>
  <c r="G28" i="2"/>
  <c r="G30" i="2"/>
  <c r="I36" i="2"/>
  <c r="I164" i="2" s="1"/>
  <c r="H36" i="2"/>
  <c r="H164" i="2" s="1"/>
  <c r="G36" i="2"/>
  <c r="G164" i="2" s="1"/>
  <c r="E36" i="2"/>
  <c r="H26" i="2"/>
  <c r="F26" i="2"/>
  <c r="E26" i="2"/>
  <c r="I26" i="2"/>
  <c r="I41" i="2"/>
  <c r="H41" i="2"/>
  <c r="G41" i="2"/>
  <c r="F41" i="2"/>
  <c r="E41" i="2"/>
  <c r="I106" i="2"/>
  <c r="H106" i="2"/>
  <c r="G106" i="2"/>
  <c r="E106" i="2"/>
  <c r="I78" i="2"/>
  <c r="H78" i="2"/>
  <c r="G78" i="2"/>
  <c r="E78" i="2"/>
  <c r="H79" i="2"/>
  <c r="G79" i="2"/>
  <c r="F79" i="2"/>
  <c r="E79" i="2"/>
  <c r="I79" i="2"/>
  <c r="H33" i="2"/>
  <c r="F33" i="2"/>
  <c r="E33" i="2"/>
  <c r="I33" i="2"/>
  <c r="H105" i="2"/>
  <c r="G105" i="2"/>
  <c r="F105" i="2"/>
  <c r="E105" i="2"/>
  <c r="I105" i="2"/>
  <c r="I62" i="2"/>
  <c r="H62" i="2"/>
  <c r="G62" i="2"/>
  <c r="E62" i="2"/>
  <c r="H24" i="2"/>
  <c r="F24" i="2"/>
  <c r="E24" i="2"/>
  <c r="I24" i="2"/>
  <c r="I25" i="2"/>
  <c r="H25" i="2"/>
  <c r="E25" i="2"/>
  <c r="I27" i="2"/>
  <c r="H27" i="2"/>
  <c r="G15" i="2"/>
  <c r="F23" i="2"/>
  <c r="F78" i="2"/>
  <c r="I74" i="4"/>
  <c r="I244" i="4"/>
  <c r="I96" i="4"/>
  <c r="I119" i="4"/>
  <c r="G23" i="2"/>
  <c r="F25" i="2"/>
  <c r="F36" i="2"/>
  <c r="E27" i="2"/>
  <c r="I52" i="2"/>
  <c r="E60" i="2"/>
  <c r="G60" i="2"/>
  <c r="H60" i="2"/>
  <c r="E108" i="2"/>
  <c r="E97" i="2"/>
  <c r="E98" i="2"/>
  <c r="E14" i="2"/>
  <c r="E52" i="2"/>
  <c r="I60" i="2"/>
  <c r="F108" i="2"/>
  <c r="F97" i="2"/>
  <c r="F98" i="2"/>
  <c r="F14" i="2"/>
  <c r="F52" i="2"/>
  <c r="G108" i="2"/>
  <c r="G97" i="2"/>
  <c r="G98" i="2"/>
  <c r="G14" i="2"/>
  <c r="H108" i="2"/>
  <c r="H97" i="2"/>
  <c r="H98" i="2"/>
  <c r="H14" i="2"/>
  <c r="H52" i="2"/>
  <c r="S50" i="2"/>
  <c r="Q50" i="2"/>
  <c r="Q158" i="2"/>
  <c r="M269" i="4" s="1"/>
  <c r="B8" i="9" l="1"/>
  <c r="C8" i="9" s="1"/>
  <c r="J35" i="9"/>
  <c r="J8" i="9" s="1"/>
  <c r="J14" i="9"/>
  <c r="B14" i="9"/>
  <c r="C14" i="9" s="1"/>
  <c r="J13" i="9"/>
  <c r="B13" i="9"/>
  <c r="C13" i="9" s="1"/>
  <c r="J20" i="9"/>
  <c r="B20" i="9"/>
  <c r="C20" i="9" s="1"/>
  <c r="P192" i="4"/>
  <c r="R192" i="4" s="1"/>
  <c r="T192" i="4" s="1"/>
  <c r="P213" i="4"/>
  <c r="R213" i="4" s="1"/>
  <c r="T213" i="4" s="1"/>
  <c r="P252" i="4"/>
  <c r="R252" i="4" s="1"/>
  <c r="T252" i="4" s="1"/>
  <c r="P267" i="4"/>
  <c r="R267" i="4" s="1"/>
  <c r="T267" i="4" s="1"/>
  <c r="P206" i="4"/>
  <c r="R206" i="4" s="1"/>
  <c r="T206" i="4" s="1"/>
  <c r="P259" i="4"/>
  <c r="R259" i="4" s="1"/>
  <c r="T259" i="4" s="1"/>
  <c r="N267" i="4"/>
  <c r="N206" i="4"/>
  <c r="O269" i="4"/>
  <c r="N252" i="4"/>
  <c r="N192" i="4"/>
  <c r="N213" i="4"/>
  <c r="C9" i="26"/>
  <c r="J277" i="4"/>
  <c r="J282" i="4" s="1"/>
  <c r="I165" i="2"/>
  <c r="H165" i="2"/>
  <c r="G165" i="2"/>
  <c r="M268" i="4"/>
  <c r="P268" i="4" s="1"/>
  <c r="Q173" i="2"/>
  <c r="I274" i="4"/>
  <c r="I275" i="4"/>
  <c r="I272" i="4"/>
  <c r="N269" i="4"/>
  <c r="A15" i="2"/>
  <c r="A11" i="2"/>
  <c r="A14" i="2"/>
  <c r="I280" i="4"/>
  <c r="A57" i="2"/>
  <c r="A122" i="2"/>
  <c r="A98" i="2"/>
  <c r="A24" i="2"/>
  <c r="A105" i="2"/>
  <c r="E120" i="2"/>
  <c r="S120" i="2" s="1"/>
  <c r="A118" i="2"/>
  <c r="A120" i="2" s="1"/>
  <c r="A113" i="2" s="1"/>
  <c r="A97" i="2"/>
  <c r="A106" i="2"/>
  <c r="E150" i="2"/>
  <c r="A147" i="2"/>
  <c r="A108" i="2"/>
  <c r="A144" i="2"/>
  <c r="A107" i="2"/>
  <c r="A141" i="2"/>
  <c r="E134" i="2"/>
  <c r="A131" i="2"/>
  <c r="A134" i="2" s="1"/>
  <c r="A129" i="2" s="1"/>
  <c r="A33" i="2"/>
  <c r="A78" i="2"/>
  <c r="A41" i="2"/>
  <c r="A61" i="2"/>
  <c r="A58" i="2" s="1"/>
  <c r="A124" i="2"/>
  <c r="A35" i="2"/>
  <c r="A96" i="2"/>
  <c r="A123" i="2"/>
  <c r="A51" i="2"/>
  <c r="A52" i="2"/>
  <c r="A46" i="2" s="1"/>
  <c r="A36" i="2"/>
  <c r="A23" i="2"/>
  <c r="A27" i="2"/>
  <c r="A74" i="2"/>
  <c r="A30" i="2"/>
  <c r="A86" i="2"/>
  <c r="A60" i="2"/>
  <c r="A79" i="2"/>
  <c r="A44" i="2"/>
  <c r="A42" i="2"/>
  <c r="A62" i="2"/>
  <c r="A26" i="2"/>
  <c r="A28" i="2"/>
  <c r="A29" i="2"/>
  <c r="A25" i="2"/>
  <c r="A72" i="2"/>
  <c r="I111" i="2"/>
  <c r="E111" i="2"/>
  <c r="F111" i="2"/>
  <c r="G111" i="2"/>
  <c r="H111" i="2"/>
  <c r="I281" i="4"/>
  <c r="K243" i="4"/>
  <c r="F17" i="10"/>
  <c r="B17" i="10" s="1"/>
  <c r="C17" i="10" s="1"/>
  <c r="K255" i="4"/>
  <c r="F25" i="10"/>
  <c r="B25" i="10" s="1"/>
  <c r="C25" i="10" s="1"/>
  <c r="K244" i="4"/>
  <c r="K238" i="4"/>
  <c r="K239" i="4"/>
  <c r="Q96" i="2"/>
  <c r="M245" i="4" s="1"/>
  <c r="S96" i="2"/>
  <c r="M238" i="4"/>
  <c r="M153" i="4"/>
  <c r="F26" i="10"/>
  <c r="B26" i="10" s="1"/>
  <c r="C26" i="10" s="1"/>
  <c r="M257" i="4"/>
  <c r="P257" i="4" s="1"/>
  <c r="M222" i="4"/>
  <c r="M221" i="4"/>
  <c r="M225" i="4"/>
  <c r="M224" i="4"/>
  <c r="M223" i="4"/>
  <c r="N259" i="4"/>
  <c r="M228" i="4"/>
  <c r="M227" i="4"/>
  <c r="M230" i="4"/>
  <c r="M229" i="4"/>
  <c r="S51" i="2"/>
  <c r="Q51" i="2"/>
  <c r="M233" i="4" s="1"/>
  <c r="S35" i="2"/>
  <c r="Q35" i="2"/>
  <c r="M183" i="4" s="1"/>
  <c r="F23" i="10"/>
  <c r="B23" i="10" s="1"/>
  <c r="C23" i="10" s="1"/>
  <c r="F18" i="10"/>
  <c r="B18" i="10" s="1"/>
  <c r="C18" i="10" s="1"/>
  <c r="F16" i="10"/>
  <c r="B16" i="10" s="1"/>
  <c r="C16" i="10" s="1"/>
  <c r="H128" i="2"/>
  <c r="S123" i="2"/>
  <c r="S141" i="2"/>
  <c r="Q144" i="2"/>
  <c r="S124" i="2"/>
  <c r="Q118" i="2"/>
  <c r="Q123" i="2"/>
  <c r="M255" i="4" s="1"/>
  <c r="S122" i="2"/>
  <c r="S144" i="2"/>
  <c r="Q124" i="2"/>
  <c r="M256" i="4" s="1"/>
  <c r="M193" i="4"/>
  <c r="P193" i="4" s="1"/>
  <c r="Q141" i="2"/>
  <c r="G128" i="2"/>
  <c r="E128" i="2"/>
  <c r="Q122" i="2"/>
  <c r="F128" i="2"/>
  <c r="I128" i="2"/>
  <c r="S118" i="2"/>
  <c r="Q154" i="2"/>
  <c r="Q97" i="2"/>
  <c r="M243" i="4" s="1"/>
  <c r="S98" i="2"/>
  <c r="Q108" i="2"/>
  <c r="M239" i="4"/>
  <c r="S41" i="2"/>
  <c r="Q86" i="2"/>
  <c r="M214" i="4" s="1"/>
  <c r="M240" i="4"/>
  <c r="Q14" i="2"/>
  <c r="M247" i="4" s="1"/>
  <c r="S44" i="2"/>
  <c r="S42" i="2"/>
  <c r="S108" i="2"/>
  <c r="S14" i="2"/>
  <c r="S86" i="2"/>
  <c r="S97" i="2"/>
  <c r="Q98" i="2"/>
  <c r="M244" i="4" s="1"/>
  <c r="M236" i="4"/>
  <c r="M237" i="4"/>
  <c r="Q44" i="2"/>
  <c r="M204" i="4" s="1"/>
  <c r="Q41" i="2"/>
  <c r="M186" i="4" s="1"/>
  <c r="Q42" i="2"/>
  <c r="M189" i="4" s="1"/>
  <c r="P230" i="4" l="1"/>
  <c r="R230" i="4" s="1"/>
  <c r="T230" i="4" s="1"/>
  <c r="P189" i="4"/>
  <c r="R189" i="4" s="1"/>
  <c r="T189" i="4" s="1"/>
  <c r="P239" i="4"/>
  <c r="R239" i="4" s="1"/>
  <c r="T239" i="4" s="1"/>
  <c r="P255" i="4"/>
  <c r="R255" i="4" s="1"/>
  <c r="T255" i="4" s="1"/>
  <c r="P227" i="4"/>
  <c r="R227" i="4" s="1"/>
  <c r="T227" i="4" s="1"/>
  <c r="P228" i="4"/>
  <c r="R228" i="4" s="1"/>
  <c r="T228" i="4" s="1"/>
  <c r="P269" i="4"/>
  <c r="R269" i="4" s="1"/>
  <c r="T269" i="4" s="1"/>
  <c r="P186" i="4"/>
  <c r="R186" i="4" s="1"/>
  <c r="T186" i="4" s="1"/>
  <c r="P183" i="4"/>
  <c r="R183" i="4" s="1"/>
  <c r="T183" i="4" s="1"/>
  <c r="P153" i="4"/>
  <c r="R153" i="4" s="1"/>
  <c r="T153" i="4" s="1"/>
  <c r="P204" i="4"/>
  <c r="R204" i="4" s="1"/>
  <c r="T204" i="4" s="1"/>
  <c r="P238" i="4"/>
  <c r="R238" i="4" s="1"/>
  <c r="T238" i="4" s="1"/>
  <c r="P237" i="4"/>
  <c r="R237" i="4" s="1"/>
  <c r="T237" i="4" s="1"/>
  <c r="P243" i="4"/>
  <c r="R243" i="4" s="1"/>
  <c r="T243" i="4" s="1"/>
  <c r="P223" i="4"/>
  <c r="R223" i="4" s="1"/>
  <c r="T223" i="4" s="1"/>
  <c r="P236" i="4"/>
  <c r="R236" i="4" s="1"/>
  <c r="T236" i="4" s="1"/>
  <c r="P247" i="4"/>
  <c r="R247" i="4" s="1"/>
  <c r="T247" i="4" s="1"/>
  <c r="P233" i="4"/>
  <c r="R233" i="4" s="1"/>
  <c r="T233" i="4" s="1"/>
  <c r="P224" i="4"/>
  <c r="R224" i="4" s="1"/>
  <c r="T224" i="4" s="1"/>
  <c r="P244" i="4"/>
  <c r="R244" i="4" s="1"/>
  <c r="T244" i="4" s="1"/>
  <c r="P240" i="4"/>
  <c r="R240" i="4" s="1"/>
  <c r="T240" i="4" s="1"/>
  <c r="P256" i="4"/>
  <c r="R256" i="4" s="1"/>
  <c r="T256" i="4" s="1"/>
  <c r="P225" i="4"/>
  <c r="R225" i="4" s="1"/>
  <c r="T225" i="4" s="1"/>
  <c r="P245" i="4"/>
  <c r="R245" i="4" s="1"/>
  <c r="T245" i="4" s="1"/>
  <c r="P214" i="4"/>
  <c r="R214" i="4" s="1"/>
  <c r="T214" i="4" s="1"/>
  <c r="P229" i="4"/>
  <c r="R229" i="4" s="1"/>
  <c r="T229" i="4" s="1"/>
  <c r="P221" i="4"/>
  <c r="R221" i="4" s="1"/>
  <c r="T221" i="4" s="1"/>
  <c r="P222" i="4"/>
  <c r="R222" i="4" s="1"/>
  <c r="T222" i="4" s="1"/>
  <c r="N228" i="4"/>
  <c r="N204" i="4"/>
  <c r="N183" i="4"/>
  <c r="N153" i="4"/>
  <c r="N230" i="4"/>
  <c r="N239" i="4"/>
  <c r="N189" i="4"/>
  <c r="N255" i="4"/>
  <c r="N237" i="4"/>
  <c r="N223" i="4"/>
  <c r="N247" i="4"/>
  <c r="N193" i="4"/>
  <c r="Q193" i="4"/>
  <c r="R193" i="4" s="1"/>
  <c r="T193" i="4" s="1"/>
  <c r="N233" i="4"/>
  <c r="N224" i="4"/>
  <c r="N186" i="4"/>
  <c r="N243" i="4"/>
  <c r="N238" i="4"/>
  <c r="N244" i="4"/>
  <c r="N256" i="4"/>
  <c r="N225" i="4"/>
  <c r="N245" i="4"/>
  <c r="N236" i="4"/>
  <c r="N240" i="4"/>
  <c r="N214" i="4"/>
  <c r="N229" i="4"/>
  <c r="N221" i="4"/>
  <c r="N222" i="4"/>
  <c r="N268" i="4"/>
  <c r="Q268" i="4"/>
  <c r="R268" i="4" s="1"/>
  <c r="T268" i="4" s="1"/>
  <c r="N227" i="4"/>
  <c r="N257" i="4"/>
  <c r="Q257" i="4"/>
  <c r="R257" i="4" s="1"/>
  <c r="T257" i="4" s="1"/>
  <c r="M265" i="4"/>
  <c r="P265" i="4" s="1"/>
  <c r="Q175" i="2"/>
  <c r="M262" i="4"/>
  <c r="M254" i="4"/>
  <c r="Q128" i="2"/>
  <c r="A145" i="2"/>
  <c r="A137" i="2" s="1"/>
  <c r="A99" i="2"/>
  <c r="A37" i="2"/>
  <c r="A111" i="2"/>
  <c r="A53" i="2"/>
  <c r="A128" i="2"/>
  <c r="A121" i="2" s="1"/>
  <c r="A45" i="2"/>
  <c r="A39" i="2" s="1"/>
  <c r="A146" i="2"/>
  <c r="A150" i="2"/>
  <c r="A22" i="2"/>
  <c r="A73" i="2"/>
  <c r="A83" i="2" s="1"/>
  <c r="A31" i="2"/>
  <c r="M263" i="4"/>
  <c r="M264" i="4"/>
  <c r="P264" i="4" s="1"/>
  <c r="Q120" i="2"/>
  <c r="M226" i="4"/>
  <c r="S128" i="2"/>
  <c r="P226" i="4" l="1"/>
  <c r="R226" i="4" s="1"/>
  <c r="T226" i="4" s="1"/>
  <c r="P254" i="4"/>
  <c r="R254" i="4" s="1"/>
  <c r="T254" i="4" s="1"/>
  <c r="P262" i="4"/>
  <c r="R262" i="4" s="1"/>
  <c r="T262" i="4" s="1"/>
  <c r="P263" i="4"/>
  <c r="R263" i="4" s="1"/>
  <c r="T263" i="4" s="1"/>
  <c r="N226" i="4"/>
  <c r="N264" i="4"/>
  <c r="Q264" i="4"/>
  <c r="R264" i="4" s="1"/>
  <c r="T264" i="4" s="1"/>
  <c r="N263" i="4"/>
  <c r="N254" i="4"/>
  <c r="N262" i="4"/>
  <c r="N265" i="4"/>
  <c r="Q265" i="4"/>
  <c r="R265" i="4" s="1"/>
  <c r="T265" i="4" s="1"/>
  <c r="A112" i="2"/>
  <c r="A10" i="2"/>
  <c r="A38" i="2"/>
  <c r="G14" i="11"/>
  <c r="G13" i="11"/>
  <c r="G12" i="11"/>
  <c r="F16" i="11"/>
  <c r="F22" i="11" s="1"/>
  <c r="F28" i="11" s="1"/>
  <c r="E16" i="11"/>
  <c r="E22" i="11" s="1"/>
  <c r="D16" i="11"/>
  <c r="D22" i="11" s="1"/>
  <c r="D28" i="11" s="1"/>
  <c r="H29" i="10"/>
  <c r="F29" i="10"/>
  <c r="H14" i="10"/>
  <c r="H20" i="10" s="1"/>
  <c r="F14" i="10"/>
  <c r="H41" i="9"/>
  <c r="H76" i="9" s="1"/>
  <c r="F41" i="9"/>
  <c r="F76" i="9" s="1"/>
  <c r="H24" i="9"/>
  <c r="F24" i="9"/>
  <c r="H16" i="9"/>
  <c r="H75" i="9" s="1"/>
  <c r="F16" i="9"/>
  <c r="E9" i="9"/>
  <c r="E12" i="9" s="1"/>
  <c r="E13" i="9" s="1"/>
  <c r="E14" i="9" s="1"/>
  <c r="E19" i="9" s="1"/>
  <c r="E20" i="9" s="1"/>
  <c r="E21" i="9" s="1"/>
  <c r="E30" i="9" s="1"/>
  <c r="E31" i="9" s="1"/>
  <c r="E33" i="9" s="1"/>
  <c r="E34" i="9" s="1"/>
  <c r="K268" i="4"/>
  <c r="K267" i="4"/>
  <c r="K260" i="4"/>
  <c r="K259" i="4"/>
  <c r="K257" i="4"/>
  <c r="K253" i="4"/>
  <c r="K252" i="4"/>
  <c r="K251" i="4"/>
  <c r="K250" i="4"/>
  <c r="K249" i="4"/>
  <c r="K247" i="4"/>
  <c r="K245" i="4"/>
  <c r="K242" i="4"/>
  <c r="K241" i="4"/>
  <c r="K235" i="4"/>
  <c r="K233" i="4"/>
  <c r="K232" i="4"/>
  <c r="K231" i="4"/>
  <c r="K230" i="4"/>
  <c r="K229" i="4"/>
  <c r="K228" i="4"/>
  <c r="K227" i="4"/>
  <c r="K226" i="4"/>
  <c r="K225" i="4"/>
  <c r="K224" i="4"/>
  <c r="K223" i="4"/>
  <c r="K222" i="4"/>
  <c r="K221" i="4"/>
  <c r="K215" i="4"/>
  <c r="K213" i="4"/>
  <c r="K212" i="4"/>
  <c r="K211" i="4"/>
  <c r="K207" i="4"/>
  <c r="K204" i="4"/>
  <c r="K199" i="4"/>
  <c r="K192" i="4"/>
  <c r="K191" i="4"/>
  <c r="K187" i="4"/>
  <c r="K185" i="4"/>
  <c r="K186" i="4"/>
  <c r="K184" i="4"/>
  <c r="K182" i="4"/>
  <c r="K179" i="4"/>
  <c r="K177" i="4"/>
  <c r="K175" i="4"/>
  <c r="K167" i="4"/>
  <c r="K166" i="4"/>
  <c r="K158" i="4"/>
  <c r="K157" i="4"/>
  <c r="K156" i="4"/>
  <c r="K155" i="4"/>
  <c r="K154" i="4"/>
  <c r="K153" i="4"/>
  <c r="F63" i="3"/>
  <c r="E52" i="3"/>
  <c r="F25" i="3"/>
  <c r="F22" i="3"/>
  <c r="F24" i="3"/>
  <c r="F42" i="3"/>
  <c r="F62" i="8"/>
  <c r="F53" i="8"/>
  <c r="F51" i="8"/>
  <c r="F47" i="8"/>
  <c r="F78" i="3"/>
  <c r="F77" i="3"/>
  <c r="F76" i="3"/>
  <c r="E71" i="3"/>
  <c r="F70" i="3"/>
  <c r="F69" i="3"/>
  <c r="E68" i="3"/>
  <c r="F65" i="3"/>
  <c r="F61" i="3"/>
  <c r="F51" i="3"/>
  <c r="F47" i="3"/>
  <c r="F44" i="3"/>
  <c r="F43" i="3"/>
  <c r="F41" i="3"/>
  <c r="E34" i="3"/>
  <c r="F33" i="3"/>
  <c r="F31" i="3"/>
  <c r="E29" i="3"/>
  <c r="F19" i="3"/>
  <c r="F18" i="3"/>
  <c r="F17" i="3"/>
  <c r="F16" i="3"/>
  <c r="F15" i="3"/>
  <c r="F14" i="3"/>
  <c r="K201" i="4"/>
  <c r="K173" i="4"/>
  <c r="K170" i="4"/>
  <c r="K193" i="4"/>
  <c r="K254" i="4"/>
  <c r="K266" i="4"/>
  <c r="K174" i="4"/>
  <c r="K210" i="4"/>
  <c r="D22" i="10" l="1"/>
  <c r="B29" i="10"/>
  <c r="C29" i="10" s="1"/>
  <c r="F20" i="10"/>
  <c r="B20" i="10" s="1"/>
  <c r="C20" i="10" s="1"/>
  <c r="B14" i="10"/>
  <c r="C14" i="10" s="1"/>
  <c r="F75" i="9"/>
  <c r="F78" i="9" s="1"/>
  <c r="B16" i="9"/>
  <c r="C16" i="9" s="1"/>
  <c r="E36" i="9"/>
  <c r="E37" i="9" s="1"/>
  <c r="E38" i="9" s="1"/>
  <c r="E39" i="9" s="1"/>
  <c r="E46" i="9" s="1"/>
  <c r="E16" i="10" s="1"/>
  <c r="E17" i="10" s="1"/>
  <c r="E35" i="9"/>
  <c r="H31" i="10"/>
  <c r="H35" i="10" s="1"/>
  <c r="F26" i="9"/>
  <c r="F86" i="9" s="1"/>
  <c r="H77" i="9"/>
  <c r="H43" i="9"/>
  <c r="H26" i="9"/>
  <c r="H78" i="9"/>
  <c r="G16" i="11"/>
  <c r="G22" i="11" s="1"/>
  <c r="F43" i="9"/>
  <c r="F81" i="9" s="1"/>
  <c r="E66" i="3"/>
  <c r="F73" i="3"/>
  <c r="K198" i="4"/>
  <c r="F28" i="3"/>
  <c r="F57" i="2"/>
  <c r="I53" i="2"/>
  <c r="I166" i="2" s="1"/>
  <c r="F62" i="3"/>
  <c r="K171" i="4"/>
  <c r="K172" i="4"/>
  <c r="F45" i="3"/>
  <c r="K189" i="4"/>
  <c r="F79" i="3"/>
  <c r="F21" i="3"/>
  <c r="K195" i="4"/>
  <c r="K216" i="4"/>
  <c r="E53" i="2"/>
  <c r="G9" i="2"/>
  <c r="F71" i="3"/>
  <c r="E48" i="3"/>
  <c r="E12" i="3"/>
  <c r="E35" i="3" s="1"/>
  <c r="E82" i="3"/>
  <c r="E84" i="3" s="1"/>
  <c r="F38" i="3"/>
  <c r="F11" i="3"/>
  <c r="F55" i="3"/>
  <c r="F10" i="3"/>
  <c r="F9" i="3"/>
  <c r="F9" i="2"/>
  <c r="D34" i="3"/>
  <c r="K262" i="4"/>
  <c r="K208" i="4"/>
  <c r="F39" i="3"/>
  <c r="K181" i="4"/>
  <c r="S21" i="2"/>
  <c r="F53" i="2"/>
  <c r="G57" i="2"/>
  <c r="S56" i="2"/>
  <c r="S87" i="2"/>
  <c r="S102" i="2"/>
  <c r="S104" i="2"/>
  <c r="S109" i="2"/>
  <c r="F37" i="3"/>
  <c r="F27" i="3"/>
  <c r="D68" i="3"/>
  <c r="K169" i="4"/>
  <c r="H9" i="2"/>
  <c r="K163" i="4"/>
  <c r="K178" i="4"/>
  <c r="Q29" i="2"/>
  <c r="M179" i="4" s="1"/>
  <c r="Q49" i="2"/>
  <c r="Q52" i="2"/>
  <c r="M234" i="4" s="1"/>
  <c r="Q70" i="2"/>
  <c r="M218" i="4" s="1"/>
  <c r="Q77" i="2"/>
  <c r="E9" i="2"/>
  <c r="I9" i="2"/>
  <c r="S19" i="2"/>
  <c r="G53" i="2"/>
  <c r="G166" i="2" s="1"/>
  <c r="Q48" i="2"/>
  <c r="H57" i="2"/>
  <c r="Q72" i="2"/>
  <c r="M220" i="4" s="1"/>
  <c r="F32" i="3"/>
  <c r="F34" i="3" s="1"/>
  <c r="S20" i="2"/>
  <c r="S40" i="2"/>
  <c r="H53" i="2"/>
  <c r="H166" i="2" s="1"/>
  <c r="S55" i="2"/>
  <c r="I57" i="2"/>
  <c r="S84" i="2"/>
  <c r="S95" i="2"/>
  <c r="S100" i="2"/>
  <c r="S105" i="2"/>
  <c r="S110" i="2"/>
  <c r="F43" i="8"/>
  <c r="F41" i="8"/>
  <c r="F13" i="8"/>
  <c r="F42" i="8"/>
  <c r="F40" i="8"/>
  <c r="F12" i="8"/>
  <c r="K263" i="4"/>
  <c r="K152" i="4"/>
  <c r="Q19" i="2"/>
  <c r="M175" i="4" s="1"/>
  <c r="S7" i="2"/>
  <c r="K246" i="4"/>
  <c r="K180" i="4"/>
  <c r="Q7" i="2"/>
  <c r="M150" i="4" s="1"/>
  <c r="P150" i="4" s="1"/>
  <c r="R150" i="4" s="1"/>
  <c r="T150" i="4" s="1"/>
  <c r="Q20" i="2"/>
  <c r="Q21" i="2"/>
  <c r="S29" i="2"/>
  <c r="Q40" i="2"/>
  <c r="M185" i="4" s="1"/>
  <c r="S47" i="2"/>
  <c r="S48" i="2"/>
  <c r="S49" i="2"/>
  <c r="S52" i="2"/>
  <c r="Q55" i="2"/>
  <c r="Q56" i="2"/>
  <c r="E57" i="2"/>
  <c r="S70" i="2"/>
  <c r="S72" i="2"/>
  <c r="S77" i="2"/>
  <c r="Q84" i="2"/>
  <c r="Q95" i="2"/>
  <c r="M241" i="4" s="1"/>
  <c r="Q87" i="2"/>
  <c r="Q100" i="2"/>
  <c r="Q102" i="2"/>
  <c r="M200" i="4" s="1"/>
  <c r="Q47" i="2"/>
  <c r="S103" i="2"/>
  <c r="Q103" i="2"/>
  <c r="M242" i="4" s="1"/>
  <c r="Q104" i="2"/>
  <c r="M253" i="4" s="1"/>
  <c r="Q105" i="2"/>
  <c r="M248" i="4" s="1"/>
  <c r="Q109" i="2"/>
  <c r="M159" i="4" s="1"/>
  <c r="Q110" i="2"/>
  <c r="S158" i="2"/>
  <c r="D12" i="3"/>
  <c r="D71" i="3"/>
  <c r="F77" i="9" l="1"/>
  <c r="F31" i="10"/>
  <c r="H39" i="10"/>
  <c r="H49" i="9"/>
  <c r="H51" i="9" s="1"/>
  <c r="H82" i="9" s="1"/>
  <c r="P241" i="4"/>
  <c r="R241" i="4" s="1"/>
  <c r="T241" i="4" s="1"/>
  <c r="P220" i="4"/>
  <c r="R220" i="4" s="1"/>
  <c r="T220" i="4" s="1"/>
  <c r="P218" i="4"/>
  <c r="R218" i="4" s="1"/>
  <c r="T218" i="4" s="1"/>
  <c r="P159" i="4"/>
  <c r="R159" i="4" s="1"/>
  <c r="T159" i="4" s="1"/>
  <c r="P234" i="4"/>
  <c r="R234" i="4" s="1"/>
  <c r="T234" i="4" s="1"/>
  <c r="P242" i="4"/>
  <c r="R242" i="4" s="1"/>
  <c r="T242" i="4" s="1"/>
  <c r="P253" i="4"/>
  <c r="R253" i="4" s="1"/>
  <c r="T253" i="4" s="1"/>
  <c r="P179" i="4"/>
  <c r="R179" i="4" s="1"/>
  <c r="T179" i="4" s="1"/>
  <c r="P185" i="4"/>
  <c r="R185" i="4" s="1"/>
  <c r="T185" i="4" s="1"/>
  <c r="P175" i="4"/>
  <c r="R175" i="4" s="1"/>
  <c r="T175" i="4" s="1"/>
  <c r="P248" i="4"/>
  <c r="R248" i="4" s="1"/>
  <c r="T248" i="4" s="1"/>
  <c r="P200" i="4"/>
  <c r="R200" i="4" s="1"/>
  <c r="T200" i="4" s="1"/>
  <c r="N242" i="4"/>
  <c r="N220" i="4"/>
  <c r="N218" i="4"/>
  <c r="N200" i="4"/>
  <c r="N248" i="4"/>
  <c r="N241" i="4"/>
  <c r="N253" i="4"/>
  <c r="N234" i="4"/>
  <c r="N179" i="4"/>
  <c r="N175" i="4"/>
  <c r="N185" i="4"/>
  <c r="M177" i="4"/>
  <c r="Q172" i="2"/>
  <c r="N150" i="4"/>
  <c r="M197" i="4"/>
  <c r="M212" i="4"/>
  <c r="M158" i="4"/>
  <c r="N159" i="4"/>
  <c r="M207" i="4"/>
  <c r="M219" i="4"/>
  <c r="M157" i="4"/>
  <c r="M199" i="4"/>
  <c r="M232" i="4"/>
  <c r="M231" i="4"/>
  <c r="F85" i="9"/>
  <c r="F87" i="9" s="1"/>
  <c r="H81" i="9"/>
  <c r="H85" i="9"/>
  <c r="H86" i="9"/>
  <c r="E86" i="3"/>
  <c r="F60" i="3"/>
  <c r="F29" i="3"/>
  <c r="F27" i="8"/>
  <c r="F53" i="3"/>
  <c r="D29" i="3"/>
  <c r="D35" i="3" s="1"/>
  <c r="Q9" i="2"/>
  <c r="F81" i="3"/>
  <c r="I99" i="2"/>
  <c r="E99" i="2"/>
  <c r="H45" i="2"/>
  <c r="G45" i="2"/>
  <c r="F67" i="3"/>
  <c r="F68" i="3" s="1"/>
  <c r="G99" i="2"/>
  <c r="Q147" i="2"/>
  <c r="E45" i="2"/>
  <c r="I45" i="2"/>
  <c r="K272" i="4"/>
  <c r="F99" i="2"/>
  <c r="D48" i="3"/>
  <c r="Q53" i="2"/>
  <c r="F45" i="2"/>
  <c r="F145" i="2"/>
  <c r="H99" i="2"/>
  <c r="F48" i="3"/>
  <c r="E56" i="3"/>
  <c r="E58" i="3" s="1"/>
  <c r="F12" i="3"/>
  <c r="S57" i="2"/>
  <c r="H22" i="2"/>
  <c r="H145" i="2"/>
  <c r="I145" i="2"/>
  <c r="S9" i="2"/>
  <c r="G145" i="2"/>
  <c r="Q62" i="2"/>
  <c r="M201" i="4" s="1"/>
  <c r="S62" i="2"/>
  <c r="H73" i="2"/>
  <c r="I73" i="2"/>
  <c r="E37" i="2"/>
  <c r="Q32" i="2"/>
  <c r="M176" i="4" s="1"/>
  <c r="P176" i="4" s="1"/>
  <c r="S32" i="2"/>
  <c r="Q81" i="2"/>
  <c r="S81" i="2"/>
  <c r="Q28" i="2"/>
  <c r="M180" i="4" s="1"/>
  <c r="S28" i="2"/>
  <c r="E31" i="2"/>
  <c r="Q23" i="2"/>
  <c r="M170" i="4" s="1"/>
  <c r="S23" i="2"/>
  <c r="D52" i="3"/>
  <c r="F49" i="3"/>
  <c r="F52" i="3" s="1"/>
  <c r="E22" i="2"/>
  <c r="S11" i="2"/>
  <c r="Q11" i="2"/>
  <c r="M163" i="4" s="1"/>
  <c r="Q79" i="2"/>
  <c r="M205" i="4" s="1"/>
  <c r="S79" i="2"/>
  <c r="E83" i="2"/>
  <c r="Q74" i="2"/>
  <c r="S74" i="2"/>
  <c r="F38" i="8"/>
  <c r="F24" i="8"/>
  <c r="F67" i="8"/>
  <c r="F69" i="8" s="1"/>
  <c r="S53" i="2"/>
  <c r="G22" i="2"/>
  <c r="S89" i="2"/>
  <c r="Q89" i="2"/>
  <c r="M216" i="4" s="1"/>
  <c r="G73" i="2"/>
  <c r="E145" i="2"/>
  <c r="H37" i="2"/>
  <c r="I37" i="2"/>
  <c r="E29" i="8"/>
  <c r="E34" i="8" s="1"/>
  <c r="F72" i="3"/>
  <c r="H31" i="2"/>
  <c r="I31" i="2"/>
  <c r="Q61" i="2"/>
  <c r="M211" i="4" s="1"/>
  <c r="S61" i="2"/>
  <c r="S106" i="2"/>
  <c r="Q106" i="2"/>
  <c r="M246" i="4" s="1"/>
  <c r="Q15" i="2"/>
  <c r="M169" i="4" s="1"/>
  <c r="S15" i="2"/>
  <c r="H83" i="2"/>
  <c r="I83" i="2"/>
  <c r="F32" i="8"/>
  <c r="F30" i="8"/>
  <c r="Q57" i="2"/>
  <c r="Q26" i="2"/>
  <c r="M173" i="4" s="1"/>
  <c r="S26" i="2"/>
  <c r="S107" i="2"/>
  <c r="Q107" i="2"/>
  <c r="M260" i="4" s="1"/>
  <c r="Q260" i="4" s="1"/>
  <c r="F73" i="2"/>
  <c r="G37" i="2"/>
  <c r="E45" i="8"/>
  <c r="E54" i="8"/>
  <c r="F22" i="2"/>
  <c r="G31" i="2"/>
  <c r="Q82" i="2"/>
  <c r="S82" i="2"/>
  <c r="F75" i="3"/>
  <c r="G83" i="2"/>
  <c r="F48" i="8"/>
  <c r="D54" i="8"/>
  <c r="F39" i="8"/>
  <c r="F25" i="8"/>
  <c r="F37" i="8"/>
  <c r="D45" i="8"/>
  <c r="E73" i="2"/>
  <c r="Q60" i="2"/>
  <c r="M195" i="4" s="1"/>
  <c r="S60" i="2"/>
  <c r="Q33" i="2"/>
  <c r="M166" i="4" s="1"/>
  <c r="S33" i="2"/>
  <c r="Q36" i="2"/>
  <c r="M184" i="4" s="1"/>
  <c r="S36" i="2"/>
  <c r="Q78" i="2"/>
  <c r="M210" i="4" s="1"/>
  <c r="S78" i="2"/>
  <c r="F37" i="2"/>
  <c r="F31" i="2"/>
  <c r="I22" i="2"/>
  <c r="Q27" i="2"/>
  <c r="M178" i="4" s="1"/>
  <c r="S27" i="2"/>
  <c r="Q24" i="2"/>
  <c r="M171" i="4" s="1"/>
  <c r="S24" i="2"/>
  <c r="Q30" i="2"/>
  <c r="M181" i="4" s="1"/>
  <c r="S30" i="2"/>
  <c r="Q25" i="2"/>
  <c r="M172" i="4" s="1"/>
  <c r="S25" i="2"/>
  <c r="F83" i="2"/>
  <c r="F23" i="8"/>
  <c r="F31" i="8"/>
  <c r="F49" i="8"/>
  <c r="F35" i="10" l="1"/>
  <c r="B31" i="10"/>
  <c r="C31" i="10" s="1"/>
  <c r="H83" i="9"/>
  <c r="H53" i="9"/>
  <c r="H65" i="9" s="1"/>
  <c r="P205" i="4"/>
  <c r="R205" i="4" s="1"/>
  <c r="S205" i="4" s="1"/>
  <c r="P177" i="4"/>
  <c r="R177" i="4" s="1"/>
  <c r="T177" i="4" s="1"/>
  <c r="P260" i="4"/>
  <c r="R260" i="4" s="1"/>
  <c r="T260" i="4" s="1"/>
  <c r="P157" i="4"/>
  <c r="R157" i="4" s="1"/>
  <c r="T157" i="4" s="1"/>
  <c r="P184" i="4"/>
  <c r="R184" i="4" s="1"/>
  <c r="T184" i="4" s="1"/>
  <c r="P169" i="4"/>
  <c r="R169" i="4" s="1"/>
  <c r="T169" i="4" s="1"/>
  <c r="P219" i="4"/>
  <c r="R219" i="4" s="1"/>
  <c r="T219" i="4" s="1"/>
  <c r="P170" i="4"/>
  <c r="R170" i="4" s="1"/>
  <c r="T170" i="4" s="1"/>
  <c r="P178" i="4"/>
  <c r="R178" i="4" s="1"/>
  <c r="T178" i="4" s="1"/>
  <c r="P173" i="4"/>
  <c r="R173" i="4" s="1"/>
  <c r="T173" i="4" s="1"/>
  <c r="P246" i="4"/>
  <c r="R246" i="4" s="1"/>
  <c r="T246" i="4" s="1"/>
  <c r="P163" i="4"/>
  <c r="R163" i="4" s="1"/>
  <c r="T163" i="4" s="1"/>
  <c r="P207" i="4"/>
  <c r="R207" i="4" s="1"/>
  <c r="T207" i="4" s="1"/>
  <c r="P232" i="4"/>
  <c r="R232" i="4" s="1"/>
  <c r="T232" i="4" s="1"/>
  <c r="P166" i="4"/>
  <c r="R166" i="4" s="1"/>
  <c r="T166" i="4" s="1"/>
  <c r="P172" i="4"/>
  <c r="R172" i="4" s="1"/>
  <c r="T172" i="4" s="1"/>
  <c r="P201" i="4"/>
  <c r="R201" i="4" s="1"/>
  <c r="T201" i="4" s="1"/>
  <c r="P158" i="4"/>
  <c r="R158" i="4" s="1"/>
  <c r="T158" i="4" s="1"/>
  <c r="P216" i="4"/>
  <c r="R216" i="4" s="1"/>
  <c r="T216" i="4" s="1"/>
  <c r="P171" i="4"/>
  <c r="R171" i="4" s="1"/>
  <c r="T171" i="4" s="1"/>
  <c r="P180" i="4"/>
  <c r="R180" i="4" s="1"/>
  <c r="T180" i="4" s="1"/>
  <c r="P195" i="4"/>
  <c r="R195" i="4" s="1"/>
  <c r="T195" i="4" s="1"/>
  <c r="P211" i="4"/>
  <c r="R211" i="4" s="1"/>
  <c r="T211" i="4" s="1"/>
  <c r="P231" i="4"/>
  <c r="R231" i="4" s="1"/>
  <c r="T231" i="4" s="1"/>
  <c r="P212" i="4"/>
  <c r="R212" i="4" s="1"/>
  <c r="T212" i="4" s="1"/>
  <c r="P181" i="4"/>
  <c r="R181" i="4" s="1"/>
  <c r="T181" i="4" s="1"/>
  <c r="P197" i="4"/>
  <c r="R197" i="4" s="1"/>
  <c r="T197" i="4" s="1"/>
  <c r="P199" i="4"/>
  <c r="R199" i="4" s="1"/>
  <c r="T199" i="4" s="1"/>
  <c r="P210" i="4"/>
  <c r="R210" i="4" s="1"/>
  <c r="T210" i="4" s="1"/>
  <c r="N173" i="4"/>
  <c r="N166" i="4"/>
  <c r="N180" i="4"/>
  <c r="N171" i="4"/>
  <c r="N205" i="4"/>
  <c r="N246" i="4"/>
  <c r="N172" i="4"/>
  <c r="N201" i="4"/>
  <c r="N158" i="4"/>
  <c r="N211" i="4"/>
  <c r="N231" i="4"/>
  <c r="N212" i="4"/>
  <c r="N216" i="4"/>
  <c r="N232" i="4"/>
  <c r="N197" i="4"/>
  <c r="N195" i="4"/>
  <c r="N260" i="4"/>
  <c r="N176" i="4"/>
  <c r="Q176" i="4"/>
  <c r="R176" i="4" s="1"/>
  <c r="T176" i="4" s="1"/>
  <c r="N199" i="4"/>
  <c r="N210" i="4"/>
  <c r="N170" i="4"/>
  <c r="N157" i="4"/>
  <c r="N181" i="4"/>
  <c r="N169" i="4"/>
  <c r="N219" i="4"/>
  <c r="N177" i="4"/>
  <c r="N184" i="4"/>
  <c r="N178" i="4"/>
  <c r="N207" i="4"/>
  <c r="M191" i="4"/>
  <c r="Q134" i="2"/>
  <c r="Q83" i="2"/>
  <c r="Q99" i="2"/>
  <c r="Q111" i="2"/>
  <c r="S134" i="2"/>
  <c r="M208" i="4"/>
  <c r="M196" i="4"/>
  <c r="S111" i="2"/>
  <c r="M152" i="4"/>
  <c r="Q150" i="2"/>
  <c r="H87" i="9"/>
  <c r="N163" i="4"/>
  <c r="F112" i="2"/>
  <c r="H112" i="2"/>
  <c r="I112" i="2"/>
  <c r="E112" i="2"/>
  <c r="G112" i="2"/>
  <c r="E87" i="3"/>
  <c r="E1" i="3" s="1"/>
  <c r="F35" i="3"/>
  <c r="F74" i="3"/>
  <c r="F82" i="3" s="1"/>
  <c r="F84" i="3" s="1"/>
  <c r="S99" i="2"/>
  <c r="S147" i="2"/>
  <c r="S150" i="2" s="1"/>
  <c r="F54" i="3"/>
  <c r="F56" i="3" s="1"/>
  <c r="H38" i="2"/>
  <c r="S22" i="2"/>
  <c r="Q45" i="2"/>
  <c r="I38" i="2"/>
  <c r="F45" i="8"/>
  <c r="I277" i="4"/>
  <c r="I278" i="4" s="1"/>
  <c r="S73" i="2"/>
  <c r="F54" i="8"/>
  <c r="Q145" i="2"/>
  <c r="S145" i="2"/>
  <c r="G38" i="2"/>
  <c r="S83" i="2"/>
  <c r="E38" i="2"/>
  <c r="F9" i="8"/>
  <c r="F29" i="8" s="1"/>
  <c r="F34" i="8" s="1"/>
  <c r="D29" i="8"/>
  <c r="D34" i="8" s="1"/>
  <c r="Q31" i="2"/>
  <c r="S31" i="2"/>
  <c r="Q37" i="2"/>
  <c r="S37" i="2"/>
  <c r="Q73" i="2"/>
  <c r="F38" i="2"/>
  <c r="E56" i="8"/>
  <c r="E69" i="8" s="1"/>
  <c r="S45" i="2"/>
  <c r="Q22" i="2"/>
  <c r="D56" i="3"/>
  <c r="D58" i="3" s="1"/>
  <c r="B35" i="10" l="1"/>
  <c r="C35" i="10" s="1"/>
  <c r="F90" i="9"/>
  <c r="F96" i="9" s="1"/>
  <c r="F39" i="10"/>
  <c r="C32" i="26"/>
  <c r="F49" i="9"/>
  <c r="S272" i="4"/>
  <c r="P152" i="4"/>
  <c r="R152" i="4" s="1"/>
  <c r="T152" i="4" s="1"/>
  <c r="P196" i="4"/>
  <c r="R196" i="4" s="1"/>
  <c r="T196" i="4" s="1"/>
  <c r="P208" i="4"/>
  <c r="R208" i="4" s="1"/>
  <c r="T208" i="4" s="1"/>
  <c r="P191" i="4"/>
  <c r="R191" i="4" s="1"/>
  <c r="T191" i="4" s="1"/>
  <c r="Q272" i="4"/>
  <c r="N208" i="4"/>
  <c r="N191" i="4"/>
  <c r="N196" i="4"/>
  <c r="O272" i="4"/>
  <c r="M272" i="4"/>
  <c r="J278" i="4" s="1"/>
  <c r="Q112" i="2"/>
  <c r="I282" i="4"/>
  <c r="I283" i="4" s="1"/>
  <c r="Q162" i="2"/>
  <c r="P151" i="20"/>
  <c r="P152" i="20" s="1"/>
  <c r="D56" i="8"/>
  <c r="F56" i="8" s="1"/>
  <c r="F55" i="10"/>
  <c r="N152" i="4"/>
  <c r="S112" i="2"/>
  <c r="G136" i="2"/>
  <c r="H136" i="2"/>
  <c r="I136" i="2"/>
  <c r="F136" i="2"/>
  <c r="E136" i="2"/>
  <c r="S154" i="2"/>
  <c r="F58" i="3"/>
  <c r="D82" i="3"/>
  <c r="D84" i="3" s="1"/>
  <c r="Q38" i="2"/>
  <c r="S38" i="2"/>
  <c r="O287" i="4" l="1"/>
  <c r="O274" i="4"/>
  <c r="B39" i="10"/>
  <c r="C39" i="10" s="1"/>
  <c r="E26" i="11"/>
  <c r="F56" i="10"/>
  <c r="B49" i="9"/>
  <c r="C49" i="9" s="1"/>
  <c r="F51" i="9"/>
  <c r="J28" i="11" s="1"/>
  <c r="F52" i="10"/>
  <c r="F53" i="10" s="1"/>
  <c r="C18" i="26"/>
  <c r="C24" i="26" s="1"/>
  <c r="C27" i="26" s="1"/>
  <c r="C34" i="26"/>
  <c r="T275" i="4"/>
  <c r="T205" i="4"/>
  <c r="T272" i="4" s="1"/>
  <c r="T317" i="4" s="1"/>
  <c r="T318" i="4" s="1"/>
  <c r="P272" i="4"/>
  <c r="Q273" i="4" s="1"/>
  <c r="R272" i="4"/>
  <c r="S275" i="4" s="1"/>
  <c r="N272" i="4"/>
  <c r="E156" i="2"/>
  <c r="E170" i="2" s="1"/>
  <c r="E178" i="2" s="1"/>
  <c r="E179" i="2" s="1"/>
  <c r="I156" i="2"/>
  <c r="I160" i="2" s="1"/>
  <c r="I163" i="2"/>
  <c r="I168" i="2" s="1"/>
  <c r="H156" i="2"/>
  <c r="H160" i="2" s="1"/>
  <c r="H163" i="2"/>
  <c r="H168" i="2" s="1"/>
  <c r="G156" i="2"/>
  <c r="G170" i="2" s="1"/>
  <c r="G178" i="2" s="1"/>
  <c r="G179" i="2" s="1"/>
  <c r="G180" i="2" s="1"/>
  <c r="G163" i="2"/>
  <c r="G168" i="2" s="1"/>
  <c r="Q136" i="2"/>
  <c r="D71" i="8"/>
  <c r="D1" i="8" s="1"/>
  <c r="F71" i="8"/>
  <c r="F1" i="8" s="1"/>
  <c r="S136" i="2"/>
  <c r="F156" i="2"/>
  <c r="G26" i="11" l="1"/>
  <c r="G28" i="11" s="1"/>
  <c r="K28" i="11" s="1"/>
  <c r="E28" i="11"/>
  <c r="F82" i="9"/>
  <c r="F83" i="9" s="1"/>
  <c r="F53" i="9"/>
  <c r="T287" i="4"/>
  <c r="T277" i="4"/>
  <c r="S277" i="4" s="1"/>
  <c r="R287" i="4"/>
  <c r="S273" i="4"/>
  <c r="R277" i="4"/>
  <c r="Q277" i="4" s="1"/>
  <c r="G160" i="2"/>
  <c r="E160" i="2"/>
  <c r="I170" i="2"/>
  <c r="I178" i="2" s="1"/>
  <c r="I179" i="2" s="1"/>
  <c r="I180" i="2" s="1"/>
  <c r="H170" i="2"/>
  <c r="H178" i="2" s="1"/>
  <c r="H179" i="2" s="1"/>
  <c r="H180" i="2" s="1"/>
  <c r="E180" i="2"/>
  <c r="F160" i="2"/>
  <c r="F170" i="2"/>
  <c r="F178" i="2" s="1"/>
  <c r="F179" i="2" s="1"/>
  <c r="F180" i="2" s="1"/>
  <c r="Q156" i="2"/>
  <c r="S156" i="2"/>
  <c r="S160" i="2" s="1"/>
  <c r="F65" i="9" l="1"/>
  <c r="B53" i="9"/>
  <c r="C53" i="9" s="1"/>
  <c r="Q160" i="2"/>
  <c r="N286" i="4" s="1"/>
  <c r="N287" i="4" s="1"/>
  <c r="Q170" i="2"/>
  <c r="Q178" i="2" s="1"/>
  <c r="Q189" i="2" s="1"/>
  <c r="M201" i="2" s="1"/>
  <c r="M202" i="2" s="1"/>
  <c r="A54" i="2"/>
  <c r="Q179" i="2" l="1"/>
  <c r="Q182" i="2" s="1"/>
  <c r="Q184" i="2" s="1"/>
  <c r="Q191" i="2"/>
  <c r="Q192" i="2" s="1"/>
  <c r="Q194" i="2" s="1"/>
  <c r="Q163" i="2"/>
  <c r="D64" i="3"/>
  <c r="F64" i="3" s="1"/>
  <c r="F66" i="3" s="1"/>
  <c r="F86" i="3" s="1"/>
  <c r="F87" i="3" s="1"/>
  <c r="F1" i="3" s="1"/>
  <c r="M287" i="4"/>
  <c r="Q180" i="2" l="1"/>
  <c r="D66" i="3"/>
  <c r="D86" i="3" s="1"/>
  <c r="D87" i="3" s="1"/>
  <c r="D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EQUIPO</author>
  </authors>
  <commentList>
    <comment ref="J272" authorId="0" shapeId="0" xr:uid="{875809A3-9EF7-4955-B462-FAA34353F81C}">
      <text>
        <r>
          <rPr>
            <b/>
            <sz val="9"/>
            <color indexed="81"/>
            <rFont val="Tahoma"/>
            <family val="2"/>
          </rPr>
          <t>Si la diferencia es diferente a cero; hay que agregar nuevas cuentas</t>
        </r>
      </text>
    </comment>
    <comment ref="L272" authorId="0" shapeId="0" xr:uid="{5BEAECC4-9068-4B06-AC51-57374596ADDE}">
      <text>
        <r>
          <rPr>
            <b/>
            <sz val="9"/>
            <color indexed="81"/>
            <rFont val="Tahoma"/>
            <family val="2"/>
          </rPr>
          <t>Si la diferencia es diferente a cero; hay que agregar nuevas cuentas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Admin3</author>
  </authors>
  <commentList>
    <comment ref="L36" authorId="0" shapeId="0" xr:uid="{B332E6D1-9D40-4299-956F-D1A71629B1B9}">
      <text>
        <r>
          <rPr>
            <b/>
            <sz val="9"/>
            <color indexed="81"/>
            <rFont val="Tahoma"/>
            <family val="2"/>
          </rPr>
          <t>Micro ondas</t>
        </r>
      </text>
    </comment>
    <comment ref="M36" authorId="0" shapeId="0" xr:uid="{FE831987-BA51-47FF-85CF-C363B5301F0E}">
      <text>
        <r>
          <rPr>
            <b/>
            <sz val="9"/>
            <color indexed="81"/>
            <rFont val="Tahoma"/>
            <family val="2"/>
          </rPr>
          <t>Elementos Primeros auxilios</t>
        </r>
      </text>
    </comment>
    <comment ref="M72" authorId="0" shapeId="0" xr:uid="{D9308C0B-1A28-43D1-9BCC-73514D7EC8E8}">
      <text>
        <r>
          <rPr>
            <b/>
            <sz val="9"/>
            <color indexed="81"/>
            <rFont val="Tahoma"/>
            <family val="2"/>
          </rPr>
          <t>Extintores</t>
        </r>
      </text>
    </comment>
    <comment ref="L96" authorId="0" shapeId="0" xr:uid="{302995FD-5951-401F-81E0-BEB5A5A154D3}">
      <text>
        <r>
          <rPr>
            <b/>
            <sz val="9"/>
            <color indexed="81"/>
            <rFont val="Tahoma"/>
            <family val="2"/>
          </rPr>
          <t xml:space="preserve">Tags $643
Marcadores $280
Papeleras $150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Gustavo Rosillo</author>
  </authors>
  <commentList>
    <comment ref="D3" authorId="0" shapeId="0" xr:uid="{D9DF13D3-9A67-4B12-A534-2800F1F2CA03}">
      <text>
        <r>
          <rPr>
            <sz val="9"/>
            <color indexed="81"/>
            <rFont val="Tahoma"/>
            <family val="2"/>
          </rPr>
          <t xml:space="preserve">El objetivo de este estado es presentar información pertinente y concisa, relativa a los recaudos y desembolsos de efectivo de un ente económico durante un periodo para que los usuarios de los estados financieros tengan elementos adicionales para examinar la capacidad de la entidad para generar flujos futuros de efectivo, para evaluar la capacidad para cumplir con sus obligaciones, determinar el financiamiento interno y externo, analizar los cambios presentados en el efectivo, y establecer las diferencias entre la utilidad neta y los recaudos y desembolsos. </t>
        </r>
      </text>
    </comment>
    <comment ref="C17" authorId="0" shapeId="0" xr:uid="{8D2B3E4A-2E17-4DF7-9F6E-5D6BE4578D24}">
      <text>
        <r>
          <rPr>
            <sz val="9"/>
            <color indexed="81"/>
            <rFont val="Tahoma"/>
            <family val="2"/>
          </rPr>
          <t>Aquellas que afectan los resultados de la empresa, están relacionadas con la producción y generación de bienes y con la prestación de servicios. Los flujos de efectivo son generalmente consecuencia de las transacciones de efectivo y otros eventos que entran en la determinación de la utilidad neta.</t>
        </r>
      </text>
    </comment>
    <comment ref="C27" authorId="0" shapeId="0" xr:uid="{79E86F82-DE7D-4846-B9C6-AD7C73852853}">
      <text>
        <r>
          <rPr>
            <sz val="9"/>
            <color indexed="81"/>
            <rFont val="Tahoma"/>
            <family val="2"/>
          </rPr>
          <t>Hacen referencia a los activos fijos de la empresa y las inversiones en acciones o bonos. Incluyen el otorgamiento y cobro de préstamos.</t>
        </r>
      </text>
    </comment>
    <comment ref="C35" authorId="0" shapeId="0" xr:uid="{C647E5EC-1B89-4506-8232-4F242849FDA5}">
      <text>
        <r>
          <rPr>
            <sz val="9"/>
            <color indexed="81"/>
            <rFont val="Tahoma"/>
            <family val="2"/>
          </rPr>
          <t>Obtención de recursos de los propietarios y el reembolso de rendimientos. Se consideran todos los cambios en los pasivos y patrimonio diferentes a las partidas operacionales.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Gustavo Rosillo</author>
    <author>Usuario</author>
    <author>Admin3</author>
  </authors>
  <commentList>
    <comment ref="M20" authorId="0" shapeId="0" xr:uid="{7406CAAF-F3DA-4D15-9EDF-1D0B421AC5F3}">
      <text>
        <r>
          <rPr>
            <sz val="9"/>
            <color indexed="81"/>
            <rFont val="Tahoma"/>
            <family val="2"/>
          </rPr>
          <t>Daniel´s housing</t>
        </r>
      </text>
    </comment>
    <comment ref="M66" authorId="1" shapeId="0" xr:uid="{7E231829-031C-4A02-B91C-93FFEDA9FCA0}">
      <text>
        <r>
          <rPr>
            <sz val="9"/>
            <color indexed="81"/>
            <rFont val="Tahoma"/>
            <family val="2"/>
          </rPr>
          <t>Alquiler          $4.500.000
Alquiler Medellin $601.000</t>
        </r>
      </text>
    </comment>
    <comment ref="G78" authorId="2" shapeId="0" xr:uid="{F63582F0-FAB6-4A78-80B1-C884C07ABD07}">
      <text>
        <r>
          <rPr>
            <b/>
            <sz val="9"/>
            <color indexed="81"/>
            <rFont val="Tahoma"/>
            <family val="2"/>
          </rPr>
          <t>Renovación anual Cámara de Comercio</t>
        </r>
      </text>
    </comment>
  </commentList>
</comments>
</file>

<file path=xl/sharedStrings.xml><?xml version="1.0" encoding="utf-8"?>
<sst xmlns="http://schemas.openxmlformats.org/spreadsheetml/2006/main" count="60425" uniqueCount="5634">
  <si>
    <t>CUENTA</t>
  </si>
  <si>
    <t>NOMBRE</t>
  </si>
  <si>
    <t>CUENTA CONT.</t>
  </si>
  <si>
    <t>NOMBRE CTA CONT.</t>
  </si>
  <si>
    <t>TERCEROS</t>
  </si>
  <si>
    <t>CENTROS</t>
  </si>
  <si>
    <t>1</t>
  </si>
  <si>
    <t>ACTIVO</t>
  </si>
  <si>
    <t>Si</t>
  </si>
  <si>
    <t>No</t>
  </si>
  <si>
    <t>11</t>
  </si>
  <si>
    <t>DISPONIBLE</t>
  </si>
  <si>
    <t>1105</t>
  </si>
  <si>
    <t>CAJA</t>
  </si>
  <si>
    <t>110505</t>
  </si>
  <si>
    <t>CAJA GENERAL</t>
  </si>
  <si>
    <t>10050505</t>
  </si>
  <si>
    <t>110510</t>
  </si>
  <si>
    <t>CAJAS MENORES</t>
  </si>
  <si>
    <t>10050510</t>
  </si>
  <si>
    <t>110515</t>
  </si>
  <si>
    <t>MONEDA EXTRANJERA</t>
  </si>
  <si>
    <t>10050515</t>
  </si>
  <si>
    <t>1110</t>
  </si>
  <si>
    <t>BANCOS</t>
  </si>
  <si>
    <t>111005</t>
  </si>
  <si>
    <t>MONEDA NACIONAL</t>
  </si>
  <si>
    <t>10051010</t>
  </si>
  <si>
    <t>CUENTAS CORRIENTES</t>
  </si>
  <si>
    <t>111010</t>
  </si>
  <si>
    <t>1115</t>
  </si>
  <si>
    <t>REMESAS EN TRANSITO</t>
  </si>
  <si>
    <t>111505</t>
  </si>
  <si>
    <t>111510</t>
  </si>
  <si>
    <t>1120</t>
  </si>
  <si>
    <t>CUENTAS DE AHORRO</t>
  </si>
  <si>
    <t>112005</t>
  </si>
  <si>
    <t>10051020</t>
  </si>
  <si>
    <t>112010</t>
  </si>
  <si>
    <t>CORPORACIONES DE AHORRO Y VIVIENDA</t>
  </si>
  <si>
    <t>112015</t>
  </si>
  <si>
    <t>ORGANISMOS COOPERATIVOS FINANCIEROS</t>
  </si>
  <si>
    <t>1125</t>
  </si>
  <si>
    <t>FONDOS</t>
  </si>
  <si>
    <t>112505</t>
  </si>
  <si>
    <t>ROTATORIOS MONEDA NACIONAL</t>
  </si>
  <si>
    <t>112510</t>
  </si>
  <si>
    <t>ROTATORIOS MONEDA EXTRANJERA</t>
  </si>
  <si>
    <t>112515</t>
  </si>
  <si>
    <t>ESPECIALES MONEDA NACIONAL</t>
  </si>
  <si>
    <t>112520</t>
  </si>
  <si>
    <t>ESPECIALES MONEDA EXTRANJERA</t>
  </si>
  <si>
    <t>112525</t>
  </si>
  <si>
    <t>DE AMORTIZACION MONEDA NACIONAL</t>
  </si>
  <si>
    <t>112530</t>
  </si>
  <si>
    <t>DE AMORTIZACION MONEDA EXTRANJERA</t>
  </si>
  <si>
    <t>13</t>
  </si>
  <si>
    <t>DEUDORES</t>
  </si>
  <si>
    <t>1305</t>
  </si>
  <si>
    <t>CLIENTES</t>
  </si>
  <si>
    <t>130505</t>
  </si>
  <si>
    <t>NACIONALES</t>
  </si>
  <si>
    <t>13050505</t>
  </si>
  <si>
    <t>130510</t>
  </si>
  <si>
    <t>DEL EXTERIOR</t>
  </si>
  <si>
    <t>13050510</t>
  </si>
  <si>
    <t>130515</t>
  </si>
  <si>
    <t>DEUDORES DEL SISTEMA</t>
  </si>
  <si>
    <t>1310</t>
  </si>
  <si>
    <t>CUENTAS CORRIENTES COMERCIALES</t>
  </si>
  <si>
    <t>131005</t>
  </si>
  <si>
    <t>CASA MATRIZ</t>
  </si>
  <si>
    <t>13051005</t>
  </si>
  <si>
    <t>131010</t>
  </si>
  <si>
    <t>COMPAÑIAS VINCULADAS</t>
  </si>
  <si>
    <t>13051010</t>
  </si>
  <si>
    <t>131015</t>
  </si>
  <si>
    <t>ACCIONISTAS O SOCIOS</t>
  </si>
  <si>
    <t>13051015</t>
  </si>
  <si>
    <t>131020</t>
  </si>
  <si>
    <t>PARTICULARES</t>
  </si>
  <si>
    <t>13051020</t>
  </si>
  <si>
    <t>131095</t>
  </si>
  <si>
    <t>OTRAS</t>
  </si>
  <si>
    <t>13051095</t>
  </si>
  <si>
    <t>1315</t>
  </si>
  <si>
    <t>CUENTAS POR COBRAR A CASA MATRIZ</t>
  </si>
  <si>
    <t>131505</t>
  </si>
  <si>
    <t>VENTAS</t>
  </si>
  <si>
    <t>13051505</t>
  </si>
  <si>
    <t>131510</t>
  </si>
  <si>
    <t>PAGOS A NOMBRE DE CASA MATRIZ</t>
  </si>
  <si>
    <t>13051510</t>
  </si>
  <si>
    <t>131515</t>
  </si>
  <si>
    <t>VALORES RECIBIDOS POR CASA MATRIZ</t>
  </si>
  <si>
    <t>13051515</t>
  </si>
  <si>
    <t>131520</t>
  </si>
  <si>
    <t>PRESTAMOS</t>
  </si>
  <si>
    <t>13051520</t>
  </si>
  <si>
    <t>1320</t>
  </si>
  <si>
    <t>CUENTAS POR COBRAR A VINCULADOS ECONOMICOS</t>
  </si>
  <si>
    <t>132005</t>
  </si>
  <si>
    <t>FILIALES</t>
  </si>
  <si>
    <t>13052005</t>
  </si>
  <si>
    <t>132010</t>
  </si>
  <si>
    <t>SUBSIDIARIAS</t>
  </si>
  <si>
    <t>13052010</t>
  </si>
  <si>
    <t>132015</t>
  </si>
  <si>
    <t>SUCURSALES</t>
  </si>
  <si>
    <t>13052015</t>
  </si>
  <si>
    <t>1325</t>
  </si>
  <si>
    <t>CUENTA S POR COBRAR A SOCIOS Y ACCIONISTAS</t>
  </si>
  <si>
    <t>132505</t>
  </si>
  <si>
    <t>A SOCIOS</t>
  </si>
  <si>
    <t>13052505</t>
  </si>
  <si>
    <t>132510</t>
  </si>
  <si>
    <t>A ACCIONISTAS</t>
  </si>
  <si>
    <t>13052510</t>
  </si>
  <si>
    <t>1328</t>
  </si>
  <si>
    <t>APORTES POR COBRAR</t>
  </si>
  <si>
    <t>1330</t>
  </si>
  <si>
    <t>ANTICIPOS Y AVANCES</t>
  </si>
  <si>
    <t>133005</t>
  </si>
  <si>
    <t>A PROVEEDORES</t>
  </si>
  <si>
    <t>13053005</t>
  </si>
  <si>
    <t>13300501</t>
  </si>
  <si>
    <t>ARRIENDOS</t>
  </si>
  <si>
    <t>1305300501</t>
  </si>
  <si>
    <t>13300502</t>
  </si>
  <si>
    <t>COMPRAS</t>
  </si>
  <si>
    <t>1305300502</t>
  </si>
  <si>
    <t>13300503</t>
  </si>
  <si>
    <t>SERVICIOS</t>
  </si>
  <si>
    <t>1305300503</t>
  </si>
  <si>
    <t>133010</t>
  </si>
  <si>
    <t>A CONTRATISTAS</t>
  </si>
  <si>
    <t>13053010</t>
  </si>
  <si>
    <t>133015</t>
  </si>
  <si>
    <t>A TRABAJADORES</t>
  </si>
  <si>
    <t>13053015</t>
  </si>
  <si>
    <t>133020</t>
  </si>
  <si>
    <t>A AGENTES</t>
  </si>
  <si>
    <t>13053020</t>
  </si>
  <si>
    <t>133025</t>
  </si>
  <si>
    <t>A CONCESIONARIOS</t>
  </si>
  <si>
    <t>13053025</t>
  </si>
  <si>
    <t>133030</t>
  </si>
  <si>
    <t>DE ADJUDICACIONES</t>
  </si>
  <si>
    <t>13053030</t>
  </si>
  <si>
    <t>133095</t>
  </si>
  <si>
    <t>OTROS</t>
  </si>
  <si>
    <t>13053095</t>
  </si>
  <si>
    <t>1332</t>
  </si>
  <si>
    <t>CUENTAS DE OPERACION CONJUNTA</t>
  </si>
  <si>
    <t>1335</t>
  </si>
  <si>
    <t>DEPOSITOS</t>
  </si>
  <si>
    <t>133505</t>
  </si>
  <si>
    <t>PARA IMPORTACIONES</t>
  </si>
  <si>
    <t>13053505</t>
  </si>
  <si>
    <t>133510</t>
  </si>
  <si>
    <t>PARA SERVICIOS</t>
  </si>
  <si>
    <t>13053510</t>
  </si>
  <si>
    <t>133515</t>
  </si>
  <si>
    <t>PARA CONTRATOS</t>
  </si>
  <si>
    <t>13053515</t>
  </si>
  <si>
    <t>133520</t>
  </si>
  <si>
    <t>PARA RESPONSABILIDADES</t>
  </si>
  <si>
    <t>13053520</t>
  </si>
  <si>
    <t>133525</t>
  </si>
  <si>
    <t>PARA JUICIOS EJECUTIVOS</t>
  </si>
  <si>
    <t>13053525</t>
  </si>
  <si>
    <t>133530</t>
  </si>
  <si>
    <t>PARA ADQUISICION DE ACCIONES, CUOTAS O DERECHOS SOCIALES</t>
  </si>
  <si>
    <t>13053530</t>
  </si>
  <si>
    <t>133535</t>
  </si>
  <si>
    <t>EN GARANTIA</t>
  </si>
  <si>
    <t>13053535</t>
  </si>
  <si>
    <t>133595</t>
  </si>
  <si>
    <t>13053595</t>
  </si>
  <si>
    <t>1340</t>
  </si>
  <si>
    <t>PROMESAS DE COMPRA VENTA</t>
  </si>
  <si>
    <t>134005</t>
  </si>
  <si>
    <t>DE BIENES RAICES</t>
  </si>
  <si>
    <t>13054005</t>
  </si>
  <si>
    <t>134010</t>
  </si>
  <si>
    <t>DE MAQUINARIA Y EQUIPO</t>
  </si>
  <si>
    <t>13054010</t>
  </si>
  <si>
    <t>134015</t>
  </si>
  <si>
    <t>DE FLOTA Y EQUIPO DE TRANSPORTE</t>
  </si>
  <si>
    <t>13054015</t>
  </si>
  <si>
    <t>134020</t>
  </si>
  <si>
    <t>DE FLOTA Y EQUIPO AEREO</t>
  </si>
  <si>
    <t>13054020</t>
  </si>
  <si>
    <t>134025</t>
  </si>
  <si>
    <t>DE FLOTA Y EQUIPO FERREO</t>
  </si>
  <si>
    <t>13054025</t>
  </si>
  <si>
    <t>134030</t>
  </si>
  <si>
    <t>DE FLOTA Y EQUIPO FLUVIAL Y/O MARITIMO</t>
  </si>
  <si>
    <t>13054030</t>
  </si>
  <si>
    <t>134035</t>
  </si>
  <si>
    <t>DE SEMOVIENTES</t>
  </si>
  <si>
    <t>13054035</t>
  </si>
  <si>
    <t>134095</t>
  </si>
  <si>
    <t>DE OTROS BIENES</t>
  </si>
  <si>
    <t>13054095</t>
  </si>
  <si>
    <t>1345</t>
  </si>
  <si>
    <t>INGRESOS POR COBRAR</t>
  </si>
  <si>
    <t>134505</t>
  </si>
  <si>
    <t>DIVIDENDOS Y/O PARTICIPACIONES</t>
  </si>
  <si>
    <t>13054505</t>
  </si>
  <si>
    <t>134510</t>
  </si>
  <si>
    <t>INTERESES</t>
  </si>
  <si>
    <t>13054510</t>
  </si>
  <si>
    <t>134515</t>
  </si>
  <si>
    <t>COMISIONES</t>
  </si>
  <si>
    <t>13054515</t>
  </si>
  <si>
    <t>134520</t>
  </si>
  <si>
    <t>HONORARIOS</t>
  </si>
  <si>
    <t>13054520</t>
  </si>
  <si>
    <t>134525</t>
  </si>
  <si>
    <t>13054525</t>
  </si>
  <si>
    <t>134530</t>
  </si>
  <si>
    <t>ARRENDAMIENTOS</t>
  </si>
  <si>
    <t>13054530</t>
  </si>
  <si>
    <t>134535</t>
  </si>
  <si>
    <t>CERT POR COBRAR</t>
  </si>
  <si>
    <t>13054535</t>
  </si>
  <si>
    <t>134595</t>
  </si>
  <si>
    <t>13054595</t>
  </si>
  <si>
    <t>1355</t>
  </si>
  <si>
    <t>ANTICIPO DE IMPUESTOS Y CONTRIBUCIONES O SALDOS A FAVOR</t>
  </si>
  <si>
    <t>135505</t>
  </si>
  <si>
    <t>ANTICIPO DE IMPUESTOS DE RENTA Y COMPLEMENTARIOS</t>
  </si>
  <si>
    <t>135510</t>
  </si>
  <si>
    <t>ANTICIPO DE IMPUESTOS DE INDUSTRIA Y COMERCIO</t>
  </si>
  <si>
    <t>135515</t>
  </si>
  <si>
    <t>RETENCION EN LA FUENTE</t>
  </si>
  <si>
    <t>13551501</t>
  </si>
  <si>
    <t>VENTAS 2.5%</t>
  </si>
  <si>
    <t>11051501</t>
  </si>
  <si>
    <t>13551502</t>
  </si>
  <si>
    <t>ARRENDAMIENTOS 4%</t>
  </si>
  <si>
    <t>11051502</t>
  </si>
  <si>
    <t>13551503</t>
  </si>
  <si>
    <t>HONORARIOS 11%</t>
  </si>
  <si>
    <t>11051503</t>
  </si>
  <si>
    <t>13551504</t>
  </si>
  <si>
    <t>SERVICIOS 4%</t>
  </si>
  <si>
    <t>11051504</t>
  </si>
  <si>
    <t>13551505</t>
  </si>
  <si>
    <t>RENDIMIENTOS 7%</t>
  </si>
  <si>
    <t>11051505</t>
  </si>
  <si>
    <t>135517</t>
  </si>
  <si>
    <t>IMPUESTO A LAS VENTAS RETENIDO</t>
  </si>
  <si>
    <t>13551701</t>
  </si>
  <si>
    <t>ANTICIPO DE IVA 15%</t>
  </si>
  <si>
    <t>11051701</t>
  </si>
  <si>
    <t>135518</t>
  </si>
  <si>
    <t>IMPUESTO DE INDUSTRIA Y COMERCIO RETENIDO</t>
  </si>
  <si>
    <t>13551801</t>
  </si>
  <si>
    <t>TARIFA 6,9 /1000</t>
  </si>
  <si>
    <t>11051801</t>
  </si>
  <si>
    <t>13551802</t>
  </si>
  <si>
    <t>TARIFA 9.66/1000</t>
  </si>
  <si>
    <t>11051802</t>
  </si>
  <si>
    <t>13551803</t>
  </si>
  <si>
    <t>TARIFA 11.04 /1000</t>
  </si>
  <si>
    <t>11051803</t>
  </si>
  <si>
    <t>135519</t>
  </si>
  <si>
    <t>AUTORRETENCION RENTA</t>
  </si>
  <si>
    <t>13551901</t>
  </si>
  <si>
    <t>TARIFA 0,80%</t>
  </si>
  <si>
    <t>11051901</t>
  </si>
  <si>
    <t>135520</t>
  </si>
  <si>
    <t>SOBRANTES EN LIQUIDACION PRIVADA DE IMPUESTOS</t>
  </si>
  <si>
    <t>13552001</t>
  </si>
  <si>
    <t>SALDO A FAVOR EN DECLARACIONES DE IVA</t>
  </si>
  <si>
    <t>1305552001</t>
  </si>
  <si>
    <t>135525</t>
  </si>
  <si>
    <t>CONTRIBUCIONES</t>
  </si>
  <si>
    <t>135530</t>
  </si>
  <si>
    <t>IMPUESTOS DESCONTABLES</t>
  </si>
  <si>
    <t>135595</t>
  </si>
  <si>
    <t>1360</t>
  </si>
  <si>
    <t>RECLAMACIONES</t>
  </si>
  <si>
    <t>136005</t>
  </si>
  <si>
    <t>A COMPAÑIAS ASEGURADORAS</t>
  </si>
  <si>
    <t>13056005</t>
  </si>
  <si>
    <t>136010</t>
  </si>
  <si>
    <t>A TRANSPORTADORES</t>
  </si>
  <si>
    <t>13056010</t>
  </si>
  <si>
    <t>136015</t>
  </si>
  <si>
    <t>POR TIQUETES AEREOS</t>
  </si>
  <si>
    <t>13056015</t>
  </si>
  <si>
    <t>136095</t>
  </si>
  <si>
    <t>13056095</t>
  </si>
  <si>
    <t>1365</t>
  </si>
  <si>
    <t>CUENTAS POR COBRAR A TRABAJADORES</t>
  </si>
  <si>
    <t>136505</t>
  </si>
  <si>
    <t>VIVIENDA</t>
  </si>
  <si>
    <t>13056505</t>
  </si>
  <si>
    <t>136510</t>
  </si>
  <si>
    <t>VEHICULOS</t>
  </si>
  <si>
    <t>13056510</t>
  </si>
  <si>
    <t>136515</t>
  </si>
  <si>
    <t>EDUCACION</t>
  </si>
  <si>
    <t>13056515</t>
  </si>
  <si>
    <t>136520</t>
  </si>
  <si>
    <t>MEDICOS, ODONTOLOGICOS Y SIMILARES</t>
  </si>
  <si>
    <t>13056520</t>
  </si>
  <si>
    <t>136525</t>
  </si>
  <si>
    <t>CALAMIDAD DOMESTICA</t>
  </si>
  <si>
    <t>13056525</t>
  </si>
  <si>
    <t>136530</t>
  </si>
  <si>
    <t>RESPONSABILIDADES</t>
  </si>
  <si>
    <t>13056530</t>
  </si>
  <si>
    <t>136595</t>
  </si>
  <si>
    <t>13056595</t>
  </si>
  <si>
    <t>1370</t>
  </si>
  <si>
    <t>PRESTAMOS A PARTICULARES</t>
  </si>
  <si>
    <t>137005</t>
  </si>
  <si>
    <t>CON GARANTIA REAL</t>
  </si>
  <si>
    <t>13057005</t>
  </si>
  <si>
    <t>137010</t>
  </si>
  <si>
    <t>CON GARANTIA PERSONAL</t>
  </si>
  <si>
    <t>13057010</t>
  </si>
  <si>
    <t>1380</t>
  </si>
  <si>
    <t>DEUDORES VARIOS</t>
  </si>
  <si>
    <t>138005</t>
  </si>
  <si>
    <t>DEPOSITARIOS</t>
  </si>
  <si>
    <t>13058005</t>
  </si>
  <si>
    <t>138010</t>
  </si>
  <si>
    <t>COMISIONISTAS DE BOLSAS</t>
  </si>
  <si>
    <t>13058010</t>
  </si>
  <si>
    <t>138015</t>
  </si>
  <si>
    <t>FONDO DE INVERSION</t>
  </si>
  <si>
    <t>13058015</t>
  </si>
  <si>
    <t>138020</t>
  </si>
  <si>
    <t>CUENTAS POR COBRAR DE TERCEROS</t>
  </si>
  <si>
    <t>13058020</t>
  </si>
  <si>
    <t>138025</t>
  </si>
  <si>
    <t>PAGOS POR CUENTA DE TERCEROS</t>
  </si>
  <si>
    <t>13058025</t>
  </si>
  <si>
    <t>13802501</t>
  </si>
  <si>
    <t>COMPRAS POR CUENTAS DE TERCEROS</t>
  </si>
  <si>
    <t>1305802501</t>
  </si>
  <si>
    <t>138030</t>
  </si>
  <si>
    <t>FONDOS DE INVERSION SOCIAL</t>
  </si>
  <si>
    <t>13058030</t>
  </si>
  <si>
    <t>138095</t>
  </si>
  <si>
    <t>13058095</t>
  </si>
  <si>
    <t>1399</t>
  </si>
  <si>
    <t>PROVISIONES</t>
  </si>
  <si>
    <t>139905</t>
  </si>
  <si>
    <t>13059905</t>
  </si>
  <si>
    <t>139910</t>
  </si>
  <si>
    <t>13059910</t>
  </si>
  <si>
    <t>139915</t>
  </si>
  <si>
    <t>13059915</t>
  </si>
  <si>
    <t>139920</t>
  </si>
  <si>
    <t>13059920</t>
  </si>
  <si>
    <t>139925</t>
  </si>
  <si>
    <t>CUENTAS POR COBRAR A SOCIOS Y ACCIONISTAS</t>
  </si>
  <si>
    <t>13059925</t>
  </si>
  <si>
    <t>139930</t>
  </si>
  <si>
    <t>13059930</t>
  </si>
  <si>
    <t>139932</t>
  </si>
  <si>
    <t>13059932</t>
  </si>
  <si>
    <t>139935</t>
  </si>
  <si>
    <t>13059935</t>
  </si>
  <si>
    <t>139940</t>
  </si>
  <si>
    <t>PROMESAS DE COMPRAVENTA</t>
  </si>
  <si>
    <t>13059940</t>
  </si>
  <si>
    <t>139945</t>
  </si>
  <si>
    <t>13059945</t>
  </si>
  <si>
    <t>139950</t>
  </si>
  <si>
    <t>RETENCION SOBRE CONTRATOS</t>
  </si>
  <si>
    <t>13059950</t>
  </si>
  <si>
    <t>139955</t>
  </si>
  <si>
    <t>13059955</t>
  </si>
  <si>
    <t>139960</t>
  </si>
  <si>
    <t>13059960</t>
  </si>
  <si>
    <t>139965</t>
  </si>
  <si>
    <t>13059965</t>
  </si>
  <si>
    <t>139975</t>
  </si>
  <si>
    <t>13059975</t>
  </si>
  <si>
    <t>139980</t>
  </si>
  <si>
    <t>DERECHOS DE RECOMPRA DE CARTERA NEGOCIADA</t>
  </si>
  <si>
    <t>13059980</t>
  </si>
  <si>
    <t>15</t>
  </si>
  <si>
    <t>PROPIEDAD PLANTA Y EQUIPOS</t>
  </si>
  <si>
    <t>1528</t>
  </si>
  <si>
    <t>EQUIPO DE COMPUTACION Y COMUNICACION</t>
  </si>
  <si>
    <t>152805</t>
  </si>
  <si>
    <t>EQUIPO DE PROCESAMIENTO DE DATOS</t>
  </si>
  <si>
    <t>15280501</t>
  </si>
  <si>
    <t>COMPUTADORES DE ESCRITORIO</t>
  </si>
  <si>
    <t>1610280501</t>
  </si>
  <si>
    <t>DESKTOPS</t>
  </si>
  <si>
    <t>15280502</t>
  </si>
  <si>
    <t>COMPUTADORES PORTATILES</t>
  </si>
  <si>
    <t>1610280502</t>
  </si>
  <si>
    <t>PORTATILES</t>
  </si>
  <si>
    <t>15280504</t>
  </si>
  <si>
    <t>ACCESORIOS</t>
  </si>
  <si>
    <t>1610280504</t>
  </si>
  <si>
    <t>152810</t>
  </si>
  <si>
    <t>EQUIPOS DE TELECOMUNIICACIONES</t>
  </si>
  <si>
    <t>15281001</t>
  </si>
  <si>
    <t>TELEFONOS CELULARES</t>
  </si>
  <si>
    <t>1610281001</t>
  </si>
  <si>
    <t>1592</t>
  </si>
  <si>
    <t>DEPRECIACION ACUMULADA</t>
  </si>
  <si>
    <t>159220</t>
  </si>
  <si>
    <t>EQUIPO DE COMPUTO Y COMUNICACION</t>
  </si>
  <si>
    <t>15922001</t>
  </si>
  <si>
    <t>COMPUTADORES</t>
  </si>
  <si>
    <t>1610922001</t>
  </si>
  <si>
    <t>15922003</t>
  </si>
  <si>
    <t>CELULARES</t>
  </si>
  <si>
    <t>1610922003</t>
  </si>
  <si>
    <t>15922004</t>
  </si>
  <si>
    <t>1610922004</t>
  </si>
  <si>
    <t>17</t>
  </si>
  <si>
    <t>DIFERIDOS</t>
  </si>
  <si>
    <t>1705</t>
  </si>
  <si>
    <t>GASTOS PAGADO POR ANTICIPADO</t>
  </si>
  <si>
    <t>170505</t>
  </si>
  <si>
    <t>PROVEEDORES</t>
  </si>
  <si>
    <t>17050501</t>
  </si>
  <si>
    <t>PROVEEDORES NACIONALES</t>
  </si>
  <si>
    <t>11052501</t>
  </si>
  <si>
    <t>ARRIENDO Y ADMINISTRACION</t>
  </si>
  <si>
    <t>2</t>
  </si>
  <si>
    <t>PASIVO</t>
  </si>
  <si>
    <t>21</t>
  </si>
  <si>
    <t>OBLIGACIONES FINANCIERAS</t>
  </si>
  <si>
    <t>2195</t>
  </si>
  <si>
    <t>OTRAS OBLIGACIONES FINANCIERAS</t>
  </si>
  <si>
    <t>219595</t>
  </si>
  <si>
    <t>22059595</t>
  </si>
  <si>
    <t>OTRAS OBLIGACIONES FINANCIEAS</t>
  </si>
  <si>
    <t>23</t>
  </si>
  <si>
    <t>CUENTAS POR PAGAR</t>
  </si>
  <si>
    <t>2335</t>
  </si>
  <si>
    <t>COSTOS Y GASTOS POR PAGAR</t>
  </si>
  <si>
    <t>233505</t>
  </si>
  <si>
    <t>GASTOS FINANCIEROS</t>
  </si>
  <si>
    <t>23053505</t>
  </si>
  <si>
    <t>233510</t>
  </si>
  <si>
    <t>GASTOS LEGALES</t>
  </si>
  <si>
    <t>23053510</t>
  </si>
  <si>
    <t>23351001</t>
  </si>
  <si>
    <t>CERTIFICADOS</t>
  </si>
  <si>
    <t>233515</t>
  </si>
  <si>
    <t>LIBROS, SUSCRIPCIONES, PERIODICOS Y REVISTAS</t>
  </si>
  <si>
    <t>23053515</t>
  </si>
  <si>
    <t>233520</t>
  </si>
  <si>
    <t>23053520</t>
  </si>
  <si>
    <t>233525</t>
  </si>
  <si>
    <t>23053525</t>
  </si>
  <si>
    <t>23352501</t>
  </si>
  <si>
    <t>ABOGADOS</t>
  </si>
  <si>
    <t>2305352501</t>
  </si>
  <si>
    <t>ABOGADO</t>
  </si>
  <si>
    <t>23352502</t>
  </si>
  <si>
    <t>TRADUCTORES</t>
  </si>
  <si>
    <t>2305352502</t>
  </si>
  <si>
    <t>TRADUCCIONES</t>
  </si>
  <si>
    <t>23352503</t>
  </si>
  <si>
    <t>EVALUACIONES Y EXAMENES</t>
  </si>
  <si>
    <t>2305352503</t>
  </si>
  <si>
    <t>233530</t>
  </si>
  <si>
    <t>SERVICIOS TECNICOS</t>
  </si>
  <si>
    <t>23053530</t>
  </si>
  <si>
    <t>23353001</t>
  </si>
  <si>
    <t>GESTION RECLUTAMIENTO</t>
  </si>
  <si>
    <t>2305353001</t>
  </si>
  <si>
    <t>233535</t>
  </si>
  <si>
    <t>SERVICIOS DE MANTENIMIENTO</t>
  </si>
  <si>
    <t>23053535</t>
  </si>
  <si>
    <t>233540</t>
  </si>
  <si>
    <t>23053540</t>
  </si>
  <si>
    <t>23354001</t>
  </si>
  <si>
    <t>ARRIENDO OFICINAS</t>
  </si>
  <si>
    <t>2305354001</t>
  </si>
  <si>
    <t>ALQUILER OFICINAS</t>
  </si>
  <si>
    <t>233545</t>
  </si>
  <si>
    <t>TRANSPORTES, FLETES Y ACARREOS</t>
  </si>
  <si>
    <t>23053545</t>
  </si>
  <si>
    <t>23354501</t>
  </si>
  <si>
    <t>REEMBOLSO DE TAXIS</t>
  </si>
  <si>
    <t>2305354501</t>
  </si>
  <si>
    <t>REEMBOLOSO POR TAXIS</t>
  </si>
  <si>
    <t>23354502</t>
  </si>
  <si>
    <t>MENSAJERIA</t>
  </si>
  <si>
    <t>2305354502</t>
  </si>
  <si>
    <t>MENSAJERIA NACIONAL</t>
  </si>
  <si>
    <t>233550</t>
  </si>
  <si>
    <t>SERVICIOS PUBLICOS</t>
  </si>
  <si>
    <t>23053550</t>
  </si>
  <si>
    <t>23355001</t>
  </si>
  <si>
    <t>TELEFONIA CELULAR</t>
  </si>
  <si>
    <t>2305355001</t>
  </si>
  <si>
    <t>TELEFONIA CELULARES</t>
  </si>
  <si>
    <t>23355002</t>
  </si>
  <si>
    <t>DOMINIOS Y HOSTING</t>
  </si>
  <si>
    <t>2305355002</t>
  </si>
  <si>
    <t>DOMINIOS Y HOSTINGS</t>
  </si>
  <si>
    <t>23355003</t>
  </si>
  <si>
    <t>OFERTAS LABORALES</t>
  </si>
  <si>
    <t>2305355003</t>
  </si>
  <si>
    <t>23355004</t>
  </si>
  <si>
    <t>SERVICIO DE ASEO</t>
  </si>
  <si>
    <t>2305355004</t>
  </si>
  <si>
    <t>23355005</t>
  </si>
  <si>
    <t>ENERGIA ELECTRICA</t>
  </si>
  <si>
    <t>2305355005</t>
  </si>
  <si>
    <t>23355006</t>
  </si>
  <si>
    <t>INTERNET</t>
  </si>
  <si>
    <t>2305355006</t>
  </si>
  <si>
    <t>233555</t>
  </si>
  <si>
    <t>SEGUROS</t>
  </si>
  <si>
    <t>23053555</t>
  </si>
  <si>
    <t>233560</t>
  </si>
  <si>
    <t>GASTOS DE VIAJE</t>
  </si>
  <si>
    <t>23053560</t>
  </si>
  <si>
    <t>23356001</t>
  </si>
  <si>
    <t>TIQUETES AEREOS</t>
  </si>
  <si>
    <t>2305356001</t>
  </si>
  <si>
    <t>BOLETOS AEREOS</t>
  </si>
  <si>
    <t>233565</t>
  </si>
  <si>
    <t>GASTOS DE REPRESENTACION Y RELACIONES PUBLICAS</t>
  </si>
  <si>
    <t>23053565</t>
  </si>
  <si>
    <t>23356501</t>
  </si>
  <si>
    <t>VIATICOS REP LEGAL</t>
  </si>
  <si>
    <t>2305356501</t>
  </si>
  <si>
    <t>VIATICOS REPRESENTANTE LEGAL</t>
  </si>
  <si>
    <t>233570</t>
  </si>
  <si>
    <t>SERVICIOS ADUANEROS</t>
  </si>
  <si>
    <t>23053570</t>
  </si>
  <si>
    <t>233595</t>
  </si>
  <si>
    <t>23053595</t>
  </si>
  <si>
    <t>23359501</t>
  </si>
  <si>
    <t>ACTIVOS FIJOS Y ACCESORIOS</t>
  </si>
  <si>
    <t>2305359501</t>
  </si>
  <si>
    <t>23359502</t>
  </si>
  <si>
    <t>ELEMENTOS DE ASEO Y CAFETERIA</t>
  </si>
  <si>
    <t>2305359502</t>
  </si>
  <si>
    <t>23359503</t>
  </si>
  <si>
    <t>ALIMENTOS Y RESTAURANTES</t>
  </si>
  <si>
    <t>2305359503</t>
  </si>
  <si>
    <t>23359504</t>
  </si>
  <si>
    <t>COMPRA SOFTWARE</t>
  </si>
  <si>
    <t>2305359504</t>
  </si>
  <si>
    <t>COMPRA DE SOFTWARE</t>
  </si>
  <si>
    <t>23359505</t>
  </si>
  <si>
    <t>COMPRAS INSUMOS Y PAPELERIA</t>
  </si>
  <si>
    <t>2305359505</t>
  </si>
  <si>
    <t>INSUMOS Y PAPELERIA</t>
  </si>
  <si>
    <t>2355</t>
  </si>
  <si>
    <t>DEUDAS CON ACCIONISTAS O SOCIOS</t>
  </si>
  <si>
    <t>235505</t>
  </si>
  <si>
    <t>ACCIONISTAS</t>
  </si>
  <si>
    <t>23055505</t>
  </si>
  <si>
    <t>235510</t>
  </si>
  <si>
    <t>SOCIOS</t>
  </si>
  <si>
    <t>23055510</t>
  </si>
  <si>
    <t>2360</t>
  </si>
  <si>
    <t>DIVIDENDOS O PARTICIPACIONES POR PAGAR</t>
  </si>
  <si>
    <t>236005</t>
  </si>
  <si>
    <t>DIVIDENDOS</t>
  </si>
  <si>
    <t>23056005</t>
  </si>
  <si>
    <t>236010</t>
  </si>
  <si>
    <t>PARTICIPACIONES</t>
  </si>
  <si>
    <t>23056010</t>
  </si>
  <si>
    <t>2365</t>
  </si>
  <si>
    <t>236505</t>
  </si>
  <si>
    <t>SALARIOS Y PAGOS LABORALES</t>
  </si>
  <si>
    <t>23650501</t>
  </si>
  <si>
    <t>2105650501</t>
  </si>
  <si>
    <t>236515</t>
  </si>
  <si>
    <t>23651501</t>
  </si>
  <si>
    <t>HONORARIOS 10%</t>
  </si>
  <si>
    <t>2105651501</t>
  </si>
  <si>
    <t>23651502</t>
  </si>
  <si>
    <t>2105651502</t>
  </si>
  <si>
    <t>236520</t>
  </si>
  <si>
    <t>23652001</t>
  </si>
  <si>
    <t>COMISIONES 10%</t>
  </si>
  <si>
    <t>2105652001</t>
  </si>
  <si>
    <t>23652002</t>
  </si>
  <si>
    <t>COMISIONES 11%</t>
  </si>
  <si>
    <t>2105652002</t>
  </si>
  <si>
    <t>236525</t>
  </si>
  <si>
    <t>23652501</t>
  </si>
  <si>
    <t>SERVICIOS 1%</t>
  </si>
  <si>
    <t>2105652501</t>
  </si>
  <si>
    <t>23652502</t>
  </si>
  <si>
    <t>SERVICIOS 2%</t>
  </si>
  <si>
    <t>2105652502</t>
  </si>
  <si>
    <t>23652503</t>
  </si>
  <si>
    <t>SERVICIOS 3.5%</t>
  </si>
  <si>
    <t>2105652503</t>
  </si>
  <si>
    <t>23652504</t>
  </si>
  <si>
    <t>2105652504</t>
  </si>
  <si>
    <t>23652505</t>
  </si>
  <si>
    <t>SERVICIOS 6%</t>
  </si>
  <si>
    <t>2105652505</t>
  </si>
  <si>
    <t>236530</t>
  </si>
  <si>
    <t>23653001</t>
  </si>
  <si>
    <t>ARRENDAMIENTOS 3.5%</t>
  </si>
  <si>
    <t>2105653001</t>
  </si>
  <si>
    <t>23653002</t>
  </si>
  <si>
    <t>2105653002</t>
  </si>
  <si>
    <t>236535</t>
  </si>
  <si>
    <t>RENDIMIENTOS FINANCIEROS</t>
  </si>
  <si>
    <t>23653501</t>
  </si>
  <si>
    <t>RENDIMIENTOS FINANCIEROS 7%</t>
  </si>
  <si>
    <t>2105653501</t>
  </si>
  <si>
    <t>236540</t>
  </si>
  <si>
    <t>23654001</t>
  </si>
  <si>
    <t>COMPRAS 2.5%</t>
  </si>
  <si>
    <t>2105654001</t>
  </si>
  <si>
    <t>236545</t>
  </si>
  <si>
    <t>LOTERIAS, RIFAS, APUESTAS Y SIMILARES</t>
  </si>
  <si>
    <t>236550</t>
  </si>
  <si>
    <t>POR PAGOS AL EXTERIOR</t>
  </si>
  <si>
    <t>23655001</t>
  </si>
  <si>
    <t>SERVICIOS (EXTERIOR)</t>
  </si>
  <si>
    <t>2105655001</t>
  </si>
  <si>
    <t>SERVICIOS DESDE EL EXTERIOR</t>
  </si>
  <si>
    <t>236555</t>
  </si>
  <si>
    <t>POR INGRESOS OBTENIDOS EN EL EXTERIOR</t>
  </si>
  <si>
    <t>236560</t>
  </si>
  <si>
    <t>ENAJENACION PROPIEDADES PLANTA Y EQUIPO PERSONAS NATURALES</t>
  </si>
  <si>
    <t>236565</t>
  </si>
  <si>
    <t>POR IMPUESTO DE TIMBRE</t>
  </si>
  <si>
    <t>236570</t>
  </si>
  <si>
    <t>OTRAS RETENCIONES Y PATRIMONIO</t>
  </si>
  <si>
    <t>23657001</t>
  </si>
  <si>
    <t>OTROS INGRESOS TRIBUTARIOS 2.5%</t>
  </si>
  <si>
    <t>2105657001</t>
  </si>
  <si>
    <t>236575</t>
  </si>
  <si>
    <t>AUTORRETENCIONES</t>
  </si>
  <si>
    <t>23657501</t>
  </si>
  <si>
    <t>AUTORETENCION EN RENTA 0.80%</t>
  </si>
  <si>
    <t>236595</t>
  </si>
  <si>
    <t>VALOR A DECLARAR</t>
  </si>
  <si>
    <t>21056595</t>
  </si>
  <si>
    <t>2367</t>
  </si>
  <si>
    <t>236701</t>
  </si>
  <si>
    <t>RTE IVA 100%</t>
  </si>
  <si>
    <t>23670101</t>
  </si>
  <si>
    <t>RTE IVA 100% EXTERIOR</t>
  </si>
  <si>
    <t>2105670101</t>
  </si>
  <si>
    <t>2368</t>
  </si>
  <si>
    <t>236805</t>
  </si>
  <si>
    <t>23680501</t>
  </si>
  <si>
    <t>TARIFA 4,14/1000</t>
  </si>
  <si>
    <t>2105680501</t>
  </si>
  <si>
    <t>23680502</t>
  </si>
  <si>
    <t>TARIFA 6,9/1000</t>
  </si>
  <si>
    <t>2105680502</t>
  </si>
  <si>
    <t>23680503</t>
  </si>
  <si>
    <t>TARIFA 9,66/1000</t>
  </si>
  <si>
    <t>2105680503</t>
  </si>
  <si>
    <t>23680504</t>
  </si>
  <si>
    <t>TARIFA 11,04/1000</t>
  </si>
  <si>
    <t>2105680504</t>
  </si>
  <si>
    <t>23680505</t>
  </si>
  <si>
    <t>TARIFA 13,8/1000</t>
  </si>
  <si>
    <t>2105680505</t>
  </si>
  <si>
    <t>2370</t>
  </si>
  <si>
    <t>RETENCIONES Y APORTES DE NOMINA</t>
  </si>
  <si>
    <t>237005</t>
  </si>
  <si>
    <t>APORTES ISS Y EPS</t>
  </si>
  <si>
    <t>25057005</t>
  </si>
  <si>
    <t>APORTES A ISS Y EPS</t>
  </si>
  <si>
    <t>237006</t>
  </si>
  <si>
    <t>APORTES ARL</t>
  </si>
  <si>
    <t>25057006</t>
  </si>
  <si>
    <t>237010</t>
  </si>
  <si>
    <t>APORTES AL I.C.B.F., SENA Y CAJAS DE COMPENSACION</t>
  </si>
  <si>
    <t>25057010</t>
  </si>
  <si>
    <t>237015</t>
  </si>
  <si>
    <t>APORTES AL F.I.C.</t>
  </si>
  <si>
    <t>25057015</t>
  </si>
  <si>
    <t>237025</t>
  </si>
  <si>
    <t>EMBARGOS JUDICIALES</t>
  </si>
  <si>
    <t>25057025</t>
  </si>
  <si>
    <t>237030</t>
  </si>
  <si>
    <t>LIBRANZAS</t>
  </si>
  <si>
    <t>25057030</t>
  </si>
  <si>
    <t>237035</t>
  </si>
  <si>
    <t>SINDICATOS</t>
  </si>
  <si>
    <t>25057035</t>
  </si>
  <si>
    <t>237040</t>
  </si>
  <si>
    <t>COOPERATIVAS</t>
  </si>
  <si>
    <t>25057040</t>
  </si>
  <si>
    <t>237045</t>
  </si>
  <si>
    <t>25057045</t>
  </si>
  <si>
    <t>FONDOS DE PENSIONES</t>
  </si>
  <si>
    <t>237095</t>
  </si>
  <si>
    <t>25057095</t>
  </si>
  <si>
    <t>2380</t>
  </si>
  <si>
    <t>ACREEDORES VARIOS</t>
  </si>
  <si>
    <t>238005</t>
  </si>
  <si>
    <t>23058005</t>
  </si>
  <si>
    <t>238010</t>
  </si>
  <si>
    <t>23058010</t>
  </si>
  <si>
    <t>238015</t>
  </si>
  <si>
    <t>SOCIEDAD ADMINISTRADORA - FONDOS DE INVERSION</t>
  </si>
  <si>
    <t>23058015</t>
  </si>
  <si>
    <t>238020</t>
  </si>
  <si>
    <t>REINTEGROS POR PAGAR</t>
  </si>
  <si>
    <t>23058020</t>
  </si>
  <si>
    <t>238025</t>
  </si>
  <si>
    <t>FONDO DE PERSEVERANCIA</t>
  </si>
  <si>
    <t>23058025</t>
  </si>
  <si>
    <t>238030</t>
  </si>
  <si>
    <t>FONDOS DE CESANTIAS Y/O PENSIONES</t>
  </si>
  <si>
    <t>238035</t>
  </si>
  <si>
    <t>DONACIONES ASIGNADAS POR PAGAR</t>
  </si>
  <si>
    <t>23058035</t>
  </si>
  <si>
    <t>238095</t>
  </si>
  <si>
    <t>23058095</t>
  </si>
  <si>
    <t>24</t>
  </si>
  <si>
    <t>IMPUESTOS, GRAVAMENES Y TASAS</t>
  </si>
  <si>
    <t>2404</t>
  </si>
  <si>
    <t>DE RENTA Y COMPLEMENTARIOS</t>
  </si>
  <si>
    <t>240405</t>
  </si>
  <si>
    <t>VIGENCIA FISCAL CORRIENTE</t>
  </si>
  <si>
    <t>29050405</t>
  </si>
  <si>
    <t>240410</t>
  </si>
  <si>
    <t>VIGENCIAS FISCALES ANTERIORES</t>
  </si>
  <si>
    <t>29050410</t>
  </si>
  <si>
    <t>2408</t>
  </si>
  <si>
    <t>IMPUESTO SOBRE LAS VENTAS POR PAGAR</t>
  </si>
  <si>
    <t>240805</t>
  </si>
  <si>
    <t>IVA GENERADO</t>
  </si>
  <si>
    <t>24080501</t>
  </si>
  <si>
    <t>IVA GENERADO 19%</t>
  </si>
  <si>
    <t>2905080501</t>
  </si>
  <si>
    <t>240810</t>
  </si>
  <si>
    <t>IVA DESCONTABLE</t>
  </si>
  <si>
    <t>24081001</t>
  </si>
  <si>
    <t>IVA DESCONTABLE COMPRAS 19%</t>
  </si>
  <si>
    <t>2905081001</t>
  </si>
  <si>
    <t>24081002</t>
  </si>
  <si>
    <t>IVA DESCONTABLE SERVICIOS 19%</t>
  </si>
  <si>
    <t>2905081002</t>
  </si>
  <si>
    <t>24081003</t>
  </si>
  <si>
    <t>IVA POR PAGAR</t>
  </si>
  <si>
    <t>2905081003</t>
  </si>
  <si>
    <t>24081005</t>
  </si>
  <si>
    <t>IVA DESCONTABLE COMPRAS 5%</t>
  </si>
  <si>
    <t>2905081005</t>
  </si>
  <si>
    <t>2412</t>
  </si>
  <si>
    <t>DE INDUSTRIA Y COMERCIO</t>
  </si>
  <si>
    <t>241205</t>
  </si>
  <si>
    <t>29051205</t>
  </si>
  <si>
    <t>241210</t>
  </si>
  <si>
    <t>29051210</t>
  </si>
  <si>
    <t>25</t>
  </si>
  <si>
    <t>OBLIGACIONES LABORALES</t>
  </si>
  <si>
    <t>2505</t>
  </si>
  <si>
    <t>SALARIOS POR PAGAR</t>
  </si>
  <si>
    <t>250505</t>
  </si>
  <si>
    <t>25050505</t>
  </si>
  <si>
    <t>2510</t>
  </si>
  <si>
    <t>CESANTIAS CONSOLIDADAS</t>
  </si>
  <si>
    <t>251005</t>
  </si>
  <si>
    <t>LEY LABORAL ANTERIOR</t>
  </si>
  <si>
    <t>25051005</t>
  </si>
  <si>
    <t>251010</t>
  </si>
  <si>
    <t>LEY 50 DE 1990 Y NORMAS POSTERIORES</t>
  </si>
  <si>
    <t>25051010</t>
  </si>
  <si>
    <t>2515</t>
  </si>
  <si>
    <t>INTERESES SOBRE CESANTIAS</t>
  </si>
  <si>
    <t>251505</t>
  </si>
  <si>
    <t>25051505</t>
  </si>
  <si>
    <t>2520</t>
  </si>
  <si>
    <t>PRIMA DE SERVICIOS</t>
  </si>
  <si>
    <t>252005</t>
  </si>
  <si>
    <t>25052005</t>
  </si>
  <si>
    <t>2525</t>
  </si>
  <si>
    <t>VACACIONES CONSOLIDADAS</t>
  </si>
  <si>
    <t>252505</t>
  </si>
  <si>
    <t>25052505</t>
  </si>
  <si>
    <t>2530</t>
  </si>
  <si>
    <t>PRESTACIONES EXTRALEGALES</t>
  </si>
  <si>
    <t>253005</t>
  </si>
  <si>
    <t>PRIMAS</t>
  </si>
  <si>
    <t>25053005</t>
  </si>
  <si>
    <t>253010</t>
  </si>
  <si>
    <t>AUXILIOS</t>
  </si>
  <si>
    <t>25053010</t>
  </si>
  <si>
    <t>253015</t>
  </si>
  <si>
    <t>DOTACION Y SUMINISTRO A TRABAJADORES</t>
  </si>
  <si>
    <t>25053015</t>
  </si>
  <si>
    <t>253020</t>
  </si>
  <si>
    <t>BONIFICACIONES</t>
  </si>
  <si>
    <t>25053020</t>
  </si>
  <si>
    <t>253025</t>
  </si>
  <si>
    <t>25053025</t>
  </si>
  <si>
    <t>253095</t>
  </si>
  <si>
    <t>25053095</t>
  </si>
  <si>
    <t>26</t>
  </si>
  <si>
    <t>PASIVOS ESTIMADOS Y PROVISIONES</t>
  </si>
  <si>
    <t>2610</t>
  </si>
  <si>
    <t>PARA OBLIGACIONES LABORALES</t>
  </si>
  <si>
    <t>261005</t>
  </si>
  <si>
    <t>CESANTIAS</t>
  </si>
  <si>
    <t>26051005</t>
  </si>
  <si>
    <t>261010</t>
  </si>
  <si>
    <t>26051010</t>
  </si>
  <si>
    <t>261015</t>
  </si>
  <si>
    <t>VACACIONES</t>
  </si>
  <si>
    <t>26051015</t>
  </si>
  <si>
    <t>261020</t>
  </si>
  <si>
    <t>26051020</t>
  </si>
  <si>
    <t>261025</t>
  </si>
  <si>
    <t>26051025</t>
  </si>
  <si>
    <t>261030</t>
  </si>
  <si>
    <t>VIATICOS</t>
  </si>
  <si>
    <t>26051030</t>
  </si>
  <si>
    <t>261095</t>
  </si>
  <si>
    <t>26051095</t>
  </si>
  <si>
    <t>28</t>
  </si>
  <si>
    <t>OTROS PASIVOS</t>
  </si>
  <si>
    <t>2805</t>
  </si>
  <si>
    <t>ANTICIPOS Y AVANCES RECIBIDOS</t>
  </si>
  <si>
    <t>280505</t>
  </si>
  <si>
    <t>DE CLIENTES</t>
  </si>
  <si>
    <t>28050505</t>
  </si>
  <si>
    <t>280510</t>
  </si>
  <si>
    <t>SOBRE CONTRATOS</t>
  </si>
  <si>
    <t>28050510</t>
  </si>
  <si>
    <t>280515</t>
  </si>
  <si>
    <t>PARA OBRAS EN PROCESO</t>
  </si>
  <si>
    <t>28050515</t>
  </si>
  <si>
    <t>280595</t>
  </si>
  <si>
    <t>28050595</t>
  </si>
  <si>
    <t>3</t>
  </si>
  <si>
    <t>PATRIMONIO</t>
  </si>
  <si>
    <t>31</t>
  </si>
  <si>
    <t>CAPITAL SOCIAL</t>
  </si>
  <si>
    <t>3105</t>
  </si>
  <si>
    <t>CAPITAL SUSCRITO Y PAGADO</t>
  </si>
  <si>
    <t>310505</t>
  </si>
  <si>
    <t>CAPITAL AUTORIZADO</t>
  </si>
  <si>
    <t>310510</t>
  </si>
  <si>
    <t>CAPITAL POR SUSCRIBIR (DB)</t>
  </si>
  <si>
    <t>310515</t>
  </si>
  <si>
    <t>CAPITAL SUSCRITO POR COBRAR (DB)</t>
  </si>
  <si>
    <t>3110</t>
  </si>
  <si>
    <t>ACCIONES,CUOTAS O PARTES DE INT.SOCIAL PROPIAS READQUIRIDAS</t>
  </si>
  <si>
    <t>311005</t>
  </si>
  <si>
    <t>ACCIONES PROPIAS READQUIRIDAS (DB)</t>
  </si>
  <si>
    <t>311010</t>
  </si>
  <si>
    <t>CUOTAS O PARTES DE INTERES SOCIAL PROPIAS READQUIRIDAS (DB)</t>
  </si>
  <si>
    <t>3115</t>
  </si>
  <si>
    <t>APORTES SOCIALES</t>
  </si>
  <si>
    <t>311505</t>
  </si>
  <si>
    <t>CUOTAS O PARTES DE INTERES SOCIAL</t>
  </si>
  <si>
    <t>311510</t>
  </si>
  <si>
    <t>APORTES DE SOCIOS - FONDO MUTUO DE INVERSION</t>
  </si>
  <si>
    <t>311515</t>
  </si>
  <si>
    <t>CONTRIBUCION DE LA EMPRESA - FONDO MUTUO DE INVERSION</t>
  </si>
  <si>
    <t>311520</t>
  </si>
  <si>
    <t>SUSCRIPCIONES DEL PUBLICO</t>
  </si>
  <si>
    <t>32</t>
  </si>
  <si>
    <t>SUPERAVIT DE CAPITAL</t>
  </si>
  <si>
    <t>3205</t>
  </si>
  <si>
    <t>PRIMA EN COLOCACION DE ACCIONES,CUOTAS O PARTESDE INT.SOCIAL</t>
  </si>
  <si>
    <t>320505</t>
  </si>
  <si>
    <t>PRIMA EN COLOCACION DE ACCIONES</t>
  </si>
  <si>
    <t>320510</t>
  </si>
  <si>
    <t>PRIMA EN COLOCACION DE ACCIONES POR COBRAR (DB)</t>
  </si>
  <si>
    <t>320515</t>
  </si>
  <si>
    <t>PRIMA EN COLOCACION DE CUOTAS O PARTES DE INTERES SOCIAL</t>
  </si>
  <si>
    <t>3210</t>
  </si>
  <si>
    <t>DONACIONES</t>
  </si>
  <si>
    <t>321005</t>
  </si>
  <si>
    <t>EN DINERO</t>
  </si>
  <si>
    <t>321010</t>
  </si>
  <si>
    <t>EN VALORES MOBILIARIOS</t>
  </si>
  <si>
    <t>321015</t>
  </si>
  <si>
    <t>EN BIENES MUEBLES</t>
  </si>
  <si>
    <t>321020</t>
  </si>
  <si>
    <t>EN BIENES INMUEBLES</t>
  </si>
  <si>
    <t>321025</t>
  </si>
  <si>
    <t>EN INTANGIBLES</t>
  </si>
  <si>
    <t>3215</t>
  </si>
  <si>
    <t>CREDITO MERCANTIL</t>
  </si>
  <si>
    <t>33</t>
  </si>
  <si>
    <t>RESERVAS</t>
  </si>
  <si>
    <t>3305</t>
  </si>
  <si>
    <t>RESERVAS OBLIGATORIAS</t>
  </si>
  <si>
    <t>330505</t>
  </si>
  <si>
    <t>RESERVA LEGAL</t>
  </si>
  <si>
    <t>330510</t>
  </si>
  <si>
    <t>RESERVAS POR DISPOSICIONES FISCALES</t>
  </si>
  <si>
    <t>330515</t>
  </si>
  <si>
    <t>RESERVA PARA READQUISICION DE ACCIONES</t>
  </si>
  <si>
    <t>330517</t>
  </si>
  <si>
    <t>RESERVA PARA READQUISICION DE CUOTAS O PARTES DE INT. SOCIAL</t>
  </si>
  <si>
    <t>330520</t>
  </si>
  <si>
    <t>RESERVA PARA EXTENSION AGROPECUARIA</t>
  </si>
  <si>
    <t>330525</t>
  </si>
  <si>
    <t>RESERVA LEY 7A. DE 1990</t>
  </si>
  <si>
    <t>330530</t>
  </si>
  <si>
    <t>RESERVA PARA REPOSICION DE SEMOVIENTES</t>
  </si>
  <si>
    <t>330535</t>
  </si>
  <si>
    <t>RESERVA LEY 4A DE 1980</t>
  </si>
  <si>
    <t>330595</t>
  </si>
  <si>
    <t>3310</t>
  </si>
  <si>
    <t>RESERVAS ESTATUTARIAS</t>
  </si>
  <si>
    <t>331005</t>
  </si>
  <si>
    <t>PARA FUTURAS CAPITALIZACIONES</t>
  </si>
  <si>
    <t>331010</t>
  </si>
  <si>
    <t>PARA REPOSICION DE ACTIVOS</t>
  </si>
  <si>
    <t>331015</t>
  </si>
  <si>
    <t>PARA FUTUROS ENSANCHES</t>
  </si>
  <si>
    <t>331095</t>
  </si>
  <si>
    <t>3315</t>
  </si>
  <si>
    <t>RESERVAS OCASIONALES</t>
  </si>
  <si>
    <t>331505</t>
  </si>
  <si>
    <t>PARA BENEFICENCIA Y CIVISMO</t>
  </si>
  <si>
    <t>331510</t>
  </si>
  <si>
    <t>331515</t>
  </si>
  <si>
    <t>331520</t>
  </si>
  <si>
    <t>PARA ADQUISICION O REPOSICION DE PROPIEDADES PLANTA Y EQUIPO</t>
  </si>
  <si>
    <t>331525</t>
  </si>
  <si>
    <t>PARA INVESTIGACIONES Y DESARROLLO</t>
  </si>
  <si>
    <t>331530</t>
  </si>
  <si>
    <t>PARA FOMENTO ECONOMICO</t>
  </si>
  <si>
    <t>331535</t>
  </si>
  <si>
    <t>PARA CAPITAL DE TRABAJO</t>
  </si>
  <si>
    <t>331540</t>
  </si>
  <si>
    <t>PARA ESTABILIZACION DE RENDIMIENTOS</t>
  </si>
  <si>
    <t>331545</t>
  </si>
  <si>
    <t>A DISPOSICION DEL MAXIMO ORGANO SOCIAL</t>
  </si>
  <si>
    <t>331595</t>
  </si>
  <si>
    <t>34</t>
  </si>
  <si>
    <t>REVALORIZACION DEL PATRIMONIO</t>
  </si>
  <si>
    <t>3405</t>
  </si>
  <si>
    <t>AJUSTES POR INFLACION</t>
  </si>
  <si>
    <t>340505</t>
  </si>
  <si>
    <t>DE CAPITAL SOCIAL</t>
  </si>
  <si>
    <t>340510</t>
  </si>
  <si>
    <t>DE SUPERAVIT DE CAPITAL</t>
  </si>
  <si>
    <t>340515</t>
  </si>
  <si>
    <t>DE RESERVAS</t>
  </si>
  <si>
    <t>340520</t>
  </si>
  <si>
    <t>DE RESULTADOS DE EJERCICIOS ANTERIORES</t>
  </si>
  <si>
    <t>340525</t>
  </si>
  <si>
    <t>DE ACTIVOS EN PERIODO IMPRODUCTIVO</t>
  </si>
  <si>
    <t>3410</t>
  </si>
  <si>
    <t>SANEAMIENTO FISCAL</t>
  </si>
  <si>
    <t>3415</t>
  </si>
  <si>
    <t>AJUSTES POR INFLACION DECRETO 3019 DE 1989</t>
  </si>
  <si>
    <t>36</t>
  </si>
  <si>
    <t>RESULTADOS DEL EJERCICIO</t>
  </si>
  <si>
    <t>3605</t>
  </si>
  <si>
    <t>UTILIDAD DEL EJERCICIO</t>
  </si>
  <si>
    <t>360505</t>
  </si>
  <si>
    <t>360510</t>
  </si>
  <si>
    <t>UTILIDAD POR EXPOSICION A LA INFLACION</t>
  </si>
  <si>
    <t>3610</t>
  </si>
  <si>
    <t>PERDIDA DEL EJERCICIO</t>
  </si>
  <si>
    <t>361005</t>
  </si>
  <si>
    <t>361010</t>
  </si>
  <si>
    <t>PERDIDA POR EXPOSICION A LA INFLACION</t>
  </si>
  <si>
    <t>37</t>
  </si>
  <si>
    <t>RESULTADOS DE EJERCICIOS ANTERIORES</t>
  </si>
  <si>
    <t>3705</t>
  </si>
  <si>
    <t>UTILIDADES O EXCEDENTES ACUMULADOS</t>
  </si>
  <si>
    <t>370505</t>
  </si>
  <si>
    <t>3710</t>
  </si>
  <si>
    <t>PERDIDAS ACUMULADAS</t>
  </si>
  <si>
    <t>371005</t>
  </si>
  <si>
    <t>4</t>
  </si>
  <si>
    <t>INGRESOS</t>
  </si>
  <si>
    <t>41</t>
  </si>
  <si>
    <t>OPERACIONALES</t>
  </si>
  <si>
    <t>4155</t>
  </si>
  <si>
    <t>ACTIVIDADES INMOBILIARIAS, EMPRESARIALES Y DE ALQUILER</t>
  </si>
  <si>
    <t>415505</t>
  </si>
  <si>
    <t>ARRENDAMIENTOS DE BIENES INMUEBLES</t>
  </si>
  <si>
    <t>415510</t>
  </si>
  <si>
    <t>INMOBILIARIAS POR RETRIBUCION O CONTRATA</t>
  </si>
  <si>
    <t>415515</t>
  </si>
  <si>
    <t>ALQUILER EQUIPO DE TRANSPORTE</t>
  </si>
  <si>
    <t>415520</t>
  </si>
  <si>
    <t>ALQUILER MAQUINARIA Y EQUIPO</t>
  </si>
  <si>
    <t>415525</t>
  </si>
  <si>
    <t>ALQUILER DE EFECTOS PERSONALES Y ENSERES DOMESTICOS</t>
  </si>
  <si>
    <t>415530</t>
  </si>
  <si>
    <t>CONSULTORIA EN EQUIPO Y PROGRAMAS DE INFORMATICA</t>
  </si>
  <si>
    <t>415535</t>
  </si>
  <si>
    <t>PROCESAMIENTO DE DATOS</t>
  </si>
  <si>
    <t>415540</t>
  </si>
  <si>
    <t>MANTENIMIENTO Y REPARACION DE MAQUINARIA DE OFICINA</t>
  </si>
  <si>
    <t>415545</t>
  </si>
  <si>
    <t>INVESTIGACIONES CIENTIFICAS Y DE DESARROLLO</t>
  </si>
  <si>
    <t>415550</t>
  </si>
  <si>
    <t>ACTIVIDADES EMPRESARIALES DE CONSULTORIA</t>
  </si>
  <si>
    <t>415555</t>
  </si>
  <si>
    <t>PUBLICIDAD</t>
  </si>
  <si>
    <t>415560</t>
  </si>
  <si>
    <t>DOTACION DE PERSONAL</t>
  </si>
  <si>
    <t>415565</t>
  </si>
  <si>
    <t>INVESTIGACION Y SEGURIDAD</t>
  </si>
  <si>
    <t>415570</t>
  </si>
  <si>
    <t>LIMPIEZA DE INMUEBLES</t>
  </si>
  <si>
    <t>415575</t>
  </si>
  <si>
    <t>FOTOGRAFIA</t>
  </si>
  <si>
    <t>415580</t>
  </si>
  <si>
    <t>ENVASE Y EMPAQUE</t>
  </si>
  <si>
    <t>415585</t>
  </si>
  <si>
    <t>FOTOCOPIADO</t>
  </si>
  <si>
    <t>415590</t>
  </si>
  <si>
    <t>MANTENIMIENTO Y REPARACION DE MAQUINARIA Y EQUIPO</t>
  </si>
  <si>
    <t>415595</t>
  </si>
  <si>
    <t>ACTIVIDADES CONEXAS</t>
  </si>
  <si>
    <t>415599</t>
  </si>
  <si>
    <t>4175</t>
  </si>
  <si>
    <t>DEVOLUCIONES, REBAJAS Y DESCUENTOS EN VENTAS (DB)</t>
  </si>
  <si>
    <t>417501</t>
  </si>
  <si>
    <t>DESCUENTOS</t>
  </si>
  <si>
    <t>417599</t>
  </si>
  <si>
    <t>42</t>
  </si>
  <si>
    <t>NO OPERACIONALES</t>
  </si>
  <si>
    <t>4210</t>
  </si>
  <si>
    <t>FINANCIEROS</t>
  </si>
  <si>
    <t>421005</t>
  </si>
  <si>
    <t>42100501</t>
  </si>
  <si>
    <t>INTERESES BANCARIOS</t>
  </si>
  <si>
    <t>INTERES BANCARIO</t>
  </si>
  <si>
    <t>421010</t>
  </si>
  <si>
    <t>REAJUSTE MONETARIO - UPAC</t>
  </si>
  <si>
    <t>421015</t>
  </si>
  <si>
    <t>DESCUENTOS AMORTIZADOS</t>
  </si>
  <si>
    <t>421020</t>
  </si>
  <si>
    <t>DIFERENCIA EN CAMBIO</t>
  </si>
  <si>
    <t>421025</t>
  </si>
  <si>
    <t>FINANCIACION VEHICULOS</t>
  </si>
  <si>
    <t>421030</t>
  </si>
  <si>
    <t>FINANCIACION SISTEMAS DE VIAJES</t>
  </si>
  <si>
    <t>421035</t>
  </si>
  <si>
    <t>ACEPTACIONES BANCARIAS</t>
  </si>
  <si>
    <t>421040</t>
  </si>
  <si>
    <t>DESCUENTOS COMERCIALES CONDICIONADOS</t>
  </si>
  <si>
    <t>421045</t>
  </si>
  <si>
    <t>DESCUENTOS BANCARIOS</t>
  </si>
  <si>
    <t>421050</t>
  </si>
  <si>
    <t>COMISIONES CHEQUES DE OTRAS PLAZAS</t>
  </si>
  <si>
    <t>421055</t>
  </si>
  <si>
    <t>MULTAS Y RECARGOS</t>
  </si>
  <si>
    <t>421060</t>
  </si>
  <si>
    <t>SANCIONES CHEQUES DEVUELTOS</t>
  </si>
  <si>
    <t>421095</t>
  </si>
  <si>
    <t>42109501</t>
  </si>
  <si>
    <t>AJUSTE AL PESO</t>
  </si>
  <si>
    <t>421099</t>
  </si>
  <si>
    <t>5</t>
  </si>
  <si>
    <t>GASTOS</t>
  </si>
  <si>
    <t>51</t>
  </si>
  <si>
    <t>OPERACIONALES DE ADMINISTRACION</t>
  </si>
  <si>
    <t>5105</t>
  </si>
  <si>
    <t>GASTOS DE PERSONAL</t>
  </si>
  <si>
    <t>510503</t>
  </si>
  <si>
    <t>SALARIO INTEGRAL</t>
  </si>
  <si>
    <t>510506</t>
  </si>
  <si>
    <t>SUELDOS</t>
  </si>
  <si>
    <t>510512</t>
  </si>
  <si>
    <t>JORNALES</t>
  </si>
  <si>
    <t>510515</t>
  </si>
  <si>
    <t>HORAS EXTRAS Y RECARGOS</t>
  </si>
  <si>
    <t>510518</t>
  </si>
  <si>
    <t>510521</t>
  </si>
  <si>
    <t>51052101</t>
  </si>
  <si>
    <t>REPRESENTACION LEGAL</t>
  </si>
  <si>
    <t>VIATICOS REPRESENTACIN LEGAL</t>
  </si>
  <si>
    <t>510524</t>
  </si>
  <si>
    <t>INCAPACIDADES</t>
  </si>
  <si>
    <t>510527</t>
  </si>
  <si>
    <t>AUXILIO DE TRANSPORTE</t>
  </si>
  <si>
    <t>510530</t>
  </si>
  <si>
    <t>510533</t>
  </si>
  <si>
    <t>510536</t>
  </si>
  <si>
    <t>510539</t>
  </si>
  <si>
    <t>510542</t>
  </si>
  <si>
    <t>PRIMAS EXTRALEGALES</t>
  </si>
  <si>
    <t>510545</t>
  </si>
  <si>
    <t>510548</t>
  </si>
  <si>
    <t>510551</t>
  </si>
  <si>
    <t>510554</t>
  </si>
  <si>
    <t>510557</t>
  </si>
  <si>
    <t>CUOTAS PARTES PENSIONES DE JUBILACION</t>
  </si>
  <si>
    <t>510558</t>
  </si>
  <si>
    <t>AMORTIZACION CALCULO ACTUARIAL PENSIONES DE JUBILACION</t>
  </si>
  <si>
    <t>510559</t>
  </si>
  <si>
    <t>PENSIONES DE JUBILACION</t>
  </si>
  <si>
    <t>510560</t>
  </si>
  <si>
    <t>INDEMNIZACIONES LABORALES</t>
  </si>
  <si>
    <t>510563</t>
  </si>
  <si>
    <t>CAPACITACION AL PERSONAL</t>
  </si>
  <si>
    <t>510566</t>
  </si>
  <si>
    <t>GASTOS DEPORTIVOS Y DE RECREACION</t>
  </si>
  <si>
    <t>510568</t>
  </si>
  <si>
    <t>510569</t>
  </si>
  <si>
    <t>APORTES A E.P.S. E  I.S.S</t>
  </si>
  <si>
    <t>510570</t>
  </si>
  <si>
    <t>APORTES AFP</t>
  </si>
  <si>
    <t>510572</t>
  </si>
  <si>
    <t>APORTES CAJAS DE COMPENSACION FAMILIAR</t>
  </si>
  <si>
    <t>510575</t>
  </si>
  <si>
    <t>APORTES I.C.B.F.</t>
  </si>
  <si>
    <t>510578</t>
  </si>
  <si>
    <t>SENA</t>
  </si>
  <si>
    <t>510581</t>
  </si>
  <si>
    <t>APORTES SINDICALES</t>
  </si>
  <si>
    <t>510584</t>
  </si>
  <si>
    <t>GASTOS MEDICOS Y DROGAS</t>
  </si>
  <si>
    <t>510595</t>
  </si>
  <si>
    <t>51059501</t>
  </si>
  <si>
    <t>RECLUTAMIENTO</t>
  </si>
  <si>
    <t>GASTOS DE RECLUTAMIENTO</t>
  </si>
  <si>
    <t>51059510</t>
  </si>
  <si>
    <t>OTROS GASTOS DE PERSONAL</t>
  </si>
  <si>
    <t>510599</t>
  </si>
  <si>
    <t>5110</t>
  </si>
  <si>
    <t>511005</t>
  </si>
  <si>
    <t>JUNTA DIRECTIVA</t>
  </si>
  <si>
    <t>511010</t>
  </si>
  <si>
    <t>REVISORÍA FISCAL</t>
  </si>
  <si>
    <t>511015</t>
  </si>
  <si>
    <t>AUDITORIA EXTERNA</t>
  </si>
  <si>
    <t>511020</t>
  </si>
  <si>
    <t>AVALUOS</t>
  </si>
  <si>
    <t>511025</t>
  </si>
  <si>
    <t>ASESORIA JURIDICA</t>
  </si>
  <si>
    <t>51102501</t>
  </si>
  <si>
    <t>Asesoría Abogado</t>
  </si>
  <si>
    <t>Asesoría de Abogado</t>
  </si>
  <si>
    <t>511030</t>
  </si>
  <si>
    <t>ASESORIA FINANCIERA</t>
  </si>
  <si>
    <t>511035</t>
  </si>
  <si>
    <t>ASESORIA TECNICA</t>
  </si>
  <si>
    <t>511095</t>
  </si>
  <si>
    <t>51109501</t>
  </si>
  <si>
    <t>TRADUCCION DOCUMENTOS</t>
  </si>
  <si>
    <t>511099</t>
  </si>
  <si>
    <t>5115</t>
  </si>
  <si>
    <t>IMPUESTOS</t>
  </si>
  <si>
    <t>511505</t>
  </si>
  <si>
    <t>INDUSTRIA Y COMERCIO</t>
  </si>
  <si>
    <t>511510</t>
  </si>
  <si>
    <t>DE TIMBRES</t>
  </si>
  <si>
    <t>511515</t>
  </si>
  <si>
    <t>A LA PROPIEDAD RAIZ</t>
  </si>
  <si>
    <t>511520</t>
  </si>
  <si>
    <t>DERECHOS SOBRE INSTRUMENTOS PUBLICOS</t>
  </si>
  <si>
    <t>511525</t>
  </si>
  <si>
    <t>DE VALORIZACION</t>
  </si>
  <si>
    <t>511530</t>
  </si>
  <si>
    <t>DE TURISMO</t>
  </si>
  <si>
    <t>511535</t>
  </si>
  <si>
    <t>TASA POR UTILIZACION DE PUERTOS</t>
  </si>
  <si>
    <t>511540</t>
  </si>
  <si>
    <t>DE VEHICULOS</t>
  </si>
  <si>
    <t>511545</t>
  </si>
  <si>
    <t>DE ESPECTACULOS PUBLICOS</t>
  </si>
  <si>
    <t>511550</t>
  </si>
  <si>
    <t>CUOTAS DE FOMENTO</t>
  </si>
  <si>
    <t>511570</t>
  </si>
  <si>
    <t>511595</t>
  </si>
  <si>
    <t>51159501</t>
  </si>
  <si>
    <t>GMF 4 x MIL</t>
  </si>
  <si>
    <t>511599</t>
  </si>
  <si>
    <t>5120</t>
  </si>
  <si>
    <t>512005</t>
  </si>
  <si>
    <t>TERRENOS</t>
  </si>
  <si>
    <t>512010</t>
  </si>
  <si>
    <t>CONSTRUCCIONES Y EDIFICACIONES</t>
  </si>
  <si>
    <t>51201001</t>
  </si>
  <si>
    <t>ALQUILER OFICINAS CENTRO</t>
  </si>
  <si>
    <t>512015</t>
  </si>
  <si>
    <t>MAQUINARIA Y EQUIPO</t>
  </si>
  <si>
    <t>512020</t>
  </si>
  <si>
    <t>EQUIPO DE OFICINA</t>
  </si>
  <si>
    <t>512025</t>
  </si>
  <si>
    <t>512030</t>
  </si>
  <si>
    <t>EQUIPO MEDICO - CIENTIFICO</t>
  </si>
  <si>
    <t>512035</t>
  </si>
  <si>
    <t>EQUIPO DE HOTELES Y RESTAURANTES</t>
  </si>
  <si>
    <t>512040</t>
  </si>
  <si>
    <t>FLOTA Y EQUIPO DE TRANSPORTE</t>
  </si>
  <si>
    <t>512045</t>
  </si>
  <si>
    <t>FLOTA Y EQUIPO FLUVIAL Y/O MARITIMO</t>
  </si>
  <si>
    <t>512050</t>
  </si>
  <si>
    <t>FLOTA Y EQUIPO AEREO</t>
  </si>
  <si>
    <t>512055</t>
  </si>
  <si>
    <t>FLOTA Y EQUIPO FERREO</t>
  </si>
  <si>
    <t>512060</t>
  </si>
  <si>
    <t>ACUEDUCTOS PLANTAS Y REDES</t>
  </si>
  <si>
    <t>512065</t>
  </si>
  <si>
    <t>AERODROMOS</t>
  </si>
  <si>
    <t>512070</t>
  </si>
  <si>
    <t>SEMOVIENTES</t>
  </si>
  <si>
    <t>512095</t>
  </si>
  <si>
    <t>512099</t>
  </si>
  <si>
    <t>5125</t>
  </si>
  <si>
    <t>CONTRIBUCIONES Y AFILIACIONES</t>
  </si>
  <si>
    <t>512505</t>
  </si>
  <si>
    <t>512510</t>
  </si>
  <si>
    <t>AFILIACIONES Y SOSTENIMIENTO</t>
  </si>
  <si>
    <t>512599</t>
  </si>
  <si>
    <t>5130</t>
  </si>
  <si>
    <t>513005</t>
  </si>
  <si>
    <t>MANEJO</t>
  </si>
  <si>
    <t>513010</t>
  </si>
  <si>
    <t>CUMPLIMIENTO</t>
  </si>
  <si>
    <t>513015</t>
  </si>
  <si>
    <t>CORRIENTE DEBIL</t>
  </si>
  <si>
    <t>513020</t>
  </si>
  <si>
    <t>VIDA COLECTIVA</t>
  </si>
  <si>
    <t>513025</t>
  </si>
  <si>
    <t>INCENDIO</t>
  </si>
  <si>
    <t>513030</t>
  </si>
  <si>
    <t>TERREMOTO</t>
  </si>
  <si>
    <t>513035</t>
  </si>
  <si>
    <t>SUSTRACCION Y HURTO</t>
  </si>
  <si>
    <t>513040</t>
  </si>
  <si>
    <t>513045</t>
  </si>
  <si>
    <t>513050</t>
  </si>
  <si>
    <t>513055</t>
  </si>
  <si>
    <t>513060</t>
  </si>
  <si>
    <t>RESPONSABILIDAD CIVIL Y EXTRACONTRACTUAL</t>
  </si>
  <si>
    <t>513065</t>
  </si>
  <si>
    <t>VUELO</t>
  </si>
  <si>
    <t>513070</t>
  </si>
  <si>
    <t>ROTURA DE MAQUINARIA</t>
  </si>
  <si>
    <t>513075</t>
  </si>
  <si>
    <t>OBLIGATORIO ACCIDENTE DE TRANSITO</t>
  </si>
  <si>
    <t>513080</t>
  </si>
  <si>
    <t>LUCRO CESANTE</t>
  </si>
  <si>
    <t>513095</t>
  </si>
  <si>
    <t>513099</t>
  </si>
  <si>
    <t>5135</t>
  </si>
  <si>
    <t>513505</t>
  </si>
  <si>
    <t>ASEO Y VIGILANCIA</t>
  </si>
  <si>
    <t>51350501</t>
  </si>
  <si>
    <t>SERVICIO ASEO</t>
  </si>
  <si>
    <t>513510</t>
  </si>
  <si>
    <t>TEMPORALES</t>
  </si>
  <si>
    <t>513515</t>
  </si>
  <si>
    <t>ASISTENCIA TECNICA</t>
  </si>
  <si>
    <t>51351501</t>
  </si>
  <si>
    <t>GESTION DE RECLUTAMIENTO</t>
  </si>
  <si>
    <t>IMPLEMENTACION HELISA</t>
  </si>
  <si>
    <t>513520</t>
  </si>
  <si>
    <t>PROCESAMIENTO ELECTRONICO DE DATOS</t>
  </si>
  <si>
    <t>51352001</t>
  </si>
  <si>
    <t>SERVICIO DE DOMINIO</t>
  </si>
  <si>
    <t>DOMINIO</t>
  </si>
  <si>
    <t>51352002</t>
  </si>
  <si>
    <t>SERVICIO DE INTERNET</t>
  </si>
  <si>
    <t>513525</t>
  </si>
  <si>
    <t>ACUEDUCTO Y ALCANTARILLADO</t>
  </si>
  <si>
    <t>513530</t>
  </si>
  <si>
    <t>51353001</t>
  </si>
  <si>
    <t>513535</t>
  </si>
  <si>
    <t>TELEFONO</t>
  </si>
  <si>
    <t>51353501</t>
  </si>
  <si>
    <t>SERVICIO CELULAR</t>
  </si>
  <si>
    <t>513540</t>
  </si>
  <si>
    <t>CORREO, PORTES Y TELEGRAMAS</t>
  </si>
  <si>
    <t>51354001</t>
  </si>
  <si>
    <t>513545</t>
  </si>
  <si>
    <t>FAX Y TELEX</t>
  </si>
  <si>
    <t>513550</t>
  </si>
  <si>
    <t>TRANSPORTE, FLETES Y ACARREOS</t>
  </si>
  <si>
    <t>513555</t>
  </si>
  <si>
    <t>GAS</t>
  </si>
  <si>
    <t>513595</t>
  </si>
  <si>
    <t>51359501</t>
  </si>
  <si>
    <t>ADMINISTRACION PP HH</t>
  </si>
  <si>
    <t>513599</t>
  </si>
  <si>
    <t>5140</t>
  </si>
  <si>
    <t>514005</t>
  </si>
  <si>
    <t>NOTARIALES</t>
  </si>
  <si>
    <t>51400501</t>
  </si>
  <si>
    <t>AUTENTICACIONES</t>
  </si>
  <si>
    <t>514010</t>
  </si>
  <si>
    <t>REGISTRO MERCANTIL</t>
  </si>
  <si>
    <t>51401001</t>
  </si>
  <si>
    <t xml:space="preserve">RENOVACION </t>
  </si>
  <si>
    <t>RENOVACION REGISTRO MERCANTIL</t>
  </si>
  <si>
    <t>51401002</t>
  </si>
  <si>
    <t>CERTIFICADOS CAMARA COMERCIO</t>
  </si>
  <si>
    <t>CERTIFICADOS CAMARA DE COMERCIO</t>
  </si>
  <si>
    <t>514015</t>
  </si>
  <si>
    <t>TRAMITES Y LICENCIAS</t>
  </si>
  <si>
    <t>514020</t>
  </si>
  <si>
    <t>ADUANEROS</t>
  </si>
  <si>
    <t>514025</t>
  </si>
  <si>
    <t>CONSULARES</t>
  </si>
  <si>
    <t>514095</t>
  </si>
  <si>
    <t>514099</t>
  </si>
  <si>
    <t>5145</t>
  </si>
  <si>
    <t>MANTENIMIENTO Y REPARACIONES</t>
  </si>
  <si>
    <t>514505</t>
  </si>
  <si>
    <t>514510</t>
  </si>
  <si>
    <t>514515</t>
  </si>
  <si>
    <t>514520</t>
  </si>
  <si>
    <t>514525</t>
  </si>
  <si>
    <t>514530</t>
  </si>
  <si>
    <t>EQUIPO MEDICO-CIENTIFICO</t>
  </si>
  <si>
    <t>514535</t>
  </si>
  <si>
    <t>514540</t>
  </si>
  <si>
    <t>514545</t>
  </si>
  <si>
    <t>514550</t>
  </si>
  <si>
    <t>514555</t>
  </si>
  <si>
    <t>514560</t>
  </si>
  <si>
    <t>514565</t>
  </si>
  <si>
    <t>ARMAMENTO DE VIGILANCIA</t>
  </si>
  <si>
    <t>514570</t>
  </si>
  <si>
    <t>VIAS DE COMUNICACION</t>
  </si>
  <si>
    <t>514599</t>
  </si>
  <si>
    <t>5150</t>
  </si>
  <si>
    <t>ADECUACION E INSTALACION</t>
  </si>
  <si>
    <t>515005</t>
  </si>
  <si>
    <t>INSTALACIONES ELECTRICAS</t>
  </si>
  <si>
    <t>515010</t>
  </si>
  <si>
    <t>ARREGLOS ORNAMENTALES</t>
  </si>
  <si>
    <t>515015</t>
  </si>
  <si>
    <t>REPARACIONES LOCATIVAS</t>
  </si>
  <si>
    <t>515095</t>
  </si>
  <si>
    <t>515099</t>
  </si>
  <si>
    <t>5155</t>
  </si>
  <si>
    <t>515505</t>
  </si>
  <si>
    <t>ALOJAMIENTO Y MANUTENCION</t>
  </si>
  <si>
    <t>515510</t>
  </si>
  <si>
    <t>PASAJES FLUVIALES Y/O MARITIMOS</t>
  </si>
  <si>
    <t>515515</t>
  </si>
  <si>
    <t>PASAJES AEREOS</t>
  </si>
  <si>
    <t>51551501</t>
  </si>
  <si>
    <t>TIQUETES NACIONALES</t>
  </si>
  <si>
    <t>TIQUETES AEREOS NACIONALES</t>
  </si>
  <si>
    <t>515520</t>
  </si>
  <si>
    <t>PASAJES TERRESTRES</t>
  </si>
  <si>
    <t>515525</t>
  </si>
  <si>
    <t>PASAJES FERREOS</t>
  </si>
  <si>
    <t>515595</t>
  </si>
  <si>
    <t>515599</t>
  </si>
  <si>
    <t>5160</t>
  </si>
  <si>
    <t>DEPRECIACIONES</t>
  </si>
  <si>
    <t>516005</t>
  </si>
  <si>
    <t>516010</t>
  </si>
  <si>
    <t>516015</t>
  </si>
  <si>
    <t>516020</t>
  </si>
  <si>
    <t>51602001</t>
  </si>
  <si>
    <t>51602003</t>
  </si>
  <si>
    <t>DEPRECIACION CELULARES</t>
  </si>
  <si>
    <t>51602004</t>
  </si>
  <si>
    <t>516025</t>
  </si>
  <si>
    <t>516030</t>
  </si>
  <si>
    <t>516035</t>
  </si>
  <si>
    <t>516040</t>
  </si>
  <si>
    <t>516045</t>
  </si>
  <si>
    <t>516050</t>
  </si>
  <si>
    <t>516055</t>
  </si>
  <si>
    <t>ACUEDUCTOS, PLANTAS Y REDES</t>
  </si>
  <si>
    <t>516060</t>
  </si>
  <si>
    <t>516099</t>
  </si>
  <si>
    <t>5165</t>
  </si>
  <si>
    <t>AMORTIZACIONES</t>
  </si>
  <si>
    <t>516505</t>
  </si>
  <si>
    <t>516510</t>
  </si>
  <si>
    <t>INTANGIBLES</t>
  </si>
  <si>
    <t>516515</t>
  </si>
  <si>
    <t>CARGOS DIFERIDOS</t>
  </si>
  <si>
    <t>516595</t>
  </si>
  <si>
    <t>516599</t>
  </si>
  <si>
    <t>5170</t>
  </si>
  <si>
    <t>GASTOS DE TECNOLOGIA</t>
  </si>
  <si>
    <t>517005</t>
  </si>
  <si>
    <t>SOFTWARE</t>
  </si>
  <si>
    <t>51700501</t>
  </si>
  <si>
    <t>ANTIVIRUS</t>
  </si>
  <si>
    <t>51700502</t>
  </si>
  <si>
    <t>LICENCIAS OFFICE</t>
  </si>
  <si>
    <t>51700503</t>
  </si>
  <si>
    <t>CONTABILIDAD HELISA</t>
  </si>
  <si>
    <t>SOFTWARE CONTABLE</t>
  </si>
  <si>
    <t>517010</t>
  </si>
  <si>
    <t>HARDWARE</t>
  </si>
  <si>
    <t>51701001</t>
  </si>
  <si>
    <t>51701002</t>
  </si>
  <si>
    <t>5195</t>
  </si>
  <si>
    <t>DIVERSOS</t>
  </si>
  <si>
    <t>519505</t>
  </si>
  <si>
    <t>519510</t>
  </si>
  <si>
    <t>519515</t>
  </si>
  <si>
    <t>MUSICA AMBIENTAL</t>
  </si>
  <si>
    <t>519520</t>
  </si>
  <si>
    <t>519525</t>
  </si>
  <si>
    <t>51952501</t>
  </si>
  <si>
    <t>ELEMENTOS DE ASEO</t>
  </si>
  <si>
    <t>51952502</t>
  </si>
  <si>
    <t>ELEMENTOS DE CAFETERIA</t>
  </si>
  <si>
    <t>519530</t>
  </si>
  <si>
    <t>UTILES, PAPELERIA Y FOTOCOPIAS</t>
  </si>
  <si>
    <t>51953001</t>
  </si>
  <si>
    <t>ELEMENTOS DE OFICINA</t>
  </si>
  <si>
    <t>ARTICULOS DE OFICINA</t>
  </si>
  <si>
    <t>519535</t>
  </si>
  <si>
    <t>COMBUSTIBLES Y LUBRICANTES</t>
  </si>
  <si>
    <t>519540</t>
  </si>
  <si>
    <t>ENVASES Y EMPAQUES</t>
  </si>
  <si>
    <t>519545</t>
  </si>
  <si>
    <t>TAXIS Y BUSES</t>
  </si>
  <si>
    <t>51954501</t>
  </si>
  <si>
    <t>TAXIS NACIONALES</t>
  </si>
  <si>
    <t>TAXIS EN LA NACION</t>
  </si>
  <si>
    <t>519550</t>
  </si>
  <si>
    <t>ESTAMPILLAS</t>
  </si>
  <si>
    <t>519555</t>
  </si>
  <si>
    <t>MICROFILMACION</t>
  </si>
  <si>
    <t>519560</t>
  </si>
  <si>
    <t>CASINO Y RESTAURANTE</t>
  </si>
  <si>
    <t>51956001</t>
  </si>
  <si>
    <t>ALIMENTACION</t>
  </si>
  <si>
    <t>ALIMENTACIN</t>
  </si>
  <si>
    <t>51956002</t>
  </si>
  <si>
    <t>RESTAURANTES</t>
  </si>
  <si>
    <t>519565</t>
  </si>
  <si>
    <t>PARQUEADEROS</t>
  </si>
  <si>
    <t>519570</t>
  </si>
  <si>
    <t>INDEMNIZACION POR DAÑOS A TERCEROS</t>
  </si>
  <si>
    <t>519575</t>
  </si>
  <si>
    <t>POLVORA Y SIMILARES</t>
  </si>
  <si>
    <t>519595</t>
  </si>
  <si>
    <t>519599</t>
  </si>
  <si>
    <t>5199</t>
  </si>
  <si>
    <t>519905</t>
  </si>
  <si>
    <t>INVERSIONES</t>
  </si>
  <si>
    <t>519910</t>
  </si>
  <si>
    <t>519915</t>
  </si>
  <si>
    <t>PROPIEDADES, PLANTA Y EQUIPO</t>
  </si>
  <si>
    <t>519995</t>
  </si>
  <si>
    <t>OTROS ACTIVOS</t>
  </si>
  <si>
    <t>519999</t>
  </si>
  <si>
    <t>53</t>
  </si>
  <si>
    <t>5305</t>
  </si>
  <si>
    <t>530505</t>
  </si>
  <si>
    <t>GASTOS BANCARIOS</t>
  </si>
  <si>
    <t>53050501</t>
  </si>
  <si>
    <t>CUOTA MANEJO SUC VIRTUAL</t>
  </si>
  <si>
    <t>CUOTA MANEJO SUCURSAL VIRTUAL</t>
  </si>
  <si>
    <t>53050502</t>
  </si>
  <si>
    <t>MANEJO TARJETA DEBITO</t>
  </si>
  <si>
    <t>CUOTA MANEJO TARJETA DEBITO</t>
  </si>
  <si>
    <t>53050503</t>
  </si>
  <si>
    <t>COMISION PAGO A PROVEEDORES</t>
  </si>
  <si>
    <t>530510</t>
  </si>
  <si>
    <t>530515</t>
  </si>
  <si>
    <t>530520</t>
  </si>
  <si>
    <t>530525</t>
  </si>
  <si>
    <t>530530</t>
  </si>
  <si>
    <t>GASTOS EN NEGOCIACION CERTIFICADOS DE CAMBIO</t>
  </si>
  <si>
    <t>530535</t>
  </si>
  <si>
    <t>530540</t>
  </si>
  <si>
    <t>GASTOS MANEJO Y EMISION DE BONOS</t>
  </si>
  <si>
    <t>530545</t>
  </si>
  <si>
    <t>PRIMA AMORTIZADA</t>
  </si>
  <si>
    <t>530595</t>
  </si>
  <si>
    <t>53059505</t>
  </si>
  <si>
    <t>4*1000 GMF</t>
  </si>
  <si>
    <t>53059501</t>
  </si>
  <si>
    <t>53059510</t>
  </si>
  <si>
    <t>53059502</t>
  </si>
  <si>
    <t>530599</t>
  </si>
  <si>
    <t>5315</t>
  </si>
  <si>
    <t>GASTOS EXTRAORDINARIOS</t>
  </si>
  <si>
    <t>531520</t>
  </si>
  <si>
    <t>IMPUESTOS ASUMIDOS</t>
  </si>
  <si>
    <t>53152001</t>
  </si>
  <si>
    <t>RETENCION EN LA FUENTE ASUMIDA</t>
  </si>
  <si>
    <t>RETENCION EN LA FTE ASUMIDA</t>
  </si>
  <si>
    <t>53152002</t>
  </si>
  <si>
    <t>RETENCION DE ICA ASUMIDA</t>
  </si>
  <si>
    <t>RETENCION ICA ASUMIDA</t>
  </si>
  <si>
    <t>53152003</t>
  </si>
  <si>
    <t>IVA ASUMIDO</t>
  </si>
  <si>
    <t>54</t>
  </si>
  <si>
    <t>IMPUESTO DE RENTA Y COMPLEMENTARIOS</t>
  </si>
  <si>
    <t>5405</t>
  </si>
  <si>
    <t>540505</t>
  </si>
  <si>
    <t>59</t>
  </si>
  <si>
    <t>GANANCIAS Y PERDIDAS</t>
  </si>
  <si>
    <t>5905</t>
  </si>
  <si>
    <t>590505</t>
  </si>
  <si>
    <t>NIT / C. C.</t>
  </si>
  <si>
    <t>TIPO</t>
  </si>
  <si>
    <t>NIVEL</t>
  </si>
  <si>
    <t>NATURALEZA</t>
  </si>
  <si>
    <t>SALDO INICIAL</t>
  </si>
  <si>
    <t>DEBITO</t>
  </si>
  <si>
    <t>CREDITO</t>
  </si>
  <si>
    <t>SALDO FINAL</t>
  </si>
  <si>
    <t>D</t>
  </si>
  <si>
    <t>901513634</t>
  </si>
  <si>
    <t>Tercero</t>
  </si>
  <si>
    <t>CO SERVICES S.A.S</t>
  </si>
  <si>
    <t>0</t>
  </si>
  <si>
    <t>*** Identidad 0 creada en reafectación ***</t>
  </si>
  <si>
    <t>1000018061</t>
  </si>
  <si>
    <t>MARIA ALEJANDRA GOMEZ ROZO</t>
  </si>
  <si>
    <t>1000036375</t>
  </si>
  <si>
    <t>MIGUEL ANGEL MEJIA OCAMPO</t>
  </si>
  <si>
    <t>1001284057</t>
  </si>
  <si>
    <t>MONCADA PROAÑOS SAMUEL ESTEBAN</t>
  </si>
  <si>
    <t>1010101811</t>
  </si>
  <si>
    <t>KAREN ALEXANDRA FLOREZ MORENO</t>
  </si>
  <si>
    <t>1012448875</t>
  </si>
  <si>
    <t>AYRI RAMIRO TITUAÑA AMAGUAÑA</t>
  </si>
  <si>
    <t>1020842223</t>
  </si>
  <si>
    <t>CRISTIAN DAVID SORIANO HUERTAS</t>
  </si>
  <si>
    <t>1023976635</t>
  </si>
  <si>
    <t>ISMAEL GALINDO GARCIA</t>
  </si>
  <si>
    <t>1100623759</t>
  </si>
  <si>
    <t>EDILBERTO JOSE RAMIREZ MENDOZA</t>
  </si>
  <si>
    <t>1130744136</t>
  </si>
  <si>
    <t>DANIEL PEREZ ACOSTA</t>
  </si>
  <si>
    <t>19628676</t>
  </si>
  <si>
    <t>ADCOMBO LP</t>
  </si>
  <si>
    <t>222222222</t>
  </si>
  <si>
    <t>CUANTIAS MENORES</t>
  </si>
  <si>
    <t>374795</t>
  </si>
  <si>
    <t>UNICALL SERVICE LTD</t>
  </si>
  <si>
    <t>440493581</t>
  </si>
  <si>
    <t>GOOGLE LLC</t>
  </si>
  <si>
    <t>444444001</t>
  </si>
  <si>
    <t>IVIDEON</t>
  </si>
  <si>
    <t>444444441</t>
  </si>
  <si>
    <t>BITDEFENDER</t>
  </si>
  <si>
    <t>52976572</t>
  </si>
  <si>
    <t>LIDIA YANETH HURTADO SENEJOA</t>
  </si>
  <si>
    <t>800042928</t>
  </si>
  <si>
    <t>PROASISTEMAS S.A.</t>
  </si>
  <si>
    <t>800153993</t>
  </si>
  <si>
    <t>COMUNICACION CELULAR S A COMCEL S A</t>
  </si>
  <si>
    <t>800197268</t>
  </si>
  <si>
    <t>DIAN DIRECCION DE IMPUESTOS Y ADUANAS NACIONALES</t>
  </si>
  <si>
    <t>800251440</t>
  </si>
  <si>
    <t>ENTIDAD PROMOTORA DE SALUD SANITAS SAS</t>
  </si>
  <si>
    <t>80747504</t>
  </si>
  <si>
    <t>JAIRO ANDRES RAMIREZ MANCERA</t>
  </si>
  <si>
    <t>830062853</t>
  </si>
  <si>
    <t>INDUSTRIAS BIGGEST SA</t>
  </si>
  <si>
    <t>860007322</t>
  </si>
  <si>
    <t>CAMARA DE COMERCIO DE BOGOTA</t>
  </si>
  <si>
    <t>860010451</t>
  </si>
  <si>
    <t>CASALIMPIA S.A.</t>
  </si>
  <si>
    <t>860044821</t>
  </si>
  <si>
    <t>EDIFICIO MANUEL MEJIA</t>
  </si>
  <si>
    <t>860063875</t>
  </si>
  <si>
    <t>ENEL COLOMBIA S.A. E.S.P.</t>
  </si>
  <si>
    <t>860066942</t>
  </si>
  <si>
    <t>CAJA DE COMPENSACION FAMILIAR COMPENSAR</t>
  </si>
  <si>
    <t>860513883</t>
  </si>
  <si>
    <t>JOSERRAGO SAS</t>
  </si>
  <si>
    <t>890900608</t>
  </si>
  <si>
    <t>ALMACENES EXITO</t>
  </si>
  <si>
    <t>890903938</t>
  </si>
  <si>
    <t>BANCOLOMBIA</t>
  </si>
  <si>
    <t>891700037</t>
  </si>
  <si>
    <t>MAPFRE SEGUROS GENERALES DE COLOMBIA S A</t>
  </si>
  <si>
    <t>899999061</t>
  </si>
  <si>
    <t>BOGOTA DISTRITO CAPITAL</t>
  </si>
  <si>
    <t>899999115</t>
  </si>
  <si>
    <t>EMPRESA DE TELECOMUNICACIONES DE BOGOTA SA ESP</t>
  </si>
  <si>
    <t>900069482</t>
  </si>
  <si>
    <t>EDITORA ACTUALICESE.COM LTDA</t>
  </si>
  <si>
    <t>900092385</t>
  </si>
  <si>
    <t>UNE EPM TELECOMUNICACIONES SA</t>
  </si>
  <si>
    <t>900170994</t>
  </si>
  <si>
    <t>ZONAMEDICA MR S.A.S.</t>
  </si>
  <si>
    <t>900180739</t>
  </si>
  <si>
    <t>JUNTA CENTRAL DE CONTADORES</t>
  </si>
  <si>
    <t>900293637</t>
  </si>
  <si>
    <t>CENTRAL COMERCIALIZADORA DE INTERNET S.A.S.</t>
  </si>
  <si>
    <t>900424409</t>
  </si>
  <si>
    <t>DAMSU SAS</t>
  </si>
  <si>
    <t>900471482</t>
  </si>
  <si>
    <t>INVERSIONES BORREJIAO S.A.S.</t>
  </si>
  <si>
    <t>900736537</t>
  </si>
  <si>
    <t>MISION SERVIR SAS</t>
  </si>
  <si>
    <t>900970641</t>
  </si>
  <si>
    <t>INVERSIONES TOLOZA MEJIA SAS</t>
  </si>
  <si>
    <t>900994552</t>
  </si>
  <si>
    <t>FIXXTER SAS</t>
  </si>
  <si>
    <t>901051438</t>
  </si>
  <si>
    <t>SECURITY EQUIPMENT SERVICES SAS</t>
  </si>
  <si>
    <t>901065664</t>
  </si>
  <si>
    <t>GESTION DE COMPRAS EMPRESARIALES S.A.S.</t>
  </si>
  <si>
    <t>901636211</t>
  </si>
  <si>
    <t>GRUPO CORPORATIVO MAS SAS</t>
  </si>
  <si>
    <t>13551902</t>
  </si>
  <si>
    <t>AUTO RETENCION 1.10% DEC.261 DE 2023</t>
  </si>
  <si>
    <t>890900943</t>
  </si>
  <si>
    <t>COLOMBIANA DE COMERCIO S.A. KTRONIX</t>
  </si>
  <si>
    <t>900413961</t>
  </si>
  <si>
    <t>KMSYSTEMS S.A.S.</t>
  </si>
  <si>
    <t>901016968</t>
  </si>
  <si>
    <t>CIVINTEC S.A.S.</t>
  </si>
  <si>
    <t>900130908</t>
  </si>
  <si>
    <t>SISTEMAS Y ENERGIA CL S.A.S.</t>
  </si>
  <si>
    <t>900834719</t>
  </si>
  <si>
    <t>DATASERVICIOS &amp; COMUNICACIONES SAS</t>
  </si>
  <si>
    <t>1710</t>
  </si>
  <si>
    <t>171076</t>
  </si>
  <si>
    <t>IMPUESTO DIFERIDO DEBITO</t>
  </si>
  <si>
    <t>C</t>
  </si>
  <si>
    <t>219505</t>
  </si>
  <si>
    <t>OBLIGACIONES EN MONEDA LOCAL</t>
  </si>
  <si>
    <t>219510</t>
  </si>
  <si>
    <t>OBLIGACIONES EN DOLARES</t>
  </si>
  <si>
    <t>23352504</t>
  </si>
  <si>
    <t>IMPLEMENTACION SOFTWARE</t>
  </si>
  <si>
    <t>23352509</t>
  </si>
  <si>
    <t>INSPECCIONES DE SEGURIDAD</t>
  </si>
  <si>
    <t>23355007</t>
  </si>
  <si>
    <t>VIDEO VIGILANCIA</t>
  </si>
  <si>
    <t>900463507</t>
  </si>
  <si>
    <t>BALOR SAS</t>
  </si>
  <si>
    <t>23359506</t>
  </si>
  <si>
    <t>ELEMENTOS DE SEGURIDAD</t>
  </si>
  <si>
    <t>23359507</t>
  </si>
  <si>
    <t>DOTACIONES</t>
  </si>
  <si>
    <t>23657502</t>
  </si>
  <si>
    <t>AUTO RETENCION 1.10% DEC 216 DE 2023</t>
  </si>
  <si>
    <t>236890</t>
  </si>
  <si>
    <t>ICA POR PAGAR</t>
  </si>
  <si>
    <t>800088702</t>
  </si>
  <si>
    <t>EPS SURAMERICANA S.A.</t>
  </si>
  <si>
    <t>830003564</t>
  </si>
  <si>
    <t>ENTIDAD PROMOTORA DE SALUD FAMISANAR SAS</t>
  </si>
  <si>
    <t>900156264</t>
  </si>
  <si>
    <t>NUEVA EMPRESA PROMOTORA DE SALUD SA</t>
  </si>
  <si>
    <t>860002503</t>
  </si>
  <si>
    <t>COMPAÑIA DE SEGUROS BOLIVAR S.A.</t>
  </si>
  <si>
    <t>800144331</t>
  </si>
  <si>
    <t>Sociedad Adm de Fondos de Pensiones Y Cesantias PORVENIR</t>
  </si>
  <si>
    <t>800149496</t>
  </si>
  <si>
    <t>COLFONDOS S.A. PENSIONES Y CESANTIAS</t>
  </si>
  <si>
    <t>800224808</t>
  </si>
  <si>
    <t>FONDO DE PENSIONES OBLIGATORIAS PORVENIR</t>
  </si>
  <si>
    <t>800227940</t>
  </si>
  <si>
    <t>COLFONDOS</t>
  </si>
  <si>
    <t>900336004</t>
  </si>
  <si>
    <t>ADMINISTRADORA COLOMBIANA DE PENSIONES COLPENSIONES</t>
  </si>
  <si>
    <t>900950893</t>
  </si>
  <si>
    <t>COLPENSIONES FONDO DE EMPLEADOS DE LA ADMINISTRADORA COLOMBI</t>
  </si>
  <si>
    <t>IVA DESCONTABLE TRANSITORIO</t>
  </si>
  <si>
    <t>IVA DESCONTABLE COMPRAS 19% TRANSITORIO</t>
  </si>
  <si>
    <t>860503159</t>
  </si>
  <si>
    <t>PASH SAS</t>
  </si>
  <si>
    <t>860516806</t>
  </si>
  <si>
    <t>PERMODA LTDA</t>
  </si>
  <si>
    <t>890801339</t>
  </si>
  <si>
    <t>COMPAÑIA MANUFACTURERA MANISOL</t>
  </si>
  <si>
    <t>900330803</t>
  </si>
  <si>
    <t>COMPREMAS HS SAS</t>
  </si>
  <si>
    <t>900342297</t>
  </si>
  <si>
    <t>COMERCIALIZADORA ARTURO CALLE SAS</t>
  </si>
  <si>
    <t>900796026</t>
  </si>
  <si>
    <t>COMERCIALIZADORA UB CUARENTA SAS</t>
  </si>
  <si>
    <t>901109106</t>
  </si>
  <si>
    <t>INDUSTRIAS ROBOTO SAS</t>
  </si>
  <si>
    <t>901137699</t>
  </si>
  <si>
    <t>MINISO COLOMBIA LTDA</t>
  </si>
  <si>
    <t>IVA DESCONTABLE SERVICIOS 19% TRANSITORIO</t>
  </si>
  <si>
    <t>IVA DESCONTABLE COMPRAS 5% TRANSITORIO</t>
  </si>
  <si>
    <t>240815</t>
  </si>
  <si>
    <t>24081501</t>
  </si>
  <si>
    <t>24081502</t>
  </si>
  <si>
    <t>24081505</t>
  </si>
  <si>
    <t>1000831564</t>
  </si>
  <si>
    <t>CAMILO ACOSTA URREGO</t>
  </si>
  <si>
    <t>1003641910</t>
  </si>
  <si>
    <t>YULY DANIELA GUZMAN MORENO</t>
  </si>
  <si>
    <t>1019112819</t>
  </si>
  <si>
    <t>DIEGO ALEJANDRO TORRES JIMENEZ</t>
  </si>
  <si>
    <t>1022391019</t>
  </si>
  <si>
    <t>CARLOS FABIAN HERRERA HERNANDEZ</t>
  </si>
  <si>
    <t>1022399199</t>
  </si>
  <si>
    <t>LEIDY ACOSTA BERNAL</t>
  </si>
  <si>
    <t>1030645216</t>
  </si>
  <si>
    <t>JENNY CAROLINA DURAN LOPEZ</t>
  </si>
  <si>
    <t>1030672608</t>
  </si>
  <si>
    <t>JOHAN SEBASTIAN MARTINEZ DELGADILLO</t>
  </si>
  <si>
    <t>41559505</t>
  </si>
  <si>
    <t>ATENCION COMERCIAL</t>
  </si>
  <si>
    <t>41559506</t>
  </si>
  <si>
    <t>PROVISION</t>
  </si>
  <si>
    <t>42102001</t>
  </si>
  <si>
    <t>DIEFERENCIA EN CAMBIO REALIZADA</t>
  </si>
  <si>
    <t>42109502</t>
  </si>
  <si>
    <t>APROVECHAMIENTOS</t>
  </si>
  <si>
    <t>4250</t>
  </si>
  <si>
    <t>RECUPERACIONES</t>
  </si>
  <si>
    <t>425015</t>
  </si>
  <si>
    <t>RECLAMOS</t>
  </si>
  <si>
    <t>51052403</t>
  </si>
  <si>
    <t>INACTIVIDAD</t>
  </si>
  <si>
    <t>51052408</t>
  </si>
  <si>
    <t>DOS PRIMEROS DIAS</t>
  </si>
  <si>
    <t>51054501</t>
  </si>
  <si>
    <t>AUXILIO DE ALIMENTACION</t>
  </si>
  <si>
    <t>51054801</t>
  </si>
  <si>
    <t>BONO POR MERA LIBERALIDAD</t>
  </si>
  <si>
    <t>800069933</t>
  </si>
  <si>
    <t>COMODIN SAS</t>
  </si>
  <si>
    <t>804006872</t>
  </si>
  <si>
    <t>CALZADO LA REBAJA SAS</t>
  </si>
  <si>
    <t>51103501</t>
  </si>
  <si>
    <t>SEGURIDAD EN OFICINAS</t>
  </si>
  <si>
    <t>51109502</t>
  </si>
  <si>
    <t>IMPLEMENTACIN HELISA</t>
  </si>
  <si>
    <t>51159502</t>
  </si>
  <si>
    <t>IMPUESTO AL CONSUMO</t>
  </si>
  <si>
    <t>51350502</t>
  </si>
  <si>
    <t>ASEO SERVICIO PUBLICO</t>
  </si>
  <si>
    <t>901145808</t>
  </si>
  <si>
    <t>PROMOAMBIENTAL SAS ESP</t>
  </si>
  <si>
    <t>51350504</t>
  </si>
  <si>
    <t>51409501</t>
  </si>
  <si>
    <t>OTROS CERTIFICADOS</t>
  </si>
  <si>
    <t>515020</t>
  </si>
  <si>
    <t>ADECUACIONES</t>
  </si>
  <si>
    <t>51502003</t>
  </si>
  <si>
    <t>EXTINTORES</t>
  </si>
  <si>
    <t>53052001</t>
  </si>
  <si>
    <t>POR MORA</t>
  </si>
  <si>
    <t>53052002</t>
  </si>
  <si>
    <t>53052501</t>
  </si>
  <si>
    <t>DIFERENCIA EN CAMBIO REALIZADA</t>
  </si>
  <si>
    <t>53152004</t>
  </si>
  <si>
    <t>IVA ASUMIDO AÑO GRAVABLE</t>
  </si>
  <si>
    <t>5395</t>
  </si>
  <si>
    <t>GASTOS DIVERSOS</t>
  </si>
  <si>
    <t>539520</t>
  </si>
  <si>
    <t>MULTAS SANCIONES LITIGIOS</t>
  </si>
  <si>
    <t>54050501</t>
  </si>
  <si>
    <t>PERIODO CORRIENTE</t>
  </si>
  <si>
    <t>FECHA</t>
  </si>
  <si>
    <t>DOCUMENTO</t>
  </si>
  <si>
    <t>TIPO
DOC</t>
  </si>
  <si>
    <t>NUMDOC</t>
  </si>
  <si>
    <t>NOM_CUENTA</t>
  </si>
  <si>
    <t>CONCEPTO</t>
  </si>
  <si>
    <t>Mayor</t>
  </si>
  <si>
    <t>Neto</t>
  </si>
  <si>
    <t>Mes</t>
  </si>
  <si>
    <t>IDENTIDAD
TERCERO</t>
  </si>
  <si>
    <t>DOC_FUENTE</t>
  </si>
  <si>
    <t>FECHA
SISTEMA</t>
  </si>
  <si>
    <t>IND
CONTABILIDAD</t>
  </si>
  <si>
    <t>DV</t>
  </si>
  <si>
    <t>NOMBRE TERCERO</t>
  </si>
  <si>
    <t>CUENTA_BANCARIA</t>
  </si>
  <si>
    <t>Flujo de Cja</t>
  </si>
  <si>
    <t>Cash Flow</t>
  </si>
  <si>
    <t>DIRECCION</t>
  </si>
  <si>
    <t>TELEFONOS</t>
  </si>
  <si>
    <t>NOM_CIUDAD</t>
  </si>
  <si>
    <t>C_C</t>
  </si>
  <si>
    <t>2023/01/01</t>
  </si>
  <si>
    <t>CC  00000073</t>
  </si>
  <si>
    <t>CC</t>
  </si>
  <si>
    <t>00000073</t>
  </si>
  <si>
    <t>CR 20 187 71 SEC 13 OF 47</t>
  </si>
  <si>
    <t>3144307737</t>
  </si>
  <si>
    <t>BOGOTÁ</t>
  </si>
  <si>
    <t>2023/04/19</t>
  </si>
  <si>
    <t>FC  00000433</t>
  </si>
  <si>
    <t>FC</t>
  </si>
  <si>
    <t>00000433</t>
  </si>
  <si>
    <t>OPERARIO DE ASEO Y LIMPIEZA</t>
  </si>
  <si>
    <t>FEV-2023</t>
  </si>
  <si>
    <t>CL 126 70 G 62</t>
  </si>
  <si>
    <t>2853984</t>
  </si>
  <si>
    <t>TRASLADO DE RESULTADOS DE AÑO 2022</t>
  </si>
  <si>
    <t>2023/01/31</t>
  </si>
  <si>
    <t>FEV 13</t>
  </si>
  <si>
    <t>FEV</t>
  </si>
  <si>
    <t>Venta Crédito FEV 13</t>
  </si>
  <si>
    <t>Griva Digeni, 82 Stephanie House, 3rd floor, flat/office 301</t>
  </si>
  <si>
    <t>Venta Según: FEV 13</t>
  </si>
  <si>
    <t>FC  00000377</t>
  </si>
  <si>
    <t>00000377</t>
  </si>
  <si>
    <t>4631950089</t>
  </si>
  <si>
    <t>1600 MPHITHEATRE PKWY MOUNTAIN VIEW, CA 94043</t>
  </si>
  <si>
    <t>2023/01/06</t>
  </si>
  <si>
    <t>FC  00000378</t>
  </si>
  <si>
    <t>00000378</t>
  </si>
  <si>
    <t>CARGO BASICO</t>
  </si>
  <si>
    <t>E-5647782719</t>
  </si>
  <si>
    <t>7</t>
  </si>
  <si>
    <t>CR 68A 24B 10</t>
  </si>
  <si>
    <t>FC  00000379</t>
  </si>
  <si>
    <t>00000379</t>
  </si>
  <si>
    <t>LICENCIA TIPO SAAS PLUS HELISA CLOUD</t>
  </si>
  <si>
    <t>EBOG-200218</t>
  </si>
  <si>
    <t>CL 45 22 18 BRR TEUSAQUILLO</t>
  </si>
  <si>
    <t>2480653</t>
  </si>
  <si>
    <t>2023/01/10</t>
  </si>
  <si>
    <t>FC  00000380</t>
  </si>
  <si>
    <t>00000380</t>
  </si>
  <si>
    <t>SERVICIO INTERNET DEDICADO</t>
  </si>
  <si>
    <t>EB-310494976</t>
  </si>
  <si>
    <t>8</t>
  </si>
  <si>
    <t>CR 8 # 20 - 56</t>
  </si>
  <si>
    <t>2422720</t>
  </si>
  <si>
    <t>IVA DESCONTABLE SERVICIO INTERNET DEDICADO</t>
  </si>
  <si>
    <t>FC  00000381</t>
  </si>
  <si>
    <t>00000381</t>
  </si>
  <si>
    <t>SERVICIO ENERGIA Y ASEO</t>
  </si>
  <si>
    <t>2023-01</t>
  </si>
  <si>
    <t>CR 11 N.82 - 76 PISO 4</t>
  </si>
  <si>
    <t>CR 60 # 15 07</t>
  </si>
  <si>
    <t>7447638</t>
  </si>
  <si>
    <t>FC  00000382</t>
  </si>
  <si>
    <t>00000382</t>
  </si>
  <si>
    <t>2022-12-27</t>
  </si>
  <si>
    <t>9</t>
  </si>
  <si>
    <t>CR 48 #20 - 45</t>
  </si>
  <si>
    <t>43251505</t>
  </si>
  <si>
    <t>MEDELLÍN</t>
  </si>
  <si>
    <t>FC  00000383</t>
  </si>
  <si>
    <t>00000383</t>
  </si>
  <si>
    <t>003-291023781</t>
  </si>
  <si>
    <t>2023/01/11</t>
  </si>
  <si>
    <t>FC  00000384</t>
  </si>
  <si>
    <t>00000384</t>
  </si>
  <si>
    <t>CUOTA ADMINISTRACION ENERO 2023</t>
  </si>
  <si>
    <t>IB-1109</t>
  </si>
  <si>
    <t>CR 75B 121 51 AP 401</t>
  </si>
  <si>
    <t>2570633</t>
  </si>
  <si>
    <t>FC  00000385</t>
  </si>
  <si>
    <t>00000385</t>
  </si>
  <si>
    <t>ARRIENDO ENE 2023</t>
  </si>
  <si>
    <t>IB-1110</t>
  </si>
  <si>
    <t>2023/01/17</t>
  </si>
  <si>
    <t>FC  00000386</t>
  </si>
  <si>
    <t>00000386</t>
  </si>
  <si>
    <t>ALQUILER DEPURADOR Y DISPENSADOR AGUA</t>
  </si>
  <si>
    <t>FVE-10423</t>
  </si>
  <si>
    <t>CL 82 N.22 - 36</t>
  </si>
  <si>
    <t>7568270</t>
  </si>
  <si>
    <t>IVA ALQUILER DEPURADOR Y DISPENSADOR AGUA</t>
  </si>
  <si>
    <t>RETEFTE ALQUILER DEPURADOR Y DISPENSADOR AGUA</t>
  </si>
  <si>
    <t>RETEICA ALQUILER DEPURADOR Y DISPENSADOR AGUA</t>
  </si>
  <si>
    <t>2023/01/20</t>
  </si>
  <si>
    <t>FC  00000387</t>
  </si>
  <si>
    <t>00000387</t>
  </si>
  <si>
    <t>FEV-1881</t>
  </si>
  <si>
    <t>2023/01/30</t>
  </si>
  <si>
    <t>FC  00000388</t>
  </si>
  <si>
    <t>00000388</t>
  </si>
  <si>
    <t>TAGS DE INGRESO</t>
  </si>
  <si>
    <t>FEV-1262</t>
  </si>
  <si>
    <t>CR 15 74 15 OF 306</t>
  </si>
  <si>
    <t>4029811</t>
  </si>
  <si>
    <t>IVA DESCONTABLE TAGS DE INGRESO</t>
  </si>
  <si>
    <t>FC  00000389</t>
  </si>
  <si>
    <t>00000389</t>
  </si>
  <si>
    <t>SUMINISTRO DE ELEMENTOS DE ASEO</t>
  </si>
  <si>
    <t>CR 81B #49B SUR - 32</t>
  </si>
  <si>
    <t>FC  00000390</t>
  </si>
  <si>
    <t>00000390</t>
  </si>
  <si>
    <t>FAC-4650939890</t>
  </si>
  <si>
    <t>2023/02/22</t>
  </si>
  <si>
    <t>CE  00000468</t>
  </si>
  <si>
    <t>CE</t>
  </si>
  <si>
    <t>00000468</t>
  </si>
  <si>
    <t>PAGO DECLARACION ICA 2022</t>
  </si>
  <si>
    <t>CR 30 # 25 -90</t>
  </si>
  <si>
    <t>94400002136</t>
  </si>
  <si>
    <t>2023/02/28</t>
  </si>
  <si>
    <t>NOM 00000093</t>
  </si>
  <si>
    <t>NOM</t>
  </si>
  <si>
    <t>00000093</t>
  </si>
  <si>
    <t>NOMINA MES</t>
  </si>
  <si>
    <t>CL 189B # 2 -  58</t>
  </si>
  <si>
    <t>6</t>
  </si>
  <si>
    <t>CL 100 #11B 95</t>
  </si>
  <si>
    <t>7428383</t>
  </si>
  <si>
    <t>CR 13 26A 56</t>
  </si>
  <si>
    <t>7434441</t>
  </si>
  <si>
    <t>NOM 00000094</t>
  </si>
  <si>
    <t>00000094</t>
  </si>
  <si>
    <t>NOMINA MES DANIEL PEREZ</t>
  </si>
  <si>
    <t>Car 10 16 82 piso 3</t>
  </si>
  <si>
    <t>3105943010</t>
  </si>
  <si>
    <t>CR 13 # 27 - 75  PI.9</t>
  </si>
  <si>
    <t>AV EL DORADO 68B 31 PSIO 10</t>
  </si>
  <si>
    <t>3410077</t>
  </si>
  <si>
    <t>AV 68 49A 47</t>
  </si>
  <si>
    <t>3077001</t>
  </si>
  <si>
    <t>NOM 00000095</t>
  </si>
  <si>
    <t>00000095</t>
  </si>
  <si>
    <t>CR 5C 91 44 SUR</t>
  </si>
  <si>
    <t>CE  00000429</t>
  </si>
  <si>
    <t>00000429</t>
  </si>
  <si>
    <t>PAGO FACTURA</t>
  </si>
  <si>
    <t>CE  00000430</t>
  </si>
  <si>
    <t>00000430</t>
  </si>
  <si>
    <t>CE  00000431</t>
  </si>
  <si>
    <t>00000431</t>
  </si>
  <si>
    <t>CR 85 K # 46A - 66</t>
  </si>
  <si>
    <t>4193000</t>
  </si>
  <si>
    <t>CAR 10 72 33 PISO 12</t>
  </si>
  <si>
    <t>2023/01/12</t>
  </si>
  <si>
    <t>CE  00000432</t>
  </si>
  <si>
    <t>00000432</t>
  </si>
  <si>
    <t>2023/01/16</t>
  </si>
  <si>
    <t>CE  00000433</t>
  </si>
  <si>
    <t>2023/01/18</t>
  </si>
  <si>
    <t>CE  00000434</t>
  </si>
  <si>
    <t>00000434</t>
  </si>
  <si>
    <t>CE  00000435</t>
  </si>
  <si>
    <t>00000435</t>
  </si>
  <si>
    <t>2023/01/19</t>
  </si>
  <si>
    <t>CE  00000436</t>
  </si>
  <si>
    <t>00000436</t>
  </si>
  <si>
    <t>CE  00000437</t>
  </si>
  <si>
    <t>00000437</t>
  </si>
  <si>
    <t>CL 16 # 10 - 51</t>
  </si>
  <si>
    <t>2023/01/24</t>
  </si>
  <si>
    <t>CE  00000438</t>
  </si>
  <si>
    <t>00000438</t>
  </si>
  <si>
    <t>RC  00000033</t>
  </si>
  <si>
    <t>RC</t>
  </si>
  <si>
    <t>00000033</t>
  </si>
  <si>
    <t>BNC 00000014</t>
  </si>
  <si>
    <t>BNC</t>
  </si>
  <si>
    <t>00000014</t>
  </si>
  <si>
    <t>CUOTA MENSUAL</t>
  </si>
  <si>
    <t>CR 48 #26 - 85 AV.INDUSTRIALES</t>
  </si>
  <si>
    <t>IVA CUOTA MENSUAL</t>
  </si>
  <si>
    <t>COMISIONES BANCARIAS</t>
  </si>
  <si>
    <t>GMF 4xMIL MENSUAL</t>
  </si>
  <si>
    <t>BND 00000014</t>
  </si>
  <si>
    <t>BND</t>
  </si>
  <si>
    <t>ABONO A INTERESES POR AHORROS</t>
  </si>
  <si>
    <t>NOM 00000088</t>
  </si>
  <si>
    <t>00000088</t>
  </si>
  <si>
    <t>NOM 00000089</t>
  </si>
  <si>
    <t>00000089</t>
  </si>
  <si>
    <t>NOMINA KAREN ALEXANDRA FLOREZ</t>
  </si>
  <si>
    <t>CR 77 BIS A #51A -68 SUR</t>
  </si>
  <si>
    <t>NOM 00000090</t>
  </si>
  <si>
    <t>00000090</t>
  </si>
  <si>
    <t>NOMINA MES ISMAEL GALINDO</t>
  </si>
  <si>
    <t>DIAGONAL 24# 38-67</t>
  </si>
  <si>
    <t>SOACHA</t>
  </si>
  <si>
    <t>CAR 13A 77A 63</t>
  </si>
  <si>
    <t>6500200</t>
  </si>
  <si>
    <t>NOM 00000091</t>
  </si>
  <si>
    <t>00000091</t>
  </si>
  <si>
    <t>NOMINA MES MARIA ALEJANDRA GOMEZ</t>
  </si>
  <si>
    <t>CR 79F 26 SR 25</t>
  </si>
  <si>
    <t>CL 67 7 94 PISO 3</t>
  </si>
  <si>
    <t>NOM 00000092</t>
  </si>
  <si>
    <t>00000092</t>
  </si>
  <si>
    <t>NOMINA MES MIGUEL MEJIA</t>
  </si>
  <si>
    <t>CL 47A # 28 - 53</t>
  </si>
  <si>
    <t>CC  00000074</t>
  </si>
  <si>
    <t>00000074</t>
  </si>
  <si>
    <t>APORTES A PENSION</t>
  </si>
  <si>
    <t>CC  00000076</t>
  </si>
  <si>
    <t>00000076</t>
  </si>
  <si>
    <t>APORTES MENSUALES</t>
  </si>
  <si>
    <t>IMP 00000038</t>
  </si>
  <si>
    <t>IMP</t>
  </si>
  <si>
    <t>00000038</t>
  </si>
  <si>
    <t>DECLARACION RTE FTE ENR 2023</t>
  </si>
  <si>
    <t>2023/02/10</t>
  </si>
  <si>
    <t>CE  00000455</t>
  </si>
  <si>
    <t>00000455</t>
  </si>
  <si>
    <t>PAGO APORTES ENERO 2023</t>
  </si>
  <si>
    <t>2023/02/11</t>
  </si>
  <si>
    <t>CE  00000456</t>
  </si>
  <si>
    <t>00000456</t>
  </si>
  <si>
    <t>PAGO LIQUIDACION</t>
  </si>
  <si>
    <t>2023/02/13</t>
  </si>
  <si>
    <t>CE  00000457</t>
  </si>
  <si>
    <t>00000457</t>
  </si>
  <si>
    <t>CE  00000458</t>
  </si>
  <si>
    <t>00000458</t>
  </si>
  <si>
    <t>CE  00000459</t>
  </si>
  <si>
    <t>00000459</t>
  </si>
  <si>
    <t>2023/02/14</t>
  </si>
  <si>
    <t>FC  00000407</t>
  </si>
  <si>
    <t>00000407</t>
  </si>
  <si>
    <t>PAGO CESANTIAS 2022</t>
  </si>
  <si>
    <t>202302</t>
  </si>
  <si>
    <t>FC  00000408</t>
  </si>
  <si>
    <t>00000408</t>
  </si>
  <si>
    <t>CE  00000460</t>
  </si>
  <si>
    <t>00000460</t>
  </si>
  <si>
    <t>CE  00000461</t>
  </si>
  <si>
    <t>00000461</t>
  </si>
  <si>
    <t>CE  00000462</t>
  </si>
  <si>
    <t>00000462</t>
  </si>
  <si>
    <t>CE  00000463</t>
  </si>
  <si>
    <t>00000463</t>
  </si>
  <si>
    <t>CR 47 12A -  45</t>
  </si>
  <si>
    <t>2777727</t>
  </si>
  <si>
    <t>CE  00000464</t>
  </si>
  <si>
    <t>00000464</t>
  </si>
  <si>
    <t>CE  00000465</t>
  </si>
  <si>
    <t>00000465</t>
  </si>
  <si>
    <t>CR 45 105 21</t>
  </si>
  <si>
    <t>2447159</t>
  </si>
  <si>
    <t>2023/02/16</t>
  </si>
  <si>
    <t>CE  00000466</t>
  </si>
  <si>
    <t>00000466</t>
  </si>
  <si>
    <t>AV EL DORADO 100 BIS - 70</t>
  </si>
  <si>
    <t>4578383</t>
  </si>
  <si>
    <t>CE  00000467</t>
  </si>
  <si>
    <t>00000467</t>
  </si>
  <si>
    <t>2023/04/30</t>
  </si>
  <si>
    <t>NOM 00000102</t>
  </si>
  <si>
    <t>00000102</t>
  </si>
  <si>
    <t>NOMINA ABRI 2023</t>
  </si>
  <si>
    <t>2023/03/16</t>
  </si>
  <si>
    <t>DSE 1</t>
  </si>
  <si>
    <t>DSE</t>
  </si>
  <si>
    <t>Compra Crédito DSE 1</t>
  </si>
  <si>
    <t>3491</t>
  </si>
  <si>
    <t>CAR 10 # 16 82</t>
  </si>
  <si>
    <t>Compra Según: DSE 1</t>
  </si>
  <si>
    <t>FC  00000410</t>
  </si>
  <si>
    <t>00000410</t>
  </si>
  <si>
    <t>COMPRA 100 TAGS</t>
  </si>
  <si>
    <t>FEV-1276</t>
  </si>
  <si>
    <t>2023/03/17</t>
  </si>
  <si>
    <t>DSE 2</t>
  </si>
  <si>
    <t>Compra Crédito DSE 2</t>
  </si>
  <si>
    <t>4674455317</t>
  </si>
  <si>
    <t>Compra Según: DSE 2</t>
  </si>
  <si>
    <t>CE  00000477</t>
  </si>
  <si>
    <t>00000477</t>
  </si>
  <si>
    <t>PAGO DE FACTURA</t>
  </si>
  <si>
    <t>CE  00000478</t>
  </si>
  <si>
    <t>00000478</t>
  </si>
  <si>
    <t>COMPRA TAGS</t>
  </si>
  <si>
    <t>CE  00000479</t>
  </si>
  <si>
    <t>00000479</t>
  </si>
  <si>
    <t>COMPRA CERTIFICADO CONTADOR</t>
  </si>
  <si>
    <t>BNC 00000015</t>
  </si>
  <si>
    <t>00000015</t>
  </si>
  <si>
    <t>NOM 00000096</t>
  </si>
  <si>
    <t>00000096</t>
  </si>
  <si>
    <t>2023/02/02</t>
  </si>
  <si>
    <t>FC  00000391</t>
  </si>
  <si>
    <t>00000391</t>
  </si>
  <si>
    <t>POLIZA TODO RIESGO PYME INTEGRAL</t>
  </si>
  <si>
    <t>1410201</t>
  </si>
  <si>
    <t>CR 14 96 34</t>
  </si>
  <si>
    <t>6503300</t>
  </si>
  <si>
    <t>2023/02/03</t>
  </si>
  <si>
    <t>FC  00000392</t>
  </si>
  <si>
    <t>00000392</t>
  </si>
  <si>
    <t>CUOTA ADMINISTRACION 2023 01</t>
  </si>
  <si>
    <t>IB-1114</t>
  </si>
  <si>
    <t>FC  00000393</t>
  </si>
  <si>
    <t>00000393</t>
  </si>
  <si>
    <t>ARRIENDO 2023 FEB</t>
  </si>
  <si>
    <t>IB-1115</t>
  </si>
  <si>
    <t>2023/02/07</t>
  </si>
  <si>
    <t>FC  00000394</t>
  </si>
  <si>
    <t>00000394</t>
  </si>
  <si>
    <t>AZUCAR BLANCA</t>
  </si>
  <si>
    <t>IB-82901</t>
  </si>
  <si>
    <t>AZUCAR BLANCA TRANSPORTE</t>
  </si>
  <si>
    <t>2023/02/04</t>
  </si>
  <si>
    <t>FC  00000395</t>
  </si>
  <si>
    <t>00000395</t>
  </si>
  <si>
    <t>SERVICIO VIGILANCIA</t>
  </si>
  <si>
    <t>2023/02/09</t>
  </si>
  <si>
    <t>FC  00000396</t>
  </si>
  <si>
    <t>00000396</t>
  </si>
  <si>
    <t>2023/02/08</t>
  </si>
  <si>
    <t>FC  00000397</t>
  </si>
  <si>
    <t>00000397</t>
  </si>
  <si>
    <t>FVE-10841</t>
  </si>
  <si>
    <t>FC  00000398</t>
  </si>
  <si>
    <t>00000398</t>
  </si>
  <si>
    <t>EBOG-205134</t>
  </si>
  <si>
    <t>FC  00000399</t>
  </si>
  <si>
    <t>00000399</t>
  </si>
  <si>
    <t>E-5657472696</t>
  </si>
  <si>
    <t>FC  00000400</t>
  </si>
  <si>
    <t>00000400</t>
  </si>
  <si>
    <t>003-291083123</t>
  </si>
  <si>
    <t>FC  00000401</t>
  </si>
  <si>
    <t>00000401</t>
  </si>
  <si>
    <t>EB-000311430217</t>
  </si>
  <si>
    <t>FC  00000402</t>
  </si>
  <si>
    <t>00000402</t>
  </si>
  <si>
    <t>EXAMENES MEDICOS INGRESO EGRESO</t>
  </si>
  <si>
    <t>ZVE-20544</t>
  </si>
  <si>
    <t>2023/02/17</t>
  </si>
  <si>
    <t>FC  00000403</t>
  </si>
  <si>
    <t>00000403</t>
  </si>
  <si>
    <t>FEV-1926</t>
  </si>
  <si>
    <t>FC  00000404</t>
  </si>
  <si>
    <t>00000404</t>
  </si>
  <si>
    <t>COMPRA ELEMENTOS DE ASEO</t>
  </si>
  <si>
    <t>IB-83063</t>
  </si>
  <si>
    <t>COMPRA ELEMENTOS DE CAFETERIA</t>
  </si>
  <si>
    <t>COMPRA ELEMENTOS DE ASEO Y CAFETERIA</t>
  </si>
  <si>
    <t>FC  00000405</t>
  </si>
  <si>
    <t>00000405</t>
  </si>
  <si>
    <t>ZVE-20720</t>
  </si>
  <si>
    <t>RC  00000034</t>
  </si>
  <si>
    <t>00000034</t>
  </si>
  <si>
    <t>2023/01/25</t>
  </si>
  <si>
    <t>CE  00000440</t>
  </si>
  <si>
    <t>00000440</t>
  </si>
  <si>
    <t>PAGO NOMINA ENE 2023</t>
  </si>
  <si>
    <t>CE  00000441</t>
  </si>
  <si>
    <t>00000441</t>
  </si>
  <si>
    <t>CE  00000442</t>
  </si>
  <si>
    <t>00000442</t>
  </si>
  <si>
    <t>CE  00000443</t>
  </si>
  <si>
    <t>00000443</t>
  </si>
  <si>
    <t>CE  00000444</t>
  </si>
  <si>
    <t>00000444</t>
  </si>
  <si>
    <t>CE  00000445</t>
  </si>
  <si>
    <t>00000445</t>
  </si>
  <si>
    <t>PAGO DECLARACION 2022</t>
  </si>
  <si>
    <t>2023/01/26</t>
  </si>
  <si>
    <t>CE  00000446</t>
  </si>
  <si>
    <t>00000446</t>
  </si>
  <si>
    <t>FC  00000406</t>
  </si>
  <si>
    <t>00000406</t>
  </si>
  <si>
    <t>CE  00000447</t>
  </si>
  <si>
    <t>00000447</t>
  </si>
  <si>
    <t>CE  00000448</t>
  </si>
  <si>
    <t>00000448</t>
  </si>
  <si>
    <t>CE  00000449</t>
  </si>
  <si>
    <t>00000449</t>
  </si>
  <si>
    <t>2023/02/01</t>
  </si>
  <si>
    <t>CE  00000450</t>
  </si>
  <si>
    <t>00000450</t>
  </si>
  <si>
    <t>CE  00000451</t>
  </si>
  <si>
    <t>00000451</t>
  </si>
  <si>
    <t>2023/02/06</t>
  </si>
  <si>
    <t>CE  00000452</t>
  </si>
  <si>
    <t>00000452</t>
  </si>
  <si>
    <t>CE  00000453</t>
  </si>
  <si>
    <t>00000453</t>
  </si>
  <si>
    <t>CE  00000454</t>
  </si>
  <si>
    <t>00000454</t>
  </si>
  <si>
    <t>PAGO DECLARACION</t>
  </si>
  <si>
    <t>NOM 00000097</t>
  </si>
  <si>
    <t>00000097</t>
  </si>
  <si>
    <t>NOM 00000098</t>
  </si>
  <si>
    <t>00000098</t>
  </si>
  <si>
    <t>NOM 00000099</t>
  </si>
  <si>
    <t>00000099</t>
  </si>
  <si>
    <t>2023/02/24</t>
  </si>
  <si>
    <t>CE  00000469</t>
  </si>
  <si>
    <t>00000469</t>
  </si>
  <si>
    <t>PAGO NOMINA FEBRERO 2023</t>
  </si>
  <si>
    <t>CE  00000470</t>
  </si>
  <si>
    <t>00000470</t>
  </si>
  <si>
    <t>CE  00000471</t>
  </si>
  <si>
    <t>00000471</t>
  </si>
  <si>
    <t>CE  00000472</t>
  </si>
  <si>
    <t>00000472</t>
  </si>
  <si>
    <t>CE  00000473</t>
  </si>
  <si>
    <t>00000473</t>
  </si>
  <si>
    <t>CE  00000474</t>
  </si>
  <si>
    <t>00000474</t>
  </si>
  <si>
    <t>CE  00000475</t>
  </si>
  <si>
    <t>00000475</t>
  </si>
  <si>
    <t>2023/02/25</t>
  </si>
  <si>
    <t>FC  00000409</t>
  </si>
  <si>
    <t>00000409</t>
  </si>
  <si>
    <t>202302B</t>
  </si>
  <si>
    <t>CE  00000476</t>
  </si>
  <si>
    <t>00000476</t>
  </si>
  <si>
    <t>NOM 00000100</t>
  </si>
  <si>
    <t>00000100</t>
  </si>
  <si>
    <t>CC  00000077</t>
  </si>
  <si>
    <t>00000077</t>
  </si>
  <si>
    <t>APORTES NOMINA</t>
  </si>
  <si>
    <t>CC  00000078</t>
  </si>
  <si>
    <t>00000078</t>
  </si>
  <si>
    <t>2023/03/06</t>
  </si>
  <si>
    <t>FEV 14</t>
  </si>
  <si>
    <t>14</t>
  </si>
  <si>
    <t>Venta Crédito FEV 14</t>
  </si>
  <si>
    <t>Venta Según: FEV 14</t>
  </si>
  <si>
    <t>CC  00000079</t>
  </si>
  <si>
    <t>00000079</t>
  </si>
  <si>
    <t>IMP 00000039</t>
  </si>
  <si>
    <t>00000039</t>
  </si>
  <si>
    <t>IMPUESTO POR PAGAR A FEB 2023</t>
  </si>
  <si>
    <t>IMP 00000041</t>
  </si>
  <si>
    <t>00000041</t>
  </si>
  <si>
    <t>DECLARACION FEBRERO</t>
  </si>
  <si>
    <t>CC  00000080</t>
  </si>
  <si>
    <t>00000080</t>
  </si>
  <si>
    <t>CANCELACION SALDO</t>
  </si>
  <si>
    <t>IMP 00000042</t>
  </si>
  <si>
    <t>00000042</t>
  </si>
  <si>
    <t>TRASLADO SALDO A FAVOR</t>
  </si>
  <si>
    <t>BND 00000015</t>
  </si>
  <si>
    <t>CC  00000081</t>
  </si>
  <si>
    <t>00000081</t>
  </si>
  <si>
    <t>DEPRECIACION MENSUAL COMPUTADORES</t>
  </si>
  <si>
    <t>DSE 3</t>
  </si>
  <si>
    <t>Compra Crédito DSE 3</t>
  </si>
  <si>
    <t>Compra Según: DSE 3</t>
  </si>
  <si>
    <t>DEPRECIACION MENSUAL ACCESORIOS</t>
  </si>
  <si>
    <t>DEPRECIACION DEL MES</t>
  </si>
  <si>
    <t>CC  00000082</t>
  </si>
  <si>
    <t>00000082</t>
  </si>
  <si>
    <t>PROVISION INGRESOS FEB 2023</t>
  </si>
  <si>
    <t>2023/03/01</t>
  </si>
  <si>
    <t>CC  00000083</t>
  </si>
  <si>
    <t>00000083</t>
  </si>
  <si>
    <t>DSE 4</t>
  </si>
  <si>
    <t>Compra Crédito DSE 4</t>
  </si>
  <si>
    <t>100114633565</t>
  </si>
  <si>
    <t>Compra Según: DSE 4</t>
  </si>
  <si>
    <t>2023/03/08</t>
  </si>
  <si>
    <t>FC  00000411</t>
  </si>
  <si>
    <t>00000411</t>
  </si>
  <si>
    <t>EB-000312378051</t>
  </si>
  <si>
    <t>FC  00000412</t>
  </si>
  <si>
    <t>00000412</t>
  </si>
  <si>
    <t>EBOG-209516</t>
  </si>
  <si>
    <t>FC  00000413</t>
  </si>
  <si>
    <t>00000413</t>
  </si>
  <si>
    <t>E-5667195310</t>
  </si>
  <si>
    <t>FC  00000414</t>
  </si>
  <si>
    <t>00000414</t>
  </si>
  <si>
    <t>003-291112811</t>
  </si>
  <si>
    <t>2023/03/09</t>
  </si>
  <si>
    <t>FC  00000415</t>
  </si>
  <si>
    <t>00000415</t>
  </si>
  <si>
    <t>FVE-11214</t>
  </si>
  <si>
    <t>2023/03/30</t>
  </si>
  <si>
    <t>NOM 00000101</t>
  </si>
  <si>
    <t>00000101</t>
  </si>
  <si>
    <t>NOMINA 2023 03</t>
  </si>
  <si>
    <t>CAR 63 49A 31 PISO 1 EDIFICIO CAMACOL</t>
  </si>
  <si>
    <t>(4)2602100</t>
  </si>
  <si>
    <t>PROV. RIESGOS NOMINA 2023 03</t>
  </si>
  <si>
    <t>PROV. CAJA NOMINA 2023 03</t>
  </si>
  <si>
    <t>PROV. PENSION NOMINA 2023 03</t>
  </si>
  <si>
    <t>PROV. CESANTIAS NOMINA 2023 03</t>
  </si>
  <si>
    <t>PROV. INTERESES NOMINA 2023 03</t>
  </si>
  <si>
    <t>PROV. PRIMA NOMINA 2023 03</t>
  </si>
  <si>
    <t>PROV. VACACIONES NOMINA 2023 03</t>
  </si>
  <si>
    <t>PROV. CAJA NOMINA 2023 03 MARIA ALEJANDRA GOMEZ RO</t>
  </si>
  <si>
    <t>PROV. CAJA NOMINA 2023 03 MIGUEL ANGEL MEJIA OCAMP</t>
  </si>
  <si>
    <t>PROV. CAJA NOMINA 2023 03 KAREN ALEXANDRA FLOREZ M</t>
  </si>
  <si>
    <t>PROV. CAJA NOMINA 2023 03 CRISTIAN DAVID SORIANO H</t>
  </si>
  <si>
    <t>PROV. CAJA NOMINA 2023 03 DANIEL PEREZ ACOSTA</t>
  </si>
  <si>
    <t>PROV. CAJA NOMINA 2023 03 JAIRO ANDRES RAMIREZ MAN</t>
  </si>
  <si>
    <t>FC  00000416</t>
  </si>
  <si>
    <t>00000416</t>
  </si>
  <si>
    <t>18716775</t>
  </si>
  <si>
    <t>FC  00000417</t>
  </si>
  <si>
    <t>00000417</t>
  </si>
  <si>
    <t>202303</t>
  </si>
  <si>
    <t>2023/03/13</t>
  </si>
  <si>
    <t>FC  00000418</t>
  </si>
  <si>
    <t>00000418</t>
  </si>
  <si>
    <t>ARRIENDO 2023 MARZO</t>
  </si>
  <si>
    <t>IB-1121</t>
  </si>
  <si>
    <t>FC  00000419</t>
  </si>
  <si>
    <t>00000419</t>
  </si>
  <si>
    <t>IB-83431</t>
  </si>
  <si>
    <t>2023/03/27</t>
  </si>
  <si>
    <t>CC  00000084</t>
  </si>
  <si>
    <t>00000084</t>
  </si>
  <si>
    <t>FC  00000420</t>
  </si>
  <si>
    <t>00000420</t>
  </si>
  <si>
    <t>RENOVACION</t>
  </si>
  <si>
    <t>RENOVACION CAMARA DE COMERCIO</t>
  </si>
  <si>
    <t>TV43-4794087</t>
  </si>
  <si>
    <t>AV CALLE 26 # 68D - 35</t>
  </si>
  <si>
    <t>CE  00000480</t>
  </si>
  <si>
    <t>00000480</t>
  </si>
  <si>
    <t>2023/03/07</t>
  </si>
  <si>
    <t>CE  00000481</t>
  </si>
  <si>
    <t>00000481</t>
  </si>
  <si>
    <t>PAGO APORTES NOMINA FEB 2023</t>
  </si>
  <si>
    <t>CE  00000482</t>
  </si>
  <si>
    <t>00000482</t>
  </si>
  <si>
    <t>PAGO DECLARACION FEB 2023</t>
  </si>
  <si>
    <t>CE  00000483</t>
  </si>
  <si>
    <t>00000483</t>
  </si>
  <si>
    <t>PAGO SERVICIO DE INTERNET</t>
  </si>
  <si>
    <t>CE  00000484</t>
  </si>
  <si>
    <t>00000484</t>
  </si>
  <si>
    <t>PAGO SERVICIO DE ENERGIA</t>
  </si>
  <si>
    <t>2023/03/14</t>
  </si>
  <si>
    <t>CE  00000485</t>
  </si>
  <si>
    <t>00000485</t>
  </si>
  <si>
    <t>PAGO SERVICIO MENSUAL</t>
  </si>
  <si>
    <t>2023/03/15</t>
  </si>
  <si>
    <t>CE  00000486</t>
  </si>
  <si>
    <t>00000486</t>
  </si>
  <si>
    <t>PAGO SUMINISTROS ASEO Y CAFETERIA</t>
  </si>
  <si>
    <t>CC  00000085</t>
  </si>
  <si>
    <t>00000085</t>
  </si>
  <si>
    <t>PAGO MENSUALIDAD</t>
  </si>
  <si>
    <t>2023/03/21</t>
  </si>
  <si>
    <t>CE  00000487</t>
  </si>
  <si>
    <t>00000487</t>
  </si>
  <si>
    <t>PAGO MENSUALIDAD DE ADMINISTRACION</t>
  </si>
  <si>
    <t>CE  00000488</t>
  </si>
  <si>
    <t>00000488</t>
  </si>
  <si>
    <t>CE  00000489</t>
  </si>
  <si>
    <t>00000489</t>
  </si>
  <si>
    <t>PAGO LIQUIDACION FINAL</t>
  </si>
  <si>
    <t>CE  00000490</t>
  </si>
  <si>
    <t>00000490</t>
  </si>
  <si>
    <t>CE  00000491</t>
  </si>
  <si>
    <t>00000491</t>
  </si>
  <si>
    <t>CE  00000498</t>
  </si>
  <si>
    <t>00000498</t>
  </si>
  <si>
    <t>2023/03/22</t>
  </si>
  <si>
    <t>CE  00000499</t>
  </si>
  <si>
    <t>00000499</t>
  </si>
  <si>
    <t>PAGO RENOVACION ANUAL</t>
  </si>
  <si>
    <t>CE  00000500</t>
  </si>
  <si>
    <t>00000500</t>
  </si>
  <si>
    <t>PAGO RENOVACION POLIZA</t>
  </si>
  <si>
    <t>2023/03/24</t>
  </si>
  <si>
    <t>CE  00000501</t>
  </si>
  <si>
    <t>00000501</t>
  </si>
  <si>
    <t>PAGA FACTURA</t>
  </si>
  <si>
    <t>CE  00000502</t>
  </si>
  <si>
    <t>00000502</t>
  </si>
  <si>
    <t>CE  00000503</t>
  </si>
  <si>
    <t>00000503</t>
  </si>
  <si>
    <t>NOMINA MARZO 2023</t>
  </si>
  <si>
    <t>CE  00000504</t>
  </si>
  <si>
    <t>00000504</t>
  </si>
  <si>
    <t>CE  00000505</t>
  </si>
  <si>
    <t>00000505</t>
  </si>
  <si>
    <t>CE  00000506</t>
  </si>
  <si>
    <t>00000506</t>
  </si>
  <si>
    <t>CE  00000507</t>
  </si>
  <si>
    <t>00000507</t>
  </si>
  <si>
    <t>RC  00000035</t>
  </si>
  <si>
    <t>00000035</t>
  </si>
  <si>
    <t>RECIBO TRANSFERENCIA DEVOLCION IVA</t>
  </si>
  <si>
    <t>RC  00000036</t>
  </si>
  <si>
    <t>00000036</t>
  </si>
  <si>
    <t>2023/03/10</t>
  </si>
  <si>
    <t>RC  00000037</t>
  </si>
  <si>
    <t>00000037</t>
  </si>
  <si>
    <t>PAGO UNICALL</t>
  </si>
  <si>
    <t>NOM 00000103</t>
  </si>
  <si>
    <t>00000103</t>
  </si>
  <si>
    <t>LIQUIDACION FINAL CONTRATO TERMINO FIJO</t>
  </si>
  <si>
    <t>NOM 00000104</t>
  </si>
  <si>
    <t>00000104</t>
  </si>
  <si>
    <t>PROV. RIESGOS LIQUIDACION FINAL CONTRATO TERMINO F</t>
  </si>
  <si>
    <t>PROV. CAJA LIQUIDACION FINAL CONTRATO TERMINO FIJO</t>
  </si>
  <si>
    <t>PROV. PENSION LIQUIDACION FINAL CONTRATO TERMINO F</t>
  </si>
  <si>
    <t>PROV. CESANTIAS LIQUIDACION FINAL CONTRATO TERMINO</t>
  </si>
  <si>
    <t>PROV. INTERESES LIQUIDACION FINAL CONTRATO TERMINO</t>
  </si>
  <si>
    <t>PROV. PRIMA LIQUIDACION FINAL CONTRATO TERMINO FIJ</t>
  </si>
  <si>
    <t>PROV. VACACIONES LIQUIDACION FINAL CONTRATO TERMIN</t>
  </si>
  <si>
    <t>2023/03/28</t>
  </si>
  <si>
    <t>CE  00000508</t>
  </si>
  <si>
    <t>00000508</t>
  </si>
  <si>
    <t>PAGO NOMINA MARZO 2023</t>
  </si>
  <si>
    <t>CE  00000509</t>
  </si>
  <si>
    <t>00000509</t>
  </si>
  <si>
    <t>CC  00000087</t>
  </si>
  <si>
    <t>00000087</t>
  </si>
  <si>
    <t>CC  00000088</t>
  </si>
  <si>
    <t>CC  00000089</t>
  </si>
  <si>
    <t>2023/03/31</t>
  </si>
  <si>
    <t>FEV 15</t>
  </si>
  <si>
    <t>Venta Crédito FEV 15</t>
  </si>
  <si>
    <t>Venta Según: FEV 15</t>
  </si>
  <si>
    <t>2023/03/29</t>
  </si>
  <si>
    <t>FC  00000421</t>
  </si>
  <si>
    <t>00000421</t>
  </si>
  <si>
    <t>FEV-1979</t>
  </si>
  <si>
    <t>FC  00000422</t>
  </si>
  <si>
    <t>00000422</t>
  </si>
  <si>
    <t>FEV-1980</t>
  </si>
  <si>
    <t>FC  00000423</t>
  </si>
  <si>
    <t>00000423</t>
  </si>
  <si>
    <t>EBOG-212412</t>
  </si>
  <si>
    <t>FC  00000424</t>
  </si>
  <si>
    <t>00000424</t>
  </si>
  <si>
    <t>HERRAMIENTA PARA LIQUIDAR IMPUESTO DE RENTA</t>
  </si>
  <si>
    <t>2FEE-104120</t>
  </si>
  <si>
    <t>CL 10 A 125 A 41 BRR PANCE</t>
  </si>
  <si>
    <t>5553741</t>
  </si>
  <si>
    <t>CALI</t>
  </si>
  <si>
    <t>CE  00000510</t>
  </si>
  <si>
    <t>00000510</t>
  </si>
  <si>
    <t>PAGO FACTURAS</t>
  </si>
  <si>
    <t>CE  00000511</t>
  </si>
  <si>
    <t>00000511</t>
  </si>
  <si>
    <t>PAGO SERVICIO DE SOPORTE</t>
  </si>
  <si>
    <t>CE  00000512</t>
  </si>
  <si>
    <t>00000512</t>
  </si>
  <si>
    <t>PAGO PLANTILLA RENTA 2022</t>
  </si>
  <si>
    <t>IMP 00000043</t>
  </si>
  <si>
    <t>00000043</t>
  </si>
  <si>
    <t>AUTO RETENCION 1.10% MARZO 2023</t>
  </si>
  <si>
    <t>IMP 00000044</t>
  </si>
  <si>
    <t>00000044</t>
  </si>
  <si>
    <t>VALOR A DECLARAR MARZO 2023</t>
  </si>
  <si>
    <t>IMP 00000045</t>
  </si>
  <si>
    <t>00000045</t>
  </si>
  <si>
    <t>PROVISION ICA MARZO 2023</t>
  </si>
  <si>
    <t>DSE 5</t>
  </si>
  <si>
    <t>Compra Crédito DSE 5</t>
  </si>
  <si>
    <t>4692004393</t>
  </si>
  <si>
    <t>Compra Según: DSE 5</t>
  </si>
  <si>
    <t>2023/04/03</t>
  </si>
  <si>
    <t>DSE 6</t>
  </si>
  <si>
    <t>Compra Crédito DSE 6</t>
  </si>
  <si>
    <t>3642</t>
  </si>
  <si>
    <t>Compra Según: DSE 6</t>
  </si>
  <si>
    <t>2023/04/12</t>
  </si>
  <si>
    <t>DSE 7</t>
  </si>
  <si>
    <t>Compra Crédito DSE 7</t>
  </si>
  <si>
    <t>100115724622</t>
  </si>
  <si>
    <t>Compra Según: DSE 7</t>
  </si>
  <si>
    <t>DSE 8</t>
  </si>
  <si>
    <t>Compra Crédito DSE 8</t>
  </si>
  <si>
    <t>Compra Según: DSE 8</t>
  </si>
  <si>
    <t>2023/04/13</t>
  </si>
  <si>
    <t>DSE 9</t>
  </si>
  <si>
    <t>Compra Crédito DSE 9</t>
  </si>
  <si>
    <t>100115758998</t>
  </si>
  <si>
    <t>Compra Según: DSE 9</t>
  </si>
  <si>
    <t>2023/04/09</t>
  </si>
  <si>
    <t>FC  00000425</t>
  </si>
  <si>
    <t>00000425</t>
  </si>
  <si>
    <t>202204</t>
  </si>
  <si>
    <t>2023/04/10</t>
  </si>
  <si>
    <t>FC  00000426</t>
  </si>
  <si>
    <t>00000426</t>
  </si>
  <si>
    <t>E-5677080435</t>
  </si>
  <si>
    <t>FC  00000427</t>
  </si>
  <si>
    <t>00000427</t>
  </si>
  <si>
    <t>EBOG-214456</t>
  </si>
  <si>
    <t>2023/04/11</t>
  </si>
  <si>
    <t>FC  00000428</t>
  </si>
  <si>
    <t>00000428</t>
  </si>
  <si>
    <t>3-291157450</t>
  </si>
  <si>
    <t>FC  00000429</t>
  </si>
  <si>
    <t>FVE-11588</t>
  </si>
  <si>
    <t>FC  00000430</t>
  </si>
  <si>
    <t>202304</t>
  </si>
  <si>
    <t>FC  00000431</t>
  </si>
  <si>
    <t>EB 000313329514</t>
  </si>
  <si>
    <t>2023/04/14</t>
  </si>
  <si>
    <t>FC  00000432</t>
  </si>
  <si>
    <t>COMPRA DE CERTIFICADOS</t>
  </si>
  <si>
    <t>TV43-5052080</t>
  </si>
  <si>
    <t>FC  00000434</t>
  </si>
  <si>
    <t>INSUMOS ASEO Y CAFETERIA</t>
  </si>
  <si>
    <t>pedido</t>
  </si>
  <si>
    <t>FC  00000435</t>
  </si>
  <si>
    <t>ARRIENDO 2023 ABR</t>
  </si>
  <si>
    <t>IB-1125</t>
  </si>
  <si>
    <t>ARRIENDO 2023 ENE</t>
  </si>
  <si>
    <t>2023/04/20</t>
  </si>
  <si>
    <t>FC  00000436</t>
  </si>
  <si>
    <t>ZVE-21820</t>
  </si>
  <si>
    <t>RC  00000038</t>
  </si>
  <si>
    <t>2023/04/01</t>
  </si>
  <si>
    <t>CE  00000513</t>
  </si>
  <si>
    <t>00000513</t>
  </si>
  <si>
    <t>PAGP FACTURA</t>
  </si>
  <si>
    <t>2023/04/04</t>
  </si>
  <si>
    <t>CE  00000514</t>
  </si>
  <si>
    <t>00000514</t>
  </si>
  <si>
    <t>AVANCE POR CALAMIDAD</t>
  </si>
  <si>
    <t>CE  00000515</t>
  </si>
  <si>
    <t>00000515</t>
  </si>
  <si>
    <t>CE  00000516</t>
  </si>
  <si>
    <t>00000516</t>
  </si>
  <si>
    <t>RTE FTE NOV/2022 EXTEMPORANEIDAD X PLATAFORMA</t>
  </si>
  <si>
    <t>CE  00000517</t>
  </si>
  <si>
    <t>00000517</t>
  </si>
  <si>
    <t>CE  00000518</t>
  </si>
  <si>
    <t>00000518</t>
  </si>
  <si>
    <t>PAGO APORTES DEL MES</t>
  </si>
  <si>
    <t>CE  00000519</t>
  </si>
  <si>
    <t>00000519</t>
  </si>
  <si>
    <t>CE  00000520</t>
  </si>
  <si>
    <t>00000520</t>
  </si>
  <si>
    <t>CE  00000521</t>
  </si>
  <si>
    <t>00000521</t>
  </si>
  <si>
    <t>CE  00000522</t>
  </si>
  <si>
    <t>00000522</t>
  </si>
  <si>
    <t>CE  00000523</t>
  </si>
  <si>
    <t>00000523</t>
  </si>
  <si>
    <t>CE  00000524</t>
  </si>
  <si>
    <t>00000524</t>
  </si>
  <si>
    <t>CE  00000525</t>
  </si>
  <si>
    <t>00000525</t>
  </si>
  <si>
    <t>CE  00000526</t>
  </si>
  <si>
    <t>00000526</t>
  </si>
  <si>
    <t>CE  00000527</t>
  </si>
  <si>
    <t>00000527</t>
  </si>
  <si>
    <t>PAGO ANTICIPO INSUMOS</t>
  </si>
  <si>
    <t>CE  00000528</t>
  </si>
  <si>
    <t>00000528</t>
  </si>
  <si>
    <t>CE  00000529</t>
  </si>
  <si>
    <t>00000529</t>
  </si>
  <si>
    <t>CE  00000530</t>
  </si>
  <si>
    <t>00000530</t>
  </si>
  <si>
    <t>CE  00000531</t>
  </si>
  <si>
    <t>00000531</t>
  </si>
  <si>
    <t>CE  00000532</t>
  </si>
  <si>
    <t>00000532</t>
  </si>
  <si>
    <t>2023/05/30</t>
  </si>
  <si>
    <t>CC  00000096</t>
  </si>
  <si>
    <t>PROV. RIESGOS NOMINA ABRI 2023</t>
  </si>
  <si>
    <t>PROV. CAJA NOMINA ABRI 2023</t>
  </si>
  <si>
    <t>PROV. PENSION NOMINA ABRI 2023</t>
  </si>
  <si>
    <t>PROV. CESANTIAS NOMINA ABRI 2023</t>
  </si>
  <si>
    <t>LIQUID. JAIRO RAMIREZ</t>
  </si>
  <si>
    <t>CR 10 # 72 - 33 Piso 11</t>
  </si>
  <si>
    <t>NOM 00000105</t>
  </si>
  <si>
    <t>00000105</t>
  </si>
  <si>
    <t>PROV. RIESGOS LIQUID. JAIRO RAMIREZ</t>
  </si>
  <si>
    <t>PROV. CAJA LIQUID. JAIRO RAMIREZ</t>
  </si>
  <si>
    <t>PROV. PENSION LIQUID. JAIRO RAMIREZ</t>
  </si>
  <si>
    <t>PROV. CESANTIAS LIQUID. JAIRO RAMIREZ</t>
  </si>
  <si>
    <t>PROV. INTERESES LIQUID. JAIRO RAMIREZ</t>
  </si>
  <si>
    <t>PROV. PRIMA LIQUID. JAIRO RAMIREZ</t>
  </si>
  <si>
    <t>PROV. INTERESES NOMINA ABRI 2023</t>
  </si>
  <si>
    <t>PROV. PRIMA NOMINA ABRI 2023</t>
  </si>
  <si>
    <t>PROV. VACACIONES LIQUID. JAIRO RAMIREZ</t>
  </si>
  <si>
    <t>2023/04/25</t>
  </si>
  <si>
    <t>CE  00000533</t>
  </si>
  <si>
    <t>00000533</t>
  </si>
  <si>
    <t>NOMINA ABR 2023</t>
  </si>
  <si>
    <t>CE  00000534</t>
  </si>
  <si>
    <t>00000534</t>
  </si>
  <si>
    <t>CE  00000535</t>
  </si>
  <si>
    <t>00000535</t>
  </si>
  <si>
    <t>CE  00000536</t>
  </si>
  <si>
    <t>00000536</t>
  </si>
  <si>
    <t>CE  00000537</t>
  </si>
  <si>
    <t>00000537</t>
  </si>
  <si>
    <t>CE  00000538</t>
  </si>
  <si>
    <t>00000538</t>
  </si>
  <si>
    <t>LIQUIDACION FINAL</t>
  </si>
  <si>
    <t>2023/04/24</t>
  </si>
  <si>
    <t>FC  00000437</t>
  </si>
  <si>
    <t>IB-83894</t>
  </si>
  <si>
    <t>2023/04/26</t>
  </si>
  <si>
    <t>CC  00000090</t>
  </si>
  <si>
    <t>CC  00000091</t>
  </si>
  <si>
    <t>APORTES ABRIL 2023</t>
  </si>
  <si>
    <t>PROV. VACACIONES NOMINA ABRI 2023</t>
  </si>
  <si>
    <t>2023/03/26</t>
  </si>
  <si>
    <t>BND 00000016</t>
  </si>
  <si>
    <t>00000016</t>
  </si>
  <si>
    <t>BNC 00000016</t>
  </si>
  <si>
    <t>CC  00000075</t>
  </si>
  <si>
    <t>00000075</t>
  </si>
  <si>
    <t>BND 00000017</t>
  </si>
  <si>
    <t>00000017</t>
  </si>
  <si>
    <t>BND 00000018</t>
  </si>
  <si>
    <t>00000018</t>
  </si>
  <si>
    <t>CC  00000092</t>
  </si>
  <si>
    <t>FEV 16</t>
  </si>
  <si>
    <t>16</t>
  </si>
  <si>
    <t>Venta Crédito FEV 16</t>
  </si>
  <si>
    <t>Venta Según: FEV 16</t>
  </si>
  <si>
    <t>IMP 00000046</t>
  </si>
  <si>
    <t>00000046</t>
  </si>
  <si>
    <t>IMP 00000047</t>
  </si>
  <si>
    <t>00000047</t>
  </si>
  <si>
    <t>DECLARACION RTE FTE ABR/2023</t>
  </si>
  <si>
    <t>IMP 00000048</t>
  </si>
  <si>
    <t>00000048</t>
  </si>
  <si>
    <t>PROVISION ICA</t>
  </si>
  <si>
    <t>IMP 00000049</t>
  </si>
  <si>
    <t>00000049</t>
  </si>
  <si>
    <t>DECLARACION BIMESTRE 2 DE 2023</t>
  </si>
  <si>
    <t>IMP 00000040</t>
  </si>
  <si>
    <t>00000040</t>
  </si>
  <si>
    <t>TRASLADO SALDOS DE IVA</t>
  </si>
  <si>
    <t>IMP 00000050</t>
  </si>
  <si>
    <t>00000050</t>
  </si>
  <si>
    <t>TRALADOS IVA BIM 2 DE 2023</t>
  </si>
  <si>
    <t>IMP 00000051</t>
  </si>
  <si>
    <t>00000051</t>
  </si>
  <si>
    <t>SALDO A FAVOR BIM 2 DE 2023</t>
  </si>
  <si>
    <t>DSE 10</t>
  </si>
  <si>
    <t>10</t>
  </si>
  <si>
    <t>Compra Crédito DSE 10</t>
  </si>
  <si>
    <t>100116243783</t>
  </si>
  <si>
    <t>Compra Según: DSE 10</t>
  </si>
  <si>
    <t>CE  00000539</t>
  </si>
  <si>
    <t>00000539</t>
  </si>
  <si>
    <t>DSE 11</t>
  </si>
  <si>
    <t>Compra Crédito DSE 11</t>
  </si>
  <si>
    <t>Compra Según: DSE 11</t>
  </si>
  <si>
    <t>2023/05/02</t>
  </si>
  <si>
    <t>DSE 12</t>
  </si>
  <si>
    <t>12</t>
  </si>
  <si>
    <t>Compra Crédito DSE 12</t>
  </si>
  <si>
    <t>3701</t>
  </si>
  <si>
    <t>Compra Según: DSE 12</t>
  </si>
  <si>
    <t>2023/05/04</t>
  </si>
  <si>
    <t>DSE 13</t>
  </si>
  <si>
    <t>Compra Crédito DSE 13</t>
  </si>
  <si>
    <t>100116579660</t>
  </si>
  <si>
    <t>Compra Según: DSE 13</t>
  </si>
  <si>
    <t>2023/05/17</t>
  </si>
  <si>
    <t>DSE 14</t>
  </si>
  <si>
    <t>Compra Crédito DSE 14</t>
  </si>
  <si>
    <t>100117038096</t>
  </si>
  <si>
    <t>Compra Según: DSE 14</t>
  </si>
  <si>
    <t>2023/05/22</t>
  </si>
  <si>
    <t>DSE 15</t>
  </si>
  <si>
    <t>Compra Crédito DSE 15</t>
  </si>
  <si>
    <t>100117227215</t>
  </si>
  <si>
    <t>Compra Según: DSE 15</t>
  </si>
  <si>
    <t>2023/05/05</t>
  </si>
  <si>
    <t>FC  00000438</t>
  </si>
  <si>
    <t>ARRIENDO 2023 MAYO</t>
  </si>
  <si>
    <t>IB-1129</t>
  </si>
  <si>
    <t>FC  00000439</t>
  </si>
  <si>
    <t>00000439</t>
  </si>
  <si>
    <t>EBOG-217412</t>
  </si>
  <si>
    <t>FC  00000440</t>
  </si>
  <si>
    <t>ZVE-22231</t>
  </si>
  <si>
    <t>2023/05/08</t>
  </si>
  <si>
    <t>FC  00000441</t>
  </si>
  <si>
    <t>FVE-11943</t>
  </si>
  <si>
    <t>FC  00000442</t>
  </si>
  <si>
    <t>ENEL-202305</t>
  </si>
  <si>
    <t>2023/05/09</t>
  </si>
  <si>
    <t>FC  00000443</t>
  </si>
  <si>
    <t>E-5687023936</t>
  </si>
  <si>
    <t>2023/05/11</t>
  </si>
  <si>
    <t>FC  00000444</t>
  </si>
  <si>
    <t>3-291201883</t>
  </si>
  <si>
    <t>2023/05/19</t>
  </si>
  <si>
    <t>FC  00000445</t>
  </si>
  <si>
    <t>EB-000314263379</t>
  </si>
  <si>
    <t>FC  00000446</t>
  </si>
  <si>
    <t>FEV-2066</t>
  </si>
  <si>
    <t>2023/05/01</t>
  </si>
  <si>
    <t>CE  00000540</t>
  </si>
  <si>
    <t>00000540</t>
  </si>
  <si>
    <t>CE  00000541</t>
  </si>
  <si>
    <t>00000541</t>
  </si>
  <si>
    <t>PAGO APORTES NOMINA ABRIL 2023</t>
  </si>
  <si>
    <t>2023/05/03</t>
  </si>
  <si>
    <t>CE  00000542</t>
  </si>
  <si>
    <t>00000542</t>
  </si>
  <si>
    <t>PAGO DECLARACION ICA BIM 1</t>
  </si>
  <si>
    <t>CE  00000543</t>
  </si>
  <si>
    <t>00000543</t>
  </si>
  <si>
    <t>CE  00000544</t>
  </si>
  <si>
    <t>00000544</t>
  </si>
  <si>
    <t>CE  00000545</t>
  </si>
  <si>
    <t>00000545</t>
  </si>
  <si>
    <t>PAGO CUOTA MENSUAL DE ADMINISTRACION</t>
  </si>
  <si>
    <t>CE  00000546</t>
  </si>
  <si>
    <t>00000546</t>
  </si>
  <si>
    <t>CE  00000547</t>
  </si>
  <si>
    <t>00000547</t>
  </si>
  <si>
    <t>DECLARACION RTE FTE 2023 04</t>
  </si>
  <si>
    <t>CE  00000548</t>
  </si>
  <si>
    <t>00000548</t>
  </si>
  <si>
    <t>CE  00000549</t>
  </si>
  <si>
    <t>00000549</t>
  </si>
  <si>
    <t>CE  00000550</t>
  </si>
  <si>
    <t>00000550</t>
  </si>
  <si>
    <t>CE  00000551</t>
  </si>
  <si>
    <t>00000551</t>
  </si>
  <si>
    <t>CE  00000552</t>
  </si>
  <si>
    <t>00000552</t>
  </si>
  <si>
    <t>CE  00000553</t>
  </si>
  <si>
    <t>00000553</t>
  </si>
  <si>
    <t>2023/05/18</t>
  </si>
  <si>
    <t>CE  00000554</t>
  </si>
  <si>
    <t>00000554</t>
  </si>
  <si>
    <t>PAGO DECLARACION RTE ICA BIM 2 DE 2023</t>
  </si>
  <si>
    <t>CE  00000555</t>
  </si>
  <si>
    <t>00000555</t>
  </si>
  <si>
    <t>2023/05/25</t>
  </si>
  <si>
    <t>FC  00000447</t>
  </si>
  <si>
    <t>IB-84207</t>
  </si>
  <si>
    <t>CE  00000556</t>
  </si>
  <si>
    <t>00000556</t>
  </si>
  <si>
    <t>2023/05/31</t>
  </si>
  <si>
    <t>NOM 00000106</t>
  </si>
  <si>
    <t>00000106</t>
  </si>
  <si>
    <t>NOMINA 2023 05</t>
  </si>
  <si>
    <t>*** Bco.creado en reafect. ***</t>
  </si>
  <si>
    <t>CR 56A #4D - 46</t>
  </si>
  <si>
    <t>NOM 00000107</t>
  </si>
  <si>
    <t>00000107</t>
  </si>
  <si>
    <t>PROV. SALUD PROVISIONES NOMINA 2023 05</t>
  </si>
  <si>
    <t>PROV. ARL PROVISIONES NOMINA 2023 05</t>
  </si>
  <si>
    <t>PROV. CAJA PROVISIONES NOMINA 2023 05</t>
  </si>
  <si>
    <t>PROV. PENSION PROVISIONES NOMINA 2023 05</t>
  </si>
  <si>
    <t>PROV. CESANTIAS PROVISIONES NOMINA 2023 05</t>
  </si>
  <si>
    <t>PROV. INTERES PROVISIONES NOMINA 2023 05</t>
  </si>
  <si>
    <t>PROV. PRIMA PROVISIONES NOMINA 2023 05</t>
  </si>
  <si>
    <t>PROV. VACACIONES PROVISIONES NOMINA 2023 05</t>
  </si>
  <si>
    <t>RC  00000039</t>
  </si>
  <si>
    <t>CE  00000557</t>
  </si>
  <si>
    <t>00000557</t>
  </si>
  <si>
    <t>PAGO NOMINA MAYO 2023</t>
  </si>
  <si>
    <t>CE  00000558</t>
  </si>
  <si>
    <t>00000558</t>
  </si>
  <si>
    <t>CE  00000559</t>
  </si>
  <si>
    <t>00000559</t>
  </si>
  <si>
    <t>CE  00000560</t>
  </si>
  <si>
    <t>00000560</t>
  </si>
  <si>
    <t>CE  00000561</t>
  </si>
  <si>
    <t>00000561</t>
  </si>
  <si>
    <t>CE  00000562</t>
  </si>
  <si>
    <t>00000562</t>
  </si>
  <si>
    <t>DSE 16</t>
  </si>
  <si>
    <t>Compra Crédito DSE 16</t>
  </si>
  <si>
    <t>100117335764</t>
  </si>
  <si>
    <t>Compra Según: DSE 16</t>
  </si>
  <si>
    <t>CE  00000563</t>
  </si>
  <si>
    <t>00000563</t>
  </si>
  <si>
    <t>CE  00000564</t>
  </si>
  <si>
    <t>00000564</t>
  </si>
  <si>
    <t>2023/05/26</t>
  </si>
  <si>
    <t>CE  00000565</t>
  </si>
  <si>
    <t>00000565</t>
  </si>
  <si>
    <t>MAYOR VALOR POR AJUSTE BANCARIO</t>
  </si>
  <si>
    <t>IMP 00000052</t>
  </si>
  <si>
    <t>00000052</t>
  </si>
  <si>
    <t>DECLARACION MAY 2023</t>
  </si>
  <si>
    <t>2023/05/29</t>
  </si>
  <si>
    <t>CC  00000093</t>
  </si>
  <si>
    <t>CC  00000094</t>
  </si>
  <si>
    <t>CC  00000095</t>
  </si>
  <si>
    <t>CE  00000566</t>
  </si>
  <si>
    <t>00000566</t>
  </si>
  <si>
    <t>PAGO FACTURA EXAMENES MEDICOS</t>
  </si>
  <si>
    <t>IMP 00000053</t>
  </si>
  <si>
    <t>00000053</t>
  </si>
  <si>
    <t>DSE 17</t>
  </si>
  <si>
    <t>Compra Crédito DSE 17</t>
  </si>
  <si>
    <t>4734531334</t>
  </si>
  <si>
    <t>Compra Según: DSE 17</t>
  </si>
  <si>
    <t>2023/06/01</t>
  </si>
  <si>
    <t>DSE 18</t>
  </si>
  <si>
    <t>18</t>
  </si>
  <si>
    <t>Compra Crédito DSE 18</t>
  </si>
  <si>
    <t>3760</t>
  </si>
  <si>
    <t>Compra Según: DSE 18</t>
  </si>
  <si>
    <t>CC  00000097</t>
  </si>
  <si>
    <t>AJUSTE APORTE INCAPACIDAD CRISTIAN SORIANO</t>
  </si>
  <si>
    <t>2023/06/05</t>
  </si>
  <si>
    <t>FC  00000448</t>
  </si>
  <si>
    <t>726871904--5</t>
  </si>
  <si>
    <t>2023/06/06</t>
  </si>
  <si>
    <t>FC  00000449</t>
  </si>
  <si>
    <t>ARRIENDO 2023 JUN</t>
  </si>
  <si>
    <t>ib-1133</t>
  </si>
  <si>
    <t>FC  00000450</t>
  </si>
  <si>
    <t>FEV-1343</t>
  </si>
  <si>
    <t>2023/06/07</t>
  </si>
  <si>
    <t>FC  00000451</t>
  </si>
  <si>
    <t>FVE-12316</t>
  </si>
  <si>
    <t>FC  00000452</t>
  </si>
  <si>
    <t>EBOG-222336</t>
  </si>
  <si>
    <t>2023/06/08</t>
  </si>
  <si>
    <t>FC  00000453</t>
  </si>
  <si>
    <t>TV43-5308866</t>
  </si>
  <si>
    <t>2023/06/12</t>
  </si>
  <si>
    <t>FC  00000454</t>
  </si>
  <si>
    <t>3-291246178</t>
  </si>
  <si>
    <t>FC  00000455</t>
  </si>
  <si>
    <t>CARGO BASICO SERVICIO DE DATOS</t>
  </si>
  <si>
    <t>E-5696888979</t>
  </si>
  <si>
    <t>CARGO BASICO SERVICIO DE DATOS Y MOVIL</t>
  </si>
  <si>
    <t>CARGO BASICO SERVICIO TELEFONIA MOVIL</t>
  </si>
  <si>
    <t>2023/06/14</t>
  </si>
  <si>
    <t>FC  00000456</t>
  </si>
  <si>
    <t>EB-000315206216</t>
  </si>
  <si>
    <t>CE  00000567</t>
  </si>
  <si>
    <t>00000567</t>
  </si>
  <si>
    <t>2023/06/15</t>
  </si>
  <si>
    <t>DSE 19</t>
  </si>
  <si>
    <t>19</t>
  </si>
  <si>
    <t>Compra Crédito DSE 19</t>
  </si>
  <si>
    <t>100118138036</t>
  </si>
  <si>
    <t>Compra Según: DSE 19</t>
  </si>
  <si>
    <t>CE  00000568</t>
  </si>
  <si>
    <t>00000568</t>
  </si>
  <si>
    <t>CE  00000569</t>
  </si>
  <si>
    <t>00000569</t>
  </si>
  <si>
    <t>PAGO APORTES</t>
  </si>
  <si>
    <t>CE  00000570</t>
  </si>
  <si>
    <t>00000570</t>
  </si>
  <si>
    <t>2023/06/13</t>
  </si>
  <si>
    <t>CE  00000571</t>
  </si>
  <si>
    <t>00000571</t>
  </si>
  <si>
    <t>PAGO SUIMINISTROS</t>
  </si>
  <si>
    <t>CE  00000572</t>
  </si>
  <si>
    <t>00000572</t>
  </si>
  <si>
    <t>2023/06/16</t>
  </si>
  <si>
    <t>CE  00000573</t>
  </si>
  <si>
    <t>00000573</t>
  </si>
  <si>
    <t>CE  00000574</t>
  </si>
  <si>
    <t>00000574</t>
  </si>
  <si>
    <t>CE  00000575</t>
  </si>
  <si>
    <t>00000575</t>
  </si>
  <si>
    <t>CE  00000576</t>
  </si>
  <si>
    <t>00000576</t>
  </si>
  <si>
    <t>CE  00000577</t>
  </si>
  <si>
    <t>00000577</t>
  </si>
  <si>
    <t>CE  00000578</t>
  </si>
  <si>
    <t>00000578</t>
  </si>
  <si>
    <t>RC  00000040</t>
  </si>
  <si>
    <t>FEV 17</t>
  </si>
  <si>
    <t>Venta efectivo FEV 17</t>
  </si>
  <si>
    <t>Venta Según: FEV 17</t>
  </si>
  <si>
    <t>2023/06/20</t>
  </si>
  <si>
    <t>FC  00000457</t>
  </si>
  <si>
    <t>FEV-2110</t>
  </si>
  <si>
    <t>FC  00000458</t>
  </si>
  <si>
    <t>IB-84476</t>
  </si>
  <si>
    <t>CE  00000579</t>
  </si>
  <si>
    <t>00000579</t>
  </si>
  <si>
    <t>2023/06/21</t>
  </si>
  <si>
    <t>CE  00000580</t>
  </si>
  <si>
    <t>00000580</t>
  </si>
  <si>
    <t>CE  00000581</t>
  </si>
  <si>
    <t>00000581</t>
  </si>
  <si>
    <t>BND 00000019</t>
  </si>
  <si>
    <t>00000019</t>
  </si>
  <si>
    <t>BNC 00000017</t>
  </si>
  <si>
    <t>DSE 20</t>
  </si>
  <si>
    <t>20</t>
  </si>
  <si>
    <t>Compra Crédito DSE 20</t>
  </si>
  <si>
    <t>Compra Según: DSE 20</t>
  </si>
  <si>
    <t>CE  00000582</t>
  </si>
  <si>
    <t>00000582</t>
  </si>
  <si>
    <t>PAGO FACTURA MAYO 2023</t>
  </si>
  <si>
    <t>2023/06/30</t>
  </si>
  <si>
    <t>FEV 18</t>
  </si>
  <si>
    <t>Venta efectivo FEV 18</t>
  </si>
  <si>
    <t>Venta Según: FEV 18</t>
  </si>
  <si>
    <t>NOM 00000108</t>
  </si>
  <si>
    <t>00000108</t>
  </si>
  <si>
    <t>NOMINA JUNIO 2023</t>
  </si>
  <si>
    <t>NOM 00000109</t>
  </si>
  <si>
    <t>00000109</t>
  </si>
  <si>
    <t>PROV. ARL PROVISIONES NOMINA JUNIO 2023</t>
  </si>
  <si>
    <t>PROV. CAJA PROVISIONES NOMINA JUNIO 2023</t>
  </si>
  <si>
    <t>PROV. PENSION PROVISIONES NOMINA JUNIO 2023</t>
  </si>
  <si>
    <t>PROV. CESANTIAS PROVISIONES NOMINA JUNIO 2023</t>
  </si>
  <si>
    <t>PROV. INTERES PROVISIONES NOMINA JUNIO 2023</t>
  </si>
  <si>
    <t>PROV. PRIMA PROVISIONES NOMINA JUNIO 2023</t>
  </si>
  <si>
    <t>PROV. VACACIONES PROVISIONES NOMINA JUNIO 2023</t>
  </si>
  <si>
    <t>NOM 00000110</t>
  </si>
  <si>
    <t>00000110</t>
  </si>
  <si>
    <t>AJUSTE DIF EN BASE INCAPACIDAD VS SUELDO</t>
  </si>
  <si>
    <t>NOM 00000111</t>
  </si>
  <si>
    <t>00000111</t>
  </si>
  <si>
    <t>CC  00000098</t>
  </si>
  <si>
    <t>CC  00000099</t>
  </si>
  <si>
    <t>CC  00000100</t>
  </si>
  <si>
    <t>2023/06/23</t>
  </si>
  <si>
    <t>CE  00000583</t>
  </si>
  <si>
    <t>00000583</t>
  </si>
  <si>
    <t>PAGO NOMINA JUNIO 2023</t>
  </si>
  <si>
    <t>2023/06/25</t>
  </si>
  <si>
    <t>CE  00000584</t>
  </si>
  <si>
    <t>00000584</t>
  </si>
  <si>
    <t>CE  00000585</t>
  </si>
  <si>
    <t>00000585</t>
  </si>
  <si>
    <t>CE  00000586</t>
  </si>
  <si>
    <t>00000586</t>
  </si>
  <si>
    <t>CE  00000587</t>
  </si>
  <si>
    <t>00000587</t>
  </si>
  <si>
    <t>CE  00000588</t>
  </si>
  <si>
    <t>00000588</t>
  </si>
  <si>
    <t>BND 00000020</t>
  </si>
  <si>
    <t>00000020</t>
  </si>
  <si>
    <t>BNC 00000018</t>
  </si>
  <si>
    <t>IMP 00000054</t>
  </si>
  <si>
    <t>00000054</t>
  </si>
  <si>
    <t>CC  00000101</t>
  </si>
  <si>
    <t>IMP 00000055</t>
  </si>
  <si>
    <t>00000055</t>
  </si>
  <si>
    <t>VALOR A DECLARAR JUN 2023</t>
  </si>
  <si>
    <t>IMP 00000056</t>
  </si>
  <si>
    <t>00000056</t>
  </si>
  <si>
    <t>DECLARACION BIMESTRE 3 DE 2023</t>
  </si>
  <si>
    <t>IMP 00000057</t>
  </si>
  <si>
    <t>00000057</t>
  </si>
  <si>
    <t>IMP 00000058</t>
  </si>
  <si>
    <t>00000058</t>
  </si>
  <si>
    <t>DECLARACION IVA BIM 3</t>
  </si>
  <si>
    <t>2023/07/04</t>
  </si>
  <si>
    <t>DSE 22</t>
  </si>
  <si>
    <t>22</t>
  </si>
  <si>
    <t>Compra Crédito DSE 22</t>
  </si>
  <si>
    <t>3821</t>
  </si>
  <si>
    <t>Compra Según: DSE 22</t>
  </si>
  <si>
    <t>2023/07/06</t>
  </si>
  <si>
    <t>DSE 23</t>
  </si>
  <si>
    <t>Compra Crédito DSE 23</t>
  </si>
  <si>
    <t>100118982103</t>
  </si>
  <si>
    <t>Compra Según: DSE 23</t>
  </si>
  <si>
    <t>2023/07/05</t>
  </si>
  <si>
    <t>FC  00000459</t>
  </si>
  <si>
    <t>ARRIENDO 2023 JUL</t>
  </si>
  <si>
    <t>IB-1137</t>
  </si>
  <si>
    <t>2023/07/07</t>
  </si>
  <si>
    <t>FC  00000460</t>
  </si>
  <si>
    <t>730642729-4</t>
  </si>
  <si>
    <t>FC  00000461</t>
  </si>
  <si>
    <t>EBOG-224881</t>
  </si>
  <si>
    <t>FC  00000462</t>
  </si>
  <si>
    <t>E-5706774965</t>
  </si>
  <si>
    <t>2023/07/10</t>
  </si>
  <si>
    <t>FC  00000463</t>
  </si>
  <si>
    <t>IB-84761</t>
  </si>
  <si>
    <t>2023/07/11</t>
  </si>
  <si>
    <t>FC  00000464</t>
  </si>
  <si>
    <t>FVE-12606</t>
  </si>
  <si>
    <t>FC  00000465</t>
  </si>
  <si>
    <t>3-291290323</t>
  </si>
  <si>
    <t>2023/07/13</t>
  </si>
  <si>
    <t>FC  00000466</t>
  </si>
  <si>
    <t>TV43-5449625</t>
  </si>
  <si>
    <t>FC  00000467</t>
  </si>
  <si>
    <t>EB-000316139138</t>
  </si>
  <si>
    <t>2023/07/21</t>
  </si>
  <si>
    <t>FC  00000468</t>
  </si>
  <si>
    <t xml:space="preserve"> FEV-2152</t>
  </si>
  <si>
    <t>2023/07/09</t>
  </si>
  <si>
    <t>DSE 24</t>
  </si>
  <si>
    <t>Compra Crédito DSE 24</t>
  </si>
  <si>
    <t>100119078006</t>
  </si>
  <si>
    <t>Compra Según: DSE 24</t>
  </si>
  <si>
    <t>DSE 21</t>
  </si>
  <si>
    <t>Compra Crédito DSE 21</t>
  </si>
  <si>
    <t>4757451160</t>
  </si>
  <si>
    <t>Compra Según: DSE 21</t>
  </si>
  <si>
    <t>2023/07/24</t>
  </si>
  <si>
    <t>FC  00000469</t>
  </si>
  <si>
    <t>FVE 23057</t>
  </si>
  <si>
    <t>CR 17 49 12</t>
  </si>
  <si>
    <t>9191909</t>
  </si>
  <si>
    <t>RC  00000041</t>
  </si>
  <si>
    <t>2023/07/01</t>
  </si>
  <si>
    <t>CE  00000589</t>
  </si>
  <si>
    <t>00000589</t>
  </si>
  <si>
    <t>PAGO ELEMENTOS DE ASEO Y CAFETERIA</t>
  </si>
  <si>
    <t>CE  00000590</t>
  </si>
  <si>
    <t>00000590</t>
  </si>
  <si>
    <t>PAGO CUOTA DOMINIO</t>
  </si>
  <si>
    <t>CE  00000591</t>
  </si>
  <si>
    <t>00000591</t>
  </si>
  <si>
    <t>PAGO APORTES JUN 2023</t>
  </si>
  <si>
    <t>CE  00000592</t>
  </si>
  <si>
    <t>00000592</t>
  </si>
  <si>
    <t>PAGO FACT VIDEO VIGILANCIA</t>
  </si>
  <si>
    <t>2023/07/22</t>
  </si>
  <si>
    <t>CE  00000601</t>
  </si>
  <si>
    <t>00000601</t>
  </si>
  <si>
    <t>LIQUIDACION EDILBERTO RAMIREZ</t>
  </si>
  <si>
    <t>CE  00000593</t>
  </si>
  <si>
    <t>00000593</t>
  </si>
  <si>
    <t>CUOTA DE ADMINISTRACION</t>
  </si>
  <si>
    <t>CE  00000594</t>
  </si>
  <si>
    <t>00000594</t>
  </si>
  <si>
    <t>SERVICIO DE ENERGIA</t>
  </si>
  <si>
    <t>CE  00000595</t>
  </si>
  <si>
    <t>00000595</t>
  </si>
  <si>
    <t>PAGO SERVICIO MENSUAL HELISA</t>
  </si>
  <si>
    <t>CE  00000596</t>
  </si>
  <si>
    <t>00000596</t>
  </si>
  <si>
    <t>FACTURA VIDEOVIGILANCIA</t>
  </si>
  <si>
    <t>CE  00000597</t>
  </si>
  <si>
    <t>00000597</t>
  </si>
  <si>
    <t>ARRIENDO JUL 2023</t>
  </si>
  <si>
    <t>2023/07/12</t>
  </si>
  <si>
    <t>CE  00000598</t>
  </si>
  <si>
    <t>00000598</t>
  </si>
  <si>
    <t>PAGO DECLARACION JUN 2023</t>
  </si>
  <si>
    <t>CE  00000599</t>
  </si>
  <si>
    <t>00000599</t>
  </si>
  <si>
    <t>COMPRA CERTIFICADO</t>
  </si>
  <si>
    <t>CE  00000602</t>
  </si>
  <si>
    <t>00000602</t>
  </si>
  <si>
    <t>PAGO CARGO BASICO CELULAR</t>
  </si>
  <si>
    <t>2023/07/26</t>
  </si>
  <si>
    <t>CE  00000603</t>
  </si>
  <si>
    <t>00000603</t>
  </si>
  <si>
    <t>PAGO NOMINA JULIO 2023</t>
  </si>
  <si>
    <t>CE  00000604</t>
  </si>
  <si>
    <t>00000604</t>
  </si>
  <si>
    <t>CE  00000605</t>
  </si>
  <si>
    <t>00000605</t>
  </si>
  <si>
    <t>CE  00000606</t>
  </si>
  <si>
    <t>00000606</t>
  </si>
  <si>
    <t>CE  00000607</t>
  </si>
  <si>
    <t>00000607</t>
  </si>
  <si>
    <t>2023/07/30</t>
  </si>
  <si>
    <t>CC  00000102</t>
  </si>
  <si>
    <t>CC  00000103</t>
  </si>
  <si>
    <t>CC  00000104</t>
  </si>
  <si>
    <t>CC  00000105</t>
  </si>
  <si>
    <t>2023/07/31</t>
  </si>
  <si>
    <t>FEV 19</t>
  </si>
  <si>
    <t>Venta Crédito FEV 19</t>
  </si>
  <si>
    <t>Venta Según: FEV 19</t>
  </si>
  <si>
    <t>DSE 25</t>
  </si>
  <si>
    <t>Compra Crédito DSE 25</t>
  </si>
  <si>
    <t>4776939811</t>
  </si>
  <si>
    <t>Compra Según: DSE 25</t>
  </si>
  <si>
    <t>DSE 26</t>
  </si>
  <si>
    <t>Compra Crédito DSE 26</t>
  </si>
  <si>
    <t>100119725554</t>
  </si>
  <si>
    <t>Compra Según: DSE 26</t>
  </si>
  <si>
    <t>BNC 00000019</t>
  </si>
  <si>
    <t>BND 00000021</t>
  </si>
  <si>
    <t>00000021</t>
  </si>
  <si>
    <t>CE  00000608</t>
  </si>
  <si>
    <t>00000608</t>
  </si>
  <si>
    <t>2023/07/27</t>
  </si>
  <si>
    <t>CE  00000609</t>
  </si>
  <si>
    <t>00000609</t>
  </si>
  <si>
    <t>CE  00000610</t>
  </si>
  <si>
    <t>00000610</t>
  </si>
  <si>
    <t>CE  00000611</t>
  </si>
  <si>
    <t>00000611</t>
  </si>
  <si>
    <t>2023/07/28</t>
  </si>
  <si>
    <t>CE  00000612</t>
  </si>
  <si>
    <t>00000612</t>
  </si>
  <si>
    <t>CE  00000613</t>
  </si>
  <si>
    <t>00000613</t>
  </si>
  <si>
    <t>CE  00000614</t>
  </si>
  <si>
    <t>00000614</t>
  </si>
  <si>
    <t>PAGO APORTES DE NOMINA</t>
  </si>
  <si>
    <t>IMP 00000059</t>
  </si>
  <si>
    <t>00000059</t>
  </si>
  <si>
    <t>CC  00000106</t>
  </si>
  <si>
    <t>AJUSTE SEGUN DECLARACIONES</t>
  </si>
  <si>
    <t>IMP 00000060</t>
  </si>
  <si>
    <t>00000060</t>
  </si>
  <si>
    <t>DECLARACION JULIO 2023</t>
  </si>
  <si>
    <t>NOM 00000112</t>
  </si>
  <si>
    <t>00000112</t>
  </si>
  <si>
    <t>NOMINA JULIO 2023</t>
  </si>
  <si>
    <t>CE  00000600</t>
  </si>
  <si>
    <t>00000600</t>
  </si>
  <si>
    <t>PAGO FACTURA INTERNET</t>
  </si>
  <si>
    <t>NOM 00000114</t>
  </si>
  <si>
    <t>00000114</t>
  </si>
  <si>
    <t>LIQUIDACION FINAL EDILBERTO RAMIREZ</t>
  </si>
  <si>
    <t>NOM 00000115</t>
  </si>
  <si>
    <t>00000115</t>
  </si>
  <si>
    <t>PROV. SALUD PROVISIONES Y APORTES JULIO 2023</t>
  </si>
  <si>
    <t>PROV. ARL PROVISIONES Y APORTES JULIO 2023</t>
  </si>
  <si>
    <t>PROV. CAJA PROVISIONES Y APORTES JULIO 2023</t>
  </si>
  <si>
    <t>PROV. PENSION PROVISIONES Y APORTES JULIO 2023</t>
  </si>
  <si>
    <t>PROV. CESANTIAS PROVISIONES Y APORTES JULIO 2023</t>
  </si>
  <si>
    <t>PROV. INTERES PROVISIONES Y APORTES JULIO 2023</t>
  </si>
  <si>
    <t>PROV. PRIMA PROVISIONES Y APORTES JULIO 2023</t>
  </si>
  <si>
    <t>PROV. VACACIONES PROVISIONES Y APORTES JULIO 2023</t>
  </si>
  <si>
    <t>2023/08/01</t>
  </si>
  <si>
    <t>DSE 29</t>
  </si>
  <si>
    <t>29</t>
  </si>
  <si>
    <t>Compra Crédito DSE 29</t>
  </si>
  <si>
    <t>3882</t>
  </si>
  <si>
    <t>Compra Según: DSE 29</t>
  </si>
  <si>
    <t>2023/08/14</t>
  </si>
  <si>
    <t>DSE 30</t>
  </si>
  <si>
    <t>30</t>
  </si>
  <si>
    <t>Compra Crédito DSE 30</t>
  </si>
  <si>
    <t>100120439879</t>
  </si>
  <si>
    <t>Compra Según: DSE 30</t>
  </si>
  <si>
    <t>2023/08/15</t>
  </si>
  <si>
    <t>DSE 31</t>
  </si>
  <si>
    <t>Compra Crédito DSE 31</t>
  </si>
  <si>
    <t>100120478894</t>
  </si>
  <si>
    <t>Compra Según: DSE 31</t>
  </si>
  <si>
    <t>DSE 32</t>
  </si>
  <si>
    <t>Compra Crédito DSE 32</t>
  </si>
  <si>
    <t>100120479146</t>
  </si>
  <si>
    <t>Compra Según: DSE 32</t>
  </si>
  <si>
    <t>DSE 33</t>
  </si>
  <si>
    <t>Compra Crédito DSE 33</t>
  </si>
  <si>
    <t>100120479218</t>
  </si>
  <si>
    <t>Compra Según: DSE 33</t>
  </si>
  <si>
    <t>2023/08/02</t>
  </si>
  <si>
    <t>FC  00000470</t>
  </si>
  <si>
    <t>FEV-1379</t>
  </si>
  <si>
    <t>2023/08/03</t>
  </si>
  <si>
    <t>FC  00000471</t>
  </si>
  <si>
    <t>IBG-85099</t>
  </si>
  <si>
    <t>2023/08/04</t>
  </si>
  <si>
    <t>FC  00000472</t>
  </si>
  <si>
    <t>FVE-13098</t>
  </si>
  <si>
    <t>FC  00000473</t>
  </si>
  <si>
    <t>FSP-7344241739</t>
  </si>
  <si>
    <t>2023/08/08</t>
  </si>
  <si>
    <t>FC  00000474</t>
  </si>
  <si>
    <t>ARRIENDO 2023 AGT</t>
  </si>
  <si>
    <t>IB-1141</t>
  </si>
  <si>
    <t>FC  00000475</t>
  </si>
  <si>
    <t>EBOG-229578</t>
  </si>
  <si>
    <t>FC  00000476</t>
  </si>
  <si>
    <t>E-5716758405</t>
  </si>
  <si>
    <t>FC  00000477</t>
  </si>
  <si>
    <t>3-291334294</t>
  </si>
  <si>
    <t>2023/08/11</t>
  </si>
  <si>
    <t>FC  00000478</t>
  </si>
  <si>
    <t>FVE-23219</t>
  </si>
  <si>
    <t>FC  00000479</t>
  </si>
  <si>
    <t>EB 000317054171</t>
  </si>
  <si>
    <t>RC  00000042</t>
  </si>
  <si>
    <t>RECAUDO PAGO CLIENTE</t>
  </si>
  <si>
    <t>RC  00000043</t>
  </si>
  <si>
    <t>RECAUDO SALDO A FAVOR BIM 1 DE 2023</t>
  </si>
  <si>
    <t>CE  00000615</t>
  </si>
  <si>
    <t>00000615</t>
  </si>
  <si>
    <t>CE  00000616</t>
  </si>
  <si>
    <t>00000616</t>
  </si>
  <si>
    <t>CE  00000617</t>
  </si>
  <si>
    <t>00000617</t>
  </si>
  <si>
    <t>CE  00000618</t>
  </si>
  <si>
    <t>00000618</t>
  </si>
  <si>
    <t>CE  00000619</t>
  </si>
  <si>
    <t>00000619</t>
  </si>
  <si>
    <t>2023/08/10</t>
  </si>
  <si>
    <t>CE  00000620</t>
  </si>
  <si>
    <t>00000620</t>
  </si>
  <si>
    <t>CE  00000621</t>
  </si>
  <si>
    <t>00000621</t>
  </si>
  <si>
    <t>CE  00000622</t>
  </si>
  <si>
    <t>00000622</t>
  </si>
  <si>
    <t>CE  00000623</t>
  </si>
  <si>
    <t>00000623</t>
  </si>
  <si>
    <t>CE  00000624</t>
  </si>
  <si>
    <t>00000624</t>
  </si>
  <si>
    <t>CE  00000625</t>
  </si>
  <si>
    <t>00000625</t>
  </si>
  <si>
    <t>PAGO DECLARACION JUL 2023</t>
  </si>
  <si>
    <t>CE  00000626</t>
  </si>
  <si>
    <t>00000626</t>
  </si>
  <si>
    <t>DSE 34</t>
  </si>
  <si>
    <t>Compra Crédito DSE 34</t>
  </si>
  <si>
    <t>Compra Según: DSE 34</t>
  </si>
  <si>
    <t>CE  00000627</t>
  </si>
  <si>
    <t>00000627</t>
  </si>
  <si>
    <t>DSE 35</t>
  </si>
  <si>
    <t>35</t>
  </si>
  <si>
    <t>Compra Crédito DSE 35</t>
  </si>
  <si>
    <t>Compra Según: DSE 35</t>
  </si>
  <si>
    <t>CE  00000628</t>
  </si>
  <si>
    <t>00000628</t>
  </si>
  <si>
    <t>CE  00000629</t>
  </si>
  <si>
    <t>00000629</t>
  </si>
  <si>
    <t>CE  00000630</t>
  </si>
  <si>
    <t>00000630</t>
  </si>
  <si>
    <t>CE  00000631</t>
  </si>
  <si>
    <t>00000631</t>
  </si>
  <si>
    <t>CE  00000632</t>
  </si>
  <si>
    <t>00000632</t>
  </si>
  <si>
    <t>2023/08/22</t>
  </si>
  <si>
    <t>RC  00000045</t>
  </si>
  <si>
    <t>DEVOLUCION IVA 2023 BIMESTRE 1</t>
  </si>
  <si>
    <t>2023/08/18</t>
  </si>
  <si>
    <t>CE  00000633</t>
  </si>
  <si>
    <t>00000633</t>
  </si>
  <si>
    <t>COMPRA DE DOTACION 1ER CUATRIMESTRE 2023</t>
  </si>
  <si>
    <t>CE  00000634</t>
  </si>
  <si>
    <t>00000634</t>
  </si>
  <si>
    <t>CE  00000635</t>
  </si>
  <si>
    <t>00000635</t>
  </si>
  <si>
    <t>CE  00000636</t>
  </si>
  <si>
    <t>00000636</t>
  </si>
  <si>
    <t>CE  00000637</t>
  </si>
  <si>
    <t>00000637</t>
  </si>
  <si>
    <t>FC  00000480</t>
  </si>
  <si>
    <t>FC  00000481</t>
  </si>
  <si>
    <t>FC  00000482</t>
  </si>
  <si>
    <t>FC  00000483</t>
  </si>
  <si>
    <t>FC  00000484</t>
  </si>
  <si>
    <t>FC  00000485</t>
  </si>
  <si>
    <t>SUMINISTRO ELEMENTOS DE ASEO Y CAFETERIA</t>
  </si>
  <si>
    <t>COT-12589</t>
  </si>
  <si>
    <t>2023/08/24</t>
  </si>
  <si>
    <t>DSE 36</t>
  </si>
  <si>
    <t>Compra Crédito DSE 36</t>
  </si>
  <si>
    <t>100120811239</t>
  </si>
  <si>
    <t>Compra Según: DSE 36</t>
  </si>
  <si>
    <t>2023/08/20</t>
  </si>
  <si>
    <t>FC  00000486</t>
  </si>
  <si>
    <t>DOTACION ALEJANDRA ROZO</t>
  </si>
  <si>
    <t>18933</t>
  </si>
  <si>
    <t>CL 9 #4 - 61</t>
  </si>
  <si>
    <t>8982498</t>
  </si>
  <si>
    <t>MANIZALES</t>
  </si>
  <si>
    <t>FC  00000487</t>
  </si>
  <si>
    <t>DOTACION CRISTIAN SORIANO</t>
  </si>
  <si>
    <t>3163138280</t>
  </si>
  <si>
    <t>2023/08/23</t>
  </si>
  <si>
    <t>FC  00000492</t>
  </si>
  <si>
    <t>00000492</t>
  </si>
  <si>
    <t>DOTACION DANIEL PEREZ</t>
  </si>
  <si>
    <t>FE-43223453</t>
  </si>
  <si>
    <t>AK 72 (AV.BOYACA) #152B - 62</t>
  </si>
  <si>
    <t>FC  00000488</t>
  </si>
  <si>
    <t>FEV-2207</t>
  </si>
  <si>
    <t>FC  00000489</t>
  </si>
  <si>
    <t>DOTACION ALEXANDRA FLOREZ</t>
  </si>
  <si>
    <t>FC  00000490</t>
  </si>
  <si>
    <t>DOTACION MIGUEL MEJIA</t>
  </si>
  <si>
    <t>IRW-906</t>
  </si>
  <si>
    <t>CR 7 #54 - 77</t>
  </si>
  <si>
    <t>FC  00000491</t>
  </si>
  <si>
    <t>IBG-85365</t>
  </si>
  <si>
    <t>CE  00000638</t>
  </si>
  <si>
    <t>00000638</t>
  </si>
  <si>
    <t>SUMINISTROS DE ASEO Y CAFETERIA</t>
  </si>
  <si>
    <t>CE  00000639</t>
  </si>
  <si>
    <t>00000639</t>
  </si>
  <si>
    <t>2023/08/31</t>
  </si>
  <si>
    <t>NOM 00000116</t>
  </si>
  <si>
    <t>00000116</t>
  </si>
  <si>
    <t>NOMINA 2023 08</t>
  </si>
  <si>
    <t>NOM 00000117</t>
  </si>
  <si>
    <t>00000117</t>
  </si>
  <si>
    <t>PROV. RIESGOS APORTES Y PRSTACIONES 2023 08</t>
  </si>
  <si>
    <t>PROV. CAJA APORTES Y PRSTACIONES 2023 08</t>
  </si>
  <si>
    <t>PROV. PENSION APORTES Y PRSTACIONES 2023 08</t>
  </si>
  <si>
    <t>PROV. CESANTIAS APORTES Y PRSTACIONES 2023 08</t>
  </si>
  <si>
    <t>PROV. INTERESES APORTES Y PRSTACIONES 2023 08</t>
  </si>
  <si>
    <t>PROV. PRIMA APORTES Y PRSTACIONES 2023 08</t>
  </si>
  <si>
    <t>PROV. VACACIONES APORTES Y PRSTACIONES 2023 08</t>
  </si>
  <si>
    <t>2023/08/25</t>
  </si>
  <si>
    <t>CE  00000640</t>
  </si>
  <si>
    <t>00000640</t>
  </si>
  <si>
    <t>PAGO NOMINA 2023 08</t>
  </si>
  <si>
    <t>CE  00000641</t>
  </si>
  <si>
    <t>00000641</t>
  </si>
  <si>
    <t>CE  00000642</t>
  </si>
  <si>
    <t>00000642</t>
  </si>
  <si>
    <t>CE  00000643</t>
  </si>
  <si>
    <t>00000643</t>
  </si>
  <si>
    <t>CE  00000644</t>
  </si>
  <si>
    <t>00000644</t>
  </si>
  <si>
    <t>CE  00000645</t>
  </si>
  <si>
    <t>00000645</t>
  </si>
  <si>
    <t>PAGO DEUDA</t>
  </si>
  <si>
    <t>ABONO A DEUDA</t>
  </si>
  <si>
    <t>CC  00000107</t>
  </si>
  <si>
    <t>AJUSTE APORTE CRISTIAN SORIANO INCAPACIDAD</t>
  </si>
  <si>
    <t>CC  00000108</t>
  </si>
  <si>
    <t>CC  00000109</t>
  </si>
  <si>
    <t>2023/08/28</t>
  </si>
  <si>
    <t>FC  00000493</t>
  </si>
  <si>
    <t>00000493</t>
  </si>
  <si>
    <t>PLANILLA DE APORTES NOMINA AGOSTO 2023</t>
  </si>
  <si>
    <t>70421958</t>
  </si>
  <si>
    <t>2023/08/29</t>
  </si>
  <si>
    <t>FC  00000494</t>
  </si>
  <si>
    <t>00000494</t>
  </si>
  <si>
    <t>CINCO HORNOS MICRO-ONDAS</t>
  </si>
  <si>
    <t>FE-123675</t>
  </si>
  <si>
    <t>CE 14 #17 - 40</t>
  </si>
  <si>
    <t>7430813</t>
  </si>
  <si>
    <t>FEV 20</t>
  </si>
  <si>
    <t>Venta efectivo FEV 20</t>
  </si>
  <si>
    <t>Venta Según: FEV 20</t>
  </si>
  <si>
    <t>FC  00000495</t>
  </si>
  <si>
    <t>00000495</t>
  </si>
  <si>
    <t>INSPECCION DE SEGURIDAD AVISOS</t>
  </si>
  <si>
    <t>FE-28</t>
  </si>
  <si>
    <t>CL 18 SUR 38 35</t>
  </si>
  <si>
    <t>DSE 37</t>
  </si>
  <si>
    <t>Compra Crédito DSE 37</t>
  </si>
  <si>
    <t>4797631252</t>
  </si>
  <si>
    <t>Compra Según: DSE 37</t>
  </si>
  <si>
    <t>IMP 00000061</t>
  </si>
  <si>
    <t>00000061</t>
  </si>
  <si>
    <t>LIQUIDACION AUTO RETENCION AGT 2023</t>
  </si>
  <si>
    <t>IMP 00000063</t>
  </si>
  <si>
    <t>00000063</t>
  </si>
  <si>
    <t>DECLARACION AGOSTO 2023</t>
  </si>
  <si>
    <t>IMP 00000062</t>
  </si>
  <si>
    <t>00000062</t>
  </si>
  <si>
    <t>DECLARACION 4° BIMESTRE ICA</t>
  </si>
  <si>
    <t>BND 00000022</t>
  </si>
  <si>
    <t>00000022</t>
  </si>
  <si>
    <t>BNC 00000020</t>
  </si>
  <si>
    <t>CE  00000646</t>
  </si>
  <si>
    <t>00000646</t>
  </si>
  <si>
    <t>CE  00000647</t>
  </si>
  <si>
    <t>00000647</t>
  </si>
  <si>
    <t>CE  00000648</t>
  </si>
  <si>
    <t>00000648</t>
  </si>
  <si>
    <t>CE  00000649</t>
  </si>
  <si>
    <t>00000649</t>
  </si>
  <si>
    <t>PAGO APORTES AGOSTO 2023</t>
  </si>
  <si>
    <t>IMP 00000064</t>
  </si>
  <si>
    <t>00000064</t>
  </si>
  <si>
    <t>CIERRE IVA BIM 4 DE 2023</t>
  </si>
  <si>
    <t>IMP 00000065</t>
  </si>
  <si>
    <t>00000065</t>
  </si>
  <si>
    <t>SALDO A FAVOR BIM 4 DE 2023</t>
  </si>
  <si>
    <t>CC  00000110</t>
  </si>
  <si>
    <t>2023/09/08</t>
  </si>
  <si>
    <t>RC  00000046</t>
  </si>
  <si>
    <t>RECAUDO PAGO FACTURA UNICALL</t>
  </si>
  <si>
    <t>2023/09/01</t>
  </si>
  <si>
    <t>DSE 38</t>
  </si>
  <si>
    <t>38</t>
  </si>
  <si>
    <t>Compra Crédito DSE 38</t>
  </si>
  <si>
    <t>3943</t>
  </si>
  <si>
    <t>Compra Según: DSE 38</t>
  </si>
  <si>
    <t>2023/09/14</t>
  </si>
  <si>
    <t>DSE 39</t>
  </si>
  <si>
    <t>39</t>
  </si>
  <si>
    <t>Compra Crédito DSE 39</t>
  </si>
  <si>
    <t>100121662115</t>
  </si>
  <si>
    <t>Compra Según: DSE 39</t>
  </si>
  <si>
    <t>2023/09/04</t>
  </si>
  <si>
    <t>FC  00000496</t>
  </si>
  <si>
    <t>00000496</t>
  </si>
  <si>
    <t>RECARGA EXTINTORES</t>
  </si>
  <si>
    <t>FE-29</t>
  </si>
  <si>
    <t>2023/09/06</t>
  </si>
  <si>
    <t>FC  00000497</t>
  </si>
  <si>
    <t>00000497</t>
  </si>
  <si>
    <t>ARRIENDO 2023 SEPT</t>
  </si>
  <si>
    <t>IB-1145</t>
  </si>
  <si>
    <t>FC  00000498</t>
  </si>
  <si>
    <t>EBOG-232774</t>
  </si>
  <si>
    <t>FC  00000499</t>
  </si>
  <si>
    <t>ZVE-24934</t>
  </si>
  <si>
    <t>2023/09/10</t>
  </si>
  <si>
    <t>FC  00000500</t>
  </si>
  <si>
    <t>FEV-23772</t>
  </si>
  <si>
    <t>FC  00000501</t>
  </si>
  <si>
    <t>3-291378068</t>
  </si>
  <si>
    <t>2023/09/11</t>
  </si>
  <si>
    <t>FC  00000502</t>
  </si>
  <si>
    <t>FVE-13517</t>
  </si>
  <si>
    <t>FC  00000503</t>
  </si>
  <si>
    <t>ELEMENTOS DE PRIMEROS AUXILIOS</t>
  </si>
  <si>
    <t>FE-31</t>
  </si>
  <si>
    <t>2023/09/15</t>
  </si>
  <si>
    <t>FC  00000504</t>
  </si>
  <si>
    <t>EB-000317976896</t>
  </si>
  <si>
    <t>FC  00000505</t>
  </si>
  <si>
    <t>IBG-85649</t>
  </si>
  <si>
    <t>FC  00000506</t>
  </si>
  <si>
    <t>107289082-7</t>
  </si>
  <si>
    <t>2023/09/21</t>
  </si>
  <si>
    <t>FC  00000507</t>
  </si>
  <si>
    <t>RENOVACION 3 MESES</t>
  </si>
  <si>
    <t>FEL-155153</t>
  </si>
  <si>
    <t>Carrera 6 No. 77-42</t>
  </si>
  <si>
    <t>7435100</t>
  </si>
  <si>
    <t>2023/09/19</t>
  </si>
  <si>
    <t>CE  00000662</t>
  </si>
  <si>
    <t>00000662</t>
  </si>
  <si>
    <t>CE  00000663</t>
  </si>
  <si>
    <t>00000663</t>
  </si>
  <si>
    <t>CE  00000650</t>
  </si>
  <si>
    <t>00000650</t>
  </si>
  <si>
    <t>CE  00000664</t>
  </si>
  <si>
    <t>00000664</t>
  </si>
  <si>
    <t>CE  00000651</t>
  </si>
  <si>
    <t>00000651</t>
  </si>
  <si>
    <t>2023/09/07</t>
  </si>
  <si>
    <t>CE  00000652</t>
  </si>
  <si>
    <t>00000652</t>
  </si>
  <si>
    <t>CE  00000653</t>
  </si>
  <si>
    <t>00000653</t>
  </si>
  <si>
    <t>CE  00000654</t>
  </si>
  <si>
    <t>00000654</t>
  </si>
  <si>
    <t>CE  00000655</t>
  </si>
  <si>
    <t>00000655</t>
  </si>
  <si>
    <t>CE  00000656</t>
  </si>
  <si>
    <t>00000656</t>
  </si>
  <si>
    <t>CE  00000657</t>
  </si>
  <si>
    <t>00000657</t>
  </si>
  <si>
    <t>IMP 00000066</t>
  </si>
  <si>
    <t>00000066</t>
  </si>
  <si>
    <t>INFORMACION EXOGENA 2021</t>
  </si>
  <si>
    <t>CE  00000658</t>
  </si>
  <si>
    <t>00000658</t>
  </si>
  <si>
    <t>PAGO POR EXOGENA 2021</t>
  </si>
  <si>
    <t>CE  00000659</t>
  </si>
  <si>
    <t>00000659</t>
  </si>
  <si>
    <t>PAGO DECLARACION RET FTE AGOSTOS 2023</t>
  </si>
  <si>
    <t>CE  00000660</t>
  </si>
  <si>
    <t>00000660</t>
  </si>
  <si>
    <t>CE  00000661</t>
  </si>
  <si>
    <t>00000661</t>
  </si>
  <si>
    <t>PAGO DECLARACION RTE ICA BIM 4 DE 2023</t>
  </si>
  <si>
    <t>2023/09/20</t>
  </si>
  <si>
    <t>CE  00000665</t>
  </si>
  <si>
    <t>00000665</t>
  </si>
  <si>
    <t>CE  00000666</t>
  </si>
  <si>
    <t>00000666</t>
  </si>
  <si>
    <t>CE  00000667</t>
  </si>
  <si>
    <t>00000667</t>
  </si>
  <si>
    <t>2023/09/22</t>
  </si>
  <si>
    <t>FC  00000508</t>
  </si>
  <si>
    <t>FEV-2240</t>
  </si>
  <si>
    <t>2023/09/30</t>
  </si>
  <si>
    <t>NOM 00000118</t>
  </si>
  <si>
    <t>00000118</t>
  </si>
  <si>
    <t>NOMINA SEPT 2023</t>
  </si>
  <si>
    <t>CR 18M 70A 87 sur</t>
  </si>
  <si>
    <t>3125277732</t>
  </si>
  <si>
    <t>NOM 00000119</t>
  </si>
  <si>
    <t>00000119</t>
  </si>
  <si>
    <t>PROV. RIESGOS APORTES Y PROV. SEPT 2023</t>
  </si>
  <si>
    <t>PROV. CAJA APORTES Y PROV. SEPT 2023</t>
  </si>
  <si>
    <t>PROV. PENSION APORTES Y PROV. SEPT 2023</t>
  </si>
  <si>
    <t>PROV. CESANTIAS APORTES Y PROV. SEPT 2023</t>
  </si>
  <si>
    <t>PROV. INTERESES APORTES Y PROV. SEPT 2023</t>
  </si>
  <si>
    <t>PROV. PRIMA APORTES Y PROV. SEPT 2023</t>
  </si>
  <si>
    <t>PROV. VACACIONES APORTES Y PROV. SEPT 2023</t>
  </si>
  <si>
    <t>2023/09/26</t>
  </si>
  <si>
    <t>CC  00000111</t>
  </si>
  <si>
    <t>CC  00000112</t>
  </si>
  <si>
    <t>CC  00000113</t>
  </si>
  <si>
    <t>00000113</t>
  </si>
  <si>
    <t>AJUSTE INCAPACIDAD NO CAUSA APORTES</t>
  </si>
  <si>
    <t>2023/09/28</t>
  </si>
  <si>
    <t>FC  00000509</t>
  </si>
  <si>
    <t>FE-32</t>
  </si>
  <si>
    <t>CE  00000668</t>
  </si>
  <si>
    <t>00000668</t>
  </si>
  <si>
    <t>CE  00000669</t>
  </si>
  <si>
    <t>00000669</t>
  </si>
  <si>
    <t>CE  00000670</t>
  </si>
  <si>
    <t>00000670</t>
  </si>
  <si>
    <t>CE  00000671</t>
  </si>
  <si>
    <t>00000671</t>
  </si>
  <si>
    <t>2023/09/29</t>
  </si>
  <si>
    <t>CE  00000672</t>
  </si>
  <si>
    <t>00000672</t>
  </si>
  <si>
    <t>CE  00000673</t>
  </si>
  <si>
    <t>00000673</t>
  </si>
  <si>
    <t>CE  00000674</t>
  </si>
  <si>
    <t>00000674</t>
  </si>
  <si>
    <t>CE  00000675</t>
  </si>
  <si>
    <t>00000675</t>
  </si>
  <si>
    <t>CE  00000676</t>
  </si>
  <si>
    <t>00000676</t>
  </si>
  <si>
    <t>CE  00000677</t>
  </si>
  <si>
    <t>00000677</t>
  </si>
  <si>
    <t>PAGO APORTES SEPT</t>
  </si>
  <si>
    <t>DSE 40</t>
  </si>
  <si>
    <t>40</t>
  </si>
  <si>
    <t>Compra Crédito DSE 40</t>
  </si>
  <si>
    <t>FACT-4819615176</t>
  </si>
  <si>
    <t>CC  00000114</t>
  </si>
  <si>
    <t>FEV 21</t>
  </si>
  <si>
    <t>Venta Crédito FEV 21</t>
  </si>
  <si>
    <t>Venta Según: FEV 21</t>
  </si>
  <si>
    <t>Compra Según: DSE 40</t>
  </si>
  <si>
    <t>ABONO A DEUDA SEPT/2023</t>
  </si>
  <si>
    <t>RC  00000047</t>
  </si>
  <si>
    <t>REINTEGRO RECLAMACION INCAPACIDADES</t>
  </si>
  <si>
    <t>BND 00000023</t>
  </si>
  <si>
    <t>00000023</t>
  </si>
  <si>
    <t>BNC 00000021</t>
  </si>
  <si>
    <t>PROVISION IMPUESTO DE RENTA</t>
  </si>
  <si>
    <t>IMP 00000067</t>
  </si>
  <si>
    <t>00000067</t>
  </si>
  <si>
    <t>IMP 00000068</t>
  </si>
  <si>
    <t>00000068</t>
  </si>
  <si>
    <t>LIQUIDACION AUTO RETENCION SEPT 2023</t>
  </si>
  <si>
    <t>IMP 00000069</t>
  </si>
  <si>
    <t>00000069</t>
  </si>
  <si>
    <t>DECLARACION RTE FTE  SEPT</t>
  </si>
  <si>
    <t>2023/10/02</t>
  </si>
  <si>
    <t>DSE 41</t>
  </si>
  <si>
    <t>Compra Crédito DSE 41</t>
  </si>
  <si>
    <t>4004</t>
  </si>
  <si>
    <t>Compra Según: DSE 41</t>
  </si>
  <si>
    <t>2023/10/03</t>
  </si>
  <si>
    <t>DSE 42</t>
  </si>
  <si>
    <t>Compra Crédito DSE 42</t>
  </si>
  <si>
    <t>100122453772</t>
  </si>
  <si>
    <t>Compra Según: DSE 42</t>
  </si>
  <si>
    <t>2023/10/01</t>
  </si>
  <si>
    <t>FC  00000510</t>
  </si>
  <si>
    <t>DOTACION ALEXANDRA</t>
  </si>
  <si>
    <t>2023/10/04</t>
  </si>
  <si>
    <t>FC  00000511</t>
  </si>
  <si>
    <t>TV43-5797192</t>
  </si>
  <si>
    <t>FC  00000512</t>
  </si>
  <si>
    <t>ANTICIPO</t>
  </si>
  <si>
    <t>2023/10/06</t>
  </si>
  <si>
    <t>FC  00000513</t>
  </si>
  <si>
    <t>EBOG-238201</t>
  </si>
  <si>
    <t>FC  00000514</t>
  </si>
  <si>
    <t>1112435818</t>
  </si>
  <si>
    <t>2023/10/10</t>
  </si>
  <si>
    <t>FC  00000515</t>
  </si>
  <si>
    <t>FVE-24290</t>
  </si>
  <si>
    <t>2023/10/11</t>
  </si>
  <si>
    <t>FC  00000516</t>
  </si>
  <si>
    <t>FC  00000517</t>
  </si>
  <si>
    <t>IBG-85874</t>
  </si>
  <si>
    <t>2023/10/12</t>
  </si>
  <si>
    <t>FC  00000518</t>
  </si>
  <si>
    <t>FVE-14120</t>
  </si>
  <si>
    <t>FC  00000519</t>
  </si>
  <si>
    <t>IB-1149</t>
  </si>
  <si>
    <t>2023/10/17</t>
  </si>
  <si>
    <t>FC  00000520</t>
  </si>
  <si>
    <t>INSCRIPCION ACTAS</t>
  </si>
  <si>
    <t>TV43-5843025-</t>
  </si>
  <si>
    <t>2023/10/18</t>
  </si>
  <si>
    <t>FC  00000521</t>
  </si>
  <si>
    <t>EB-000318937599</t>
  </si>
  <si>
    <t>2023/10/23</t>
  </si>
  <si>
    <t>FC  00000522</t>
  </si>
  <si>
    <t>FEV-2276</t>
  </si>
  <si>
    <t>2023/10/26</t>
  </si>
  <si>
    <t>FC  00000523</t>
  </si>
  <si>
    <t>FEV-1438</t>
  </si>
  <si>
    <t>2023/10/24</t>
  </si>
  <si>
    <t>DSE 43</t>
  </si>
  <si>
    <t>43</t>
  </si>
  <si>
    <t>Compra Crédito DSE 43</t>
  </si>
  <si>
    <t>241023</t>
  </si>
  <si>
    <t>CL 65 SUR 81 F 46 BRR</t>
  </si>
  <si>
    <t>Compra Según: DSE 43</t>
  </si>
  <si>
    <t>CE  00000678</t>
  </si>
  <si>
    <t>00000678</t>
  </si>
  <si>
    <t>CE  00000679</t>
  </si>
  <si>
    <t>00000679</t>
  </si>
  <si>
    <t>CE  00000680</t>
  </si>
  <si>
    <t>00000680</t>
  </si>
  <si>
    <t>2023/10/05</t>
  </si>
  <si>
    <t>CE  00000681</t>
  </si>
  <si>
    <t>00000681</t>
  </si>
  <si>
    <t>CE  00000682</t>
  </si>
  <si>
    <t>00000682</t>
  </si>
  <si>
    <t>PAGO DECLARACION DE RTE FTE</t>
  </si>
  <si>
    <t>CE  00000683</t>
  </si>
  <si>
    <t>00000683</t>
  </si>
  <si>
    <t>CE  00000684</t>
  </si>
  <si>
    <t>00000684</t>
  </si>
  <si>
    <t>CE  00000685</t>
  </si>
  <si>
    <t>00000685</t>
  </si>
  <si>
    <t>CE  00000686</t>
  </si>
  <si>
    <t>00000686</t>
  </si>
  <si>
    <t>CE  00000687</t>
  </si>
  <si>
    <t>00000687</t>
  </si>
  <si>
    <t>CE  00000688</t>
  </si>
  <si>
    <t>00000688</t>
  </si>
  <si>
    <t>2023/10/19</t>
  </si>
  <si>
    <t>CE  00000689</t>
  </si>
  <si>
    <t>00000689</t>
  </si>
  <si>
    <t>CE  00000690</t>
  </si>
  <si>
    <t>00000690</t>
  </si>
  <si>
    <t>2023/10/20</t>
  </si>
  <si>
    <t>CE  00000691</t>
  </si>
  <si>
    <t>00000691</t>
  </si>
  <si>
    <t>ABONO A PRESTAMO</t>
  </si>
  <si>
    <t>AC S.W. SUITE 160, CALGARY, ALBERTA, CANADA</t>
  </si>
  <si>
    <t>CE  00000692</t>
  </si>
  <si>
    <t>00000692</t>
  </si>
  <si>
    <t>2023/10/25</t>
  </si>
  <si>
    <t>CE  00000693</t>
  </si>
  <si>
    <t>00000693</t>
  </si>
  <si>
    <t>CANCELACION PRESTAMO</t>
  </si>
  <si>
    <t>2023/10/30</t>
  </si>
  <si>
    <t>NOM 00000120</t>
  </si>
  <si>
    <t>00000120</t>
  </si>
  <si>
    <t>NOMINA OCT 2023</t>
  </si>
  <si>
    <t>NOM 00000121</t>
  </si>
  <si>
    <t>00000121</t>
  </si>
  <si>
    <t>PROV. RIESGOS APORTES Y PROVISIONES OCT 2023</t>
  </si>
  <si>
    <t>PROV. CAJA APORTES Y PROVISIONES OCT 2023</t>
  </si>
  <si>
    <t>PROV. PENSION APORTES Y PROVISIONES OCT 2023</t>
  </si>
  <si>
    <t>PROV. CESANTIAS APORTES Y PROVISIONES OCT 2023</t>
  </si>
  <si>
    <t>PROV. INTERESES APORTES Y PROVISIONES OCT 2023</t>
  </si>
  <si>
    <t>PROV. PRIMA APORTES Y PROVISIONES OCT 2023</t>
  </si>
  <si>
    <t>PROV. VACACIONES APORTES Y PROVISIONES OCT 2023</t>
  </si>
  <si>
    <t>CE  00000694</t>
  </si>
  <si>
    <t>00000694</t>
  </si>
  <si>
    <t>PAGO NOMINA OCT 2023</t>
  </si>
  <si>
    <t>CE  00000695</t>
  </si>
  <si>
    <t>00000695</t>
  </si>
  <si>
    <t>CE  00000696</t>
  </si>
  <si>
    <t>00000696</t>
  </si>
  <si>
    <t>CE  00000697</t>
  </si>
  <si>
    <t>00000697</t>
  </si>
  <si>
    <t>CE  00000698</t>
  </si>
  <si>
    <t>00000698</t>
  </si>
  <si>
    <t>CE  00000699</t>
  </si>
  <si>
    <t>00000699</t>
  </si>
  <si>
    <t>RC  00000048</t>
  </si>
  <si>
    <t>PAGO DE FACTURA CLIENTE</t>
  </si>
  <si>
    <t>2023/10/27</t>
  </si>
  <si>
    <t>CC  00000115</t>
  </si>
  <si>
    <t>APORTES OCT 2023</t>
  </si>
  <si>
    <t>CC  00000116</t>
  </si>
  <si>
    <t>CC  00000117</t>
  </si>
  <si>
    <t>2023/11/27</t>
  </si>
  <si>
    <t>CC  00000120</t>
  </si>
  <si>
    <t>CC  00000121</t>
  </si>
  <si>
    <t>CC  00000122</t>
  </si>
  <si>
    <t>00000122</t>
  </si>
  <si>
    <t>2023/11/01</t>
  </si>
  <si>
    <t>DSE 47</t>
  </si>
  <si>
    <t>47</t>
  </si>
  <si>
    <t>Compra Crédito DSE 47</t>
  </si>
  <si>
    <t>4065</t>
  </si>
  <si>
    <t>Compra Según: DSE 47</t>
  </si>
  <si>
    <t>2023/11/12</t>
  </si>
  <si>
    <t>DSE 48</t>
  </si>
  <si>
    <t>48</t>
  </si>
  <si>
    <t>Compra Crédito DSE 48</t>
  </si>
  <si>
    <t>20231112</t>
  </si>
  <si>
    <t>Ret. en la Fuente Facturado DSE 48</t>
  </si>
  <si>
    <t>Retención de ICA Facturado</t>
  </si>
  <si>
    <t>Compra Según: DSE 48</t>
  </si>
  <si>
    <t>FC  00000530</t>
  </si>
  <si>
    <t>INSCRIPCION ACTA AUMENTO DE CAPITAL</t>
  </si>
  <si>
    <t>OV94-12512</t>
  </si>
  <si>
    <t>FC  00000531</t>
  </si>
  <si>
    <t>NCE-60676</t>
  </si>
  <si>
    <t>2023/11/07</t>
  </si>
  <si>
    <t>FC  00000532</t>
  </si>
  <si>
    <t>ARRIENDO 2023 NOV</t>
  </si>
  <si>
    <t>IB-1153</t>
  </si>
  <si>
    <t>2023/11/08</t>
  </si>
  <si>
    <t>FC  00000533</t>
  </si>
  <si>
    <t>GALLETAS</t>
  </si>
  <si>
    <t>FV-688</t>
  </si>
  <si>
    <t>CR 71 5 13 PISO1</t>
  </si>
  <si>
    <t>2902369</t>
  </si>
  <si>
    <t>2023/11/09</t>
  </si>
  <si>
    <t>FC  00000534</t>
  </si>
  <si>
    <t>EBOF-242987</t>
  </si>
  <si>
    <t>FC  00000535</t>
  </si>
  <si>
    <t>FVE-14504</t>
  </si>
  <si>
    <t>2023/11/10</t>
  </si>
  <si>
    <t>FC  00000536</t>
  </si>
  <si>
    <t>FVE-24870</t>
  </si>
  <si>
    <t>2023/11/11</t>
  </si>
  <si>
    <t>FC  00000537</t>
  </si>
  <si>
    <t>3-291465366</t>
  </si>
  <si>
    <t>FC  00000538</t>
  </si>
  <si>
    <t xml:space="preserve"> 1161753696</t>
  </si>
  <si>
    <t>2023/11/20</t>
  </si>
  <si>
    <t>FC  00000539</t>
  </si>
  <si>
    <t xml:space="preserve"> FEV-2309</t>
  </si>
  <si>
    <t>2023/11/24</t>
  </si>
  <si>
    <t>FC  00000540</t>
  </si>
  <si>
    <t>2023/11/28</t>
  </si>
  <si>
    <t>FC  00000541</t>
  </si>
  <si>
    <t>IBG-86361</t>
  </si>
  <si>
    <t>2023/11/03</t>
  </si>
  <si>
    <t>RC  00000049</t>
  </si>
  <si>
    <t>DEVOLUCION IVA</t>
  </si>
  <si>
    <t>CERTIFICADO DE ESXISTENCIA</t>
  </si>
  <si>
    <t>2023/11/15</t>
  </si>
  <si>
    <t>RC  00000050</t>
  </si>
  <si>
    <t>PAGO DE CLIENTE</t>
  </si>
  <si>
    <t>RC  00000051</t>
  </si>
  <si>
    <t>REINTEGRO POR INCAPACIDADES</t>
  </si>
  <si>
    <t>2023/11/25</t>
  </si>
  <si>
    <t>DSE 49</t>
  </si>
  <si>
    <t>49</t>
  </si>
  <si>
    <t>Compra Crédito DSE 49</t>
  </si>
  <si>
    <t>BV-78260714</t>
  </si>
  <si>
    <t>Compra Según: DSE 49</t>
  </si>
  <si>
    <t>CE  00000711</t>
  </si>
  <si>
    <t>00000711</t>
  </si>
  <si>
    <t>CE  00000712</t>
  </si>
  <si>
    <t>00000712</t>
  </si>
  <si>
    <t>CE  00000713</t>
  </si>
  <si>
    <t>00000713</t>
  </si>
  <si>
    <t>DSE 50</t>
  </si>
  <si>
    <t>50</t>
  </si>
  <si>
    <t>Compra Crédito DSE 50</t>
  </si>
  <si>
    <t>100124441600</t>
  </si>
  <si>
    <t>Compra Según: DSE 50</t>
  </si>
  <si>
    <t>DSE 51</t>
  </si>
  <si>
    <t>Compra Crédito DSE 51</t>
  </si>
  <si>
    <t>100124097153</t>
  </si>
  <si>
    <t>Compra Según: DSE 51</t>
  </si>
  <si>
    <t>DSE 52</t>
  </si>
  <si>
    <t>52</t>
  </si>
  <si>
    <t>Compra Crédito DSE 52</t>
  </si>
  <si>
    <t>Compra Según: DSE 52</t>
  </si>
  <si>
    <t>2023/11/04</t>
  </si>
  <si>
    <t>CE  00000714</t>
  </si>
  <si>
    <t>00000714</t>
  </si>
  <si>
    <t>FC  00000542</t>
  </si>
  <si>
    <t>CERTIFICADO ANTECEDENTES CONTADOR</t>
  </si>
  <si>
    <t>CE  00000715</t>
  </si>
  <si>
    <t>00000715</t>
  </si>
  <si>
    <t>CE  00000716</t>
  </si>
  <si>
    <t>00000716</t>
  </si>
  <si>
    <t>FC  00000543</t>
  </si>
  <si>
    <t>FE-34</t>
  </si>
  <si>
    <t>CE  00000717</t>
  </si>
  <si>
    <t>00000717</t>
  </si>
  <si>
    <t>CE  00000718</t>
  </si>
  <si>
    <t>00000718</t>
  </si>
  <si>
    <t>2023/11/16</t>
  </si>
  <si>
    <t>CE  00000719</t>
  </si>
  <si>
    <t>00000719</t>
  </si>
  <si>
    <t>PAGO SALDO</t>
  </si>
  <si>
    <t>CE  00000720</t>
  </si>
  <si>
    <t>00000720</t>
  </si>
  <si>
    <t>CE  00000721</t>
  </si>
  <si>
    <t>00000721</t>
  </si>
  <si>
    <t>CE  00000722</t>
  </si>
  <si>
    <t>00000722</t>
  </si>
  <si>
    <t>FC  00000544</t>
  </si>
  <si>
    <t>EB-000319812148</t>
  </si>
  <si>
    <t>CE  00000723</t>
  </si>
  <si>
    <t>00000723</t>
  </si>
  <si>
    <t>CE  00000724</t>
  </si>
  <si>
    <t>00000724</t>
  </si>
  <si>
    <t>CE  00000725</t>
  </si>
  <si>
    <t>00000725</t>
  </si>
  <si>
    <t>CE  00000726</t>
  </si>
  <si>
    <t>00000726</t>
  </si>
  <si>
    <t>CE  00000727</t>
  </si>
  <si>
    <t>00000727</t>
  </si>
  <si>
    <t>CE  00000728</t>
  </si>
  <si>
    <t>00000728</t>
  </si>
  <si>
    <t>2023/11/19</t>
  </si>
  <si>
    <t>CE  00000729</t>
  </si>
  <si>
    <t>00000729</t>
  </si>
  <si>
    <t>CE  00000730</t>
  </si>
  <si>
    <t>00000730</t>
  </si>
  <si>
    <t>PAGO NOMINA NOVIEMBRE 2023</t>
  </si>
  <si>
    <t>CE  00000731</t>
  </si>
  <si>
    <t>00000731</t>
  </si>
  <si>
    <t>CE  00000732</t>
  </si>
  <si>
    <t>00000732</t>
  </si>
  <si>
    <t>CE  00000733</t>
  </si>
  <si>
    <t>00000733</t>
  </si>
  <si>
    <t>CE  00000734</t>
  </si>
  <si>
    <t>00000734</t>
  </si>
  <si>
    <t>CE  00000735</t>
  </si>
  <si>
    <t>00000735</t>
  </si>
  <si>
    <t>CE  00000736</t>
  </si>
  <si>
    <t>00000736</t>
  </si>
  <si>
    <t>CE  00000737</t>
  </si>
  <si>
    <t>00000737</t>
  </si>
  <si>
    <t>2023/11/29</t>
  </si>
  <si>
    <t>FC  00000545</t>
  </si>
  <si>
    <t>CERTIFICADO FACTURACION ELECTRONICA</t>
  </si>
  <si>
    <t>CE  00000738</t>
  </si>
  <si>
    <t>00000738</t>
  </si>
  <si>
    <t>CE  00000739</t>
  </si>
  <si>
    <t>00000739</t>
  </si>
  <si>
    <t>CE  00000740</t>
  </si>
  <si>
    <t>00000740</t>
  </si>
  <si>
    <t>CE  00000741</t>
  </si>
  <si>
    <t>00000741</t>
  </si>
  <si>
    <t>CE  00000742</t>
  </si>
  <si>
    <t>00000742</t>
  </si>
  <si>
    <t>PAGO PLANILLA DE APORTES</t>
  </si>
  <si>
    <t>2023/11/30</t>
  </si>
  <si>
    <t>BND 00000025</t>
  </si>
  <si>
    <t>00000025</t>
  </si>
  <si>
    <t>BNC 00000023</t>
  </si>
  <si>
    <t>NOM 00000124</t>
  </si>
  <si>
    <t>00000124</t>
  </si>
  <si>
    <t>IMP 00000078</t>
  </si>
  <si>
    <t>AUTORETENCIONES NOV 2023</t>
  </si>
  <si>
    <t>IMP 00000079</t>
  </si>
  <si>
    <t>DECLARACION NOV 2023</t>
  </si>
  <si>
    <t>CC  00000123</t>
  </si>
  <si>
    <t>00000123</t>
  </si>
  <si>
    <t>2023/10/31</t>
  </si>
  <si>
    <t>IMP 00000074</t>
  </si>
  <si>
    <t>PROVISION OCT 2023</t>
  </si>
  <si>
    <t>IMP 00000080</t>
  </si>
  <si>
    <t>PROVISION NOV 2023</t>
  </si>
  <si>
    <t>CC  00000124</t>
  </si>
  <si>
    <t>2023/12/15</t>
  </si>
  <si>
    <t>CC  00000125</t>
  </si>
  <si>
    <t>00000125</t>
  </si>
  <si>
    <t>CE  00000700</t>
  </si>
  <si>
    <t>00000700</t>
  </si>
  <si>
    <t>PAGO PEDIDO</t>
  </si>
  <si>
    <t>CE  00000701</t>
  </si>
  <si>
    <t>00000701</t>
  </si>
  <si>
    <t>CE  00000702</t>
  </si>
  <si>
    <t>00000702</t>
  </si>
  <si>
    <t>CE  00000703</t>
  </si>
  <si>
    <t>00000703</t>
  </si>
  <si>
    <t>PAGO DE APORTES OCTUBRE 2023</t>
  </si>
  <si>
    <t>CE  00000704</t>
  </si>
  <si>
    <t>00000704</t>
  </si>
  <si>
    <t>CE  00000705</t>
  </si>
  <si>
    <t>00000705</t>
  </si>
  <si>
    <t>ANTICIPO COMPRA DOTACION</t>
  </si>
  <si>
    <t>CE  00000706</t>
  </si>
  <si>
    <t>00000706</t>
  </si>
  <si>
    <t>CE  00000707</t>
  </si>
  <si>
    <t>00000707</t>
  </si>
  <si>
    <t>CE  00000708</t>
  </si>
  <si>
    <t>00000708</t>
  </si>
  <si>
    <t>CC  00000118</t>
  </si>
  <si>
    <t>DSE 44</t>
  </si>
  <si>
    <t>44</t>
  </si>
  <si>
    <t>Compra Crédito DSE 44</t>
  </si>
  <si>
    <t>100123343994</t>
  </si>
  <si>
    <t>Compra Según: DSE 44</t>
  </si>
  <si>
    <t>FC  00000524</t>
  </si>
  <si>
    <t>INSCRIPCION ACTA DE AUMENTO DE CAPITAL</t>
  </si>
  <si>
    <t>TV43-5888257</t>
  </si>
  <si>
    <t>DSE 45</t>
  </si>
  <si>
    <t>45</t>
  </si>
  <si>
    <t>Compra Crédito DSE 45</t>
  </si>
  <si>
    <t>271023</t>
  </si>
  <si>
    <t>CE  00000709</t>
  </si>
  <si>
    <t>00000709</t>
  </si>
  <si>
    <t>Ret. en la Fuente Facturado DSE 45</t>
  </si>
  <si>
    <t>Compra Según: DSE 45</t>
  </si>
  <si>
    <t>CE  00000710</t>
  </si>
  <si>
    <t>00000710</t>
  </si>
  <si>
    <t>BNC 00000022</t>
  </si>
  <si>
    <t>COMISION PAGO AL EXTERIOR</t>
  </si>
  <si>
    <t>BND 00000024</t>
  </si>
  <si>
    <t>00000024</t>
  </si>
  <si>
    <t>FC  00000525</t>
  </si>
  <si>
    <t>IBG-86078</t>
  </si>
  <si>
    <t>CC  00000119</t>
  </si>
  <si>
    <t>LEGALIZACION ANTICIPO</t>
  </si>
  <si>
    <t>FEV 22</t>
  </si>
  <si>
    <t>Venta Crédito FEV 22</t>
  </si>
  <si>
    <t>Venta Según: FEV 22</t>
  </si>
  <si>
    <t>IMP 00000070</t>
  </si>
  <si>
    <t>00000070</t>
  </si>
  <si>
    <t>IMP 00000071</t>
  </si>
  <si>
    <t>00000071</t>
  </si>
  <si>
    <t>CAPITALIZACION SEGUN ACTA 08</t>
  </si>
  <si>
    <t>IMP 00000072</t>
  </si>
  <si>
    <t>00000072</t>
  </si>
  <si>
    <t>DSE 46</t>
  </si>
  <si>
    <t>46</t>
  </si>
  <si>
    <t>Compra Crédito DSE 46</t>
  </si>
  <si>
    <t>4839178764</t>
  </si>
  <si>
    <t>Compra Según: DSE 46</t>
  </si>
  <si>
    <t>FC  00000526</t>
  </si>
  <si>
    <t>DOTACION DANIEL PEREEZ</t>
  </si>
  <si>
    <t>FEV-626122227</t>
  </si>
  <si>
    <t>Av Americas # 60 76</t>
  </si>
  <si>
    <t>3904781</t>
  </si>
  <si>
    <t>FC  00000527</t>
  </si>
  <si>
    <t>DOTACION ALEJANDRA GOMEZ</t>
  </si>
  <si>
    <t>908E-17528</t>
  </si>
  <si>
    <t>CR 78B #36 -64 SUR</t>
  </si>
  <si>
    <t>2948999</t>
  </si>
  <si>
    <t>FC  00000528</t>
  </si>
  <si>
    <t>DOTACION MIGUEL ANGEL MEJIA</t>
  </si>
  <si>
    <t>7164</t>
  </si>
  <si>
    <t>FC  00000529</t>
  </si>
  <si>
    <t>FEB-118</t>
  </si>
  <si>
    <t>CAR 10 #15 - 45</t>
  </si>
  <si>
    <t>7456530</t>
  </si>
  <si>
    <t>IMP 00000073</t>
  </si>
  <si>
    <t>IMPUESTOS OCT 2023</t>
  </si>
  <si>
    <t>DECLARACION RTE FTE OCT 2023</t>
  </si>
  <si>
    <t>IMP 00000075</t>
  </si>
  <si>
    <t>TRASLADO IVA TRANSITORIO</t>
  </si>
  <si>
    <t>IVA DESCONTABLE BIM 5 DE 2023</t>
  </si>
  <si>
    <t>2023/10/08</t>
  </si>
  <si>
    <t>IMP 00000076</t>
  </si>
  <si>
    <t>SALDO A FAVOR BIM 5 DE 2023</t>
  </si>
  <si>
    <t>NOM 00000122</t>
  </si>
  <si>
    <t>NOMINA NOV DE 2023</t>
  </si>
  <si>
    <t>IMP 00000077</t>
  </si>
  <si>
    <t>DECLARACION BIM 5 DE 2023</t>
  </si>
  <si>
    <t>NOM 00000123</t>
  </si>
  <si>
    <t>PROV. RIESGOS PROVISIONES NOV DE 2023</t>
  </si>
  <si>
    <t>PROV. CAJA PROVISIONES NOV DE 2023</t>
  </si>
  <si>
    <t>PROV. PENSION PROVISIONES NOV DE 2023</t>
  </si>
  <si>
    <t>PROV. CESANTIAS PROVISIONES NOV DE 2023</t>
  </si>
  <si>
    <t>PROV. INTERESES PROVISIONES NOV DE 2023</t>
  </si>
  <si>
    <t>PROV. PRIMA PROVISIONES NOV DE 2023</t>
  </si>
  <si>
    <t>PROV. VACACIONES PROVISIONES NOV DE 2023</t>
  </si>
  <si>
    <t>2023/12/30</t>
  </si>
  <si>
    <t>NOM 00000125</t>
  </si>
  <si>
    <t>NOMINA DIC 2023</t>
  </si>
  <si>
    <t>NOM 00000126</t>
  </si>
  <si>
    <t>00000126</t>
  </si>
  <si>
    <t>PROV. RIESGOS APORTES Y PROVISIONES DIC 2023</t>
  </si>
  <si>
    <t>PROV. CAJA APORTES Y PROVISIONES DIC 2023</t>
  </si>
  <si>
    <t>PROV. PENSION APORTES Y PROVISIONES DIC 2023</t>
  </si>
  <si>
    <t>PROV. CESANTIAS APORTES Y PROVISIONES DIC 2023</t>
  </si>
  <si>
    <t>PROV. INTERESES APORTES Y PROVISIONES DIC 2023</t>
  </si>
  <si>
    <t>PROV. PRIMA APORTES Y PROVISIONES DIC 2023</t>
  </si>
  <si>
    <t>PROV. VACACIONES APORTES Y PROVISIONES DIC 2023</t>
  </si>
  <si>
    <t>NOM 00000127</t>
  </si>
  <si>
    <t>00000127</t>
  </si>
  <si>
    <t>LIQUIDACIONES FINALES DIC 2023</t>
  </si>
  <si>
    <t>NOM 00000128</t>
  </si>
  <si>
    <t>00000128</t>
  </si>
  <si>
    <t>PROV. RIESGOS LIQUIDACIONES FINALES</t>
  </si>
  <si>
    <t>PROV. PENSION LIQUIDACIONES FINALES</t>
  </si>
  <si>
    <t>PROV. CESANTIAS LIQUIDACIONES FINALES</t>
  </si>
  <si>
    <t>PROV. INTERESES LIQUIDACIONES FINALES</t>
  </si>
  <si>
    <t>PROV. PRIMA LIQUIDACIONES FINALES</t>
  </si>
  <si>
    <t>PROV. VACACIONES LIQUIDACIONES FINALES</t>
  </si>
  <si>
    <t>2023/12/20</t>
  </si>
  <si>
    <t>CC  00000126</t>
  </si>
  <si>
    <t>NOM 00000129</t>
  </si>
  <si>
    <t>00000129</t>
  </si>
  <si>
    <t>LIQUIDACION SAMUEL</t>
  </si>
  <si>
    <t>NOM 00000130</t>
  </si>
  <si>
    <t>00000130</t>
  </si>
  <si>
    <t>PROV. RIESGOS LIQUIDACION FINAL SAMUEL</t>
  </si>
  <si>
    <t>PROV. CAJA LIQUIDACION FINAL SAMUEL</t>
  </si>
  <si>
    <t>PROV. PENSION LIQUIDACION FINAL SAMUEL</t>
  </si>
  <si>
    <t>PROV. CESANTIAS LIQUIDACION FINAL SAMUEL</t>
  </si>
  <si>
    <t>PROV. INTERESES LIQUIDACION FINAL SAMUEL</t>
  </si>
  <si>
    <t>PROV. PRIMA LIQUIDACION FINAL SAMUEL</t>
  </si>
  <si>
    <t>PROV. VACACIONES LIQUIDACION FINAL SAMUEL</t>
  </si>
  <si>
    <t>CC  00000127</t>
  </si>
  <si>
    <t>CC  00000128</t>
  </si>
  <si>
    <t>2023/12/01</t>
  </si>
  <si>
    <t>FC  00000546</t>
  </si>
  <si>
    <t>ANTICIPO PARA DOTACION</t>
  </si>
  <si>
    <t>DSE 53</t>
  </si>
  <si>
    <t>Compra Crédito DSE 53</t>
  </si>
  <si>
    <t>4858889996</t>
  </si>
  <si>
    <t>Compra Según: DSE 53</t>
  </si>
  <si>
    <t>DSE 54</t>
  </si>
  <si>
    <t>Compra Crédito DSE 54</t>
  </si>
  <si>
    <t>4127</t>
  </si>
  <si>
    <t>Compra Según: DSE 54</t>
  </si>
  <si>
    <t>2023/12/02</t>
  </si>
  <si>
    <t>FC  00000547</t>
  </si>
  <si>
    <t>LE19-4817</t>
  </si>
  <si>
    <t>CR 58D N.146 51 LC 247</t>
  </si>
  <si>
    <t>6765735</t>
  </si>
  <si>
    <t>FC  00000548</t>
  </si>
  <si>
    <t>07E3-692</t>
  </si>
  <si>
    <t>CL 93B 12 18 PISO 2</t>
  </si>
  <si>
    <t>7467478</t>
  </si>
  <si>
    <t>2023/12/04</t>
  </si>
  <si>
    <t>FC  00000549</t>
  </si>
  <si>
    <t>DOTACION SAMUEL MONCADA</t>
  </si>
  <si>
    <t>E118-7300</t>
  </si>
  <si>
    <t>CL 59 SUR 51 21 LOC 136</t>
  </si>
  <si>
    <t>FC  00000550</t>
  </si>
  <si>
    <t>FEV-51092500</t>
  </si>
  <si>
    <t>CL 12 60 74</t>
  </si>
  <si>
    <t>2905466</t>
  </si>
  <si>
    <t>2023/12/05</t>
  </si>
  <si>
    <t>FC  00000551</t>
  </si>
  <si>
    <t>TV43-6033682</t>
  </si>
  <si>
    <t>FC  00000552</t>
  </si>
  <si>
    <t>FVE-14919</t>
  </si>
  <si>
    <t>FC  00000553</t>
  </si>
  <si>
    <t>2023/12/06</t>
  </si>
  <si>
    <t>FC  00000554</t>
  </si>
  <si>
    <t>ZVE-27592</t>
  </si>
  <si>
    <t>2023/12/07</t>
  </si>
  <si>
    <t>FC  00000555</t>
  </si>
  <si>
    <t>EB-000320718162</t>
  </si>
  <si>
    <t>FC  00000556</t>
  </si>
  <si>
    <t>FEV-25463</t>
  </si>
  <si>
    <t>FC  00000557</t>
  </si>
  <si>
    <t>EBOG-248384</t>
  </si>
  <si>
    <t>FC  00000558</t>
  </si>
  <si>
    <t>FEV-908E27285</t>
  </si>
  <si>
    <t>2023/12/09</t>
  </si>
  <si>
    <t>FC  00000559</t>
  </si>
  <si>
    <t>FC  00000560</t>
  </si>
  <si>
    <t>3-291508810</t>
  </si>
  <si>
    <t>2023/12/11</t>
  </si>
  <si>
    <t>FC  00000561</t>
  </si>
  <si>
    <t>LICENCIA RECIBE FACTURAS</t>
  </si>
  <si>
    <t>EBOG-248663</t>
  </si>
  <si>
    <t>2023/12/13</t>
  </si>
  <si>
    <t>FC  00000562</t>
  </si>
  <si>
    <t>SERVICIO HIGIENIZACION</t>
  </si>
  <si>
    <t>FE-45555</t>
  </si>
  <si>
    <t>CR 65 A CL 34 A 9</t>
  </si>
  <si>
    <t>4481986</t>
  </si>
  <si>
    <t>FC  00000563</t>
  </si>
  <si>
    <t>FSP-1200696652</t>
  </si>
  <si>
    <t>2023/12/14</t>
  </si>
  <si>
    <t>DSE 55</t>
  </si>
  <si>
    <t>55</t>
  </si>
  <si>
    <t>Compra Crédito DSE 55</t>
  </si>
  <si>
    <t>100125760942</t>
  </si>
  <si>
    <t>Compra Según: DSE 55</t>
  </si>
  <si>
    <t>FC  00000564</t>
  </si>
  <si>
    <t>ARRIENDO 2023 DIC</t>
  </si>
  <si>
    <t>IB-1157</t>
  </si>
  <si>
    <t>FC  00000565</t>
  </si>
  <si>
    <t>COMPRA LICENCIA</t>
  </si>
  <si>
    <t>CL 1 B SUR 38 10</t>
  </si>
  <si>
    <t>FC  00000566</t>
  </si>
  <si>
    <t>FE-35</t>
  </si>
  <si>
    <t>FC  00000567</t>
  </si>
  <si>
    <t>FC  00000568</t>
  </si>
  <si>
    <t>CERTIFICADO DIGITAL FACTURACION ELECTRONICA</t>
  </si>
  <si>
    <t>EBOG-250326</t>
  </si>
  <si>
    <t>FC  00000569</t>
  </si>
  <si>
    <t>MICROSOFT 365 PARA NEGOCIOS. OFFICE 365 BUSINESS</t>
  </si>
  <si>
    <t>FEV-3046</t>
  </si>
  <si>
    <t>FC  00000570</t>
  </si>
  <si>
    <t>FEV-2338</t>
  </si>
  <si>
    <t>FC  00000571</t>
  </si>
  <si>
    <t>IBG-86590</t>
  </si>
  <si>
    <t>2023/12/21</t>
  </si>
  <si>
    <t>FC  00000572</t>
  </si>
  <si>
    <t>ARRIENDO 2023 AJUSTE NOV DIC</t>
  </si>
  <si>
    <t>IB-1159</t>
  </si>
  <si>
    <t>CE  00000743</t>
  </si>
  <si>
    <t>00000743</t>
  </si>
  <si>
    <t>PAGO ANTICIPO</t>
  </si>
  <si>
    <t>CE  00000744</t>
  </si>
  <si>
    <t>00000744</t>
  </si>
  <si>
    <t>PAGO ANTICIPO PARA COMPRA DE DOTACION</t>
  </si>
  <si>
    <t>CE  00000745</t>
  </si>
  <si>
    <t>00000745</t>
  </si>
  <si>
    <t>CE  00000746</t>
  </si>
  <si>
    <t>00000746</t>
  </si>
  <si>
    <t>CE  00000747</t>
  </si>
  <si>
    <t>00000747</t>
  </si>
  <si>
    <t>CE  00000748</t>
  </si>
  <si>
    <t>00000748</t>
  </si>
  <si>
    <t>CE  00000749</t>
  </si>
  <si>
    <t>00000749</t>
  </si>
  <si>
    <t>CE  00000750</t>
  </si>
  <si>
    <t>00000750</t>
  </si>
  <si>
    <t>CE  00000751</t>
  </si>
  <si>
    <t>00000751</t>
  </si>
  <si>
    <t>CE  00000752</t>
  </si>
  <si>
    <t>00000752</t>
  </si>
  <si>
    <t>CE  00000753</t>
  </si>
  <si>
    <t>00000753</t>
  </si>
  <si>
    <t>2023/12/12</t>
  </si>
  <si>
    <t>CE  00000754</t>
  </si>
  <si>
    <t>00000754</t>
  </si>
  <si>
    <t>CE  00000755</t>
  </si>
  <si>
    <t>00000755</t>
  </si>
  <si>
    <t>CE  00000756</t>
  </si>
  <si>
    <t>00000756</t>
  </si>
  <si>
    <t>CE  00000757</t>
  </si>
  <si>
    <t>00000757</t>
  </si>
  <si>
    <t>CE  00000758</t>
  </si>
  <si>
    <t>00000758</t>
  </si>
  <si>
    <t>CE  00000759</t>
  </si>
  <si>
    <t>00000759</t>
  </si>
  <si>
    <t>CE  00000760</t>
  </si>
  <si>
    <t>00000760</t>
  </si>
  <si>
    <t>CE  00000761</t>
  </si>
  <si>
    <t>00000761</t>
  </si>
  <si>
    <t>CE  00000762</t>
  </si>
  <si>
    <t>00000762</t>
  </si>
  <si>
    <t>PAGO DECLARACION RTE FTE NOV 2023</t>
  </si>
  <si>
    <t>CE  00000763</t>
  </si>
  <si>
    <t>00000763</t>
  </si>
  <si>
    <t>PAGO ANTICIPO COMPRA DE INSUMOS}</t>
  </si>
  <si>
    <t>2023/12/18</t>
  </si>
  <si>
    <t>CE  00000764</t>
  </si>
  <si>
    <t>00000764</t>
  </si>
  <si>
    <t>COMPRA DE INSUMOS</t>
  </si>
  <si>
    <t>CE  00000765</t>
  </si>
  <si>
    <t>00000765</t>
  </si>
  <si>
    <t>CE  00000766</t>
  </si>
  <si>
    <t>00000766</t>
  </si>
  <si>
    <t>CE  00000767</t>
  </si>
  <si>
    <t>00000767</t>
  </si>
  <si>
    <t>PAGO TRADUCCIONES</t>
  </si>
  <si>
    <t>CE  00000768</t>
  </si>
  <si>
    <t>00000768</t>
  </si>
  <si>
    <t>PAGO NOMINA CON PRIMA</t>
  </si>
  <si>
    <t>CE  00000769</t>
  </si>
  <si>
    <t>00000769</t>
  </si>
  <si>
    <t>CE  00000770</t>
  </si>
  <si>
    <t>00000770</t>
  </si>
  <si>
    <t>CE  00000771</t>
  </si>
  <si>
    <t>00000771</t>
  </si>
  <si>
    <t>CE  00000772</t>
  </si>
  <si>
    <t>00000772</t>
  </si>
  <si>
    <t>PAGO APORTES DE NOMINA DIC 2023</t>
  </si>
  <si>
    <t>2023/12/22</t>
  </si>
  <si>
    <t>CE  00000773</t>
  </si>
  <si>
    <t>00000773</t>
  </si>
  <si>
    <t>CE  00000774</t>
  </si>
  <si>
    <t>00000774</t>
  </si>
  <si>
    <t>FEV 24</t>
  </si>
  <si>
    <t>Venta efectivo FEV 24</t>
  </si>
  <si>
    <t>Venta Según: FEV 24</t>
  </si>
  <si>
    <t>NOM 00000131</t>
  </si>
  <si>
    <t>00000131</t>
  </si>
  <si>
    <t>BONIFICACION RETIRO</t>
  </si>
  <si>
    <t>CE  00000775</t>
  </si>
  <si>
    <t>00000775</t>
  </si>
  <si>
    <t>RC  00000052</t>
  </si>
  <si>
    <t>REINTEGRO INCAPACIDAD EMPLEADO</t>
  </si>
  <si>
    <t>RC  00000053</t>
  </si>
  <si>
    <t>AVANCE POR SERVICIOS NOV 2023</t>
  </si>
  <si>
    <t>RC  00000054</t>
  </si>
  <si>
    <t>RC  00000055</t>
  </si>
  <si>
    <t>RECLAMO POR INCIDENTE EN OFICINAS</t>
  </si>
  <si>
    <t>RC  00000056</t>
  </si>
  <si>
    <t>DEVOLUCION SALDO A FAVOR IVA</t>
  </si>
  <si>
    <t>RC  00000057</t>
  </si>
  <si>
    <t>CE  00000776</t>
  </si>
  <si>
    <t>00000776</t>
  </si>
  <si>
    <t>2023/12/27</t>
  </si>
  <si>
    <t>FC  00000573</t>
  </si>
  <si>
    <t>ALIMENTOS DECEMBRINOS</t>
  </si>
  <si>
    <t>CD-619887</t>
  </si>
  <si>
    <t>CR 48 # 32B SUR 139</t>
  </si>
  <si>
    <t>018000428800</t>
  </si>
  <si>
    <t>ENVIGADO</t>
  </si>
  <si>
    <t>FC  00000574</t>
  </si>
  <si>
    <t>EK-64383</t>
  </si>
  <si>
    <t>CE  00000777</t>
  </si>
  <si>
    <t>00000777</t>
  </si>
  <si>
    <t>CE  00000778</t>
  </si>
  <si>
    <t>00000778</t>
  </si>
  <si>
    <t>BNC 00000024</t>
  </si>
  <si>
    <t>BND 00000026</t>
  </si>
  <si>
    <t>00000026</t>
  </si>
  <si>
    <t>2023/12/28</t>
  </si>
  <si>
    <t>CC  00000129</t>
  </si>
  <si>
    <t>CC  00000130</t>
  </si>
  <si>
    <t>ENTREGA DE EQUIPOS A SOCIO</t>
  </si>
  <si>
    <t>DE DEPRECIACIONES</t>
  </si>
  <si>
    <t>ENTREGA DE EQUIPOS A SOCIO ART 90,148 A 156 Y 312</t>
  </si>
  <si>
    <t>ART 148: DEDUCCION POR PERDIDA DE ACTIVOS</t>
  </si>
  <si>
    <t>VENTA DE PROPIEDAD, PLANTA Y EQUIPOS</t>
  </si>
  <si>
    <t>IMP 00000081</t>
  </si>
  <si>
    <t>CIERRE IVA BIM 6 DE 2023</t>
  </si>
  <si>
    <t>IMP 00000082</t>
  </si>
  <si>
    <t>IMP 00000083</t>
  </si>
  <si>
    <t>CIERRE RTE ICA BIM 6 DE 2023</t>
  </si>
  <si>
    <t>IMP 00000084</t>
  </si>
  <si>
    <t>LIQUIDACION AUTO RETENCION DIC 2023</t>
  </si>
  <si>
    <t>IMP 00000085</t>
  </si>
  <si>
    <t>DECLARACION RTE FTE DIC 2023</t>
  </si>
  <si>
    <t>IMP 00000086</t>
  </si>
  <si>
    <t>00000086</t>
  </si>
  <si>
    <t>IMP 00000087</t>
  </si>
  <si>
    <t>CIERRE IMPUESTO DE RENTA 2023</t>
  </si>
  <si>
    <t>IMP 00000088</t>
  </si>
  <si>
    <t>CRUCE IMPUESTO DIFERIDO AÑOS ANTERIORES</t>
  </si>
  <si>
    <t>2023/12/29</t>
  </si>
  <si>
    <t>CE  00000779</t>
  </si>
  <si>
    <t>00000779</t>
  </si>
  <si>
    <t>CE  00000780</t>
  </si>
  <si>
    <t>00000780</t>
  </si>
  <si>
    <t>CC  00000131</t>
  </si>
  <si>
    <t>RECLASIFICACION SALDO</t>
  </si>
  <si>
    <t>CC  00000132</t>
  </si>
  <si>
    <t>00000132</t>
  </si>
  <si>
    <t>CANCELACION SALDO MENOR</t>
  </si>
  <si>
    <t>CC  00000133</t>
  </si>
  <si>
    <t>00000133</t>
  </si>
  <si>
    <t>CC  00000134</t>
  </si>
  <si>
    <t>00000134</t>
  </si>
  <si>
    <t>CALLE 141 B # 142 C 60</t>
  </si>
  <si>
    <t>CALLE 31 SUR NO. 53C 34</t>
  </si>
  <si>
    <t>CALLE 80 BIS SUR #91 - 90</t>
  </si>
  <si>
    <t>CC  00000135</t>
  </si>
  <si>
    <t>00000135</t>
  </si>
  <si>
    <t>CALLE 42 SUR 80F 93</t>
  </si>
  <si>
    <t>CC  00000136</t>
  </si>
  <si>
    <t>00000136</t>
  </si>
  <si>
    <t>CC  00000137</t>
  </si>
  <si>
    <t>00000137</t>
  </si>
  <si>
    <t>CCR 002</t>
  </si>
  <si>
    <t>CT 0002</t>
  </si>
  <si>
    <t>171095</t>
  </si>
  <si>
    <t>OTROS CARGOS DIFERIDOS</t>
  </si>
  <si>
    <t>23351002</t>
  </si>
  <si>
    <t>23351003</t>
  </si>
  <si>
    <t>RENOVACION MATRICULA MERCANTIL</t>
  </si>
  <si>
    <t>23354002</t>
  </si>
  <si>
    <t>ARRENDAMIENTO EQUIPOS</t>
  </si>
  <si>
    <t>51353502</t>
  </si>
  <si>
    <t>MENSAJERIA TELEFONICA</t>
  </si>
  <si>
    <t>51500501</t>
  </si>
  <si>
    <t>51502001</t>
  </si>
  <si>
    <t>ADECUACIONES PUESTOS DE TRABAJO</t>
  </si>
  <si>
    <t>51502002</t>
  </si>
  <si>
    <t>MUEBLES AUXILIARES</t>
  </si>
  <si>
    <t>54050502</t>
  </si>
  <si>
    <t>IMPUESTO DIFERIDO</t>
  </si>
  <si>
    <t>Cuenta</t>
  </si>
  <si>
    <t>Nombre Cuenta</t>
  </si>
  <si>
    <t>Balance Sheet</t>
  </si>
  <si>
    <t>Cash flow</t>
  </si>
  <si>
    <t>ESF</t>
  </si>
  <si>
    <t>EFC Indirecto 
Débitos</t>
  </si>
  <si>
    <t>EFC Indirecto 
Créditos</t>
  </si>
  <si>
    <t>Mov contable</t>
  </si>
  <si>
    <t>Balance</t>
  </si>
  <si>
    <t>Diferencia vs Balance</t>
  </si>
  <si>
    <t>ESF 
año anterior</t>
  </si>
  <si>
    <t>Hoja P&amp;L</t>
  </si>
  <si>
    <t>Diferencia vs Hoja P&amp;L</t>
  </si>
  <si>
    <t>Impto Renta</t>
  </si>
  <si>
    <t>Saldo Fiscal 1</t>
  </si>
  <si>
    <t>Ajustes fiscales</t>
  </si>
  <si>
    <t>Saldo Fiscal 2</t>
  </si>
  <si>
    <t>Cash</t>
  </si>
  <si>
    <t>Cash and equivalents</t>
  </si>
  <si>
    <t>Efectivo y equivalentes</t>
  </si>
  <si>
    <t>Disponible</t>
  </si>
  <si>
    <t>CAJA MENOR</t>
  </si>
  <si>
    <t>Petty Cash</t>
  </si>
  <si>
    <t>Bank</t>
  </si>
  <si>
    <t>REMESAS EN TRANSITO BANCOLOMBIA</t>
  </si>
  <si>
    <t>BANCOLOMBIA 30495921201</t>
  </si>
  <si>
    <t>INVERSION</t>
  </si>
  <si>
    <t>Investment</t>
  </si>
  <si>
    <t>Inversiones en Asociadas</t>
  </si>
  <si>
    <t>(-) Flujos de efectivo utilizados para obtener el control de subsidiarias u otros negocios</t>
  </si>
  <si>
    <t>(+) Flujos de efectivo procedentes de la pérdida de control de subsidiarias u otros negocios</t>
  </si>
  <si>
    <t xml:space="preserve">CUENTA FIDUCIARIA </t>
  </si>
  <si>
    <t>CLIENTES NACIONALES</t>
  </si>
  <si>
    <t>Accounts receivables</t>
  </si>
  <si>
    <t>Trade and other receivables</t>
  </si>
  <si>
    <t>Deudores comerciales</t>
  </si>
  <si>
    <t>(+/-) Ajustes por la disminución (incremento) de cuentas por cobrar de origen comercial</t>
  </si>
  <si>
    <t>CUENTA POR COBRAR</t>
  </si>
  <si>
    <t>Shareholders AR</t>
  </si>
  <si>
    <t>Cuentas por Cobrar a Socios</t>
  </si>
  <si>
    <t>(+/-) Ajustes por disminuciones (incrementos) en otras cuentas por cobrar derivadas de las actividades de operación</t>
  </si>
  <si>
    <t>Advances to suppliers</t>
  </si>
  <si>
    <t>Otros activos</t>
  </si>
  <si>
    <t>Personnel AR</t>
  </si>
  <si>
    <t>DEPOSITOS EN GARANTÍA</t>
  </si>
  <si>
    <t>INGRESOS POR FACTURAR</t>
  </si>
  <si>
    <t>ANTICIPO DE RENTA</t>
  </si>
  <si>
    <t>Taxes &amp; social securities</t>
  </si>
  <si>
    <t>Otros activos no financieros CP</t>
  </si>
  <si>
    <t>RETENCIONES 1%</t>
  </si>
  <si>
    <t>RETENCIONES 4%</t>
  </si>
  <si>
    <t>RETENCIONES 6%</t>
  </si>
  <si>
    <t>IMPUESTO RETENCION DE IVA</t>
  </si>
  <si>
    <t>ICA BOG 9.66</t>
  </si>
  <si>
    <t>RTE ICA 0.414% BOGOTA</t>
  </si>
  <si>
    <t>AUTORETENCION RENTA 0.8%</t>
  </si>
  <si>
    <t>Advances to Taxes</t>
  </si>
  <si>
    <t>Prepayments: Taxes</t>
  </si>
  <si>
    <t>AUTORETENCION RENTA 1,1%</t>
  </si>
  <si>
    <t>SALDO A FAVOR DE IVA</t>
  </si>
  <si>
    <t>VAT receivables</t>
  </si>
  <si>
    <t>AUTORETENCION CREE</t>
  </si>
  <si>
    <t>OTRO PRESTAMOS</t>
  </si>
  <si>
    <t>COMPRAS POR CUENTA DE TERCEROS</t>
  </si>
  <si>
    <t>OTRAS CUENTAS POR COBRAR</t>
  </si>
  <si>
    <t>MUEBLES Y ENSERES</t>
  </si>
  <si>
    <t>Office equipment and furniture</t>
  </si>
  <si>
    <t>Purchase of property, plant and equipment</t>
  </si>
  <si>
    <t>Propiedades, planta y equipo</t>
  </si>
  <si>
    <t>(-) Compras de propiedades, planta y equipo</t>
  </si>
  <si>
    <t>(+) Importes procedentes de la venta de propiedades, planta y equipo</t>
  </si>
  <si>
    <t>EQUIPOS</t>
  </si>
  <si>
    <t>IT Equipment</t>
  </si>
  <si>
    <t>EQUIPO DE COMUNICACION</t>
  </si>
  <si>
    <t>Communication equipment</t>
  </si>
  <si>
    <t>Deprediation office equipm. &amp; furn.</t>
  </si>
  <si>
    <t>Depreciation</t>
  </si>
  <si>
    <t>( + ) Ajustes por gastos de depreciación</t>
  </si>
  <si>
    <t>MUEBLES</t>
  </si>
  <si>
    <t>Depreciation IT Equipment</t>
  </si>
  <si>
    <t>ALQUILER OFICINA</t>
  </si>
  <si>
    <t>Prepayments: rent</t>
  </si>
  <si>
    <t>SERVICIS PAGADOS POR ANTICIPADO</t>
  </si>
  <si>
    <t>Others</t>
  </si>
  <si>
    <t>Prepayments</t>
  </si>
  <si>
    <t>GASTOS PREOPERATIVOS</t>
  </si>
  <si>
    <t>IT Software</t>
  </si>
  <si>
    <t>Purchase of intangible assets</t>
  </si>
  <si>
    <t>Intangibles</t>
  </si>
  <si>
    <t>Deffered Tax</t>
  </si>
  <si>
    <t>Deffered Tax Income</t>
  </si>
  <si>
    <t>Impuesto Diferido Débito</t>
  </si>
  <si>
    <t>(+/-) Otros ajustes para conciliar la ganancia (pérdida)</t>
  </si>
  <si>
    <t>SERIVICIOS DIFERIDOS</t>
  </si>
  <si>
    <t>Other Deffered Expenses</t>
  </si>
  <si>
    <t>AMORTIZACION SOFTWARE</t>
  </si>
  <si>
    <t>Depreciation IT Software</t>
  </si>
  <si>
    <t>Amortization</t>
  </si>
  <si>
    <t>OBLIGACIONES EN PESOS</t>
  </si>
  <si>
    <t>Loans short term (&lt; 1 year)</t>
  </si>
  <si>
    <t>short-term borrowings</t>
  </si>
  <si>
    <t>Cuentas por Pagar a Socios</t>
  </si>
  <si>
    <t>(-) Reembolsos de préstamos</t>
  </si>
  <si>
    <t>(+) Importes procedentes de préstamos</t>
  </si>
  <si>
    <t>OTRAS OBLIGACIONES CON PARTICULARES</t>
  </si>
  <si>
    <t>Acreedores comerciales</t>
  </si>
  <si>
    <t>PROVEEDOREES</t>
  </si>
  <si>
    <t>Accounts payable</t>
  </si>
  <si>
    <t>Trade and other payables</t>
  </si>
  <si>
    <t>Proveedores</t>
  </si>
  <si>
    <t>(+/-) Ajustes por el incremento (disminución) de cuentas por pagar de origen comercial</t>
  </si>
  <si>
    <t>Expenses payable</t>
  </si>
  <si>
    <t>Tax paybles</t>
  </si>
  <si>
    <t>Otros Pasivos no Financieros</t>
  </si>
  <si>
    <t>AUTORETENCION EN RENTA 1.10%</t>
  </si>
  <si>
    <t>CIERRE RETE ICA</t>
  </si>
  <si>
    <t>APORTES SALUD</t>
  </si>
  <si>
    <t>Social securities</t>
  </si>
  <si>
    <t>APORTES PARAFISCALES</t>
  </si>
  <si>
    <t>APORTES AFC</t>
  </si>
  <si>
    <t>PLAMILLA SEGURIDAD SOCIAL</t>
  </si>
  <si>
    <t>AUTORETENCION DE RENTA</t>
  </si>
  <si>
    <t>APORTES PENSION</t>
  </si>
  <si>
    <t>Impuestos corrientes</t>
  </si>
  <si>
    <t>IVA DESCONTABLE REGIMEN SIMPLIFICADO</t>
  </si>
  <si>
    <t>IVA DESCONTABLE TEMPORAL PRORRATEO</t>
  </si>
  <si>
    <t>SALDO IVA POR PAGAR</t>
  </si>
  <si>
    <t>Other</t>
  </si>
  <si>
    <t>Beneficios a empleados</t>
  </si>
  <si>
    <t>CESANTIAS LEY 50 DE 1990</t>
  </si>
  <si>
    <t xml:space="preserve">INTERESES SOBRE CESANTIAS </t>
  </si>
  <si>
    <t>INTERESES POR DEUDAS</t>
  </si>
  <si>
    <t>Provisions</t>
  </si>
  <si>
    <t>Pasivos estimados y provisiones</t>
  </si>
  <si>
    <t>ICA</t>
  </si>
  <si>
    <t>ANTICIPOS Y AVANCES RECIBIDOS CLIENTES</t>
  </si>
  <si>
    <t>Advances from Clientes</t>
  </si>
  <si>
    <t>(+/-) Ajustes por incrementos (disminuciones) en otras cuentas por pagar derivadas de las actividades de operación</t>
  </si>
  <si>
    <t>Capital Stock</t>
  </si>
  <si>
    <t>Share capital</t>
  </si>
  <si>
    <t>Capital suscrito y pagado</t>
  </si>
  <si>
    <t>(-) Disminución de capital social y/o readquisición de acciones</t>
  </si>
  <si>
    <t>(+) Importes procedentes de aumento de capital y/o recolocación de acciones</t>
  </si>
  <si>
    <t>RESERVA LEGAL 10%</t>
  </si>
  <si>
    <t>Legal Reserves</t>
  </si>
  <si>
    <t>RESULTADO DEL EJERCICIO</t>
  </si>
  <si>
    <t>General Reserves</t>
  </si>
  <si>
    <t>Utilidades retenidas</t>
  </si>
  <si>
    <t>UTILIDADES ACUMULADAS</t>
  </si>
  <si>
    <t>P&amp;L</t>
  </si>
  <si>
    <t>Ingresos de actividades ordinarias</t>
  </si>
  <si>
    <t>(+/-) Ganancia (pérdida)</t>
  </si>
  <si>
    <t>Ingresos por intereses</t>
  </si>
  <si>
    <t>Diferencia en cambio</t>
  </si>
  <si>
    <t>POR PRONTO PAGO</t>
  </si>
  <si>
    <t>Descuentos comerciales</t>
  </si>
  <si>
    <t>METODO PARTICIPACION</t>
  </si>
  <si>
    <t>Otras Ganancias</t>
  </si>
  <si>
    <t>Recuperaciones</t>
  </si>
  <si>
    <t xml:space="preserve">RECUPERACIONES </t>
  </si>
  <si>
    <t>Aprovechamientos</t>
  </si>
  <si>
    <t>Ajuste al peso</t>
  </si>
  <si>
    <t>RECUPERACION DE DEPRECIACIONES</t>
  </si>
  <si>
    <t>Gastos de Administración</t>
  </si>
  <si>
    <t>Gastos de Personal</t>
  </si>
  <si>
    <t>INTERESES DE CESANTIAS</t>
  </si>
  <si>
    <t>BONIFICACION MERALIBERALIDAD</t>
  </si>
  <si>
    <t>APORTE RIESGO LABORAL</t>
  </si>
  <si>
    <t>APORTES A SALUD</t>
  </si>
  <si>
    <t>APORTE FONDO DE PENSION</t>
  </si>
  <si>
    <t>APORTES CAJAS DE COMPENSACION</t>
  </si>
  <si>
    <t>OTROS GASTO DE PERSONAL</t>
  </si>
  <si>
    <t>REVISORIA FISCAL</t>
  </si>
  <si>
    <t>Honorarios</t>
  </si>
  <si>
    <t>SOPORTE FINANCIERO Y CONTABLE</t>
  </si>
  <si>
    <t>ICA BOGOTA</t>
  </si>
  <si>
    <t>Impuestos</t>
  </si>
  <si>
    <t>GMF GRAVAMEN A MOVIMIENTOS FINANCIEROS</t>
  </si>
  <si>
    <t>Arriendos</t>
  </si>
  <si>
    <t>OTROS ARRIENDOS</t>
  </si>
  <si>
    <t>ADMINISTRACION</t>
  </si>
  <si>
    <t>Servicios</t>
  </si>
  <si>
    <t>SEGUROS DE CUMPLIMIENTO</t>
  </si>
  <si>
    <t>Seguros</t>
  </si>
  <si>
    <t>SERVICIO RECLUTAMIENTO</t>
  </si>
  <si>
    <t>DOMINIOS</t>
  </si>
  <si>
    <t>LUZ</t>
  </si>
  <si>
    <t>TELEFONIA</t>
  </si>
  <si>
    <t>CORREO PORTES Y TELEGRAMA</t>
  </si>
  <si>
    <t>ADMINISTRACION OFICINAS</t>
  </si>
  <si>
    <t>Gastos Legales</t>
  </si>
  <si>
    <t>CERTIFICACOS</t>
  </si>
  <si>
    <t xml:space="preserve">CERTIFICADOS </t>
  </si>
  <si>
    <t>MANTENIMIENTO EQUIPO DE OFICINA</t>
  </si>
  <si>
    <t>Mantenimiento y Adecuaciones</t>
  </si>
  <si>
    <t>VIATICOS ALOJAMIENTO Y MANUNTENCION</t>
  </si>
  <si>
    <t>Gastos de viaje</t>
  </si>
  <si>
    <t>HOSPEDAJE</t>
  </si>
  <si>
    <t>IMPOCONSUMO</t>
  </si>
  <si>
    <t>PASAJES AEREOS NACIONALES</t>
  </si>
  <si>
    <t>TARJETA DE ASISTENCIA MEDICA</t>
  </si>
  <si>
    <t>OTROS GASTOS DE VIAJE</t>
  </si>
  <si>
    <t>Depreciaciones y Amortizaciones</t>
  </si>
  <si>
    <t>LICENCIAS ANTIVIRUS</t>
  </si>
  <si>
    <t>LIBROS, SUSCRIPCIONES, PERIÓDICOS Y REVISTAS</t>
  </si>
  <si>
    <t xml:space="preserve">Diversos </t>
  </si>
  <si>
    <t>GASTOS DE REPRESENTACION</t>
  </si>
  <si>
    <t>ÚTILES Y PAPELERÍA</t>
  </si>
  <si>
    <t>PARQUEADEROS NACIONALES</t>
  </si>
  <si>
    <t>LICENCIAS PARA COMPUTADOR</t>
  </si>
  <si>
    <t>TICKETES A EVENTOS</t>
  </si>
  <si>
    <t>DEUDAS DIFICIL COBRO</t>
  </si>
  <si>
    <t>Promocion y Publicidad</t>
  </si>
  <si>
    <t>Gastos bancarios</t>
  </si>
  <si>
    <t>Bancarios</t>
  </si>
  <si>
    <t>CUOTA DE MANEJO</t>
  </si>
  <si>
    <t>INTERESES DE MORA PROVEEDORES</t>
  </si>
  <si>
    <t>Gastos por intereses</t>
  </si>
  <si>
    <t>Intereses</t>
  </si>
  <si>
    <t>PERDIDA EN VENTA DE ACTIVOS FIJOS</t>
  </si>
  <si>
    <t>IMPUESTOS ASUMIDOS RTE FTE</t>
  </si>
  <si>
    <t>Otros Gastos</t>
  </si>
  <si>
    <t>Diversos no ordinarios</t>
  </si>
  <si>
    <t>IMPUESTOS ASUMIDOS RTE ICA</t>
  </si>
  <si>
    <t>INDEMNIZACION</t>
  </si>
  <si>
    <t>PENALIDADES</t>
  </si>
  <si>
    <t>IMPUESTO CORRIENTE</t>
  </si>
  <si>
    <t>Provisión Impuesto de Renta</t>
  </si>
  <si>
    <t>Total general</t>
  </si>
  <si>
    <t>Límite</t>
  </si>
  <si>
    <t>COSTOS DE VENTAS</t>
  </si>
  <si>
    <t>Impuesto 2023</t>
  </si>
  <si>
    <t>ACTIVOS</t>
  </si>
  <si>
    <t>PASIVOS</t>
  </si>
  <si>
    <t>Validación hoja P&amp;L</t>
  </si>
  <si>
    <t>Diferencia</t>
  </si>
  <si>
    <t>Deducibilidad de Indemnizaciones</t>
  </si>
  <si>
    <t>DIAN. OFICIO Nº 108. 26-03-2021 – INDEMNIZACIONES POR DESPIDO JUSTIFICADO O INJUSTIFICADO QUE PROVIENEN DE UNA RELACIÓN LABORAL O REGLAMENTARIA.</t>
  </si>
  <si>
    <t>Despido del trabajador por cierre o liquidación de la empresa</t>
  </si>
  <si>
    <t>https://www.gerencie.com/despido-del-trabajador-por-cierre-o-liquidacion-de-la-empresa.html</t>
  </si>
  <si>
    <t>El despido es legal pero no es justo</t>
  </si>
  <si>
    <t>El Consejo de Estado modifica su interpretación y considera deducibles las indemnizaciones</t>
  </si>
  <si>
    <t>https://lexir.co/2023/06/20/el-consejo-de-estado-modifica-su-interpretacion-y-considera-deducibles-las-indemnizaciones/</t>
  </si>
  <si>
    <t>DOC 753. Deducción indemnizaciones laborales.pdf</t>
  </si>
  <si>
    <t>https://cijuf.org.co/sites/cijuf.org.co/files/documentos_interes/DOC%20753.%20Deducci%C3%B3n%20indemnizaciones%20laborales.pdf</t>
  </si>
  <si>
    <t>La limitación no aplica cuando los pagos corresponden a ingresos de fuente extranjera.</t>
  </si>
  <si>
    <t>https://www.gerencie.com/requisitos-y-limitaciones-para-que-los-gastos-en-el-exterior-sean-deducibles.html</t>
  </si>
  <si>
    <t>¿Cómo funciona la retención en la fuente en pagos con tarjetas de crédito?</t>
  </si>
  <si>
    <t>https://www.youtube.com/watch?v=qXI-hbehrIg</t>
  </si>
  <si>
    <t>Perdida fiscal 2021</t>
  </si>
  <si>
    <t>Perdida fiscal 2022</t>
  </si>
  <si>
    <t>Total pérdidas fiscales</t>
  </si>
  <si>
    <t>Utilidad fiscal 2023</t>
  </si>
  <si>
    <t>Utilidad (Pérdidad) Fiscal acumulada</t>
  </si>
  <si>
    <t>Saldo a favor renta 2022 x Auto retenciones</t>
  </si>
  <si>
    <t>Autoretenciones 2023</t>
  </si>
  <si>
    <t>Base</t>
  </si>
  <si>
    <t>Saldo a favor 2023</t>
  </si>
  <si>
    <t>Recuperación x Depreciación en 2024</t>
  </si>
  <si>
    <t>Vender los Activos Fijos al Socio y compensar la deuda o reintegro de patrimonio</t>
  </si>
  <si>
    <t>Ventas de activos fijos o movibles cuyas pérdidas no son aceptadas fiscalmente</t>
  </si>
  <si>
    <t>https://actualicese.com/ventas-de-activos-fijos-o-movibles-cuyas-perdidas-no-son-aceptadas-fiscalmente/</t>
  </si>
  <si>
    <t xml:space="preserve">PERDIDA EN LA ENAJENACION DE ACTIVOS – Determinación </t>
  </si>
  <si>
    <t>PRECIO DE ENAJENACION – Determinación</t>
  </si>
  <si>
    <t xml:space="preserve">INMUEBLES – Precio de venta no puede ser inferior al 50 por ciento del valor comercial </t>
  </si>
  <si>
    <t xml:space="preserve">COSTO FISCAL – Cuando se
vende por menos de este valor existe una pérdida en la enajenación del
activo </t>
  </si>
  <si>
    <t>https://www.consejodeestado.gov.co/documentos/boletines/95/S4/25000-23-27-000-2006-01354-01(17080).pdf</t>
  </si>
  <si>
    <t>CO SERVICES S.A.S.</t>
  </si>
  <si>
    <t>PROFIT AND LOSS</t>
  </si>
  <si>
    <t>(Thousands COP)</t>
  </si>
  <si>
    <t>Print</t>
  </si>
  <si>
    <t>Concepto</t>
  </si>
  <si>
    <t>JAN</t>
  </si>
  <si>
    <t>FEB</t>
  </si>
  <si>
    <t>MAR</t>
  </si>
  <si>
    <t>APR</t>
  </si>
  <si>
    <t>MAY</t>
  </si>
  <si>
    <t>JUN</t>
  </si>
  <si>
    <t>JUL</t>
  </si>
  <si>
    <t>AUG</t>
  </si>
  <si>
    <t>SEP</t>
  </si>
  <si>
    <t>OCT</t>
  </si>
  <si>
    <t>NOV</t>
  </si>
  <si>
    <t>DEC</t>
  </si>
  <si>
    <t>Co Services</t>
  </si>
  <si>
    <t>YTD COP</t>
  </si>
  <si>
    <t>INCOME</t>
  </si>
  <si>
    <t>SERVICIOS PROVISION</t>
  </si>
  <si>
    <t>TOTAL INCOME</t>
  </si>
  <si>
    <t>Salaries</t>
  </si>
  <si>
    <t>Transportation support</t>
  </si>
  <si>
    <t>Bonus</t>
  </si>
  <si>
    <t>Bonus (leave the company)</t>
  </si>
  <si>
    <t>Temporary and Freelancers</t>
  </si>
  <si>
    <t>Salaries (including bonus, temps &amp; others)</t>
  </si>
  <si>
    <t>Anual payment</t>
  </si>
  <si>
    <t>Interest over anual payment</t>
  </si>
  <si>
    <t>Half year payment</t>
  </si>
  <si>
    <t>Vacations</t>
  </si>
  <si>
    <t>Labor insurance</t>
  </si>
  <si>
    <t>Pensions</t>
  </si>
  <si>
    <t>APORTES AL I.S.S</t>
  </si>
  <si>
    <t>Other Social Taxes</t>
  </si>
  <si>
    <t>Other personnel costs</t>
  </si>
  <si>
    <t>Housing support</t>
  </si>
  <si>
    <t>Air Tickets</t>
  </si>
  <si>
    <t>Recruitment</t>
  </si>
  <si>
    <t>OTROS GASTOS</t>
  </si>
  <si>
    <t>Miscellaneous personnel</t>
  </si>
  <si>
    <t>TOTAL  PERSONNEL</t>
  </si>
  <si>
    <t>Auditor Expenses</t>
  </si>
  <si>
    <t>Lawyer</t>
  </si>
  <si>
    <t>Translations</t>
  </si>
  <si>
    <t>IMPLEMENTACOIN HELISA</t>
  </si>
  <si>
    <t>ERP Assesment</t>
  </si>
  <si>
    <t>Recruitment fees</t>
  </si>
  <si>
    <t>LEGAL &amp; PROFFESIONAL EXPENSES</t>
  </si>
  <si>
    <t>Buildings, improvements &amp; renovations</t>
  </si>
  <si>
    <t>Equipment</t>
  </si>
  <si>
    <t>Furniture</t>
  </si>
  <si>
    <t>Cars</t>
  </si>
  <si>
    <t>IT equipment</t>
  </si>
  <si>
    <t>TOTAL DEPRECIATION</t>
  </si>
  <si>
    <t>ERPs</t>
  </si>
  <si>
    <t>Windows</t>
  </si>
  <si>
    <t>TOTAL AMORTIZATION</t>
  </si>
  <si>
    <t>OFFICE  EXPENSES</t>
  </si>
  <si>
    <t>Rent</t>
  </si>
  <si>
    <t>Quote</t>
  </si>
  <si>
    <t>Cleaning service</t>
  </si>
  <si>
    <t>Other services</t>
  </si>
  <si>
    <t>Energy</t>
  </si>
  <si>
    <t>Repairs and renewals</t>
  </si>
  <si>
    <t>Office rent &amp; facilities</t>
  </si>
  <si>
    <t>ALQUILER SERVIDOR TIPO APPLIANCE</t>
  </si>
  <si>
    <t>Rent of equiptments</t>
  </si>
  <si>
    <t>Phone service</t>
  </si>
  <si>
    <t>Other communication costs</t>
  </si>
  <si>
    <t>Courrier</t>
  </si>
  <si>
    <t>Web domians</t>
  </si>
  <si>
    <t>Internet</t>
  </si>
  <si>
    <t>Mail service</t>
  </si>
  <si>
    <t>Mobile phone service and equipments</t>
  </si>
  <si>
    <t>Communication Costs</t>
  </si>
  <si>
    <t>Notary expenses</t>
  </si>
  <si>
    <t>Various Office Expenses</t>
  </si>
  <si>
    <t>Computer supplies</t>
  </si>
  <si>
    <t>Antivirus license</t>
  </si>
  <si>
    <t>Office license</t>
  </si>
  <si>
    <t>Mobile phone</t>
  </si>
  <si>
    <t>Stationary supplies</t>
  </si>
  <si>
    <t>Cleaning supplies</t>
  </si>
  <si>
    <t>Lunch bar supplies</t>
  </si>
  <si>
    <t>Office, computer &amp; stationary supplies</t>
  </si>
  <si>
    <t>Insurances</t>
  </si>
  <si>
    <t>Representation</t>
  </si>
  <si>
    <t>PROPAGANDA Y PUBLICIDAD</t>
  </si>
  <si>
    <t>Advertising</t>
  </si>
  <si>
    <t>Foods</t>
  </si>
  <si>
    <t>Transportation</t>
  </si>
  <si>
    <t>TOTAL OFFICE  EXPENSES</t>
  </si>
  <si>
    <t>Hotels</t>
  </si>
  <si>
    <t>Taxes</t>
  </si>
  <si>
    <t>Tickets</t>
  </si>
  <si>
    <t>Other Travel Expenses</t>
  </si>
  <si>
    <t>TOTAL TRAVEL  EXPENSES</t>
  </si>
  <si>
    <t>Bank platform fee</t>
  </si>
  <si>
    <t>Debit Card Fee</t>
  </si>
  <si>
    <t>Bank commissions</t>
  </si>
  <si>
    <t>Interest paid</t>
  </si>
  <si>
    <t>INTERESES PRESTAMOS</t>
  </si>
  <si>
    <t>Other expenses</t>
  </si>
  <si>
    <t>TOTAL BANK &amp; FINANCIAL EXPENSES</t>
  </si>
  <si>
    <t>ICA (Local tax over invoicing)</t>
  </si>
  <si>
    <t>Bank taxes</t>
  </si>
  <si>
    <t>VAT t o be Paid</t>
  </si>
  <si>
    <t>TAX EXPENSES</t>
  </si>
  <si>
    <t>OPERATING EXPENSES</t>
  </si>
  <si>
    <t>INDEMNIZACIONES</t>
  </si>
  <si>
    <t>MULTAS, SANCIONES Y LITIGIOS</t>
  </si>
  <si>
    <t>TOTAL OTHER (VARIOUS) EXPENSES</t>
  </si>
  <si>
    <t>Interest income</t>
  </si>
  <si>
    <t>PRONTO PAGO</t>
  </si>
  <si>
    <t>Discounts</t>
  </si>
  <si>
    <t>Other Income</t>
  </si>
  <si>
    <t>TOTAL OTHER INCOME</t>
  </si>
  <si>
    <t>Exchange losses or profits (-/-)</t>
  </si>
  <si>
    <t>PRETAX EARNINGS</t>
  </si>
  <si>
    <t>CORPORATE TAX</t>
  </si>
  <si>
    <t>TOTAL NET AFTER TAX</t>
  </si>
  <si>
    <t>Flujo de caja</t>
  </si>
  <si>
    <t>Extraordinarios</t>
  </si>
  <si>
    <t>Prestaciones sociales</t>
  </si>
  <si>
    <t>Depreciación</t>
  </si>
  <si>
    <t>No deducibles</t>
  </si>
  <si>
    <t>Totales</t>
  </si>
  <si>
    <t>Provision</t>
  </si>
  <si>
    <t>Effective Tax Income</t>
  </si>
  <si>
    <t>Ajuste</t>
  </si>
  <si>
    <t>Saldo</t>
  </si>
  <si>
    <t>Renta gravable 2023</t>
  </si>
  <si>
    <t>Renta gravable 2021</t>
  </si>
  <si>
    <t>Renta gravable 2022</t>
  </si>
  <si>
    <t>Total rentas gravables</t>
  </si>
  <si>
    <t>Impuesto</t>
  </si>
  <si>
    <t>Advances</t>
  </si>
  <si>
    <t>Anticipo de impuesto</t>
  </si>
  <si>
    <t>Pay to DIAN</t>
  </si>
  <si>
    <t>Valor a pagar</t>
  </si>
  <si>
    <t>CO SERVICES SAS</t>
  </si>
  <si>
    <t>Estado de Situación Financiera</t>
  </si>
  <si>
    <t>A 31 de diciembre de 2023 y 2022</t>
  </si>
  <si>
    <t>Cifras en pesos Colombianos</t>
  </si>
  <si>
    <t>Control</t>
  </si>
  <si>
    <t>Print?</t>
  </si>
  <si>
    <t>Ok</t>
  </si>
  <si>
    <t>Activo</t>
  </si>
  <si>
    <t>Nota</t>
  </si>
  <si>
    <t>Proyección Fiscal</t>
  </si>
  <si>
    <t>Activo Corriente</t>
  </si>
  <si>
    <t>Cuentas por Cobrar a Vinculadas</t>
  </si>
  <si>
    <t>Costos de Terceros por Cobrar</t>
  </si>
  <si>
    <r>
      <t>Otros activos no financieros</t>
    </r>
    <r>
      <rPr>
        <sz val="10"/>
        <color theme="0"/>
        <rFont val="Arial"/>
        <family val="2"/>
      </rPr>
      <t xml:space="preserve"> CP</t>
    </r>
  </si>
  <si>
    <t>Saldo a favor x auto retenciones</t>
  </si>
  <si>
    <t>Comcel</t>
  </si>
  <si>
    <t>Total Activo corriente</t>
  </si>
  <si>
    <t>Activo no Corriente</t>
  </si>
  <si>
    <t>Propiedades, Planta y Equipo</t>
  </si>
  <si>
    <t>Total Activo no Corriente</t>
  </si>
  <si>
    <t>Total Activo</t>
  </si>
  <si>
    <t>Pasivo</t>
  </si>
  <si>
    <t>Pasivo Corriente</t>
  </si>
  <si>
    <t>Otros Acreedores comerciales</t>
  </si>
  <si>
    <t>Préstamos de accionistas</t>
  </si>
  <si>
    <t>Valores recibidos para terceros</t>
  </si>
  <si>
    <t>Total Pasivo Corriente</t>
  </si>
  <si>
    <t>Total Pasivo</t>
  </si>
  <si>
    <t>Patrimonio</t>
  </si>
  <si>
    <t>Reserva Legal</t>
  </si>
  <si>
    <t>Utilidad del ejercicio</t>
  </si>
  <si>
    <t>Total Patrimonio</t>
  </si>
  <si>
    <t>Total pasivo y patrimonio</t>
  </si>
  <si>
    <t>INDICADORES FINANCIEROS</t>
  </si>
  <si>
    <t>Indicadores de Liquidez</t>
  </si>
  <si>
    <t>Capital de Trabajo</t>
  </si>
  <si>
    <t>Razón Corriente</t>
  </si>
  <si>
    <t>Indicadores de Endeudamiento</t>
  </si>
  <si>
    <t>Endeudamiento del Patrimonio</t>
  </si>
  <si>
    <t>Endeudamiento del Activo</t>
  </si>
  <si>
    <t>RESULTADO DEL PERIODO</t>
  </si>
  <si>
    <t>Intereses percibidos</t>
  </si>
  <si>
    <t>Intereses pagados</t>
  </si>
  <si>
    <t>Depreciaciones</t>
  </si>
  <si>
    <t>Amortizaciones</t>
  </si>
  <si>
    <t>EBIDTA</t>
  </si>
  <si>
    <t>Nit. 901.191,890-5</t>
  </si>
  <si>
    <t>Estado del Resultado Integral</t>
  </si>
  <si>
    <t>Corte a 31 de julio de 2023 y 2022</t>
  </si>
  <si>
    <t>Costo de operaciones</t>
  </si>
  <si>
    <t>Utilidad neta en operaciones</t>
  </si>
  <si>
    <t>Resultado por actividades de la operación</t>
  </si>
  <si>
    <t>Otros Ingresos</t>
  </si>
  <si>
    <t>Resultado antes de impuestos</t>
  </si>
  <si>
    <t>Resultado del periodo despues de impuestos</t>
  </si>
  <si>
    <t>Utilida disponible para distribución</t>
  </si>
  <si>
    <t>ESTADO DE FLUJO DE EFECTIVO.   MÉTODO INDIRECTO</t>
  </si>
  <si>
    <t>Cifras en Pesos Colombianos</t>
  </si>
  <si>
    <t>Estado de flujos de efectivo [sinopsis]</t>
  </si>
  <si>
    <t>Actividades de operación [sinopsis]</t>
  </si>
  <si>
    <t>Ajustes para conciliar la ganancia (pérdida) [sinopsis]</t>
  </si>
  <si>
    <t>(+/-) Ajustes gastos por impuestos a las ganancias</t>
  </si>
  <si>
    <t>( + ) Ajustes por gastos de amortización</t>
  </si>
  <si>
    <t>(+/-) Ajustes por deterioro de valor (reversiones de pérdidas por deterioro de valor) reconocidas en el resultado del periodo</t>
  </si>
  <si>
    <t>(+) Ajustes por provisiones</t>
  </si>
  <si>
    <t>(+) Ajustes por costos financieros</t>
  </si>
  <si>
    <t>(+/-) Ajustes por pérdidas (ganancias) de moneda extranjera no realizadas</t>
  </si>
  <si>
    <t>(+) Ajustes por pérdidas (ganancias) del valor razonable</t>
  </si>
  <si>
    <t>(-) Ajustes por ganancias no distribuidas de asociadas</t>
  </si>
  <si>
    <t>(+/-) Ajustes por pérdidas (ganancias) por la disposición de activos no corrientes</t>
  </si>
  <si>
    <t>Total ajustes para conciliar la ganancia (pérdida)</t>
  </si>
  <si>
    <t>Flujos de efectivo procedentes de (utilizados en) actividades de operación [sinopsis]</t>
  </si>
  <si>
    <t>(+/-) Ajustes por disminuciones (incrementos) en los inventarios</t>
  </si>
  <si>
    <t>(+/-) Otras entradas (salidas) de efectivo en actividades de operación</t>
  </si>
  <si>
    <t>Flujos de efectivo netos procedentes de (utilizados en) actividades de operación</t>
  </si>
  <si>
    <t>Flujos de efectivo procedentes de (utilizados en) actividades de inversión [sinopsis]</t>
  </si>
  <si>
    <t>(+) Otros cobros por la venta de patrimonio o instrumentos de deuda de otras entidades</t>
  </si>
  <si>
    <t>(-) Otros pagos para adquirir patrimonio o instrumentos de deuda de otras entidades</t>
  </si>
  <si>
    <t>(+) Otros cobros por la venta de participaciones en negocios conjuntos</t>
  </si>
  <si>
    <t>(-) Otros pagos para adquirir participaciones en negocios conjuntos</t>
  </si>
  <si>
    <t>(+) Importes procedentes de ventas de activos intangibles</t>
  </si>
  <si>
    <t>(-) Compras de activos intangibles</t>
  </si>
  <si>
    <t>(+) Recursos por ventas de otros activos a largo plazo</t>
  </si>
  <si>
    <t>(-) Compras de otros activos a largo plazo</t>
  </si>
  <si>
    <t>(+) Importes procedentes de subvenciones del gobierno</t>
  </si>
  <si>
    <t>(-) Pagos derivados de contratos de futuro, a término, de opciones y de permuta financiera</t>
  </si>
  <si>
    <t>(+) Cobros procedentes de contratos de futuro, a término, de opciones y de permuta financiera</t>
  </si>
  <si>
    <t>(+) Dividendos recibidos</t>
  </si>
  <si>
    <t>(+) Intereses recibidos</t>
  </si>
  <si>
    <t>(+/-) Otras entradas (salidas) de efectivo en actividades de inversión</t>
  </si>
  <si>
    <t>Flujos de efectivo netos procedentes de (utilizados en) actividades de inversión</t>
  </si>
  <si>
    <t>Flujos de efectivo procedentes de (utilizados en) actividades de financiación [sinopsis]</t>
  </si>
  <si>
    <t>(+) Recursos por cambios en las participaciones en la propiedad en subsidiarias que no dan lugar a la pérdida de control</t>
  </si>
  <si>
    <t>(-) Pagos por cambios en las participaciones en la propiedad en subsidiarias que no dan lugar a la pérdida de control</t>
  </si>
  <si>
    <t>(-) Pagos por otras participaciones en el patrimonio</t>
  </si>
  <si>
    <t>(+) Importe procedente del aumento prima por emisión</t>
  </si>
  <si>
    <t>(-) Disminución de prima por emisión</t>
  </si>
  <si>
    <t>(-) Pagos de pasivos por arrendamientos financieros</t>
  </si>
  <si>
    <t>(-) Dividendos pagados</t>
  </si>
  <si>
    <t>(-) Intereses pagados</t>
  </si>
  <si>
    <t>(+/-) Otras entradas (salidas) de efectivo en actividades de financiación</t>
  </si>
  <si>
    <t>Flujos de efectivo netos procedentes de (utilizados en) actividades de financiación</t>
  </si>
  <si>
    <t>Incremento (disminución) neto de efectivo y equivalentes al efectivo, antes del efecto de los cambios en la tasa de cambio</t>
  </si>
  <si>
    <t>Efectos de la variación en la tasa de cambio sobre el efectivo y equivalentes al efectivo [sinopsis]</t>
  </si>
  <si>
    <t>(+/-) Efectos de la variación en la tasa de cambio sobre el efectivo y equivalentes al efectivo</t>
  </si>
  <si>
    <t>Incremento (disminución) neto de efectivo y equivalentes al efectivo</t>
  </si>
  <si>
    <t>Efectivo y equivalentes al efectivo al principio del periodo</t>
  </si>
  <si>
    <t>Efectivo y equivalentes al efectivo al final del periodo</t>
  </si>
  <si>
    <t>Movimientos</t>
  </si>
  <si>
    <t>Saldos iniciales</t>
  </si>
  <si>
    <t>Saldos finales</t>
  </si>
  <si>
    <t>Validación</t>
  </si>
  <si>
    <t>CARSEA S.A.S.</t>
  </si>
  <si>
    <t>FLUJO DE CAJA POR METODO INDIRECTO</t>
  </si>
  <si>
    <t>Corte a 31 de diciembre de 2023 y  2022</t>
  </si>
  <si>
    <t>Resultados del Ejercicio</t>
  </si>
  <si>
    <t>Partidas que no afectan el efectivo</t>
  </si>
  <si>
    <t>(+)</t>
  </si>
  <si>
    <t>Otros ajustes para conciliar la ganancia (pérdida)</t>
  </si>
  <si>
    <t>(-)</t>
  </si>
  <si>
    <t>Ajustes por ganancias no distribuidas de asociadas</t>
  </si>
  <si>
    <t>Efectivo generado en operaciones</t>
  </si>
  <si>
    <t>FLUJO DE EFECTIVO DE LAS ACTIVIDADES DE OPERACIÓN</t>
  </si>
  <si>
    <t>Cambios netos en activos y pasivos operacionales</t>
  </si>
  <si>
    <t>Inversiones</t>
  </si>
  <si>
    <t>Deudores</t>
  </si>
  <si>
    <t xml:space="preserve">Otros deudores </t>
  </si>
  <si>
    <t>Cuentas por pagar</t>
  </si>
  <si>
    <t>Recaudo de saldos a favor por impuestos</t>
  </si>
  <si>
    <t>Otros pasivos</t>
  </si>
  <si>
    <t>Efectivo generado en actividades de operación</t>
  </si>
  <si>
    <t>FLUJO DE EFECTIVO EN  ACTIVIDADES DE INVERSIÓN</t>
  </si>
  <si>
    <t>Adquisición de inversiones</t>
  </si>
  <si>
    <t>Venta de inversiones</t>
  </si>
  <si>
    <t>Compra de activos fijos</t>
  </si>
  <si>
    <t>Compra de activos intangibles</t>
  </si>
  <si>
    <t>Efectivo usado en actividades de inversión</t>
  </si>
  <si>
    <t>EFECTIVO GENERADO EN ACTIVIDADES DE FINANCIACIÓN</t>
  </si>
  <si>
    <t xml:space="preserve">Aumento de capital </t>
  </si>
  <si>
    <t>Disminución de capital</t>
  </si>
  <si>
    <t>Reembolsos de préstamos</t>
  </si>
  <si>
    <t>Aumento (disminución) de Capital</t>
  </si>
  <si>
    <t>Venta de bonos</t>
  </si>
  <si>
    <t>Préstamos</t>
  </si>
  <si>
    <t>Sobregiros</t>
  </si>
  <si>
    <t>Leasing</t>
  </si>
  <si>
    <t>Pago de obligaciones financieras</t>
  </si>
  <si>
    <t>Pago de sobregiros</t>
  </si>
  <si>
    <t>Pago Leasing</t>
  </si>
  <si>
    <t>Efectivo generado en actividades de financiación</t>
  </si>
  <si>
    <t>Aumento (disminución) neto del disponible</t>
  </si>
  <si>
    <t>Disponible al inicio del año</t>
  </si>
  <si>
    <t>Disponible al final del año</t>
  </si>
  <si>
    <t>Saldo contable</t>
  </si>
  <si>
    <t>ESTADOS DE CAMBIOS EN EL PATRIMONIO</t>
  </si>
  <si>
    <t>POR LOS PERIODOS TERMINADOS AL 31 DE DICIEMBRE DE 2023 Y 2022</t>
  </si>
  <si>
    <t>(En miles de pesos colombianos)</t>
  </si>
  <si>
    <t>NOTA</t>
  </si>
  <si>
    <t>TOTAL</t>
  </si>
  <si>
    <t>SALDOS A 31 DE DICIEMBRE DE 2020</t>
  </si>
  <si>
    <t>Resultados de ejercicios anteriores</t>
  </si>
  <si>
    <t>Resultado del ejercicio</t>
  </si>
  <si>
    <t>SALDOS A 31 DE DICIEMBRE DE 2021</t>
  </si>
  <si>
    <t>SALDOS A 31 DE DICIEMBRE DE 2022</t>
  </si>
  <si>
    <t>SALDOS A 31 DE DICIEMBRE DE 2023</t>
  </si>
  <si>
    <t>Las notas que se acompañan hacen parte integral de los estados financieros</t>
  </si>
  <si>
    <t>(*) A la fecha se encuentra en curso el proceso de auditoría sobre lo estados financieros de la Compañía por el año que terminó el 31 de diciembre de 2015, por lo cual estos estados financieros y notas corresponden a unos preliminares los cuales pueden estar sujetos a modificaciones; una vez culminado el proceso de auditoria se remitirán por parte de la Administración de la Compañía los estados financieros definitivos debidamente certificados y dictaminados.</t>
  </si>
  <si>
    <t>Registrar</t>
  </si>
  <si>
    <t>Entrega de Activos fijos</t>
  </si>
  <si>
    <t>Calcular efecto de impuesto por venta</t>
  </si>
  <si>
    <t>Capital Best Coworking</t>
  </si>
  <si>
    <t>Devolución de Capital</t>
  </si>
  <si>
    <t>Dinero para</t>
  </si>
  <si>
    <t>$</t>
  </si>
  <si>
    <t>Internet Claro</t>
  </si>
  <si>
    <t>Determinar la utilidad en venta de activos fijos</t>
  </si>
  <si>
    <t>Liquidaciones</t>
  </si>
  <si>
    <t>https://www.gerencie.com/determinar-la-utilidad-en-venta-de-activos-fijos.html</t>
  </si>
  <si>
    <t>Certificados CCB</t>
  </si>
  <si>
    <t>Renovación CCB</t>
  </si>
  <si>
    <t>Imprevistos</t>
  </si>
  <si>
    <t>Venta de activos fijos se debe facturar</t>
  </si>
  <si>
    <t>https://www.gerencie.com/se-debe-expedir-factura-por-la-venta-de-activos-fijos.html</t>
  </si>
  <si>
    <t>Venta de activos fijos no genera Iva</t>
  </si>
  <si>
    <t>https://www.gerencie.com/venta-de-activos-fijos-no-genera-iva.html</t>
  </si>
  <si>
    <t>Pérdida en la venta de activos fijos</t>
  </si>
  <si>
    <t>Art.149</t>
  </si>
  <si>
    <t>https://www.gerencie.com/perdida-en-la-venta-de-activos-fijos.html</t>
  </si>
  <si>
    <t>El valor de los ajustes efectuados sobre los activos fijos a que se refieren los artículos 73, 90-2 y 868 de este Estatuto y el artículo 65 de la Ley 75 de 1986, no se tendrá en cuenta para determinar el valor de la pérdida en la enajenación de activos</t>
  </si>
  <si>
    <t>Ajuste de bienes raíces, acciones y aportes que sean activos fijos de personas naturales.</t>
  </si>
  <si>
    <t xml:space="preserve">Art. 73. </t>
  </si>
  <si>
    <t>Saneamiento de bienes raíces.</t>
  </si>
  <si>
    <t xml:space="preserve">Art. 90-2. </t>
  </si>
  <si>
    <t>En las declaraciones de renta y patrimonio correspondientes al año gravable de 1986, los contribuyentes podrán ajustar al valor comercial el costo de los activos fijos poseídos en 31 de diciembre de dicho año…</t>
  </si>
  <si>
    <t>artículo 65 
Ley 75 de 1986</t>
  </si>
  <si>
    <t>BALANCE SHEET</t>
  </si>
  <si>
    <t>Colombia</t>
  </si>
  <si>
    <t>Ver</t>
  </si>
  <si>
    <t>Grupo</t>
  </si>
  <si>
    <t>Inicial</t>
  </si>
  <si>
    <t>Adj</t>
  </si>
  <si>
    <t>Final</t>
  </si>
  <si>
    <t>INTANGIBLE ASSETS</t>
  </si>
  <si>
    <t>Profit / (Loss) before taxation</t>
  </si>
  <si>
    <t>Total Intangible assets</t>
  </si>
  <si>
    <t>Tangible Fixed assets</t>
  </si>
  <si>
    <t>Depreciation cars</t>
  </si>
  <si>
    <t>Deprediation buildings, impr. &amp; ren.</t>
  </si>
  <si>
    <t>Inventory</t>
  </si>
  <si>
    <t>Depreciation Inventory</t>
  </si>
  <si>
    <t>Depreciation communication equipment</t>
  </si>
  <si>
    <t>Total tangible fixed assets</t>
  </si>
  <si>
    <t>FINANCIAL FIXED ASSETS</t>
  </si>
  <si>
    <t>Participations</t>
  </si>
  <si>
    <t>Receivable from participations</t>
  </si>
  <si>
    <t>Other financial instruments</t>
  </si>
  <si>
    <t>Total financial fixed assets</t>
  </si>
  <si>
    <t>TOTAL FIXED ASSETS</t>
  </si>
  <si>
    <t>RECEIVABLES</t>
  </si>
  <si>
    <t>Income &amp; commissions</t>
  </si>
  <si>
    <t>Interest</t>
  </si>
  <si>
    <t>Security deposits</t>
  </si>
  <si>
    <t>Work in progress</t>
  </si>
  <si>
    <t>TOTAL RECEIVABLES</t>
  </si>
  <si>
    <t>OTHER ASSETS</t>
  </si>
  <si>
    <t>TOTAL OTHER ASSETS</t>
  </si>
  <si>
    <t>CASH &amp; CASH EQUIVALENT</t>
  </si>
  <si>
    <t>TOTAL CASH &amp; CASH EQUIVALENT</t>
  </si>
  <si>
    <t>TOTAL ASSETS</t>
  </si>
  <si>
    <t>Equity</t>
  </si>
  <si>
    <t>Dividends paid</t>
  </si>
  <si>
    <t>Current Year Earnings</t>
  </si>
  <si>
    <t>Revaluation reserve</t>
  </si>
  <si>
    <t>TOTAL EQUITY</t>
  </si>
  <si>
    <t>TOTAL PROVISIONS</t>
  </si>
  <si>
    <t>LONG TERM LIABILITIES</t>
  </si>
  <si>
    <t>Long term loans (&gt;1 year)</t>
  </si>
  <si>
    <t>TOTAL LONG TERM LIABILITIES</t>
  </si>
  <si>
    <t>SHORT TERM LIABILITIES</t>
  </si>
  <si>
    <t>Shareholders AP</t>
  </si>
  <si>
    <t>Accrued wages</t>
  </si>
  <si>
    <t>Deferred revenue</t>
  </si>
  <si>
    <t>TOTAL SHORT TERM LIABILITIES</t>
  </si>
  <si>
    <t>TOTAL LIABILITIES</t>
  </si>
  <si>
    <t>EQUITY + LIABILITIES</t>
  </si>
  <si>
    <t>Validación de Balance</t>
  </si>
  <si>
    <t>CASH FLOW. Indirect method</t>
  </si>
  <si>
    <t>Group</t>
  </si>
  <si>
    <t>Detail</t>
  </si>
  <si>
    <t>CASH FLOWS FROM OPERATING ACTIVITIES</t>
  </si>
  <si>
    <t>Adjustments for:</t>
  </si>
  <si>
    <t>Other Deffered expenses</t>
  </si>
  <si>
    <t>Investment income</t>
  </si>
  <si>
    <t>Interest expense</t>
  </si>
  <si>
    <t>Profit / (Loss) on the sale of property, plant &amp; equipment</t>
  </si>
  <si>
    <t>Sale of property, plant &amp; equipment</t>
  </si>
  <si>
    <t>Profit / (Loss) on the sale of intangible assets</t>
  </si>
  <si>
    <t>Sale of intangible assets</t>
  </si>
  <si>
    <t>Movement in reserves</t>
  </si>
  <si>
    <t>Working capital changes:</t>
  </si>
  <si>
    <t>(Increase) / Decrease in trade and other receivables</t>
  </si>
  <si>
    <t>(Increase) / Decrease in inventories</t>
  </si>
  <si>
    <t>Inventories</t>
  </si>
  <si>
    <t>(Increase) / Decrease in Prepayments</t>
  </si>
  <si>
    <t>Increase / (Decrease) in trade and other payables</t>
  </si>
  <si>
    <t>Cash generated from operations</t>
  </si>
  <si>
    <t>Income taxes paid</t>
  </si>
  <si>
    <t>NET CASH FROM OPERATING ACTIVITIES</t>
  </si>
  <si>
    <t>CASH FLOWS FROM INVESTING ACTIVITIES</t>
  </si>
  <si>
    <t>Business acquisitions, net of cash acquired</t>
  </si>
  <si>
    <t>Proceeds from sale of equipment</t>
  </si>
  <si>
    <t>Proceeds from sale of intagibles</t>
  </si>
  <si>
    <t>Acquisition of investments</t>
  </si>
  <si>
    <t>NET CASH USED IN INVESTING ACTIVITIES</t>
  </si>
  <si>
    <t>CASH FLOWS FROM FINANCING ACTIVITIES</t>
  </si>
  <si>
    <t>Proceeds from issue of share capital</t>
  </si>
  <si>
    <t>Proceeds from short-term borrowings</t>
  </si>
  <si>
    <t>Payment of short-term borrowings</t>
  </si>
  <si>
    <t>short-term borrowings payments</t>
  </si>
  <si>
    <t>Proceeds from long-term borrowings</t>
  </si>
  <si>
    <t>Payment of long-term borrowings</t>
  </si>
  <si>
    <t>Long-term borrowings payments</t>
  </si>
  <si>
    <t>NET CASH USED IN FINANCING ACTIVITIES</t>
  </si>
  <si>
    <t>Net increase in cash and cash equivalents</t>
  </si>
  <si>
    <t>Caja General</t>
  </si>
  <si>
    <t>Bancos</t>
  </si>
  <si>
    <t>Cash and cash equivalents at beginning of period</t>
  </si>
  <si>
    <t>Cash and cash equivalents at end of period</t>
  </si>
  <si>
    <t>Difference  at Balance Sheet</t>
  </si>
  <si>
    <t>Medical insurance</t>
  </si>
  <si>
    <t>DESCRIPCION</t>
  </si>
  <si>
    <t>CENTRO</t>
  </si>
  <si>
    <t>2022/01/07</t>
  </si>
  <si>
    <t>FC  00000096</t>
  </si>
  <si>
    <t>IVA DESCONTABLE COMPRAS 19%. Tasa 19.00%. Base 680</t>
  </si>
  <si>
    <t>5677</t>
  </si>
  <si>
    <t>AUT MEDELLIN KM 3 5 VIA SIBERIA COTA CENTRO EMPRESARIA METRO</t>
  </si>
  <si>
    <t>8966088</t>
  </si>
  <si>
    <t>2022/01/04</t>
  </si>
  <si>
    <t>FC  00000099</t>
  </si>
  <si>
    <t>IVA DESCONTABLE COMPRAS 19%. Tasa 19.00%. Base 4,2</t>
  </si>
  <si>
    <t>683322</t>
  </si>
  <si>
    <t>TIENDAS ARA JERONIMO MARTINS COLOMBIA S.A.S.</t>
  </si>
  <si>
    <t>CAR 10 15 54</t>
  </si>
  <si>
    <t>FC  00000101</t>
  </si>
  <si>
    <t>IVA DESCONTABLE SERVICIOS 19%. Tasa 19.00%. Base 2</t>
  </si>
  <si>
    <t>FC  00000102</t>
  </si>
  <si>
    <t>IVA DESCONTABLE COMPRAS 19%. Tasa 19.00%. Base 22,</t>
  </si>
  <si>
    <t>2932</t>
  </si>
  <si>
    <t>ASEO EMMANUEL S.A.S.</t>
  </si>
  <si>
    <t>CR 10 15 16</t>
  </si>
  <si>
    <t>IVA DESCONTABLE COMPRAS 19%. Tasa 19.00%. Base 9,6</t>
  </si>
  <si>
    <t>IVA DESCONTABLE COMPRAS 5%. Tasa 5.00%. Base 38,57</t>
  </si>
  <si>
    <t>2022/01/11</t>
  </si>
  <si>
    <t>FC  00000103</t>
  </si>
  <si>
    <t>IVA DESCONTABLE COMPRAS 19%. Tasa 19.00%. Base 45,</t>
  </si>
  <si>
    <t>2979</t>
  </si>
  <si>
    <t>IVA DESCONTABLE COMPRAS 5%. Tasa 5.00%. Base 42,09</t>
  </si>
  <si>
    <t>FC  00000104</t>
  </si>
  <si>
    <t>IVA DESCONTABLE COMPRAS 19%. Tasa 19.00%. Base 248</t>
  </si>
  <si>
    <t>4343 173836</t>
  </si>
  <si>
    <t>2022/01/19</t>
  </si>
  <si>
    <t>FC  00000111</t>
  </si>
  <si>
    <t>IVA DESCONTABLE COMPRAS 5%. Tasa 5.00%. Base 9,571</t>
  </si>
  <si>
    <t>4341 691756</t>
  </si>
  <si>
    <t>2022/01/22</t>
  </si>
  <si>
    <t>FC  00000116</t>
  </si>
  <si>
    <t>IVA DESCONTABLE COMPRAS 19%. Tasa 19.00%. Base 7,3</t>
  </si>
  <si>
    <t>3107</t>
  </si>
  <si>
    <t>2022/01/31</t>
  </si>
  <si>
    <t>BNC 00000002</t>
  </si>
  <si>
    <t>00000002</t>
  </si>
  <si>
    <t>IVA DESCONTABLE SERVICIOS 19%. Tasa 19.00%. Base 6</t>
  </si>
  <si>
    <t>COMISION ACH</t>
  </si>
  <si>
    <t>COMISION PAGOS POR SUCURSAL VIRTUAL</t>
  </si>
  <si>
    <t>2022/02/01</t>
  </si>
  <si>
    <t>FC  00000121</t>
  </si>
  <si>
    <t>IVA DESCONTABLE SERVICIOS 19%. Tasa 19.00%. Base 4</t>
  </si>
  <si>
    <t>765741</t>
  </si>
  <si>
    <t>MAPFRE SEGUROS GENERALES DE COLOMBIA S.A.</t>
  </si>
  <si>
    <t>2022/03/02</t>
  </si>
  <si>
    <t>FC  00000148</t>
  </si>
  <si>
    <t>00000148</t>
  </si>
  <si>
    <t>PAPEL HIGIENICO</t>
  </si>
  <si>
    <t>2022/03/08</t>
  </si>
  <si>
    <t>FC  00000149</t>
  </si>
  <si>
    <t>00000149</t>
  </si>
  <si>
    <t>IVA DESCONTABLE ESTUCHES</t>
  </si>
  <si>
    <t>PANAMERICANA LIBRERIA Y PAPELERIA S.A.</t>
  </si>
  <si>
    <t>CALLE 12 #34 - 30</t>
  </si>
  <si>
    <t>3649000</t>
  </si>
  <si>
    <t>FC  00000150</t>
  </si>
  <si>
    <t>00000150</t>
  </si>
  <si>
    <t>IVA DESCONTABLE HORAS (4) IMPLEMENTACION</t>
  </si>
  <si>
    <t>152924</t>
  </si>
  <si>
    <t>2022/03/10</t>
  </si>
  <si>
    <t>FC  00000152</t>
  </si>
  <si>
    <t>00000152</t>
  </si>
  <si>
    <t>IVA DESCONTABLE ALQUILER SERVIDOR TIPO APPLIANCE</t>
  </si>
  <si>
    <t>150</t>
  </si>
  <si>
    <t>TECYOC SAS</t>
  </si>
  <si>
    <t>TV 1B BIS 77 22 IN.2</t>
  </si>
  <si>
    <t>FC  00000153</t>
  </si>
  <si>
    <t>00000153</t>
  </si>
  <si>
    <t>ARRIENDO MARZO 2022</t>
  </si>
  <si>
    <t>1054</t>
  </si>
  <si>
    <t>2022/06/02</t>
  </si>
  <si>
    <t>FC  00000237</t>
  </si>
  <si>
    <t>00000237</t>
  </si>
  <si>
    <t>MARCADORES SECOS X6 COLORES</t>
  </si>
  <si>
    <t>19E-6322</t>
  </si>
  <si>
    <t>2022/06/07</t>
  </si>
  <si>
    <t>FC  00000238</t>
  </si>
  <si>
    <t>00000238</t>
  </si>
  <si>
    <t>FVE-8127</t>
  </si>
  <si>
    <t>2022/02/02</t>
  </si>
  <si>
    <t>FC  00000125</t>
  </si>
  <si>
    <t>PAPEL GEL JABON</t>
  </si>
  <si>
    <t>3243</t>
  </si>
  <si>
    <t>IVA CAFE AZUCAR</t>
  </si>
  <si>
    <t>IVA INSTACREAM</t>
  </si>
  <si>
    <t>2022/02/07</t>
  </si>
  <si>
    <t>FC  00000126</t>
  </si>
  <si>
    <t>IVA DIADEMAS (CINCO)</t>
  </si>
  <si>
    <t>FC  00000156</t>
  </si>
  <si>
    <t>00000156</t>
  </si>
  <si>
    <t>DIADEMAS PUESTOS DE TRABAJO</t>
  </si>
  <si>
    <t>1119</t>
  </si>
  <si>
    <t>CR 15 79 35 LC 1</t>
  </si>
  <si>
    <t>7507740</t>
  </si>
  <si>
    <t>2022/02/09</t>
  </si>
  <si>
    <t>FC  00000128</t>
  </si>
  <si>
    <t>IVA RESMA Y CARPETAS DE ARCHIVO</t>
  </si>
  <si>
    <t>2022/02/11</t>
  </si>
  <si>
    <t>FC  00000130</t>
  </si>
  <si>
    <t>IVA PAPEL HIG</t>
  </si>
  <si>
    <t>FC  00000132</t>
  </si>
  <si>
    <t>6980</t>
  </si>
  <si>
    <t>FC  00000133</t>
  </si>
  <si>
    <t>6981</t>
  </si>
  <si>
    <t>2022/02/14</t>
  </si>
  <si>
    <t>FC  00000135</t>
  </si>
  <si>
    <t>IVA LAVALOZA</t>
  </si>
  <si>
    <t>KOBA COLOMBIA S.A.S. TIENDAS D1</t>
  </si>
  <si>
    <t>CR 7 155C 30 ED NOTRH POINT TORRE E PISO 37 Y 38</t>
  </si>
  <si>
    <t>018000120201</t>
  </si>
  <si>
    <t>2022/02/15</t>
  </si>
  <si>
    <t>FC  00000136</t>
  </si>
  <si>
    <t>IVA CAFE</t>
  </si>
  <si>
    <t>3434</t>
  </si>
  <si>
    <t>FC  00000137</t>
  </si>
  <si>
    <t>IVA DESCONTABLE BOLSAS BASURA</t>
  </si>
  <si>
    <t>2022/02/17</t>
  </si>
  <si>
    <t>FC  00000139</t>
  </si>
  <si>
    <t>00000139</t>
  </si>
  <si>
    <t>IVA DESCONTABLE INSTACREAM</t>
  </si>
  <si>
    <t>2022/02/18</t>
  </si>
  <si>
    <t>FC  00000140</t>
  </si>
  <si>
    <t>00000140</t>
  </si>
  <si>
    <t>IVA DESCONTABLE PAPEL HIGIENICO Y SERVILLETAS</t>
  </si>
  <si>
    <t>3475</t>
  </si>
  <si>
    <t>IVA DESCONTABLE CAFE Y AZUCAR</t>
  </si>
  <si>
    <t>2022/02/21</t>
  </si>
  <si>
    <t>FC  00000141</t>
  </si>
  <si>
    <t>00000141</t>
  </si>
  <si>
    <t>290531716</t>
  </si>
  <si>
    <t>2022/02/28</t>
  </si>
  <si>
    <t>BNC 00000003</t>
  </si>
  <si>
    <t>00000003</t>
  </si>
  <si>
    <t>FC  00000147</t>
  </si>
  <si>
    <t>00000147</t>
  </si>
  <si>
    <t>IVA DESCONTABLE COMPRAS 19%. Tasa 19.00%. Base 21,</t>
  </si>
  <si>
    <t>3601</t>
  </si>
  <si>
    <t>2022/03/25</t>
  </si>
  <si>
    <t>FC  00000160</t>
  </si>
  <si>
    <t>00000160</t>
  </si>
  <si>
    <t>7253</t>
  </si>
  <si>
    <t>FC  00000161</t>
  </si>
  <si>
    <t>00000161</t>
  </si>
  <si>
    <t>PAPAEL HIGIENICO IVA</t>
  </si>
  <si>
    <t>3828</t>
  </si>
  <si>
    <t>FC  00000162</t>
  </si>
  <si>
    <t>00000162</t>
  </si>
  <si>
    <t>PAPAEL HIGIENICO</t>
  </si>
  <si>
    <t>3831</t>
  </si>
  <si>
    <t>2022/03/18</t>
  </si>
  <si>
    <t>FC  00000157</t>
  </si>
  <si>
    <t>00000157</t>
  </si>
  <si>
    <t>003-290575911</t>
  </si>
  <si>
    <t>2022/03/31</t>
  </si>
  <si>
    <t>BNC 00000004</t>
  </si>
  <si>
    <t>00000004</t>
  </si>
  <si>
    <t>IVA COMISION PAGOS ACH Y PROVEEDORES</t>
  </si>
  <si>
    <t>FC  00000163</t>
  </si>
  <si>
    <t>00000163</t>
  </si>
  <si>
    <t>BOLIGRAFO Y BASE REFRIGETRANTE</t>
  </si>
  <si>
    <t>19E-527</t>
  </si>
  <si>
    <t>2022/03/29</t>
  </si>
  <si>
    <t>FC  00000164</t>
  </si>
  <si>
    <t>00000164</t>
  </si>
  <si>
    <t>CAFE Y AZUCAR</t>
  </si>
  <si>
    <t>3968</t>
  </si>
  <si>
    <t>2022/04/04</t>
  </si>
  <si>
    <t>FC  00000170</t>
  </si>
  <si>
    <t>00000170</t>
  </si>
  <si>
    <t>ASEO UN OPERARIO ABRIL 2022</t>
  </si>
  <si>
    <t>1596678</t>
  </si>
  <si>
    <t>2022/04/05</t>
  </si>
  <si>
    <t>FC  00000171</t>
  </si>
  <si>
    <t>00000171</t>
  </si>
  <si>
    <t>ARRIENDO ABR 2022</t>
  </si>
  <si>
    <t>IB-1061</t>
  </si>
  <si>
    <t>2022/04/07</t>
  </si>
  <si>
    <t>FC  00000174</t>
  </si>
  <si>
    <t>00000174</t>
  </si>
  <si>
    <t>CABLE, CONECTORES, SWITCHES</t>
  </si>
  <si>
    <t>2685</t>
  </si>
  <si>
    <t>MARIEN JULIETEH DIAZ REY</t>
  </si>
  <si>
    <t>CR 9 #19 - 70</t>
  </si>
  <si>
    <t>3001014</t>
  </si>
  <si>
    <t>FC  00000175</t>
  </si>
  <si>
    <t>00000175</t>
  </si>
  <si>
    <t>CAFE SELLO ROJO</t>
  </si>
  <si>
    <t>4105</t>
  </si>
  <si>
    <t>2022/04/09</t>
  </si>
  <si>
    <t>FC  00000176</t>
  </si>
  <si>
    <t>00000176</t>
  </si>
  <si>
    <t>PAPEL, BOLSAS, JABON, ESPONJAS</t>
  </si>
  <si>
    <t>4146</t>
  </si>
  <si>
    <t>CAFE</t>
  </si>
  <si>
    <t>2022/04/18</t>
  </si>
  <si>
    <t>FC  00000177</t>
  </si>
  <si>
    <t>00000177</t>
  </si>
  <si>
    <t>7559</t>
  </si>
  <si>
    <t>2022/04/20</t>
  </si>
  <si>
    <t>FC  00000178</t>
  </si>
  <si>
    <t>00000178</t>
  </si>
  <si>
    <t>JABONES Y ELEMENTOS DE ASEO</t>
  </si>
  <si>
    <t>4244</t>
  </si>
  <si>
    <t>FC  00000180</t>
  </si>
  <si>
    <t>00000180</t>
  </si>
  <si>
    <t>CANALETA PONCHADORA Y OTROS</t>
  </si>
  <si>
    <t>18951</t>
  </si>
  <si>
    <t>CALLE 17 10 - 28</t>
  </si>
  <si>
    <t>7470584</t>
  </si>
  <si>
    <t>2022/04/21</t>
  </si>
  <si>
    <t>FC  00000182</t>
  </si>
  <si>
    <t>00000182</t>
  </si>
  <si>
    <t>PLAN BASICO CONSUMO MENSUAL</t>
  </si>
  <si>
    <t>290620104</t>
  </si>
  <si>
    <t>2022/04/01</t>
  </si>
  <si>
    <t>FC  00000183</t>
  </si>
  <si>
    <t>00000183</t>
  </si>
  <si>
    <t>PAPEL HIGIENICO 250M DOBLE HOJA</t>
  </si>
  <si>
    <t>FE1-1407</t>
  </si>
  <si>
    <t>GONZALO MENDEZ FLORIAN</t>
  </si>
  <si>
    <t>CALLE 15 #9 - 59</t>
  </si>
  <si>
    <t>3416914</t>
  </si>
  <si>
    <t>2022/04/30</t>
  </si>
  <si>
    <t>CC  00000032</t>
  </si>
  <si>
    <t>00000032</t>
  </si>
  <si>
    <t>2022/05/02</t>
  </si>
  <si>
    <t>FC  00000200</t>
  </si>
  <si>
    <t>00000200</t>
  </si>
  <si>
    <t>AZUCAR</t>
  </si>
  <si>
    <t>AECE-4352</t>
  </si>
  <si>
    <t>2022/06/14</t>
  </si>
  <si>
    <t>FC  00000243</t>
  </si>
  <si>
    <t>00000243</t>
  </si>
  <si>
    <t>PAPEL CARTA, ADHESIVOS Y OTROS</t>
  </si>
  <si>
    <t>19E-6540</t>
  </si>
  <si>
    <t>2022/05/09</t>
  </si>
  <si>
    <t>CC  00000036</t>
  </si>
  <si>
    <t>ARRIENDO MAYO 2022</t>
  </si>
  <si>
    <t>FC  00000218</t>
  </si>
  <si>
    <t>00000218</t>
  </si>
  <si>
    <t>INTERNET CARGO MAYO</t>
  </si>
  <si>
    <t>INTERNET CONEXION MAYO</t>
  </si>
  <si>
    <t>FC  00000219</t>
  </si>
  <si>
    <t>00000219</t>
  </si>
  <si>
    <t>CARGO MARZO 2022</t>
  </si>
  <si>
    <t>CARGO FEBRERO 2022</t>
  </si>
  <si>
    <t>2022/05/10</t>
  </si>
  <si>
    <t>FC  00000225</t>
  </si>
  <si>
    <t>00000225</t>
  </si>
  <si>
    <t>UN OPERARIO ASEO</t>
  </si>
  <si>
    <t>1601166</t>
  </si>
  <si>
    <t>FC  00000226</t>
  </si>
  <si>
    <t>00000226</t>
  </si>
  <si>
    <t>ALQUILER DISPENSADOR DE AGUA</t>
  </si>
  <si>
    <t>FVE-7835</t>
  </si>
  <si>
    <t>2022/05/11</t>
  </si>
  <si>
    <t>FC  00000229</t>
  </si>
  <si>
    <t>00000229</t>
  </si>
  <si>
    <t>CARGO MENSUAL INTERNET</t>
  </si>
  <si>
    <t>003-290666844</t>
  </si>
  <si>
    <t>2022/05/17</t>
  </si>
  <si>
    <t>FC  00000231</t>
  </si>
  <si>
    <t>00000231</t>
  </si>
  <si>
    <t>PAPEL HIGIENICO, LIMPIADORES Y OTROS</t>
  </si>
  <si>
    <t>IB-76438</t>
  </si>
  <si>
    <t>CAFE AZUCAR</t>
  </si>
  <si>
    <t>2022/05/31</t>
  </si>
  <si>
    <t>BNC 00000005</t>
  </si>
  <si>
    <t>00000005</t>
  </si>
  <si>
    <t>2022/06/08</t>
  </si>
  <si>
    <t>FC  00000240</t>
  </si>
  <si>
    <t>00000240</t>
  </si>
  <si>
    <t>OPERARIO DE ASEO 48 HORAS SEMANALES</t>
  </si>
  <si>
    <t>1605062</t>
  </si>
  <si>
    <t>2022/06/16</t>
  </si>
  <si>
    <t>FC  00000248</t>
  </si>
  <si>
    <t>00000248</t>
  </si>
  <si>
    <t>COMISION TARJETAS SODEXHO DOTACION</t>
  </si>
  <si>
    <t>VCE-466721</t>
  </si>
  <si>
    <t>SODEXHO SERVICIOS DE BENEFICIOS DE INCENTIVOS COLOMBIA SAS</t>
  </si>
  <si>
    <t>AUTOPISTA NORTE # 114 - 44 PISO 4</t>
  </si>
  <si>
    <t>7431010</t>
  </si>
  <si>
    <t>2022/06/21</t>
  </si>
  <si>
    <t>FC  00000249</t>
  </si>
  <si>
    <t>00000249</t>
  </si>
  <si>
    <t>IB-76911</t>
  </si>
  <si>
    <t>ALCOHOL</t>
  </si>
  <si>
    <t>AROMATICAS</t>
  </si>
  <si>
    <t>BOLSA NEGRA</t>
  </si>
  <si>
    <t>BOLSA BLANCA</t>
  </si>
  <si>
    <t>BLANQUEDOR</t>
  </si>
  <si>
    <t>DESENGRASANTE</t>
  </si>
  <si>
    <t>ESTROPAJO</t>
  </si>
  <si>
    <t>JABON ESPUMA</t>
  </si>
  <si>
    <t>LIMPIADOR</t>
  </si>
  <si>
    <t>GUANTE NEGRO</t>
  </si>
  <si>
    <t>JABON EN POLVO</t>
  </si>
  <si>
    <t>LIMPIAVIDRIOS</t>
  </si>
  <si>
    <t>LIMPION ESTAMPADO</t>
  </si>
  <si>
    <t>LUSTRAMUEBLES</t>
  </si>
  <si>
    <t>BRILLADOR</t>
  </si>
  <si>
    <t>RECOGEDOR</t>
  </si>
  <si>
    <t>PALO NEGRO</t>
  </si>
  <si>
    <t>MECHA COPA</t>
  </si>
  <si>
    <t>PALO MADERA</t>
  </si>
  <si>
    <t>LAVALOZA</t>
  </si>
  <si>
    <t>JABON LIQUIDO MANOS</t>
  </si>
  <si>
    <t>FC  00000250</t>
  </si>
  <si>
    <t>00000250</t>
  </si>
  <si>
    <t>E-55806614667</t>
  </si>
  <si>
    <t>FC  00000252</t>
  </si>
  <si>
    <t>00000252</t>
  </si>
  <si>
    <t>ARRIENDO MENSUAL AJUSTE</t>
  </si>
  <si>
    <t>IB-1073</t>
  </si>
  <si>
    <t>2022/06/22</t>
  </si>
  <si>
    <t>FC  00000253</t>
  </si>
  <si>
    <t>00000253</t>
  </si>
  <si>
    <t>ARCHIVADOR, PERFORADORAS Y OTROS</t>
  </si>
  <si>
    <t>19E-6770</t>
  </si>
  <si>
    <t>FC  00000254</t>
  </si>
  <si>
    <t>00000254</t>
  </si>
  <si>
    <t>003-290710365</t>
  </si>
  <si>
    <t>2022/06/30</t>
  </si>
  <si>
    <t>FC  00000255</t>
  </si>
  <si>
    <t>00000255</t>
  </si>
  <si>
    <t>ADICION A POLIZA GENERAL</t>
  </si>
  <si>
    <t>3420222000029</t>
  </si>
  <si>
    <t>FC  00000256</t>
  </si>
  <si>
    <t>00000256</t>
  </si>
  <si>
    <t>BNC 00000006</t>
  </si>
  <si>
    <t>00000006</t>
  </si>
  <si>
    <t>FC  00000257</t>
  </si>
  <si>
    <t>00000257</t>
  </si>
  <si>
    <t>32573</t>
  </si>
  <si>
    <t>CC  00000043</t>
  </si>
  <si>
    <t>ARRIENDO JUNIO 2022</t>
  </si>
  <si>
    <t>2022/07/06</t>
  </si>
  <si>
    <t>FC  00000261</t>
  </si>
  <si>
    <t>00000261</t>
  </si>
  <si>
    <t>1608451</t>
  </si>
  <si>
    <t>2022/07/08</t>
  </si>
  <si>
    <t>FC  00000262</t>
  </si>
  <si>
    <t>00000262</t>
  </si>
  <si>
    <t>GUANTE NEGRO Y VASO ICOPOR</t>
  </si>
  <si>
    <t>AECE-5291</t>
  </si>
  <si>
    <t>FC  00000263</t>
  </si>
  <si>
    <t>00000263</t>
  </si>
  <si>
    <t>FVE-8445</t>
  </si>
  <si>
    <t>2022/07/09</t>
  </si>
  <si>
    <t>FC  00000264</t>
  </si>
  <si>
    <t>00000264</t>
  </si>
  <si>
    <t>BOLSA DE MINUTOS</t>
  </si>
  <si>
    <t>1003905</t>
  </si>
  <si>
    <t>COLOMBIARED TELEFONIA IP SAS</t>
  </si>
  <si>
    <t>CR 5A # 64 65 C.C.ARKACENTRO LOC.e 2A 01</t>
  </si>
  <si>
    <t>IBAGUÉ</t>
  </si>
  <si>
    <t>FC  00000265</t>
  </si>
  <si>
    <t>00000265</t>
  </si>
  <si>
    <t>ARRIENDO JUL 2022</t>
  </si>
  <si>
    <t>IB-1074</t>
  </si>
  <si>
    <t>FC  00000266</t>
  </si>
  <si>
    <t>00000266</t>
  </si>
  <si>
    <t>ARRIENDO AGT 2022</t>
  </si>
  <si>
    <t>IB-1075</t>
  </si>
  <si>
    <t>FC  00000267</t>
  </si>
  <si>
    <t>00000267</t>
  </si>
  <si>
    <t>ARRIENDO SEPT 2022</t>
  </si>
  <si>
    <t>IB-1076</t>
  </si>
  <si>
    <t>FC  00000268</t>
  </si>
  <si>
    <t>00000268</t>
  </si>
  <si>
    <t>ARRIENDO OCT 2022</t>
  </si>
  <si>
    <t>IB-1077</t>
  </si>
  <si>
    <t>2022/07/11</t>
  </si>
  <si>
    <t>FC  00000269</t>
  </si>
  <si>
    <t>00000269</t>
  </si>
  <si>
    <t>003-290754800</t>
  </si>
  <si>
    <t>FC  00000270</t>
  </si>
  <si>
    <t>00000270</t>
  </si>
  <si>
    <t>E-5590129781</t>
  </si>
  <si>
    <t>FC  00000271</t>
  </si>
  <si>
    <t>00000271</t>
  </si>
  <si>
    <t>186716775 202205</t>
  </si>
  <si>
    <t>FC  00000272</t>
  </si>
  <si>
    <t>00000272</t>
  </si>
  <si>
    <t>18716775 202206</t>
  </si>
  <si>
    <t>2022/07/19</t>
  </si>
  <si>
    <t>FC  00000276</t>
  </si>
  <si>
    <t>00000276</t>
  </si>
  <si>
    <t>19E-7202</t>
  </si>
  <si>
    <t>2022/07/31</t>
  </si>
  <si>
    <t>BNC 00000008</t>
  </si>
  <si>
    <t>00000008</t>
  </si>
  <si>
    <t>2022/07/21</t>
  </si>
  <si>
    <t>FC  00000278</t>
  </si>
  <si>
    <t>00000278</t>
  </si>
  <si>
    <t>ELEMENTOS ASEO JUL 2022</t>
  </si>
  <si>
    <t>IB-77366</t>
  </si>
  <si>
    <t>2022/08/01</t>
  </si>
  <si>
    <t>FC  00000279</t>
  </si>
  <si>
    <t>00000279</t>
  </si>
  <si>
    <t>VASOS DESECHABLES</t>
  </si>
  <si>
    <t>AECE-5538</t>
  </si>
  <si>
    <t>FC  00000281</t>
  </si>
  <si>
    <t>00000281</t>
  </si>
  <si>
    <t>GUANTES</t>
  </si>
  <si>
    <t>AECE-5583</t>
  </si>
  <si>
    <t>2022/08/05</t>
  </si>
  <si>
    <t>FC  00000282</t>
  </si>
  <si>
    <t>00000282</t>
  </si>
  <si>
    <t>AZUCAR Y AROMATICAS</t>
  </si>
  <si>
    <t>AECE-5681</t>
  </si>
  <si>
    <t>MEZCLADORES</t>
  </si>
  <si>
    <t>FC  00000283</t>
  </si>
  <si>
    <t>00000283</t>
  </si>
  <si>
    <t>1612415</t>
  </si>
  <si>
    <t>FC  00000284</t>
  </si>
  <si>
    <t>00000284</t>
  </si>
  <si>
    <t>FVE-8744</t>
  </si>
  <si>
    <t>2022/08/06</t>
  </si>
  <si>
    <t>FC  00000286</t>
  </si>
  <si>
    <t>00000286</t>
  </si>
  <si>
    <t>MARCADORES</t>
  </si>
  <si>
    <t>19E-7545</t>
  </si>
  <si>
    <t>2022/08/10</t>
  </si>
  <si>
    <t>FC  00000287</t>
  </si>
  <si>
    <t>00000287</t>
  </si>
  <si>
    <t>ADECUACIONES OFICINA</t>
  </si>
  <si>
    <t>20064</t>
  </si>
  <si>
    <t>RFID TECNOLOGIA SAS</t>
  </si>
  <si>
    <t>CR 50 106 22</t>
  </si>
  <si>
    <t>2361201</t>
  </si>
  <si>
    <t>FC  00000288</t>
  </si>
  <si>
    <t>00000288</t>
  </si>
  <si>
    <t>ENROLADOR TARJETA</t>
  </si>
  <si>
    <t>20065</t>
  </si>
  <si>
    <t>2022/08/12</t>
  </si>
  <si>
    <t>FC  00000290</t>
  </si>
  <si>
    <t>00000290</t>
  </si>
  <si>
    <t>003-290799729</t>
  </si>
  <si>
    <t>2022/08/08</t>
  </si>
  <si>
    <t>FC  00000291</t>
  </si>
  <si>
    <t>00000291</t>
  </si>
  <si>
    <t>1145</t>
  </si>
  <si>
    <t>2022/08/16</t>
  </si>
  <si>
    <t>FC  00000292</t>
  </si>
  <si>
    <t>00000292</t>
  </si>
  <si>
    <t>PORTAL RECIBE FACTURAS</t>
  </si>
  <si>
    <t>EBOG-1746237</t>
  </si>
  <si>
    <t>2022/08/26</t>
  </si>
  <si>
    <t>FC  00000293</t>
  </si>
  <si>
    <t>00000293</t>
  </si>
  <si>
    <t>1159</t>
  </si>
  <si>
    <t>FC  00000294</t>
  </si>
  <si>
    <t>00000294</t>
  </si>
  <si>
    <t>MARCADORES Y OTROS</t>
  </si>
  <si>
    <t>19E-7992</t>
  </si>
  <si>
    <t>2022/08/07</t>
  </si>
  <si>
    <t>FC  00000295</t>
  </si>
  <si>
    <t>00000295</t>
  </si>
  <si>
    <t>PAPELERA Y JARRA</t>
  </si>
  <si>
    <t>DC-166</t>
  </si>
  <si>
    <t>DISTRIBUIDORA LA CORONA 11 SAS</t>
  </si>
  <si>
    <t>CR 13 #15 - 68</t>
  </si>
  <si>
    <t>FC  00000303</t>
  </si>
  <si>
    <t>00000303</t>
  </si>
  <si>
    <t>DOTACION ASEO Y CAFETERIA</t>
  </si>
  <si>
    <t>IB-80255</t>
  </si>
  <si>
    <t>2022/08/18</t>
  </si>
  <si>
    <t>FC  00000304</t>
  </si>
  <si>
    <t>00000304</t>
  </si>
  <si>
    <t>19E-7759</t>
  </si>
  <si>
    <t>2022/08/02</t>
  </si>
  <si>
    <t>FC  00000307</t>
  </si>
  <si>
    <t>00000307</t>
  </si>
  <si>
    <t>2022/08/31</t>
  </si>
  <si>
    <t>BNC 00000009</t>
  </si>
  <si>
    <t>00000009</t>
  </si>
  <si>
    <t>2022/09/05</t>
  </si>
  <si>
    <t>FC  00000309</t>
  </si>
  <si>
    <t>00000309</t>
  </si>
  <si>
    <t>2022/09/06</t>
  </si>
  <si>
    <t>FC  00000310</t>
  </si>
  <si>
    <t>00000310</t>
  </si>
  <si>
    <t>IB-80738</t>
  </si>
  <si>
    <t>2022/09/07</t>
  </si>
  <si>
    <t>FC  00000312</t>
  </si>
  <si>
    <t>00000312</t>
  </si>
  <si>
    <t xml:space="preserve">   -1616329</t>
  </si>
  <si>
    <t>2022/09/12</t>
  </si>
  <si>
    <t>FC  00000315</t>
  </si>
  <si>
    <t>00000315</t>
  </si>
  <si>
    <t>003-290844469</t>
  </si>
  <si>
    <t>FC  00000317</t>
  </si>
  <si>
    <t>00000317</t>
  </si>
  <si>
    <t>2022/09/13</t>
  </si>
  <si>
    <t>FC  00000319</t>
  </si>
  <si>
    <t>00000319</t>
  </si>
  <si>
    <t>FVE-8987</t>
  </si>
  <si>
    <t>2022/09/16</t>
  </si>
  <si>
    <t>FC  00000320</t>
  </si>
  <si>
    <t>00000320</t>
  </si>
  <si>
    <t>EXTINTORES Y BOTIQUIN</t>
  </si>
  <si>
    <t>FVE-888</t>
  </si>
  <si>
    <t>EXTINTORES ORIENTAL LTDA</t>
  </si>
  <si>
    <t>CR 69M # 66 - 53</t>
  </si>
  <si>
    <t>6302876</t>
  </si>
  <si>
    <t>2022/09/28</t>
  </si>
  <si>
    <t>FC  00000322</t>
  </si>
  <si>
    <t>00000322</t>
  </si>
  <si>
    <t>RENOVACION DOMINIO COSERVICES</t>
  </si>
  <si>
    <t>FEL-105693</t>
  </si>
  <si>
    <t>2022/09/30</t>
  </si>
  <si>
    <t>BNC 00000010</t>
  </si>
  <si>
    <t>00000010</t>
  </si>
  <si>
    <t>2022/09/26</t>
  </si>
  <si>
    <t>FC  00000323</t>
  </si>
  <si>
    <t>00000323</t>
  </si>
  <si>
    <t>2022/10/06</t>
  </si>
  <si>
    <t>FC  00000326</t>
  </si>
  <si>
    <t>00000326</t>
  </si>
  <si>
    <t>169927</t>
  </si>
  <si>
    <t>2022/10/10</t>
  </si>
  <si>
    <t>FC  00000328</t>
  </si>
  <si>
    <t>00000328</t>
  </si>
  <si>
    <t>PAQUETE 5 OFERTAS</t>
  </si>
  <si>
    <t>SICO22-C04966</t>
  </si>
  <si>
    <t>DGNET</t>
  </si>
  <si>
    <t>64A CUMBERLAND STREET</t>
  </si>
  <si>
    <t>2022/10/13</t>
  </si>
  <si>
    <t>FC  00000329</t>
  </si>
  <si>
    <t>00000329</t>
  </si>
  <si>
    <t>IB-81281</t>
  </si>
  <si>
    <t>2022/10/12</t>
  </si>
  <si>
    <t>FC  00000330</t>
  </si>
  <si>
    <t>00000330</t>
  </si>
  <si>
    <t>FEV-9326</t>
  </si>
  <si>
    <t>2022/10/14</t>
  </si>
  <si>
    <t>FC  00000331</t>
  </si>
  <si>
    <t>00000331</t>
  </si>
  <si>
    <t>202210</t>
  </si>
  <si>
    <t>FC  00000332</t>
  </si>
  <si>
    <t>00000332</t>
  </si>
  <si>
    <t>003 - 290889585</t>
  </si>
  <si>
    <t>2022/10/31</t>
  </si>
  <si>
    <t>BNC 00000011</t>
  </si>
  <si>
    <t>00000011</t>
  </si>
  <si>
    <t>2022/11/04</t>
  </si>
  <si>
    <t>FC  00000335</t>
  </si>
  <si>
    <t>00000335</t>
  </si>
  <si>
    <t>FVE-9672</t>
  </si>
  <si>
    <t>FC  00000337</t>
  </si>
  <si>
    <t>00000337</t>
  </si>
  <si>
    <t>2022/11/08</t>
  </si>
  <si>
    <t>FC  00000339</t>
  </si>
  <si>
    <t>00000339</t>
  </si>
  <si>
    <t>FEV-1624166</t>
  </si>
  <si>
    <t>FC  00000341</t>
  </si>
  <si>
    <t>00000341</t>
  </si>
  <si>
    <t>003-290937965</t>
  </si>
  <si>
    <t>FC  00000342</t>
  </si>
  <si>
    <t>00000342</t>
  </si>
  <si>
    <t>E-5628820698</t>
  </si>
  <si>
    <t>FC  00000343</t>
  </si>
  <si>
    <t>00000343</t>
  </si>
  <si>
    <t>EB-308611398</t>
  </si>
  <si>
    <t>2022/11/17</t>
  </si>
  <si>
    <t>FC  00000344</t>
  </si>
  <si>
    <t>00000344</t>
  </si>
  <si>
    <t>AECE-6991</t>
  </si>
  <si>
    <t>2022/11/18</t>
  </si>
  <si>
    <t>FC  00000348</t>
  </si>
  <si>
    <t>00000348</t>
  </si>
  <si>
    <t>ARRIENDO NOV 2022</t>
  </si>
  <si>
    <t>IB-1101</t>
  </si>
  <si>
    <t>FC  00000349</t>
  </si>
  <si>
    <t>00000349</t>
  </si>
  <si>
    <t>PRODUCTOS DISPENSADOR</t>
  </si>
  <si>
    <t>FEMV-465</t>
  </si>
  <si>
    <t>MUNDO VENDING COLOMBIA SAS</t>
  </si>
  <si>
    <t>DG 47 77B 09 IN.1</t>
  </si>
  <si>
    <t>7448923</t>
  </si>
  <si>
    <t>2022/11/24</t>
  </si>
  <si>
    <t>FC  00000350</t>
  </si>
  <si>
    <t>00000350</t>
  </si>
  <si>
    <t>ALQUILER CARPAS</t>
  </si>
  <si>
    <t>PCAL-503</t>
  </si>
  <si>
    <t>PARASOLES CARPAS Y ALQUILERES LEON SAS</t>
  </si>
  <si>
    <t>CL 65A SUR 77 25</t>
  </si>
  <si>
    <t>2022/11/25</t>
  </si>
  <si>
    <t>FC  00000351</t>
  </si>
  <si>
    <t>00000351</t>
  </si>
  <si>
    <t>IB-81899</t>
  </si>
  <si>
    <t>2022/11/28</t>
  </si>
  <si>
    <t>FC  00000355</t>
  </si>
  <si>
    <t>00000355</t>
  </si>
  <si>
    <t>ESPUMA ACUSTICA PUESTOS DE TRABAJO</t>
  </si>
  <si>
    <t>FEV-146</t>
  </si>
  <si>
    <t>ACUSTI ESPUMAS SAS</t>
  </si>
  <si>
    <t>CR 69 79A 69</t>
  </si>
  <si>
    <t>2022/11/30</t>
  </si>
  <si>
    <t>BNC 00000012</t>
  </si>
  <si>
    <t>00000012</t>
  </si>
  <si>
    <t>2022/12/01</t>
  </si>
  <si>
    <t>FC  00000356</t>
  </si>
  <si>
    <t>00000356</t>
  </si>
  <si>
    <t>CONT-18716775</t>
  </si>
  <si>
    <t>2022/12/02</t>
  </si>
  <si>
    <t>FC  00000358</t>
  </si>
  <si>
    <t>00000358</t>
  </si>
  <si>
    <t>FEV-1627951</t>
  </si>
  <si>
    <t>FC  00000359</t>
  </si>
  <si>
    <t>00000359</t>
  </si>
  <si>
    <t>FVE-10057</t>
  </si>
  <si>
    <t>2022/12/07</t>
  </si>
  <si>
    <t>FC  00000362</t>
  </si>
  <si>
    <t>00000362</t>
  </si>
  <si>
    <t>E-5638235541</t>
  </si>
  <si>
    <t>FC  00000363</t>
  </si>
  <si>
    <t>00000363</t>
  </si>
  <si>
    <t>003-290979005</t>
  </si>
  <si>
    <t>2022/12/12</t>
  </si>
  <si>
    <t>FC  00000364</t>
  </si>
  <si>
    <t>00000364</t>
  </si>
  <si>
    <t>IB-1103</t>
  </si>
  <si>
    <t>2022/12/14</t>
  </si>
  <si>
    <t>FC  00000367</t>
  </si>
  <si>
    <t>00000367</t>
  </si>
  <si>
    <t>EB-309508268</t>
  </si>
  <si>
    <t>2022/12/20</t>
  </si>
  <si>
    <t>FC  00000370</t>
  </si>
  <si>
    <t>00000370</t>
  </si>
  <si>
    <t>NC02-34973</t>
  </si>
  <si>
    <t>2022/12/23</t>
  </si>
  <si>
    <t>FC  00000372</t>
  </si>
  <si>
    <t>00000372</t>
  </si>
  <si>
    <t>EBOG-197913</t>
  </si>
  <si>
    <t>2022/12/26</t>
  </si>
  <si>
    <t>FC  00000375</t>
  </si>
  <si>
    <t>00000375</t>
  </si>
  <si>
    <t>OPERARIO DE ASEO FIN DE CONTRATO</t>
  </si>
  <si>
    <t>NC02-35005</t>
  </si>
  <si>
    <t>2022/12/28</t>
  </si>
  <si>
    <t>FC  00000376</t>
  </si>
  <si>
    <t>00000376</t>
  </si>
  <si>
    <t>FEV-1840</t>
  </si>
  <si>
    <t>FC  00000374</t>
  </si>
  <si>
    <t>00000374</t>
  </si>
  <si>
    <t>IB-82391</t>
  </si>
  <si>
    <t>2022/12/30</t>
  </si>
  <si>
    <t>BNC 00000013</t>
  </si>
  <si>
    <t>00000013</t>
  </si>
  <si>
    <t>Vr UVTen  2022</t>
  </si>
  <si>
    <t>Límite UVTs</t>
  </si>
  <si>
    <t>Límite en $</t>
  </si>
  <si>
    <t>Ingresos en 2022</t>
  </si>
  <si>
    <t>Periodicidad IVA en 2023</t>
  </si>
  <si>
    <t>IVA</t>
  </si>
  <si>
    <r>
      <rPr>
        <b/>
        <sz val="12"/>
        <color rgb="FF212529"/>
        <rFont val="Arial"/>
        <family val="2"/>
      </rPr>
      <t>Artículo 600 E.T.</t>
    </r>
    <r>
      <rPr>
        <sz val="12"/>
        <color rgb="FF212529"/>
        <rFont val="Arial"/>
        <family val="2"/>
      </rPr>
      <t xml:space="preserve">
según lo previsto en el </t>
    </r>
    <r>
      <rPr>
        <u/>
        <sz val="12"/>
        <color rgb="FF0D6EFD"/>
        <rFont val="Arial"/>
        <family val="2"/>
      </rPr>
      <t>artículo 600 del Estatuto Tributario</t>
    </r>
    <r>
      <rPr>
        <sz val="12"/>
        <color rgb="FF212529"/>
        <rFont val="Arial"/>
        <family val="2"/>
      </rPr>
      <t> –ET–. Sin embargo, para el siguiente año de operación, si la sociedad obtuvo ingresos inferiores a 92.000 </t>
    </r>
    <r>
      <rPr>
        <u/>
        <sz val="12"/>
        <color rgb="FF0D6EFD"/>
        <rFont val="Arial"/>
        <family val="2"/>
      </rPr>
      <t>UVT</t>
    </r>
    <r>
      <rPr>
        <sz val="12"/>
        <color rgb="FF212529"/>
        <rFont val="Arial"/>
        <family val="2"/>
      </rPr>
      <t> al 31 de diciembre, podrá continuar presentado sus declaraciones de forma cuatrimestral, atendiendo lo dispuesto en el </t>
    </r>
    <r>
      <rPr>
        <u/>
        <sz val="12"/>
        <color rgb="FF0D6EFD"/>
        <rFont val="Arial"/>
        <family val="2"/>
      </rPr>
      <t>inciso tercero del parágrafo del artículo 600 del ET</t>
    </r>
    <r>
      <rPr>
        <sz val="12"/>
        <color rgb="FF212529"/>
        <rFont val="Arial"/>
        <family val="2"/>
      </rPr>
      <t> (ver el </t>
    </r>
    <r>
      <rPr>
        <u/>
        <sz val="12"/>
        <color rgb="FF0D6EFD"/>
        <rFont val="Arial"/>
        <family val="2"/>
      </rPr>
      <t>artículo 1.6.1.6.3 del Decreto 1625 de 2016</t>
    </r>
    <r>
      <rPr>
        <sz val="12"/>
        <color rgb="FF212529"/>
        <rFont val="Arial"/>
        <family val="2"/>
      </rPr>
      <t>).</t>
    </r>
  </si>
  <si>
    <t>ICA a declarar</t>
  </si>
  <si>
    <t>Periodicidad ICA en 2023</t>
  </si>
  <si>
    <t>Pérdida</t>
  </si>
  <si>
    <t>A Declarar</t>
  </si>
  <si>
    <t>ok +/-</t>
  </si>
  <si>
    <t>Auto Rte</t>
  </si>
  <si>
    <t>Imp. Diferido</t>
  </si>
  <si>
    <t>Contable</t>
  </si>
  <si>
    <t>13552002</t>
  </si>
  <si>
    <t>SALDO A FAVOR RENTA</t>
  </si>
  <si>
    <t>2023/12/31</t>
  </si>
  <si>
    <t>DSE 56</t>
  </si>
  <si>
    <t>56</t>
  </si>
  <si>
    <t>Compra Crédito DSE 56</t>
  </si>
  <si>
    <t>4878573874</t>
  </si>
  <si>
    <t>Compra Según: DSE 56</t>
  </si>
  <si>
    <t>2023/01/04</t>
  </si>
  <si>
    <t>DSE 57</t>
  </si>
  <si>
    <t>57</t>
  </si>
  <si>
    <t>Compra Crédito DSE 57</t>
  </si>
  <si>
    <t>Compra Según: DSE 57</t>
  </si>
  <si>
    <t>2023/01/15</t>
  </si>
  <si>
    <t>FC  00000575</t>
  </si>
  <si>
    <t>ANULACION POR FECHA</t>
  </si>
  <si>
    <t>AJUSTE IMPUESTO DIFERIDO AÑOS ANTERIORES</t>
  </si>
  <si>
    <t>Income Tax receivables</t>
  </si>
  <si>
    <t>AJUSTE SALDO A FAVOR RENTA 2022</t>
  </si>
  <si>
    <t>Saldo inicial</t>
  </si>
  <si>
    <t>Saldo final</t>
  </si>
  <si>
    <t>Inicial teorico</t>
  </si>
  <si>
    <t>Inicial contable</t>
  </si>
  <si>
    <t>Impuesto 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</si>
</sst>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7" formatCode="&quot;$&quot;\ #,##0.00;\-&quot;$&quot;\ #,##0.00"/>
    <numFmt numFmtId="41" formatCode="_-* #,##0_-;\-* #,##0_-;_-* &quot;-&quot;_-;_-@_-"/>
    <numFmt numFmtId="43" formatCode="_-* #,##0.00_-;\-* #,##0.00_-;_-* &quot;-&quot;??_-;_-@_-"/>
    <numFmt numFmtId="164" formatCode="_ * #,##0.00_ ;_ * \-#,##0.00_ ;_ * &quot;-&quot;??_ ;_ @_ "/>
    <numFmt numFmtId="165" formatCode="#,##0.000000"/>
    <numFmt numFmtId="166" formatCode="0_)"/>
    <numFmt numFmtId="167" formatCode="_ * #,##0.0_ ;_ * \-#,##0.0_ ;_ * &quot;-&quot;??_ ;_ @_ "/>
    <numFmt numFmtId="168" formatCode="_-* #,##0_-;\-* #,##0_-;_-* &quot;-&quot;??_-;_-@_-"/>
    <numFmt numFmtId="169" formatCode="_(* #,##0_);_(* \(#,##0\);_(* &quot;-&quot;??_);_(@_)"/>
    <numFmt numFmtId="170" formatCode="_ * #,##0_ ;_ * \-#,##0_ ;_ * &quot;-&quot;??_ ;_ @_ "/>
    <numFmt numFmtId="171" formatCode="_._.* #,##0_)_%;_._.* \(#,##0\)_%;_._.* 0_)_%;_._.@_)_%"/>
    <numFmt numFmtId="172" formatCode="_._.&quot;$&quot;* #,##0_)_%;_._.&quot;$&quot;* \(#,##0\)_%;_._.&quot;$&quot;* \ _)_%"/>
    <numFmt numFmtId="173" formatCode="#,##0.00_ ;\-#,##0.00\ "/>
  </numFmts>
  <fonts count="84">
    <font>
      <sz val="11"/>
      <color theme="1"/>
      <name val="Calibri"/>
      <family val="2"/>
      <scheme val="minor"/>
    </font>
    <font>
      <sz val="10"/>
      <color theme="1"/>
      <name val="Arial"/>
      <family val="2"/>
    </font>
    <font>
      <sz val="11"/>
      <color theme="1"/>
      <name val="Calibri"/>
      <family val="2"/>
      <scheme val="minor"/>
    </font>
    <font>
      <b/>
      <sz val="11"/>
      <color rgb="FF0000CC"/>
      <name val="Calibri"/>
      <family val="2"/>
      <scheme val="minor"/>
    </font>
    <font>
      <sz val="11"/>
      <color rgb="FF0000CC"/>
      <name val="Calibri"/>
      <family val="2"/>
      <scheme val="minor"/>
    </font>
    <font>
      <sz val="9"/>
      <color theme="1"/>
      <name val="Calibri"/>
      <family val="2"/>
      <scheme val="minor"/>
    </font>
    <font>
      <b/>
      <sz val="9"/>
      <color indexed="81"/>
      <name val="Tahoma"/>
      <family val="2"/>
    </font>
    <font>
      <sz val="9"/>
      <color indexed="81"/>
      <name val="Tahoma"/>
      <family val="2"/>
    </font>
    <font>
      <sz val="10"/>
      <color indexed="8"/>
      <name val="MS Sans Serif"/>
      <family val="2"/>
    </font>
    <font>
      <b/>
      <sz val="10"/>
      <color indexed="8"/>
      <name val="MS Sans Serif"/>
      <family val="2"/>
    </font>
    <font>
      <b/>
      <sz val="10"/>
      <color rgb="FF0000CC"/>
      <name val="MS Sans Serif"/>
      <family val="2"/>
    </font>
    <font>
      <b/>
      <sz val="10"/>
      <name val="Arial"/>
      <family val="2"/>
    </font>
    <font>
      <sz val="9"/>
      <color indexed="8"/>
      <name val="Arial Narrow"/>
      <family val="2"/>
    </font>
    <font>
      <sz val="10"/>
      <name val="Arial"/>
      <family val="2"/>
    </font>
    <font>
      <sz val="10"/>
      <color theme="1" tint="0.499984740745262"/>
      <name val="Arial"/>
      <family val="2"/>
    </font>
    <font>
      <sz val="10"/>
      <color indexed="10"/>
      <name val="Arial"/>
      <family val="2"/>
    </font>
    <font>
      <b/>
      <sz val="10"/>
      <color indexed="8"/>
      <name val="Arial"/>
      <family val="2"/>
    </font>
    <font>
      <b/>
      <sz val="10"/>
      <color rgb="FF0000CC"/>
      <name val="Arial"/>
      <family val="2"/>
    </font>
    <font>
      <b/>
      <sz val="8"/>
      <color rgb="FF0000CC"/>
      <name val="Arial"/>
      <family val="2"/>
    </font>
    <font>
      <sz val="9"/>
      <color theme="1"/>
      <name val="Arial"/>
      <family val="2"/>
    </font>
    <font>
      <sz val="8.9"/>
      <color indexed="8"/>
      <name val="Arial Narrow"/>
      <family val="2"/>
    </font>
    <font>
      <sz val="11"/>
      <color rgb="FF000000"/>
      <name val="Calibri"/>
      <family val="2"/>
      <scheme val="minor"/>
    </font>
    <font>
      <b/>
      <sz val="9"/>
      <color rgb="FF0000CC"/>
      <name val="Arial Narrow"/>
      <family val="2"/>
    </font>
    <font>
      <sz val="8"/>
      <color theme="1"/>
      <name val="Arial"/>
      <family val="2"/>
    </font>
    <font>
      <b/>
      <sz val="9"/>
      <color theme="1"/>
      <name val="Arial"/>
      <family val="2"/>
    </font>
    <font>
      <b/>
      <sz val="9"/>
      <color rgb="FF0000CC"/>
      <name val="Arial"/>
      <family val="2"/>
    </font>
    <font>
      <sz val="11"/>
      <color theme="0"/>
      <name val="Calibri"/>
      <family val="2"/>
      <scheme val="minor"/>
    </font>
    <font>
      <b/>
      <sz val="10"/>
      <color rgb="FFFF0000"/>
      <name val="MS Sans Serif"/>
    </font>
    <font>
      <b/>
      <sz val="10"/>
      <color indexed="8"/>
      <name val="MS Sans Serif"/>
    </font>
    <font>
      <b/>
      <sz val="11"/>
      <color theme="1"/>
      <name val="Calibri"/>
      <family val="2"/>
      <scheme val="minor"/>
    </font>
    <font>
      <sz val="10"/>
      <color rgb="FFFF0000"/>
      <name val="MS Sans Serif"/>
      <family val="2"/>
    </font>
    <font>
      <b/>
      <sz val="10"/>
      <color theme="1"/>
      <name val="Arial"/>
      <family val="2"/>
    </font>
    <font>
      <sz val="10"/>
      <color theme="0"/>
      <name val="Arial"/>
      <family val="2"/>
    </font>
    <font>
      <b/>
      <sz val="14"/>
      <color theme="1"/>
      <name val="Arial"/>
      <family val="2"/>
    </font>
    <font>
      <b/>
      <sz val="14"/>
      <name val="Arial"/>
      <family val="2"/>
    </font>
    <font>
      <sz val="11"/>
      <name val="Times New Roman"/>
      <family val="1"/>
    </font>
    <font>
      <sz val="11"/>
      <name val="Arial"/>
      <family val="2"/>
    </font>
    <font>
      <b/>
      <sz val="12"/>
      <name val="Arial"/>
      <family val="2"/>
    </font>
    <font>
      <b/>
      <sz val="13"/>
      <name val="Arial"/>
      <family val="2"/>
    </font>
    <font>
      <sz val="12"/>
      <name val="Arial"/>
      <family val="2"/>
    </font>
    <font>
      <u val="singleAccounting"/>
      <sz val="12"/>
      <name val="Times New Roman"/>
      <family val="1"/>
    </font>
    <font>
      <b/>
      <sz val="11"/>
      <name val="Arial"/>
      <family val="2"/>
    </font>
    <font>
      <b/>
      <sz val="8"/>
      <name val="Arial"/>
      <family val="2"/>
    </font>
    <font>
      <sz val="10"/>
      <name val="Times New Roman"/>
      <family val="1"/>
    </font>
    <font>
      <u val="singleAccounting"/>
      <sz val="10"/>
      <name val="Times New Roman"/>
      <family val="1"/>
    </font>
    <font>
      <sz val="12"/>
      <color theme="0"/>
      <name val="Arial"/>
      <family val="2"/>
    </font>
    <font>
      <sz val="10"/>
      <name val="Calibri"/>
      <family val="2"/>
    </font>
    <font>
      <u val="singleAccounting"/>
      <sz val="11"/>
      <name val="Arial"/>
      <family val="2"/>
    </font>
    <font>
      <sz val="11"/>
      <color theme="1"/>
      <name val="Arial"/>
      <family val="2"/>
    </font>
    <font>
      <b/>
      <u/>
      <sz val="11"/>
      <color theme="1"/>
      <name val="Calibri"/>
      <family val="2"/>
      <scheme val="minor"/>
    </font>
    <font>
      <sz val="11"/>
      <color rgb="FF000000"/>
      <name val="Calibri"/>
      <family val="2"/>
      <scheme val="minor"/>
    </font>
    <font>
      <b/>
      <sz val="8"/>
      <color rgb="FF000000"/>
      <name val="Calibri"/>
      <family val="2"/>
      <scheme val="minor"/>
    </font>
    <font>
      <sz val="8"/>
      <color rgb="FF000000"/>
      <name val="Calibri"/>
      <family val="2"/>
      <scheme val="minor"/>
    </font>
    <font>
      <sz val="8"/>
      <color rgb="FF0000CC"/>
      <name val="Calibri"/>
      <family val="2"/>
      <scheme val="minor"/>
    </font>
    <font>
      <sz val="10"/>
      <name val="Arial"/>
      <family val="2"/>
    </font>
    <font>
      <sz val="10"/>
      <color indexed="63"/>
      <name val="Roboto"/>
    </font>
    <font>
      <b/>
      <sz val="8.9"/>
      <color rgb="FFFF0000"/>
      <name val="Arial Narrow"/>
      <family val="2"/>
    </font>
    <font>
      <b/>
      <sz val="10"/>
      <color rgb="FFFF0000"/>
      <name val="Arial"/>
      <family val="2"/>
    </font>
    <font>
      <b/>
      <sz val="9"/>
      <color rgb="FFFF0000"/>
      <name val="Arial Narrow"/>
      <family val="2"/>
    </font>
    <font>
      <b/>
      <sz val="9"/>
      <color rgb="FFFF0000"/>
      <name val="Arial"/>
      <family val="2"/>
    </font>
    <font>
      <sz val="10"/>
      <name val="Arial"/>
      <family val="2"/>
    </font>
    <font>
      <b/>
      <sz val="8"/>
      <color indexed="63"/>
      <name val="HGW Font SM8"/>
      <charset val="1"/>
    </font>
    <font>
      <sz val="8"/>
      <name val="HGW Font SM8"/>
      <charset val="1"/>
    </font>
    <font>
      <b/>
      <sz val="8"/>
      <color rgb="FFFF0000"/>
      <name val="HGW Font SM8"/>
    </font>
    <font>
      <b/>
      <sz val="11"/>
      <color rgb="FFFF0000"/>
      <name val="Calibri"/>
      <family val="2"/>
      <scheme val="minor"/>
    </font>
    <font>
      <sz val="11"/>
      <color rgb="FFFF0000"/>
      <name val="Calibri"/>
      <family val="2"/>
      <scheme val="minor"/>
    </font>
    <font>
      <b/>
      <sz val="10"/>
      <color theme="0"/>
      <name val="Arial"/>
      <family val="2"/>
    </font>
    <font>
      <sz val="10"/>
      <name val="Roboto Light"/>
    </font>
    <font>
      <sz val="12"/>
      <color rgb="FF212529"/>
      <name val="Arial"/>
      <family val="2"/>
    </font>
    <font>
      <u/>
      <sz val="12"/>
      <color rgb="FF0D6EFD"/>
      <name val="Arial"/>
      <family val="2"/>
    </font>
    <font>
      <b/>
      <sz val="12"/>
      <color rgb="FF212529"/>
      <name val="Arial"/>
      <family val="2"/>
    </font>
    <font>
      <b/>
      <sz val="14"/>
      <color theme="1"/>
      <name val="Calibri"/>
      <family val="2"/>
      <scheme val="minor"/>
    </font>
    <font>
      <sz val="11"/>
      <color theme="0" tint="-0.249977111117893"/>
      <name val="Calibri"/>
      <family val="2"/>
      <scheme val="minor"/>
    </font>
    <font>
      <b/>
      <sz val="8"/>
      <color rgb="FF0000CC"/>
      <name val="Calibri"/>
      <family val="2"/>
      <scheme val="minor"/>
    </font>
    <font>
      <b/>
      <sz val="11"/>
      <color rgb="FFFF00FF"/>
      <name val="Calibri"/>
      <family val="2"/>
      <scheme val="minor"/>
    </font>
    <font>
      <u/>
      <sz val="11"/>
      <color theme="10"/>
      <name val="Calibri"/>
      <family val="2"/>
      <scheme val="minor"/>
    </font>
    <font>
      <sz val="10"/>
      <name val="Arial"/>
      <family val="2"/>
    </font>
    <font>
      <sz val="9"/>
      <color rgb="FF0000CC"/>
      <name val="Arial"/>
      <family val="2"/>
    </font>
    <font>
      <b/>
      <u/>
      <sz val="11"/>
      <color rgb="FF0000CC"/>
      <name val="Calibri"/>
      <family val="2"/>
      <scheme val="minor"/>
    </font>
    <font>
      <sz val="11"/>
      <name val="Calibri"/>
      <family val="2"/>
      <scheme val="minor"/>
    </font>
    <font>
      <sz val="9"/>
      <name val="Microsoft Sans Serif"/>
      <family val="2"/>
    </font>
    <font>
      <b/>
      <sz val="11"/>
      <color indexed="8"/>
      <name val="Calibri"/>
      <family val="2"/>
      <scheme val="minor"/>
    </font>
    <font>
      <b/>
      <sz val="9"/>
      <name val="Microsoft Sans Serif"/>
      <family val="2"/>
    </font>
    <font>
      <b/>
      <sz val="11"/>
      <name val="Calibri"/>
      <family val="2"/>
      <scheme val="minor"/>
    </font>
  </fonts>
  <fills count="22">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rgb="FF00FF0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FF99"/>
        <bgColor indexed="64"/>
      </patternFill>
    </fill>
    <fill>
      <patternFill patternType="solid">
        <fgColor rgb="FFC0C0C0"/>
        <bgColor indexed="64"/>
      </patternFill>
    </fill>
    <fill>
      <patternFill patternType="solid">
        <fgColor theme="3" tint="0.79998168889431442"/>
        <bgColor indexed="64"/>
      </patternFill>
    </fill>
    <fill>
      <patternFill patternType="solid">
        <fgColor indexed="61"/>
      </patternFill>
    </fill>
    <fill>
      <patternFill patternType="solid">
        <fgColor theme="4" tint="-0.249977111117893"/>
        <bgColor indexed="64"/>
      </patternFill>
    </fill>
    <fill>
      <patternFill patternType="solid">
        <fgColor rgb="FF92D050"/>
        <bgColor indexed="64"/>
      </patternFill>
    </fill>
    <fill>
      <patternFill patternType="solid">
        <fgColor rgb="FFFF99FF"/>
        <bgColor indexed="64"/>
      </patternFill>
    </fill>
    <fill>
      <patternFill patternType="solid">
        <fgColor theme="0" tint="-0.34998626667073579"/>
        <bgColor indexed="64"/>
      </patternFill>
    </fill>
    <fill>
      <patternFill patternType="solid">
        <fgColor rgb="FFF2F2F2"/>
      </patternFill>
    </fill>
    <fill>
      <patternFill patternType="solid">
        <fgColor rgb="FFFFFFCC"/>
      </patternFill>
    </fill>
    <fill>
      <patternFill patternType="solid">
        <fgColor theme="8" tint="0.59999389629810485"/>
        <bgColor indexed="64"/>
      </patternFill>
    </fill>
    <fill>
      <patternFill patternType="solid">
        <fgColor rgb="FFCCCCCC"/>
      </patternFill>
    </fill>
    <fill>
      <patternFill patternType="darkDown">
        <fgColor rgb="FF000000"/>
      </patternFill>
    </fill>
    <fill>
      <patternFill patternType="solid">
        <fgColor rgb="FFFFC000"/>
        <bgColor indexed="64"/>
      </patternFill>
    </fill>
  </fills>
  <borders count="16">
    <border>
      <left/>
      <right/>
      <top/>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thin">
        <color indexed="64"/>
      </bottom>
      <diagonal/>
    </border>
    <border>
      <left/>
      <right/>
      <top style="double">
        <color indexed="64"/>
      </top>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s>
  <cellStyleXfs count="22">
    <xf numFmtId="0" fontId="0" fillId="0" borderId="0"/>
    <xf numFmtId="43" fontId="2" fillId="0" borderId="0" applyFont="0" applyFill="0" applyBorder="0" applyAlignment="0" applyProtection="0"/>
    <xf numFmtId="9" fontId="2" fillId="0" borderId="0" applyFont="0" applyFill="0" applyBorder="0" applyAlignment="0" applyProtection="0"/>
    <xf numFmtId="0" fontId="8" fillId="0" borderId="0"/>
    <xf numFmtId="43" fontId="12" fillId="0" borderId="0" applyFont="0" applyFill="0" applyBorder="0" applyAlignment="0" applyProtection="0"/>
    <xf numFmtId="0" fontId="21" fillId="0" borderId="0"/>
    <xf numFmtId="0" fontId="35" fillId="0" borderId="0" applyFill="0" applyBorder="0" applyAlignment="0" applyProtection="0">
      <protection locked="0"/>
    </xf>
    <xf numFmtId="0" fontId="37" fillId="0" borderId="0" applyFill="0" applyAlignment="0" applyProtection="0">
      <protection locked="0"/>
    </xf>
    <xf numFmtId="0" fontId="38" fillId="0" borderId="0" applyFill="0" applyBorder="0" applyAlignment="0" applyProtection="0">
      <protection locked="0"/>
    </xf>
    <xf numFmtId="0" fontId="37" fillId="0" borderId="7" applyFill="0" applyAlignment="0" applyProtection="0">
      <protection locked="0"/>
    </xf>
    <xf numFmtId="0" fontId="11" fillId="0" borderId="0" applyFill="0" applyBorder="0" applyProtection="0">
      <alignment horizontal="center"/>
      <protection locked="0"/>
    </xf>
    <xf numFmtId="171" fontId="40" fillId="0" borderId="0" applyFill="0" applyBorder="0" applyAlignment="0" applyProtection="0"/>
    <xf numFmtId="0" fontId="41" fillId="0" borderId="0" applyFill="0" applyBorder="0" applyProtection="0">
      <alignment horizontal="center"/>
      <protection locked="0"/>
    </xf>
    <xf numFmtId="0" fontId="43" fillId="0" borderId="0" applyFill="0" applyBorder="0" applyAlignment="0" applyProtection="0">
      <protection locked="0"/>
    </xf>
    <xf numFmtId="172" fontId="44" fillId="0" borderId="0" applyFont="0" applyFill="0" applyBorder="0" applyAlignment="0" applyProtection="0"/>
    <xf numFmtId="171" fontId="35" fillId="0" borderId="0"/>
    <xf numFmtId="0" fontId="50" fillId="0" borderId="0"/>
    <xf numFmtId="0" fontId="54" fillId="0" borderId="0"/>
    <xf numFmtId="0" fontId="60" fillId="0" borderId="0"/>
    <xf numFmtId="0" fontId="75" fillId="0" borderId="0" applyNumberFormat="0" applyFill="0" applyBorder="0" applyAlignment="0" applyProtection="0"/>
    <xf numFmtId="0" fontId="76" fillId="0" borderId="0"/>
    <xf numFmtId="0" fontId="13" fillId="0" borderId="0"/>
  </cellStyleXfs>
  <cellXfs count="388">
    <xf numFmtId="0" fontId="0" fillId="0" borderId="0" xfId="0"/>
    <xf numFmtId="0" fontId="3" fillId="0" borderId="0" xfId="0" applyFont="1"/>
    <xf numFmtId="4" fontId="0" fillId="0" borderId="0" xfId="0" applyNumberFormat="1"/>
    <xf numFmtId="3" fontId="0" fillId="0" borderId="0" xfId="0" applyNumberFormat="1"/>
    <xf numFmtId="3" fontId="0" fillId="3" borderId="0" xfId="0" applyNumberFormat="1" applyFill="1"/>
    <xf numFmtId="0" fontId="0" fillId="0" borderId="0" xfId="0" applyAlignment="1">
      <alignment horizontal="center"/>
    </xf>
    <xf numFmtId="0" fontId="0" fillId="3" borderId="0" xfId="0" applyFill="1" applyAlignment="1">
      <alignment horizontal="center"/>
    </xf>
    <xf numFmtId="38" fontId="0" fillId="0" borderId="0" xfId="2" applyNumberFormat="1" applyFont="1" applyFill="1"/>
    <xf numFmtId="0" fontId="4" fillId="0" borderId="0" xfId="0" applyFont="1" applyAlignment="1">
      <alignment horizontal="center"/>
    </xf>
    <xf numFmtId="0" fontId="4" fillId="3" borderId="0" xfId="0" applyFont="1" applyFill="1" applyAlignment="1">
      <alignment horizontal="center"/>
    </xf>
    <xf numFmtId="0" fontId="4" fillId="0" borderId="0" xfId="0" applyFont="1"/>
    <xf numFmtId="0" fontId="5" fillId="0" borderId="0" xfId="0" applyFont="1"/>
    <xf numFmtId="38" fontId="0" fillId="0" borderId="0" xfId="0" applyNumberFormat="1"/>
    <xf numFmtId="38" fontId="3" fillId="0" borderId="0" xfId="0" applyNumberFormat="1" applyFont="1"/>
    <xf numFmtId="38" fontId="3" fillId="0" borderId="1" xfId="0" applyNumberFormat="1" applyFont="1" applyBorder="1"/>
    <xf numFmtId="9" fontId="0" fillId="0" borderId="0" xfId="2" applyFont="1" applyFill="1"/>
    <xf numFmtId="9" fontId="0" fillId="0" borderId="0" xfId="2" applyFont="1"/>
    <xf numFmtId="0" fontId="9" fillId="0" borderId="0" xfId="3" applyFont="1"/>
    <xf numFmtId="0" fontId="8" fillId="0" borderId="0" xfId="3"/>
    <xf numFmtId="43" fontId="8" fillId="0" borderId="0" xfId="3" applyNumberFormat="1"/>
    <xf numFmtId="0" fontId="9" fillId="0" borderId="0" xfId="3" applyFont="1" applyAlignment="1">
      <alignment horizontal="center"/>
    </xf>
    <xf numFmtId="3" fontId="8" fillId="0" borderId="0" xfId="3" applyNumberFormat="1"/>
    <xf numFmtId="0" fontId="11" fillId="0" borderId="2" xfId="3" applyFont="1" applyBorder="1"/>
    <xf numFmtId="0" fontId="13" fillId="0" borderId="2" xfId="3" applyFont="1" applyBorder="1"/>
    <xf numFmtId="164" fontId="13" fillId="0" borderId="2" xfId="4" applyNumberFormat="1" applyFont="1" applyBorder="1" applyProtection="1">
      <protection locked="0"/>
    </xf>
    <xf numFmtId="164" fontId="13" fillId="0" borderId="2" xfId="4" applyNumberFormat="1" applyFont="1" applyBorder="1"/>
    <xf numFmtId="164" fontId="14" fillId="5" borderId="2" xfId="4" applyNumberFormat="1" applyFont="1" applyFill="1" applyBorder="1" applyProtection="1">
      <protection locked="0"/>
    </xf>
    <xf numFmtId="164" fontId="13" fillId="5" borderId="2" xfId="4" applyNumberFormat="1" applyFont="1" applyFill="1" applyBorder="1" applyProtection="1">
      <protection locked="0"/>
    </xf>
    <xf numFmtId="0" fontId="13" fillId="0" borderId="2" xfId="3" applyFont="1" applyBorder="1" applyProtection="1">
      <protection locked="0"/>
    </xf>
    <xf numFmtId="0" fontId="15" fillId="0" borderId="2" xfId="3" applyFont="1" applyBorder="1" applyProtection="1">
      <protection locked="0"/>
    </xf>
    <xf numFmtId="0" fontId="11" fillId="6" borderId="3" xfId="3" applyFont="1" applyFill="1" applyBorder="1"/>
    <xf numFmtId="165" fontId="8" fillId="0" borderId="0" xfId="3" applyNumberFormat="1"/>
    <xf numFmtId="164" fontId="13" fillId="0" borderId="0" xfId="4" applyNumberFormat="1" applyFont="1" applyFill="1" applyBorder="1" applyProtection="1">
      <protection locked="0"/>
    </xf>
    <xf numFmtId="0" fontId="13" fillId="0" borderId="0" xfId="3" applyFont="1"/>
    <xf numFmtId="0" fontId="18" fillId="0" borderId="0" xfId="0" applyFont="1" applyAlignment="1">
      <alignment horizontal="center" vertical="center"/>
    </xf>
    <xf numFmtId="0" fontId="18" fillId="4" borderId="0" xfId="0" applyFont="1" applyFill="1" applyAlignment="1">
      <alignment horizontal="center" vertical="center"/>
    </xf>
    <xf numFmtId="0" fontId="18" fillId="8" borderId="0" xfId="0" applyFont="1" applyFill="1" applyAlignment="1">
      <alignment horizontal="center" vertical="center" wrapText="1"/>
    </xf>
    <xf numFmtId="0" fontId="12" fillId="0" borderId="0" xfId="3" applyFont="1" applyAlignment="1">
      <alignment vertical="center"/>
    </xf>
    <xf numFmtId="4" fontId="19" fillId="0" borderId="0" xfId="0" applyNumberFormat="1" applyFont="1"/>
    <xf numFmtId="0" fontId="20" fillId="0" borderId="0" xfId="0" applyFont="1" applyAlignment="1">
      <alignment vertical="center"/>
    </xf>
    <xf numFmtId="0" fontId="22" fillId="0" borderId="0" xfId="3" applyFont="1" applyAlignment="1">
      <alignment vertical="center"/>
    </xf>
    <xf numFmtId="0" fontId="17" fillId="0" borderId="0" xfId="3" applyFont="1"/>
    <xf numFmtId="0" fontId="23" fillId="0" borderId="0" xfId="0" applyFont="1"/>
    <xf numFmtId="4" fontId="19" fillId="8" borderId="0" xfId="0" applyNumberFormat="1" applyFont="1" applyFill="1"/>
    <xf numFmtId="0" fontId="18" fillId="0" borderId="4" xfId="0" applyFont="1" applyBorder="1"/>
    <xf numFmtId="4" fontId="24" fillId="0" borderId="4" xfId="0" applyNumberFormat="1" applyFont="1" applyBorder="1"/>
    <xf numFmtId="4" fontId="24" fillId="8" borderId="4" xfId="0" applyNumberFormat="1" applyFont="1" applyFill="1" applyBorder="1"/>
    <xf numFmtId="4" fontId="23" fillId="0" borderId="0" xfId="0" applyNumberFormat="1" applyFont="1"/>
    <xf numFmtId="4" fontId="25" fillId="0" borderId="4" xfId="0" applyNumberFormat="1" applyFont="1" applyBorder="1"/>
    <xf numFmtId="0" fontId="26" fillId="0" borderId="0" xfId="0" applyFont="1" applyAlignment="1">
      <alignment horizontal="center"/>
    </xf>
    <xf numFmtId="0" fontId="27" fillId="0" borderId="0" xfId="3" applyFont="1" applyAlignment="1">
      <alignment horizontal="center"/>
    </xf>
    <xf numFmtId="0" fontId="28" fillId="0" borderId="0" xfId="3" applyFont="1"/>
    <xf numFmtId="167" fontId="13" fillId="0" borderId="2" xfId="4" applyNumberFormat="1" applyFont="1" applyBorder="1" applyProtection="1">
      <protection locked="0"/>
    </xf>
    <xf numFmtId="167" fontId="11" fillId="6" borderId="3" xfId="4" applyNumberFormat="1" applyFont="1" applyFill="1" applyBorder="1"/>
    <xf numFmtId="0" fontId="11" fillId="0" borderId="0" xfId="3" applyFont="1"/>
    <xf numFmtId="167" fontId="13" fillId="0" borderId="0" xfId="4" applyNumberFormat="1" applyFont="1" applyBorder="1"/>
    <xf numFmtId="164" fontId="13" fillId="0" borderId="0" xfId="4" applyNumberFormat="1" applyFont="1" applyBorder="1"/>
    <xf numFmtId="0" fontId="11" fillId="0" borderId="5" xfId="3" applyFont="1" applyBorder="1"/>
    <xf numFmtId="0" fontId="13" fillId="0" borderId="5" xfId="3" applyFont="1" applyBorder="1"/>
    <xf numFmtId="167" fontId="13" fillId="0" borderId="5" xfId="4" applyNumberFormat="1" applyFont="1" applyBorder="1"/>
    <xf numFmtId="167" fontId="11" fillId="0" borderId="0" xfId="4" applyNumberFormat="1" applyFont="1" applyBorder="1"/>
    <xf numFmtId="164" fontId="11" fillId="0" borderId="0" xfId="4" applyNumberFormat="1" applyFont="1" applyBorder="1"/>
    <xf numFmtId="167" fontId="11" fillId="0" borderId="5" xfId="4" applyNumberFormat="1" applyFont="1" applyBorder="1"/>
    <xf numFmtId="164" fontId="11" fillId="0" borderId="5" xfId="4" applyNumberFormat="1" applyFont="1" applyBorder="1"/>
    <xf numFmtId="0" fontId="29" fillId="0" borderId="0" xfId="0" applyFont="1"/>
    <xf numFmtId="3" fontId="29" fillId="0" borderId="0" xfId="0" applyNumberFormat="1" applyFont="1"/>
    <xf numFmtId="38" fontId="29" fillId="0" borderId="0" xfId="0" applyNumberFormat="1" applyFont="1"/>
    <xf numFmtId="0" fontId="8" fillId="0" borderId="0" xfId="3" applyAlignment="1">
      <alignment vertical="center"/>
    </xf>
    <xf numFmtId="0" fontId="28" fillId="0" borderId="0" xfId="3" applyFont="1" applyAlignment="1">
      <alignment vertical="center"/>
    </xf>
    <xf numFmtId="0" fontId="9" fillId="0" borderId="0" xfId="3" applyFont="1" applyAlignment="1">
      <alignment horizontal="center" vertical="center" wrapText="1"/>
    </xf>
    <xf numFmtId="3" fontId="30" fillId="0" borderId="0" xfId="3" applyNumberFormat="1" applyFont="1"/>
    <xf numFmtId="167" fontId="13" fillId="0" borderId="0" xfId="4" applyNumberFormat="1" applyFont="1" applyBorder="1" applyProtection="1">
      <protection locked="0"/>
    </xf>
    <xf numFmtId="164" fontId="13" fillId="0" borderId="0" xfId="4" applyNumberFormat="1" applyFont="1" applyBorder="1" applyProtection="1">
      <protection locked="0"/>
    </xf>
    <xf numFmtId="0" fontId="33" fillId="0" borderId="0" xfId="0" applyFont="1" applyAlignment="1">
      <alignment horizontal="center" vertical="center"/>
    </xf>
    <xf numFmtId="0" fontId="34" fillId="0" borderId="0" xfId="0" applyFont="1" applyAlignment="1">
      <alignment vertical="center"/>
    </xf>
    <xf numFmtId="0" fontId="33" fillId="0" borderId="0" xfId="0" applyFont="1" applyAlignment="1">
      <alignment vertical="center"/>
    </xf>
    <xf numFmtId="0" fontId="31" fillId="0" borderId="0" xfId="0" applyFont="1" applyAlignment="1">
      <alignment horizontal="center" vertical="center"/>
    </xf>
    <xf numFmtId="0" fontId="11" fillId="0" borderId="0" xfId="0" applyFont="1" applyAlignment="1">
      <alignment vertical="center"/>
    </xf>
    <xf numFmtId="0" fontId="31" fillId="0" borderId="0" xfId="0" applyFont="1" applyAlignment="1">
      <alignment vertical="center"/>
    </xf>
    <xf numFmtId="0" fontId="31" fillId="0" borderId="0" xfId="0" applyFont="1" applyAlignment="1">
      <alignment horizontal="left" vertical="center"/>
    </xf>
    <xf numFmtId="0" fontId="11" fillId="0" borderId="0" xfId="0" applyFont="1" applyAlignment="1">
      <alignment horizontal="center" vertical="center"/>
    </xf>
    <xf numFmtId="0" fontId="1" fillId="0" borderId="0" xfId="1" applyNumberFormat="1" applyFont="1" applyAlignment="1">
      <alignment horizontal="left" vertical="center"/>
    </xf>
    <xf numFmtId="3" fontId="1" fillId="0" borderId="0" xfId="1" applyNumberFormat="1" applyFont="1" applyAlignment="1">
      <alignment vertical="center"/>
    </xf>
    <xf numFmtId="3" fontId="1" fillId="0" borderId="0" xfId="1" applyNumberFormat="1" applyFont="1" applyFill="1" applyAlignment="1">
      <alignment vertical="center"/>
    </xf>
    <xf numFmtId="0" fontId="1" fillId="0" borderId="0" xfId="0" applyFont="1" applyAlignment="1">
      <alignment horizontal="left" vertical="center"/>
    </xf>
    <xf numFmtId="0" fontId="31" fillId="0" borderId="6" xfId="0" applyFont="1" applyBorder="1" applyAlignment="1">
      <alignment horizontal="left" vertical="center"/>
    </xf>
    <xf numFmtId="3" fontId="31" fillId="0" borderId="6" xfId="1" applyNumberFormat="1" applyFont="1" applyBorder="1" applyAlignment="1">
      <alignment vertical="center"/>
    </xf>
    <xf numFmtId="3" fontId="31" fillId="0" borderId="6" xfId="1" applyNumberFormat="1" applyFont="1" applyFill="1" applyBorder="1" applyAlignment="1">
      <alignment vertical="center"/>
    </xf>
    <xf numFmtId="0" fontId="1" fillId="0" borderId="0" xfId="0" applyFont="1" applyAlignment="1">
      <alignment vertical="center"/>
    </xf>
    <xf numFmtId="0" fontId="31" fillId="0" borderId="4" xfId="0" applyFont="1" applyBorder="1" applyAlignment="1">
      <alignment horizontal="left" vertical="center"/>
    </xf>
    <xf numFmtId="3" fontId="31" fillId="0" borderId="4" xfId="1" applyNumberFormat="1" applyFont="1" applyBorder="1" applyAlignment="1">
      <alignment vertical="center"/>
    </xf>
    <xf numFmtId="3" fontId="31" fillId="0" borderId="0" xfId="1" applyNumberFormat="1" applyFont="1" applyAlignment="1">
      <alignment vertical="center"/>
    </xf>
    <xf numFmtId="0" fontId="13" fillId="0" borderId="0" xfId="0" applyFont="1" applyAlignment="1">
      <alignment vertical="center"/>
    </xf>
    <xf numFmtId="0" fontId="31" fillId="0" borderId="6" xfId="1" applyNumberFormat="1" applyFont="1" applyBorder="1" applyAlignment="1">
      <alignment horizontal="left" vertical="center"/>
    </xf>
    <xf numFmtId="0" fontId="31" fillId="0" borderId="6" xfId="0" applyFont="1" applyBorder="1" applyAlignment="1">
      <alignment vertical="center"/>
    </xf>
    <xf numFmtId="0" fontId="31" fillId="0" borderId="4" xfId="0" applyFont="1" applyBorder="1" applyAlignment="1">
      <alignment vertical="center"/>
    </xf>
    <xf numFmtId="4" fontId="1" fillId="0" borderId="0" xfId="0" applyNumberFormat="1" applyFont="1" applyAlignment="1">
      <alignment vertical="center"/>
    </xf>
    <xf numFmtId="4" fontId="1" fillId="0" borderId="0" xfId="1" applyNumberFormat="1" applyFont="1" applyAlignment="1">
      <alignment vertical="center"/>
    </xf>
    <xf numFmtId="0" fontId="1" fillId="0" borderId="7" xfId="0" applyFont="1" applyBorder="1" applyAlignment="1">
      <alignment vertical="center"/>
    </xf>
    <xf numFmtId="168" fontId="31" fillId="0" borderId="4" xfId="1" applyNumberFormat="1" applyFont="1" applyBorder="1" applyAlignment="1">
      <alignment vertical="center"/>
    </xf>
    <xf numFmtId="168" fontId="1" fillId="0" borderId="0" xfId="1" applyNumberFormat="1" applyFont="1" applyAlignment="1">
      <alignment vertical="center"/>
    </xf>
    <xf numFmtId="0" fontId="17" fillId="0" borderId="0" xfId="0" applyFont="1" applyAlignment="1">
      <alignment horizontal="center" vertical="center"/>
    </xf>
    <xf numFmtId="0" fontId="17" fillId="0" borderId="0" xfId="0" applyFont="1" applyAlignment="1">
      <alignment vertical="center"/>
    </xf>
    <xf numFmtId="0" fontId="13" fillId="0" borderId="7" xfId="0" applyFont="1" applyBorder="1" applyAlignment="1">
      <alignment vertical="center"/>
    </xf>
    <xf numFmtId="168" fontId="1" fillId="0" borderId="7" xfId="1" applyNumberFormat="1" applyFont="1" applyBorder="1" applyAlignment="1">
      <alignment vertical="center"/>
    </xf>
    <xf numFmtId="43" fontId="1" fillId="0" borderId="0" xfId="1" applyFont="1" applyAlignment="1">
      <alignment vertical="center"/>
    </xf>
    <xf numFmtId="0" fontId="13" fillId="0" borderId="4" xfId="0" applyFont="1" applyBorder="1" applyAlignment="1">
      <alignment vertical="center"/>
    </xf>
    <xf numFmtId="0" fontId="1" fillId="0" borderId="0" xfId="0" applyFont="1"/>
    <xf numFmtId="168" fontId="1" fillId="0" borderId="0" xfId="1" applyNumberFormat="1" applyFont="1"/>
    <xf numFmtId="0" fontId="33" fillId="0" borderId="0" xfId="0" applyFont="1" applyAlignment="1">
      <alignment horizontal="center"/>
    </xf>
    <xf numFmtId="0" fontId="33" fillId="0" borderId="0" xfId="0" applyFont="1"/>
    <xf numFmtId="0" fontId="31" fillId="0" borderId="0" xfId="0" applyFont="1" applyAlignment="1">
      <alignment horizontal="center"/>
    </xf>
    <xf numFmtId="0" fontId="31" fillId="0" borderId="0" xfId="0" applyFont="1"/>
    <xf numFmtId="0" fontId="31" fillId="0" borderId="0" xfId="0" applyFont="1" applyAlignment="1">
      <alignment horizontal="left" indent="1"/>
    </xf>
    <xf numFmtId="3" fontId="1" fillId="0" borderId="0" xfId="1" applyNumberFormat="1" applyFont="1"/>
    <xf numFmtId="4" fontId="1" fillId="0" borderId="0" xfId="1" applyNumberFormat="1" applyFont="1"/>
    <xf numFmtId="0" fontId="31" fillId="0" borderId="0" xfId="0" applyFont="1" applyAlignment="1">
      <alignment horizontal="left" indent="2"/>
    </xf>
    <xf numFmtId="3" fontId="31" fillId="0" borderId="6" xfId="1" applyNumberFormat="1" applyFont="1" applyBorder="1"/>
    <xf numFmtId="0" fontId="1" fillId="0" borderId="0" xfId="0" applyFont="1" applyAlignment="1">
      <alignment horizontal="left" indent="1"/>
    </xf>
    <xf numFmtId="169" fontId="31" fillId="0" borderId="0" xfId="1" applyNumberFormat="1" applyFont="1" applyAlignment="1">
      <alignment horizontal="left" indent="1"/>
    </xf>
    <xf numFmtId="3" fontId="31" fillId="0" borderId="0" xfId="1" applyNumberFormat="1" applyFont="1"/>
    <xf numFmtId="3" fontId="31" fillId="0" borderId="0" xfId="1" applyNumberFormat="1" applyFont="1" applyBorder="1"/>
    <xf numFmtId="3" fontId="1" fillId="0" borderId="7" xfId="1" applyNumberFormat="1" applyFont="1" applyBorder="1"/>
    <xf numFmtId="3" fontId="31" fillId="0" borderId="4" xfId="1" applyNumberFormat="1" applyFont="1" applyBorder="1"/>
    <xf numFmtId="0" fontId="0" fillId="0" borderId="7" xfId="0" applyBorder="1"/>
    <xf numFmtId="0" fontId="36" fillId="0" borderId="0" xfId="6" applyFont="1" applyAlignment="1">
      <alignment horizontal="left"/>
      <protection locked="0"/>
    </xf>
    <xf numFmtId="0" fontId="37" fillId="0" borderId="0" xfId="7">
      <protection locked="0"/>
    </xf>
    <xf numFmtId="170" fontId="34" fillId="0" borderId="0" xfId="8" applyNumberFormat="1" applyFont="1">
      <protection locked="0"/>
    </xf>
    <xf numFmtId="0" fontId="39" fillId="0" borderId="0" xfId="6" applyFont="1">
      <protection locked="0"/>
    </xf>
    <xf numFmtId="0" fontId="36" fillId="0" borderId="0" xfId="6" applyFont="1">
      <protection locked="0"/>
    </xf>
    <xf numFmtId="0" fontId="11" fillId="0" borderId="0" xfId="7" applyFont="1">
      <protection locked="0"/>
    </xf>
    <xf numFmtId="0" fontId="11" fillId="0" borderId="7" xfId="9" applyFont="1">
      <protection locked="0"/>
    </xf>
    <xf numFmtId="0" fontId="37" fillId="0" borderId="7" xfId="9">
      <protection locked="0"/>
    </xf>
    <xf numFmtId="0" fontId="39" fillId="0" borderId="7" xfId="6" applyFont="1" applyBorder="1">
      <protection locked="0"/>
    </xf>
    <xf numFmtId="0" fontId="37" fillId="0" borderId="0" xfId="6" applyFont="1">
      <protection locked="0"/>
    </xf>
    <xf numFmtId="170" fontId="37" fillId="0" borderId="0" xfId="10" applyNumberFormat="1" applyFont="1" applyAlignment="1">
      <alignment wrapText="1"/>
      <protection locked="0"/>
    </xf>
    <xf numFmtId="171" fontId="36" fillId="0" borderId="0" xfId="11" applyFont="1" applyAlignment="1">
      <alignment horizontal="left"/>
    </xf>
    <xf numFmtId="0" fontId="42" fillId="0" borderId="0" xfId="12" applyFont="1" applyAlignment="1">
      <alignment horizontal="center" vertical="center" wrapText="1"/>
      <protection locked="0"/>
    </xf>
    <xf numFmtId="0" fontId="11" fillId="0" borderId="0" xfId="12" applyFont="1" applyAlignment="1">
      <alignment horizontal="center" vertical="center" wrapText="1"/>
      <protection locked="0"/>
    </xf>
    <xf numFmtId="171" fontId="36" fillId="0" borderId="0" xfId="11" applyFont="1"/>
    <xf numFmtId="0" fontId="37" fillId="0" borderId="0" xfId="12" applyFont="1">
      <alignment horizontal="center"/>
      <protection locked="0"/>
    </xf>
    <xf numFmtId="0" fontId="36" fillId="0" borderId="0" xfId="13" applyFont="1" applyAlignment="1">
      <alignment horizontal="left"/>
      <protection locked="0"/>
    </xf>
    <xf numFmtId="0" fontId="13" fillId="0" borderId="0" xfId="13" applyFont="1" applyAlignment="1">
      <alignment vertical="center"/>
      <protection locked="0"/>
    </xf>
    <xf numFmtId="3" fontId="11" fillId="0" borderId="0" xfId="14" applyNumberFormat="1" applyFont="1"/>
    <xf numFmtId="0" fontId="13" fillId="0" borderId="0" xfId="13" applyFont="1" applyAlignment="1">
      <alignment horizontal="left" vertical="center" wrapText="1" indent="1"/>
      <protection locked="0"/>
    </xf>
    <xf numFmtId="3" fontId="13" fillId="0" borderId="0" xfId="14" applyNumberFormat="1" applyFont="1"/>
    <xf numFmtId="3" fontId="11" fillId="0" borderId="4" xfId="14" applyNumberFormat="1" applyFont="1" applyBorder="1"/>
    <xf numFmtId="0" fontId="39" fillId="0" borderId="0" xfId="13" applyFont="1" applyAlignment="1">
      <alignment horizontal="left" vertical="center" wrapText="1" indent="1"/>
      <protection locked="0"/>
    </xf>
    <xf numFmtId="41" fontId="13" fillId="0" borderId="0" xfId="14" applyNumberFormat="1" applyFont="1"/>
    <xf numFmtId="171" fontId="39" fillId="0" borderId="0" xfId="11" applyFont="1"/>
    <xf numFmtId="0" fontId="39" fillId="0" borderId="0" xfId="13" applyFont="1">
      <protection locked="0"/>
    </xf>
    <xf numFmtId="171" fontId="45" fillId="0" borderId="0" xfId="15" applyFont="1" applyAlignment="1">
      <alignment vertical="top"/>
    </xf>
    <xf numFmtId="171" fontId="36" fillId="0" borderId="8" xfId="15" applyFont="1" applyBorder="1" applyAlignment="1">
      <alignment vertical="top"/>
    </xf>
    <xf numFmtId="0" fontId="46" fillId="0" borderId="0" xfId="5" applyFont="1"/>
    <xf numFmtId="0" fontId="13" fillId="0" borderId="0" xfId="13" applyFont="1" applyProtection="1"/>
    <xf numFmtId="0" fontId="47" fillId="0" borderId="0" xfId="6" applyFont="1" applyProtection="1"/>
    <xf numFmtId="0" fontId="48" fillId="0" borderId="0" xfId="13" applyFont="1" applyAlignment="1">
      <alignment horizontal="left" wrapText="1"/>
      <protection locked="0"/>
    </xf>
    <xf numFmtId="0" fontId="48" fillId="0" borderId="0" xfId="13" applyFont="1" applyAlignment="1">
      <alignment vertical="justify"/>
      <protection locked="0"/>
    </xf>
    <xf numFmtId="0" fontId="48" fillId="0" borderId="0" xfId="13" applyFont="1" applyAlignment="1">
      <alignment horizontal="left" vertical="justify"/>
      <protection locked="0"/>
    </xf>
    <xf numFmtId="171" fontId="47" fillId="0" borderId="0" xfId="11" applyFont="1"/>
    <xf numFmtId="171" fontId="47" fillId="0" borderId="0" xfId="11" applyFont="1" applyAlignment="1">
      <alignment horizontal="left"/>
    </xf>
    <xf numFmtId="0" fontId="29" fillId="0" borderId="0" xfId="0" applyFont="1" applyAlignment="1">
      <alignment horizontal="center"/>
    </xf>
    <xf numFmtId="0" fontId="3" fillId="0" borderId="0" xfId="0" applyFont="1" applyAlignment="1">
      <alignment horizontal="center"/>
    </xf>
    <xf numFmtId="0" fontId="49" fillId="0" borderId="0" xfId="0" applyFont="1"/>
    <xf numFmtId="0" fontId="0" fillId="0" borderId="0" xfId="0" applyAlignment="1">
      <alignment horizontal="right"/>
    </xf>
    <xf numFmtId="0" fontId="0" fillId="0" borderId="0" xfId="0" applyAlignment="1">
      <alignment vertical="center"/>
    </xf>
    <xf numFmtId="3" fontId="0" fillId="0" borderId="7" xfId="0" applyNumberFormat="1" applyBorder="1"/>
    <xf numFmtId="3" fontId="3" fillId="0" borderId="0" xfId="0" applyNumberFormat="1" applyFont="1"/>
    <xf numFmtId="0" fontId="51" fillId="9" borderId="0" xfId="16" applyFont="1" applyFill="1" applyAlignment="1">
      <alignment horizontal="center" vertical="center"/>
    </xf>
    <xf numFmtId="0" fontId="51" fillId="9" borderId="0" xfId="16" applyFont="1" applyFill="1" applyAlignment="1">
      <alignment horizontal="center" vertical="center" wrapText="1"/>
    </xf>
    <xf numFmtId="0" fontId="51" fillId="10" borderId="0" xfId="16" applyFont="1" applyFill="1" applyAlignment="1">
      <alignment horizontal="center" vertical="center"/>
    </xf>
    <xf numFmtId="0" fontId="50" fillId="0" borderId="0" xfId="16"/>
    <xf numFmtId="0" fontId="52" fillId="0" borderId="0" xfId="16" applyFont="1"/>
    <xf numFmtId="1" fontId="52" fillId="0" borderId="0" xfId="16" applyNumberFormat="1" applyFont="1" applyAlignment="1">
      <alignment horizontal="right"/>
    </xf>
    <xf numFmtId="3" fontId="52" fillId="0" borderId="0" xfId="16" applyNumberFormat="1" applyFont="1" applyAlignment="1">
      <alignment horizontal="right"/>
    </xf>
    <xf numFmtId="22" fontId="52" fillId="0" borderId="0" xfId="16" applyNumberFormat="1" applyFont="1"/>
    <xf numFmtId="0" fontId="51" fillId="2" borderId="0" xfId="16" applyFont="1" applyFill="1" applyAlignment="1">
      <alignment horizontal="center" vertical="center" wrapText="1"/>
    </xf>
    <xf numFmtId="167" fontId="13" fillId="0" borderId="2" xfId="4" applyNumberFormat="1" applyFont="1" applyFill="1" applyBorder="1" applyProtection="1">
      <protection locked="0"/>
    </xf>
    <xf numFmtId="164" fontId="13" fillId="0" borderId="2" xfId="4" applyNumberFormat="1" applyFont="1" applyFill="1" applyBorder="1" applyProtection="1">
      <protection locked="0"/>
    </xf>
    <xf numFmtId="0" fontId="51" fillId="2" borderId="0" xfId="16" applyFont="1" applyFill="1" applyAlignment="1">
      <alignment horizontal="center" vertical="center"/>
    </xf>
    <xf numFmtId="38" fontId="0" fillId="0" borderId="7" xfId="0" applyNumberFormat="1" applyBorder="1"/>
    <xf numFmtId="0" fontId="32" fillId="0" borderId="0" xfId="3" applyFont="1"/>
    <xf numFmtId="0" fontId="54" fillId="0" borderId="0" xfId="17"/>
    <xf numFmtId="0" fontId="55" fillId="3" borderId="9" xfId="17" applyFont="1" applyFill="1" applyBorder="1" applyAlignment="1">
      <alignment horizontal="center" vertical="top" wrapText="1"/>
    </xf>
    <xf numFmtId="4" fontId="52" fillId="0" borderId="0" xfId="16" applyNumberFormat="1" applyFont="1" applyAlignment="1">
      <alignment horizontal="right"/>
    </xf>
    <xf numFmtId="0" fontId="52" fillId="0" borderId="0" xfId="0" applyFont="1"/>
    <xf numFmtId="1" fontId="52" fillId="0" borderId="0" xfId="0" applyNumberFormat="1" applyFont="1" applyAlignment="1">
      <alignment horizontal="right"/>
    </xf>
    <xf numFmtId="22" fontId="52" fillId="0" borderId="0" xfId="0" applyNumberFormat="1" applyFont="1"/>
    <xf numFmtId="4" fontId="52" fillId="0" borderId="0" xfId="0" applyNumberFormat="1" applyFont="1" applyAlignment="1">
      <alignment horizontal="right"/>
    </xf>
    <xf numFmtId="3" fontId="52" fillId="0" borderId="0" xfId="0" applyNumberFormat="1" applyFont="1" applyAlignment="1">
      <alignment horizontal="right"/>
    </xf>
    <xf numFmtId="0" fontId="50" fillId="2" borderId="0" xfId="16" applyFill="1"/>
    <xf numFmtId="0" fontId="51" fillId="6" borderId="0" xfId="16" applyFont="1" applyFill="1" applyAlignment="1">
      <alignment horizontal="center" vertical="center"/>
    </xf>
    <xf numFmtId="4" fontId="51" fillId="0" borderId="4" xfId="16" applyNumberFormat="1" applyFont="1" applyBorder="1" applyAlignment="1">
      <alignment horizontal="right"/>
    </xf>
    <xf numFmtId="1" fontId="51" fillId="0" borderId="4" xfId="16" applyNumberFormat="1" applyFont="1" applyBorder="1" applyAlignment="1">
      <alignment horizontal="right"/>
    </xf>
    <xf numFmtId="4" fontId="51" fillId="0" borderId="4" xfId="0" applyNumberFormat="1" applyFont="1" applyBorder="1" applyAlignment="1">
      <alignment horizontal="right"/>
    </xf>
    <xf numFmtId="0" fontId="56" fillId="0" borderId="0" xfId="0" applyFont="1" applyAlignment="1">
      <alignment vertical="center"/>
    </xf>
    <xf numFmtId="0" fontId="57" fillId="0" borderId="0" xfId="3" applyFont="1"/>
    <xf numFmtId="0" fontId="58" fillId="0" borderId="0" xfId="3" applyFont="1" applyAlignment="1">
      <alignment vertical="center"/>
    </xf>
    <xf numFmtId="0" fontId="57" fillId="0" borderId="0" xfId="0" applyFont="1" applyAlignment="1">
      <alignment horizontal="left" vertical="center"/>
    </xf>
    <xf numFmtId="4" fontId="59" fillId="0" borderId="0" xfId="0" applyNumberFormat="1" applyFont="1"/>
    <xf numFmtId="0" fontId="17" fillId="0" borderId="0" xfId="1" applyNumberFormat="1" applyFont="1" applyAlignment="1">
      <alignment horizontal="left" vertical="center"/>
    </xf>
    <xf numFmtId="4" fontId="25" fillId="0" borderId="0" xfId="0" applyNumberFormat="1" applyFont="1"/>
    <xf numFmtId="173" fontId="54" fillId="0" borderId="0" xfId="17" applyNumberFormat="1"/>
    <xf numFmtId="167" fontId="11" fillId="0" borderId="0" xfId="4" applyNumberFormat="1" applyFont="1" applyBorder="1" applyProtection="1">
      <protection locked="0"/>
    </xf>
    <xf numFmtId="0" fontId="8" fillId="5" borderId="0" xfId="3" applyFill="1"/>
    <xf numFmtId="0" fontId="13" fillId="5" borderId="0" xfId="3" applyFont="1" applyFill="1"/>
    <xf numFmtId="167" fontId="13" fillId="5" borderId="0" xfId="4" applyNumberFormat="1" applyFont="1" applyFill="1" applyBorder="1" applyProtection="1">
      <protection locked="0"/>
    </xf>
    <xf numFmtId="164" fontId="13" fillId="5" borderId="0" xfId="4" applyNumberFormat="1" applyFont="1" applyFill="1" applyBorder="1" applyProtection="1">
      <protection locked="0"/>
    </xf>
    <xf numFmtId="3" fontId="8" fillId="5" borderId="0" xfId="3" applyNumberFormat="1" applyFill="1"/>
    <xf numFmtId="0" fontId="13" fillId="0" borderId="1" xfId="3" applyFont="1" applyBorder="1"/>
    <xf numFmtId="167" fontId="13" fillId="0" borderId="1" xfId="4" applyNumberFormat="1" applyFont="1" applyBorder="1" applyProtection="1">
      <protection locked="0"/>
    </xf>
    <xf numFmtId="164" fontId="11" fillId="0" borderId="0" xfId="4" applyNumberFormat="1" applyFont="1" applyBorder="1" applyProtection="1">
      <protection locked="0"/>
    </xf>
    <xf numFmtId="0" fontId="61" fillId="11" borderId="9" xfId="18" applyFont="1" applyFill="1" applyBorder="1" applyAlignment="1">
      <alignment horizontal="left" vertical="top" wrapText="1"/>
    </xf>
    <xf numFmtId="0" fontId="61" fillId="11" borderId="9" xfId="18" applyFont="1" applyFill="1" applyBorder="1" applyAlignment="1">
      <alignment horizontal="center" vertical="top" wrapText="1"/>
    </xf>
    <xf numFmtId="0" fontId="60" fillId="0" borderId="0" xfId="18"/>
    <xf numFmtId="0" fontId="62" fillId="0" borderId="9" xfId="18" applyFont="1" applyBorder="1" applyAlignment="1">
      <alignment horizontal="left" vertical="top" wrapText="1"/>
    </xf>
    <xf numFmtId="0" fontId="62" fillId="0" borderId="9" xfId="18" applyFont="1" applyBorder="1" applyAlignment="1">
      <alignment horizontal="center" vertical="top" wrapText="1"/>
    </xf>
    <xf numFmtId="0" fontId="63" fillId="2" borderId="9" xfId="18" applyFont="1" applyFill="1" applyBorder="1" applyAlignment="1">
      <alignment horizontal="left" vertical="top" wrapText="1"/>
    </xf>
    <xf numFmtId="0" fontId="63" fillId="2" borderId="9" xfId="18" applyFont="1" applyFill="1" applyBorder="1" applyAlignment="1">
      <alignment horizontal="center" vertical="top" wrapText="1"/>
    </xf>
    <xf numFmtId="0" fontId="20" fillId="4" borderId="0" xfId="0" applyFont="1" applyFill="1" applyAlignment="1">
      <alignment vertical="center"/>
    </xf>
    <xf numFmtId="4" fontId="51" fillId="9" borderId="0" xfId="16" applyNumberFormat="1" applyFont="1" applyFill="1" applyAlignment="1">
      <alignment horizontal="center" vertical="center"/>
    </xf>
    <xf numFmtId="4" fontId="53" fillId="2" borderId="0" xfId="16" applyNumberFormat="1" applyFont="1" applyFill="1" applyAlignment="1">
      <alignment horizontal="right"/>
    </xf>
    <xf numFmtId="3" fontId="51" fillId="10" borderId="0" xfId="16" applyNumberFormat="1" applyFont="1" applyFill="1" applyAlignment="1">
      <alignment horizontal="center" vertical="center" wrapText="1"/>
    </xf>
    <xf numFmtId="4" fontId="0" fillId="0" borderId="0" xfId="0" applyNumberFormat="1" applyProtection="1">
      <protection locked="0"/>
    </xf>
    <xf numFmtId="0" fontId="65" fillId="0" borderId="0" xfId="0" applyFont="1"/>
    <xf numFmtId="7" fontId="54" fillId="0" borderId="0" xfId="17" applyNumberFormat="1"/>
    <xf numFmtId="4" fontId="19" fillId="2" borderId="0" xfId="0" applyNumberFormat="1" applyFont="1" applyFill="1"/>
    <xf numFmtId="3" fontId="0" fillId="2" borderId="0" xfId="0" applyNumberFormat="1" applyFill="1"/>
    <xf numFmtId="38" fontId="26" fillId="0" borderId="0" xfId="0" applyNumberFormat="1" applyFont="1" applyAlignment="1">
      <alignment horizontal="center"/>
    </xf>
    <xf numFmtId="0" fontId="13" fillId="4" borderId="0" xfId="3" applyFont="1" applyFill="1"/>
    <xf numFmtId="0" fontId="0" fillId="12" borderId="0" xfId="0" applyFill="1" applyAlignment="1">
      <alignment horizontal="center"/>
    </xf>
    <xf numFmtId="0" fontId="0" fillId="7" borderId="0" xfId="0" applyFill="1" applyAlignment="1">
      <alignment horizontal="center"/>
    </xf>
    <xf numFmtId="0" fontId="0" fillId="6" borderId="0" xfId="0" applyFill="1" applyAlignment="1">
      <alignment horizontal="center"/>
    </xf>
    <xf numFmtId="167" fontId="13" fillId="13" borderId="2" xfId="4" applyNumberFormat="1" applyFont="1" applyFill="1" applyBorder="1" applyProtection="1">
      <protection locked="0"/>
    </xf>
    <xf numFmtId="2" fontId="52" fillId="0" borderId="0" xfId="0" applyNumberFormat="1" applyFont="1" applyAlignment="1">
      <alignment horizontal="right"/>
    </xf>
    <xf numFmtId="0" fontId="66" fillId="0" borderId="0" xfId="0" applyFont="1" applyAlignment="1">
      <alignment horizontal="center" vertical="center"/>
    </xf>
    <xf numFmtId="0" fontId="32" fillId="0" borderId="0" xfId="0" applyFont="1" applyAlignment="1">
      <alignment horizontal="center" vertical="center"/>
    </xf>
    <xf numFmtId="0" fontId="32" fillId="0" borderId="0" xfId="0" applyFont="1" applyAlignment="1">
      <alignment vertical="center"/>
    </xf>
    <xf numFmtId="4" fontId="54" fillId="0" borderId="0" xfId="17" applyNumberFormat="1"/>
    <xf numFmtId="0" fontId="67" fillId="0" borderId="9" xfId="17" applyFont="1" applyBorder="1" applyAlignment="1">
      <alignment horizontal="left" vertical="top" wrapText="1"/>
    </xf>
    <xf numFmtId="0" fontId="67" fillId="0" borderId="9" xfId="17" applyFont="1" applyBorder="1" applyAlignment="1">
      <alignment horizontal="right" vertical="top" wrapText="1"/>
    </xf>
    <xf numFmtId="7" fontId="67" fillId="0" borderId="9" xfId="17" applyNumberFormat="1" applyFont="1" applyBorder="1" applyAlignment="1">
      <alignment horizontal="right" vertical="top" wrapText="1"/>
    </xf>
    <xf numFmtId="3" fontId="0" fillId="0" borderId="0" xfId="0" applyNumberFormat="1" applyAlignment="1">
      <alignment wrapText="1"/>
    </xf>
    <xf numFmtId="0" fontId="0" fillId="0" borderId="7" xfId="0" applyBorder="1" applyAlignment="1">
      <alignment horizontal="center" vertical="center"/>
    </xf>
    <xf numFmtId="0" fontId="4" fillId="0" borderId="7" xfId="0" applyFont="1" applyBorder="1" applyAlignment="1">
      <alignment horizontal="center" vertical="center"/>
    </xf>
    <xf numFmtId="0" fontId="4" fillId="0" borderId="7" xfId="0" applyFont="1" applyBorder="1" applyAlignment="1">
      <alignment horizontal="center" vertical="center" wrapText="1"/>
    </xf>
    <xf numFmtId="0" fontId="29" fillId="0" borderId="7" xfId="0" applyFont="1" applyBorder="1" applyAlignment="1">
      <alignment horizontal="center" vertical="center" wrapText="1"/>
    </xf>
    <xf numFmtId="0" fontId="72" fillId="0" borderId="0" xfId="0" applyFont="1" applyAlignment="1">
      <alignment horizontal="center"/>
    </xf>
    <xf numFmtId="0" fontId="52" fillId="7" borderId="0" xfId="0" applyFont="1" applyFill="1"/>
    <xf numFmtId="0" fontId="0" fillId="7" borderId="0" xfId="0" applyFill="1"/>
    <xf numFmtId="2" fontId="52" fillId="7" borderId="0" xfId="0" applyNumberFormat="1" applyFont="1" applyFill="1" applyAlignment="1">
      <alignment horizontal="right"/>
    </xf>
    <xf numFmtId="22" fontId="52" fillId="7" borderId="0" xfId="0" applyNumberFormat="1" applyFont="1" applyFill="1"/>
    <xf numFmtId="1" fontId="52" fillId="7" borderId="0" xfId="0" applyNumberFormat="1" applyFont="1" applyFill="1" applyAlignment="1">
      <alignment horizontal="right"/>
    </xf>
    <xf numFmtId="0" fontId="50" fillId="7" borderId="0" xfId="16" applyFill="1"/>
    <xf numFmtId="0" fontId="51" fillId="9" borderId="0" xfId="0" applyFont="1" applyFill="1"/>
    <xf numFmtId="4" fontId="53" fillId="7" borderId="0" xfId="16" applyNumberFormat="1" applyFont="1" applyFill="1" applyAlignment="1">
      <alignment horizontal="right"/>
    </xf>
    <xf numFmtId="14" fontId="52" fillId="0" borderId="0" xfId="0" applyNumberFormat="1" applyFont="1"/>
    <xf numFmtId="1" fontId="53" fillId="7" borderId="0" xfId="16" applyNumberFormat="1" applyFont="1" applyFill="1" applyAlignment="1">
      <alignment horizontal="right"/>
    </xf>
    <xf numFmtId="1" fontId="53" fillId="2" borderId="0" xfId="16" applyNumberFormat="1" applyFont="1" applyFill="1" applyAlignment="1">
      <alignment horizontal="right"/>
    </xf>
    <xf numFmtId="1" fontId="50" fillId="0" borderId="0" xfId="16" applyNumberFormat="1"/>
    <xf numFmtId="3" fontId="52" fillId="7" borderId="0" xfId="0" applyNumberFormat="1" applyFont="1" applyFill="1" applyAlignment="1">
      <alignment horizontal="right"/>
    </xf>
    <xf numFmtId="3" fontId="50" fillId="0" borderId="0" xfId="16" applyNumberFormat="1"/>
    <xf numFmtId="2" fontId="73" fillId="0" borderId="4" xfId="0" applyNumberFormat="1" applyFont="1" applyBorder="1" applyAlignment="1">
      <alignment horizontal="right"/>
    </xf>
    <xf numFmtId="1" fontId="73" fillId="0" borderId="4" xfId="0" applyNumberFormat="1" applyFont="1" applyBorder="1" applyAlignment="1">
      <alignment horizontal="right"/>
    </xf>
    <xf numFmtId="4" fontId="73" fillId="0" borderId="4" xfId="0" applyNumberFormat="1" applyFont="1" applyBorder="1" applyAlignment="1">
      <alignment horizontal="right"/>
    </xf>
    <xf numFmtId="4" fontId="50" fillId="0" borderId="0" xfId="16" applyNumberFormat="1"/>
    <xf numFmtId="9" fontId="0" fillId="0" borderId="0" xfId="0" applyNumberFormat="1"/>
    <xf numFmtId="38" fontId="0" fillId="7" borderId="0" xfId="0" applyNumberFormat="1" applyFill="1"/>
    <xf numFmtId="38" fontId="0" fillId="14" borderId="0" xfId="0" applyNumberFormat="1" applyFill="1"/>
    <xf numFmtId="9" fontId="4" fillId="0" borderId="0" xfId="2" applyFont="1" applyAlignment="1">
      <alignment horizontal="center"/>
    </xf>
    <xf numFmtId="0" fontId="74" fillId="0" borderId="0" xfId="0" applyFont="1"/>
    <xf numFmtId="0" fontId="74" fillId="0" borderId="0" xfId="0" applyFont="1" applyAlignment="1">
      <alignment horizontal="center"/>
    </xf>
    <xf numFmtId="0" fontId="3" fillId="3" borderId="0" xfId="0" applyFont="1" applyFill="1"/>
    <xf numFmtId="38" fontId="3" fillId="3" borderId="0" xfId="0" applyNumberFormat="1" applyFont="1" applyFill="1"/>
    <xf numFmtId="3" fontId="54" fillId="0" borderId="0" xfId="17" applyNumberFormat="1"/>
    <xf numFmtId="3" fontId="64" fillId="0" borderId="0" xfId="0" applyNumberFormat="1" applyFont="1"/>
    <xf numFmtId="4" fontId="8" fillId="0" borderId="0" xfId="3" applyNumberFormat="1"/>
    <xf numFmtId="9" fontId="0" fillId="0" borderId="0" xfId="0" applyNumberFormat="1" applyAlignment="1">
      <alignment horizontal="right"/>
    </xf>
    <xf numFmtId="3" fontId="1" fillId="0" borderId="0" xfId="0" applyNumberFormat="1" applyFont="1" applyAlignment="1">
      <alignment vertical="center"/>
    </xf>
    <xf numFmtId="3" fontId="1" fillId="4" borderId="0" xfId="1" applyNumberFormat="1" applyFont="1" applyFill="1"/>
    <xf numFmtId="0" fontId="1" fillId="15" borderId="0" xfId="0" applyFont="1" applyFill="1" applyAlignment="1">
      <alignment horizontal="left" vertical="center"/>
    </xf>
    <xf numFmtId="3" fontId="1" fillId="15" borderId="0" xfId="1" applyNumberFormat="1" applyFont="1" applyFill="1"/>
    <xf numFmtId="3" fontId="17" fillId="0" borderId="0" xfId="1" applyNumberFormat="1" applyFont="1"/>
    <xf numFmtId="0" fontId="4" fillId="2" borderId="0" xfId="0" applyFont="1" applyFill="1" applyAlignment="1">
      <alignment horizontal="center"/>
    </xf>
    <xf numFmtId="0" fontId="75" fillId="0" borderId="0" xfId="19" applyAlignment="1">
      <alignment vertical="center"/>
    </xf>
    <xf numFmtId="0" fontId="1" fillId="0" borderId="0" xfId="0" applyFont="1" applyAlignment="1">
      <alignment vertical="center" wrapText="1"/>
    </xf>
    <xf numFmtId="38" fontId="29" fillId="0" borderId="6" xfId="0" applyNumberFormat="1" applyFont="1" applyBorder="1"/>
    <xf numFmtId="38" fontId="0" fillId="0" borderId="6" xfId="0" applyNumberFormat="1" applyBorder="1"/>
    <xf numFmtId="0" fontId="0" fillId="0" borderId="6" xfId="0" applyBorder="1"/>
    <xf numFmtId="38" fontId="3" fillId="0" borderId="0" xfId="0" applyNumberFormat="1" applyFont="1" applyAlignment="1">
      <alignment horizontal="center"/>
    </xf>
    <xf numFmtId="7" fontId="67" fillId="2" borderId="9" xfId="17" applyNumberFormat="1" applyFont="1" applyFill="1" applyBorder="1" applyAlignment="1">
      <alignment horizontal="right" vertical="top" wrapText="1"/>
    </xf>
    <xf numFmtId="4" fontId="52" fillId="2" borderId="0" xfId="0" applyNumberFormat="1" applyFont="1" applyFill="1" applyAlignment="1">
      <alignment horizontal="right"/>
    </xf>
    <xf numFmtId="0" fontId="76" fillId="0" borderId="0" xfId="20"/>
    <xf numFmtId="0" fontId="0" fillId="0" borderId="0" xfId="0" applyAlignment="1">
      <alignment wrapText="1"/>
    </xf>
    <xf numFmtId="4" fontId="77" fillId="0" borderId="0" xfId="0" applyNumberFormat="1" applyFont="1"/>
    <xf numFmtId="4" fontId="77" fillId="2" borderId="0" xfId="0" applyNumberFormat="1" applyFont="1" applyFill="1"/>
    <xf numFmtId="10" fontId="19" fillId="0" borderId="0" xfId="2" applyNumberFormat="1" applyFont="1"/>
    <xf numFmtId="0" fontId="75" fillId="0" borderId="0" xfId="19"/>
    <xf numFmtId="0" fontId="78" fillId="0" borderId="0" xfId="0" applyFont="1"/>
    <xf numFmtId="38" fontId="0" fillId="2" borderId="0" xfId="0" applyNumberFormat="1" applyFill="1"/>
    <xf numFmtId="0" fontId="29" fillId="0" borderId="1" xfId="0" applyFont="1" applyBorder="1"/>
    <xf numFmtId="0" fontId="0" fillId="0" borderId="1" xfId="0" applyBorder="1"/>
    <xf numFmtId="38" fontId="29" fillId="0" borderId="1" xfId="0" applyNumberFormat="1" applyFont="1" applyBorder="1"/>
    <xf numFmtId="0" fontId="55" fillId="3" borderId="9" xfId="21" applyFont="1" applyFill="1" applyBorder="1" applyAlignment="1">
      <alignment horizontal="center" vertical="top" wrapText="1"/>
    </xf>
    <xf numFmtId="0" fontId="13" fillId="0" borderId="0" xfId="21"/>
    <xf numFmtId="0" fontId="67" fillId="0" borderId="9" xfId="21" applyFont="1" applyBorder="1" applyAlignment="1">
      <alignment horizontal="left" vertical="top" wrapText="1"/>
    </xf>
    <xf numFmtId="0" fontId="67" fillId="0" borderId="9" xfId="21" applyFont="1" applyBorder="1" applyAlignment="1">
      <alignment horizontal="right" vertical="top" wrapText="1"/>
    </xf>
    <xf numFmtId="7" fontId="67" fillId="0" borderId="9" xfId="21" applyNumberFormat="1" applyFont="1" applyBorder="1" applyAlignment="1">
      <alignment horizontal="right" vertical="top" wrapText="1"/>
    </xf>
    <xf numFmtId="4" fontId="13" fillId="0" borderId="0" xfId="21" applyNumberFormat="1"/>
    <xf numFmtId="173" fontId="13" fillId="0" borderId="0" xfId="21" applyNumberFormat="1"/>
    <xf numFmtId="7" fontId="13" fillId="2" borderId="0" xfId="21" applyNumberFormat="1" applyFill="1"/>
    <xf numFmtId="7" fontId="13" fillId="0" borderId="0" xfId="21" applyNumberFormat="1"/>
    <xf numFmtId="0" fontId="67" fillId="2" borderId="9" xfId="21" applyFont="1" applyFill="1" applyBorder="1" applyAlignment="1">
      <alignment horizontal="left" vertical="top" wrapText="1"/>
    </xf>
    <xf numFmtId="0" fontId="67" fillId="2" borderId="9" xfId="21" applyFont="1" applyFill="1" applyBorder="1" applyAlignment="1">
      <alignment horizontal="right" vertical="top" wrapText="1"/>
    </xf>
    <xf numFmtId="7" fontId="67" fillId="2" borderId="9" xfId="21" applyNumberFormat="1" applyFont="1" applyFill="1" applyBorder="1" applyAlignment="1">
      <alignment horizontal="right" vertical="top" wrapText="1"/>
    </xf>
    <xf numFmtId="0" fontId="0" fillId="18" borderId="0" xfId="0" applyFill="1"/>
    <xf numFmtId="0" fontId="18" fillId="0" borderId="0" xfId="0" applyFont="1" applyAlignment="1">
      <alignment horizontal="center" vertical="center" wrapText="1"/>
    </xf>
    <xf numFmtId="0" fontId="12" fillId="0" borderId="0" xfId="3" applyFont="1" applyAlignment="1">
      <alignment vertical="center" wrapText="1"/>
    </xf>
    <xf numFmtId="4" fontId="19" fillId="0" borderId="0" xfId="0" applyNumberFormat="1" applyFont="1" applyAlignment="1">
      <alignment vertical="center"/>
    </xf>
    <xf numFmtId="0" fontId="0" fillId="0" borderId="0" xfId="0" applyAlignment="1">
      <alignment vertical="center" wrapText="1"/>
    </xf>
    <xf numFmtId="0" fontId="79" fillId="18" borderId="0" xfId="0" applyFont="1" applyFill="1" applyAlignment="1">
      <alignment vertical="center" wrapText="1"/>
    </xf>
    <xf numFmtId="0" fontId="80" fillId="17" borderId="10" xfId="0" applyFont="1" applyFill="1" applyBorder="1" applyAlignment="1">
      <alignment horizontal="left" vertical="center" wrapText="1"/>
    </xf>
    <xf numFmtId="0" fontId="0" fillId="20" borderId="10" xfId="0" applyFill="1" applyBorder="1" applyAlignment="1">
      <alignment vertical="center"/>
    </xf>
    <xf numFmtId="0" fontId="80" fillId="19" borderId="2" xfId="0" applyFont="1" applyFill="1" applyBorder="1" applyAlignment="1">
      <alignment horizontal="left" vertical="center" wrapText="1"/>
    </xf>
    <xf numFmtId="0" fontId="80" fillId="17" borderId="2" xfId="0" applyFont="1" applyFill="1" applyBorder="1" applyAlignment="1">
      <alignment horizontal="left" vertical="center" wrapText="1"/>
    </xf>
    <xf numFmtId="0" fontId="80" fillId="19" borderId="14" xfId="0" applyFont="1" applyFill="1" applyBorder="1" applyAlignment="1">
      <alignment horizontal="left" vertical="center" wrapText="1"/>
    </xf>
    <xf numFmtId="3" fontId="81" fillId="16" borderId="2" xfId="0" applyNumberFormat="1" applyFont="1" applyFill="1" applyBorder="1" applyAlignment="1">
      <alignment vertical="center"/>
    </xf>
    <xf numFmtId="0" fontId="80" fillId="19" borderId="10" xfId="0" applyFont="1" applyFill="1" applyBorder="1" applyAlignment="1">
      <alignment horizontal="left" vertical="center" wrapText="1"/>
    </xf>
    <xf numFmtId="3" fontId="0" fillId="16" borderId="2" xfId="0" applyNumberFormat="1" applyFill="1" applyBorder="1" applyAlignment="1" applyProtection="1">
      <alignment vertical="center"/>
      <protection locked="0"/>
    </xf>
    <xf numFmtId="3" fontId="0" fillId="0" borderId="2" xfId="0" applyNumberFormat="1" applyBorder="1" applyAlignment="1" applyProtection="1">
      <alignment vertical="center"/>
      <protection locked="0"/>
    </xf>
    <xf numFmtId="0" fontId="80" fillId="17" borderId="14" xfId="0" applyFont="1" applyFill="1" applyBorder="1" applyAlignment="1">
      <alignment horizontal="left" vertical="center" wrapText="1"/>
    </xf>
    <xf numFmtId="0" fontId="82" fillId="19" borderId="10" xfId="0" applyFont="1" applyFill="1" applyBorder="1" applyAlignment="1">
      <alignment horizontal="left" vertical="center" wrapText="1"/>
    </xf>
    <xf numFmtId="3" fontId="0" fillId="20" borderId="10" xfId="0" applyNumberFormat="1" applyFill="1" applyBorder="1" applyAlignment="1">
      <alignment vertical="center"/>
    </xf>
    <xf numFmtId="3" fontId="81" fillId="0" borderId="2" xfId="0" applyNumberFormat="1" applyFont="1" applyBorder="1" applyAlignment="1">
      <alignment vertical="center"/>
    </xf>
    <xf numFmtId="3" fontId="81" fillId="16" borderId="14" xfId="0" applyNumberFormat="1" applyFont="1" applyFill="1" applyBorder="1" applyAlignment="1">
      <alignment vertical="center"/>
    </xf>
    <xf numFmtId="3" fontId="29" fillId="0" borderId="0" xfId="0" applyNumberFormat="1" applyFont="1" applyAlignment="1">
      <alignment horizontal="center"/>
    </xf>
    <xf numFmtId="4" fontId="29" fillId="0" borderId="1" xfId="0" applyNumberFormat="1" applyFont="1" applyBorder="1"/>
    <xf numFmtId="3" fontId="29" fillId="0" borderId="1" xfId="0" applyNumberFormat="1" applyFont="1" applyBorder="1"/>
    <xf numFmtId="0" fontId="83" fillId="0" borderId="0" xfId="0" applyFont="1" applyAlignment="1">
      <alignment horizontal="center"/>
    </xf>
    <xf numFmtId="3" fontId="29" fillId="0" borderId="12" xfId="0" applyNumberFormat="1" applyFont="1" applyBorder="1"/>
    <xf numFmtId="3" fontId="29" fillId="0" borderId="4" xfId="0" applyNumberFormat="1" applyFont="1" applyBorder="1"/>
    <xf numFmtId="0" fontId="82" fillId="19" borderId="10" xfId="0" applyFont="1" applyFill="1" applyBorder="1" applyAlignment="1">
      <alignment horizontal="center" vertical="center" wrapText="1"/>
    </xf>
    <xf numFmtId="0" fontId="51" fillId="21" borderId="0" xfId="16" applyFont="1" applyFill="1" applyAlignment="1">
      <alignment horizontal="center" vertical="center"/>
    </xf>
    <xf numFmtId="3" fontId="0" fillId="2" borderId="2" xfId="0" applyNumberFormat="1" applyFill="1" applyBorder="1" applyAlignment="1" applyProtection="1">
      <alignment vertical="center"/>
      <protection locked="0"/>
    </xf>
    <xf numFmtId="171" fontId="36" fillId="0" borderId="0" xfId="11" applyFont="1" applyAlignment="1">
      <alignment horizontal="center"/>
    </xf>
    <xf numFmtId="3" fontId="11" fillId="0" borderId="12" xfId="14" applyNumberFormat="1" applyFont="1" applyBorder="1"/>
    <xf numFmtId="0" fontId="31" fillId="0" borderId="12" xfId="0" applyFont="1" applyBorder="1" applyAlignment="1">
      <alignment horizontal="left" vertical="center"/>
    </xf>
    <xf numFmtId="3" fontId="31" fillId="0" borderId="12" xfId="1" applyNumberFormat="1" applyFont="1" applyBorder="1" applyAlignment="1">
      <alignment vertical="center"/>
    </xf>
    <xf numFmtId="0" fontId="31" fillId="0" borderId="12" xfId="0" applyFont="1" applyBorder="1" applyAlignment="1">
      <alignment vertical="center"/>
    </xf>
    <xf numFmtId="0" fontId="10" fillId="0" borderId="10" xfId="3" applyFont="1" applyBorder="1" applyAlignment="1">
      <alignment horizontal="center"/>
    </xf>
    <xf numFmtId="0" fontId="11" fillId="0" borderId="15" xfId="3" applyFont="1" applyBorder="1"/>
    <xf numFmtId="164" fontId="13" fillId="0" borderId="15" xfId="4" applyNumberFormat="1" applyFont="1" applyBorder="1" applyProtection="1">
      <protection locked="0"/>
    </xf>
    <xf numFmtId="0" fontId="11" fillId="0" borderId="10" xfId="3" applyFont="1" applyBorder="1"/>
    <xf numFmtId="164" fontId="13" fillId="0" borderId="10" xfId="4" applyNumberFormat="1" applyFont="1" applyBorder="1"/>
    <xf numFmtId="167" fontId="13" fillId="0" borderId="10" xfId="4" applyNumberFormat="1" applyFont="1" applyFill="1" applyBorder="1"/>
    <xf numFmtId="167" fontId="13" fillId="0" borderId="10" xfId="4" applyNumberFormat="1" applyFont="1" applyBorder="1"/>
    <xf numFmtId="164" fontId="13" fillId="0" borderId="10" xfId="4" applyNumberFormat="1" applyFont="1" applyFill="1" applyBorder="1"/>
    <xf numFmtId="167" fontId="11" fillId="0" borderId="10" xfId="4" applyNumberFormat="1" applyFont="1" applyFill="1" applyBorder="1"/>
    <xf numFmtId="167" fontId="11" fillId="0" borderId="10" xfId="4" applyNumberFormat="1" applyFont="1" applyBorder="1"/>
    <xf numFmtId="0" fontId="13" fillId="0" borderId="15" xfId="3" applyFont="1" applyBorder="1"/>
    <xf numFmtId="164" fontId="11" fillId="0" borderId="15" xfId="4" applyNumberFormat="1" applyFont="1" applyBorder="1"/>
    <xf numFmtId="164" fontId="11" fillId="0" borderId="10" xfId="4" applyNumberFormat="1" applyFont="1" applyBorder="1"/>
    <xf numFmtId="166" fontId="16" fillId="7" borderId="10" xfId="3" applyNumberFormat="1" applyFont="1" applyFill="1" applyBorder="1"/>
    <xf numFmtId="167" fontId="11" fillId="7" borderId="10" xfId="3" applyNumberFormat="1" applyFont="1" applyFill="1" applyBorder="1"/>
    <xf numFmtId="0" fontId="13" fillId="0" borderId="10" xfId="3" applyFont="1" applyBorder="1"/>
    <xf numFmtId="167" fontId="13" fillId="0" borderId="15" xfId="4" applyNumberFormat="1" applyFont="1" applyBorder="1" applyProtection="1">
      <protection locked="0"/>
    </xf>
    <xf numFmtId="0" fontId="71" fillId="0" borderId="12" xfId="0" applyFont="1" applyBorder="1" applyAlignment="1">
      <alignment horizontal="center" vertical="center"/>
    </xf>
    <xf numFmtId="0" fontId="68" fillId="0" borderId="12" xfId="0" applyFont="1" applyBorder="1" applyAlignment="1">
      <alignment wrapText="1"/>
    </xf>
    <xf numFmtId="3" fontId="0" fillId="0" borderId="12" xfId="0" applyNumberFormat="1" applyBorder="1" applyAlignment="1">
      <alignment vertical="center" wrapText="1"/>
    </xf>
    <xf numFmtId="3" fontId="29" fillId="0" borderId="12" xfId="0" applyNumberFormat="1" applyFont="1" applyBorder="1" applyAlignment="1">
      <alignment vertical="center" wrapText="1"/>
    </xf>
    <xf numFmtId="3" fontId="4" fillId="0" borderId="12" xfId="0" applyNumberFormat="1" applyFont="1" applyBorder="1" applyAlignment="1">
      <alignment vertical="center" wrapText="1"/>
    </xf>
    <xf numFmtId="3" fontId="3" fillId="4" borderId="12" xfId="0" applyNumberFormat="1" applyFont="1" applyFill="1" applyBorder="1" applyAlignment="1">
      <alignment horizontal="center" vertical="center" wrapText="1"/>
    </xf>
    <xf numFmtId="0" fontId="0" fillId="0" borderId="12" xfId="0" applyBorder="1" applyAlignment="1">
      <alignment wrapText="1"/>
    </xf>
    <xf numFmtId="3" fontId="4" fillId="0" borderId="0" xfId="0" applyNumberFormat="1" applyFont="1"/>
    <xf numFmtId="3" fontId="0" fillId="0" borderId="0" xfId="0" applyNumberFormat="1" applyAlignment="1">
      <alignment horizontal="right"/>
    </xf>
    <xf numFmtId="0" fontId="80" fillId="17" borderId="11" xfId="0" applyFont="1" applyFill="1" applyBorder="1" applyAlignment="1">
      <alignment horizontal="left" vertical="center" wrapText="1"/>
    </xf>
    <xf numFmtId="0" fontId="80" fillId="17" borderId="13" xfId="0" applyFont="1" applyFill="1" applyBorder="1" applyAlignment="1">
      <alignment horizontal="left" vertical="center" wrapText="1"/>
    </xf>
    <xf numFmtId="0" fontId="80" fillId="19" borderId="11" xfId="0" applyFont="1" applyFill="1" applyBorder="1" applyAlignment="1">
      <alignment horizontal="left" vertical="center"/>
    </xf>
    <xf numFmtId="0" fontId="80" fillId="19" borderId="12" xfId="0" applyFont="1" applyFill="1" applyBorder="1" applyAlignment="1">
      <alignment horizontal="left" vertical="center"/>
    </xf>
    <xf numFmtId="0" fontId="80" fillId="19" borderId="13" xfId="0" applyFont="1" applyFill="1" applyBorder="1" applyAlignment="1">
      <alignment horizontal="left" vertical="center"/>
    </xf>
    <xf numFmtId="0" fontId="80" fillId="17" borderId="11" xfId="0" applyFont="1" applyFill="1" applyBorder="1" applyAlignment="1">
      <alignment horizontal="left" vertical="center"/>
    </xf>
    <xf numFmtId="0" fontId="80" fillId="17" borderId="12" xfId="0" applyFont="1" applyFill="1" applyBorder="1" applyAlignment="1">
      <alignment horizontal="left" vertical="center"/>
    </xf>
    <xf numFmtId="0" fontId="80" fillId="17" borderId="13" xfId="0" applyFont="1" applyFill="1" applyBorder="1" applyAlignment="1">
      <alignment horizontal="left" vertical="center"/>
    </xf>
    <xf numFmtId="0" fontId="80" fillId="19" borderId="14" xfId="0" applyFont="1" applyFill="1" applyBorder="1" applyAlignment="1">
      <alignment horizontal="left" vertical="center" wrapText="1"/>
    </xf>
    <xf numFmtId="0" fontId="80" fillId="19" borderId="13" xfId="0" applyFont="1" applyFill="1" applyBorder="1" applyAlignment="1">
      <alignment horizontal="left" vertical="center" wrapText="1"/>
    </xf>
    <xf numFmtId="0" fontId="80" fillId="19" borderId="11" xfId="0" applyFont="1" applyFill="1" applyBorder="1" applyAlignment="1">
      <alignment horizontal="left" vertical="center" wrapText="1"/>
    </xf>
    <xf numFmtId="0" fontId="80" fillId="17" borderId="14" xfId="0" applyFont="1" applyFill="1" applyBorder="1" applyAlignment="1">
      <alignment horizontal="left" vertical="center" wrapText="1"/>
    </xf>
    <xf numFmtId="0" fontId="48" fillId="0" borderId="0" xfId="13" applyFont="1" applyAlignment="1">
      <alignment vertical="center" wrapText="1"/>
      <protection locked="0"/>
    </xf>
  </cellXfs>
  <cellStyles count="22">
    <cellStyle name="Centered Heading" xfId="10" xr:uid="{FAE07F5B-9AE0-43D2-AA0E-A736AB5EF3DF}"/>
    <cellStyle name="Centered Heading_Worksheet in J: MARKETING Templates D&amp;T Templates Noviembre 2002 Informe Modelo" xfId="12" xr:uid="{CF7AEDB2-7629-4115-93DA-4E7205433F63}"/>
    <cellStyle name="Comma_normal" xfId="15" xr:uid="{2C9F0527-22EC-4686-B345-7835546A6D09}"/>
    <cellStyle name="Comma_Worksheet in J: MARKETING Templates D&amp;T Templates Noviembre 2002 Informe Modelo" xfId="11" xr:uid="{A4BE7363-03A4-434F-A9F9-600FF553697E}"/>
    <cellStyle name="Company Name" xfId="8" xr:uid="{A5130AC3-04FD-4DA3-9BCA-65960935B3AC}"/>
    <cellStyle name="Heading No Underline_Worksheet in J: MARKETING Templates D&amp;T Templates Noviembre 2002 Informe Modelo" xfId="7" xr:uid="{EF187A9B-0150-41EB-9850-F14A1EA31987}"/>
    <cellStyle name="Heading With Underline_Worksheet in J: MARKETING Templates D&amp;T Templates Noviembre 2002 Informe Modelo" xfId="9" xr:uid="{C1993C0B-0C8E-4609-AA09-EC956753D8D1}"/>
    <cellStyle name="Hipervínculo" xfId="19" builtinId="8"/>
    <cellStyle name="Millares" xfId="1" builtinId="3"/>
    <cellStyle name="Millares 2" xfId="4" xr:uid="{8DC56A4E-B3C1-4F9F-AFFD-A69F871F8036}"/>
    <cellStyle name="Moneda 4" xfId="14" xr:uid="{0342FE13-D58B-41A0-B295-2F725E2985FB}"/>
    <cellStyle name="Normal" xfId="0" builtinId="0"/>
    <cellStyle name="Normal 2" xfId="16" xr:uid="{78B39C0D-667C-4CDC-8CCB-3287ABB7D1D8}"/>
    <cellStyle name="Normal 2 2" xfId="5" xr:uid="{6A33A87B-887F-4988-B1E9-709641466880}"/>
    <cellStyle name="Normal 235" xfId="13" xr:uid="{41D83AF4-2DAD-49D6-BFE9-7684C99D7F83}"/>
    <cellStyle name="Normal 3" xfId="3" xr:uid="{1B9F7BD5-D3BD-4076-8DD4-4B856ECE5C11}"/>
    <cellStyle name="Normal 4" xfId="17" xr:uid="{82BFE325-3C3B-48C1-8918-68CC85B33E4D}"/>
    <cellStyle name="Normal 4 2" xfId="21" xr:uid="{7949944F-0984-4571-8EA2-3F7DAB84A8AA}"/>
    <cellStyle name="Normal 5" xfId="18" xr:uid="{DE0EFAD8-31BF-4270-BA84-D2EF35BC147F}"/>
    <cellStyle name="Normal 6" xfId="20" xr:uid="{9C56C9EA-BF0A-4314-93C9-5F3E0155EA4D}"/>
    <cellStyle name="Normal_Worksheet in J: MARKETING Templates D&amp;T Templates Noviembre 2002 Informe Modelo" xfId="6" xr:uid="{00BE6A0F-B332-4280-BAC0-DFEBEC48FAD2}"/>
    <cellStyle name="Porcentaje" xfId="2" builtinId="5"/>
  </cellStyles>
  <dxfs count="33">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00FF00"/>
        </patternFill>
      </fill>
    </dxf>
    <dxf>
      <fill>
        <patternFill>
          <bgColor rgb="FFFFFF00"/>
        </patternFill>
      </fill>
    </dxf>
    <dxf>
      <fill>
        <patternFill>
          <bgColor rgb="FFFF3300"/>
        </patternFill>
      </fill>
    </dxf>
    <dxf>
      <fill>
        <patternFill>
          <bgColor rgb="FF92D050"/>
        </patternFill>
      </fill>
    </dxf>
    <dxf>
      <fill>
        <patternFill>
          <bgColor rgb="FFFF0000"/>
        </patternFill>
      </fill>
    </dxf>
    <dxf>
      <fill>
        <patternFill>
          <bgColor rgb="FF00FF00"/>
        </patternFill>
      </fill>
    </dxf>
    <dxf>
      <fill>
        <patternFill>
          <bgColor rgb="FFFFFF00"/>
        </patternFill>
      </fill>
    </dxf>
  </dxfs>
  <tableStyles count="0" defaultTableStyle="TableStyleMedium2" defaultPivotStyle="PivotStyleLight16"/>
  <colors>
    <mruColors>
      <color rgb="FF0000CC"/>
      <color rgb="FF00FF00"/>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990600</xdr:colOff>
      <xdr:row>316</xdr:row>
      <xdr:rowOff>76200</xdr:rowOff>
    </xdr:from>
    <xdr:to>
      <xdr:col>12</xdr:col>
      <xdr:colOff>400285</xdr:colOff>
      <xdr:row>337</xdr:row>
      <xdr:rowOff>3360</xdr:rowOff>
    </xdr:to>
    <xdr:pic>
      <xdr:nvPicPr>
        <xdr:cNvPr id="2" name="Imagen 1">
          <a:extLst>
            <a:ext uri="{FF2B5EF4-FFF2-40B4-BE49-F238E27FC236}">
              <a16:creationId xmlns:a16="http://schemas.microsoft.com/office/drawing/2014/main" id="{0D19B850-16B2-4345-9258-9E9405BD1B65}"/>
            </a:ext>
          </a:extLst>
        </xdr:cNvPr>
        <xdr:cNvPicPr>
          <a:picLocks noChangeAspect="1"/>
        </xdr:cNvPicPr>
      </xdr:nvPicPr>
      <xdr:blipFill>
        <a:blip xmlns:r="http://schemas.openxmlformats.org/officeDocument/2006/relationships" r:embed="rId1"/>
        <a:stretch>
          <a:fillRect/>
        </a:stretch>
      </xdr:blipFill>
      <xdr:spPr>
        <a:xfrm>
          <a:off x="990600" y="58955940"/>
          <a:ext cx="13344760" cy="3523800"/>
        </a:xfrm>
        <a:prstGeom prst="rect">
          <a:avLst/>
        </a:prstGeom>
      </xdr:spPr>
    </xdr:pic>
    <xdr:clientData/>
  </xdr:twoCellAnchor>
  <xdr:twoCellAnchor editAs="oneCell">
    <xdr:from>
      <xdr:col>0</xdr:col>
      <xdr:colOff>988695</xdr:colOff>
      <xdr:row>337</xdr:row>
      <xdr:rowOff>76200</xdr:rowOff>
    </xdr:from>
    <xdr:to>
      <xdr:col>12</xdr:col>
      <xdr:colOff>400283</xdr:colOff>
      <xdr:row>348</xdr:row>
      <xdr:rowOff>66435</xdr:rowOff>
    </xdr:to>
    <xdr:pic>
      <xdr:nvPicPr>
        <xdr:cNvPr id="3" name="Imagen 2">
          <a:extLst>
            <a:ext uri="{FF2B5EF4-FFF2-40B4-BE49-F238E27FC236}">
              <a16:creationId xmlns:a16="http://schemas.microsoft.com/office/drawing/2014/main" id="{42C4608A-AF10-497A-81CD-2E609E07A3DB}"/>
            </a:ext>
          </a:extLst>
        </xdr:cNvPr>
        <xdr:cNvPicPr>
          <a:picLocks noChangeAspect="1"/>
        </xdr:cNvPicPr>
      </xdr:nvPicPr>
      <xdr:blipFill>
        <a:blip xmlns:r="http://schemas.openxmlformats.org/officeDocument/2006/relationships" r:embed="rId2"/>
        <a:stretch>
          <a:fillRect/>
        </a:stretch>
      </xdr:blipFill>
      <xdr:spPr>
        <a:xfrm>
          <a:off x="988695" y="62476380"/>
          <a:ext cx="13346663" cy="1881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56</xdr:row>
      <xdr:rowOff>171450</xdr:rowOff>
    </xdr:from>
    <xdr:to>
      <xdr:col>7</xdr:col>
      <xdr:colOff>1066801</xdr:colOff>
      <xdr:row>61</xdr:row>
      <xdr:rowOff>66675</xdr:rowOff>
    </xdr:to>
    <xdr:sp macro="" textlink="">
      <xdr:nvSpPr>
        <xdr:cNvPr id="2" name="CuadroTexto 1">
          <a:extLst>
            <a:ext uri="{FF2B5EF4-FFF2-40B4-BE49-F238E27FC236}">
              <a16:creationId xmlns:a16="http://schemas.microsoft.com/office/drawing/2014/main" id="{42638381-B4D3-4D70-BDBA-12E29F6BC93B}"/>
            </a:ext>
          </a:extLst>
        </xdr:cNvPr>
        <xdr:cNvSpPr txBox="1"/>
      </xdr:nvSpPr>
      <xdr:spPr>
        <a:xfrm>
          <a:off x="485775" y="9525000"/>
          <a:ext cx="5572126"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100"/>
            <a:t>____________________________		</a:t>
          </a:r>
          <a:r>
            <a:rPr lang="es-CO" sz="1100">
              <a:solidFill>
                <a:schemeClr val="dk1"/>
              </a:solidFill>
              <a:effectLst/>
              <a:latin typeface="+mn-lt"/>
              <a:ea typeface="+mn-ea"/>
              <a:cs typeface="+mn-cs"/>
            </a:rPr>
            <a:t>____________________</a:t>
          </a:r>
          <a:endParaRPr lang="es-CO">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CO" sz="1100" baseline="0"/>
            <a:t>Daniel Pérez Acosta			</a:t>
          </a:r>
          <a:r>
            <a:rPr lang="es-CO" sz="1100">
              <a:solidFill>
                <a:schemeClr val="dk1"/>
              </a:solidFill>
              <a:effectLst/>
              <a:latin typeface="+mn-lt"/>
              <a:ea typeface="+mn-ea"/>
              <a:cs typeface="+mn-cs"/>
            </a:rPr>
            <a:t>Gustavo</a:t>
          </a:r>
          <a:r>
            <a:rPr lang="es-CO" sz="1100" baseline="0">
              <a:solidFill>
                <a:schemeClr val="dk1"/>
              </a:solidFill>
              <a:effectLst/>
              <a:latin typeface="+mn-lt"/>
              <a:ea typeface="+mn-ea"/>
              <a:cs typeface="+mn-cs"/>
            </a:rPr>
            <a:t> E. Rosillo M.</a:t>
          </a:r>
          <a:endParaRPr lang="es-CO" sz="1100"/>
        </a:p>
        <a:p>
          <a:r>
            <a:rPr lang="es-CO" sz="1100">
              <a:solidFill>
                <a:schemeClr val="dk1"/>
              </a:solidFill>
              <a:effectLst/>
              <a:latin typeface="+mn-lt"/>
              <a:ea typeface="+mn-ea"/>
              <a:cs typeface="+mn-cs"/>
            </a:rPr>
            <a:t>Representante Legal</a:t>
          </a:r>
          <a:r>
            <a:rPr lang="es-CO" sz="1100"/>
            <a:t>			</a:t>
          </a:r>
          <a:r>
            <a:rPr lang="es-CO" sz="1100">
              <a:solidFill>
                <a:schemeClr val="dk1"/>
              </a:solidFill>
              <a:effectLst/>
              <a:latin typeface="+mn-lt"/>
              <a:ea typeface="+mn-ea"/>
              <a:cs typeface="+mn-cs"/>
            </a:rPr>
            <a:t>Contador público </a:t>
          </a:r>
          <a:endParaRPr lang="es-CO" sz="1100"/>
        </a:p>
        <a:p>
          <a:r>
            <a:rPr lang="es-CO" sz="1100">
              <a:solidFill>
                <a:schemeClr val="dk1"/>
              </a:solidFill>
              <a:effectLst/>
              <a:latin typeface="+mn-lt"/>
              <a:ea typeface="+mn-ea"/>
              <a:cs typeface="+mn-cs"/>
            </a:rPr>
            <a:t>	</a:t>
          </a:r>
          <a:r>
            <a:rPr lang="es-CO" sz="1100"/>
            <a:t>			</a:t>
          </a:r>
          <a:r>
            <a:rPr lang="es-CO" sz="1100">
              <a:solidFill>
                <a:schemeClr val="dk1"/>
              </a:solidFill>
              <a:effectLst/>
              <a:latin typeface="+mn-lt"/>
              <a:ea typeface="+mn-ea"/>
              <a:cs typeface="+mn-cs"/>
            </a:rPr>
            <a:t>T.P. 76628-T</a:t>
          </a:r>
          <a:r>
            <a:rPr lang="es-CO" sz="1100"/>
            <a:t>	</a:t>
          </a:r>
          <a:endParaRPr lang="es-CO" sz="800">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400050</xdr:colOff>
      <xdr:row>42</xdr:row>
      <xdr:rowOff>0</xdr:rowOff>
    </xdr:from>
    <xdr:to>
      <xdr:col>7</xdr:col>
      <xdr:colOff>819151</xdr:colOff>
      <xdr:row>46</xdr:row>
      <xdr:rowOff>93345</xdr:rowOff>
    </xdr:to>
    <xdr:sp macro="" textlink="">
      <xdr:nvSpPr>
        <xdr:cNvPr id="2" name="CuadroTexto 1">
          <a:extLst>
            <a:ext uri="{FF2B5EF4-FFF2-40B4-BE49-F238E27FC236}">
              <a16:creationId xmlns:a16="http://schemas.microsoft.com/office/drawing/2014/main" id="{7E9EE9BD-9C1F-4D9F-B427-B7B5E853C659}"/>
            </a:ext>
          </a:extLst>
        </xdr:cNvPr>
        <xdr:cNvSpPr txBox="1"/>
      </xdr:nvSpPr>
      <xdr:spPr>
        <a:xfrm>
          <a:off x="1447800" y="6115050"/>
          <a:ext cx="5572126" cy="7791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100"/>
            <a:t>____________________________		</a:t>
          </a:r>
          <a:r>
            <a:rPr lang="es-CO" sz="1100">
              <a:solidFill>
                <a:schemeClr val="dk1"/>
              </a:solidFill>
              <a:effectLst/>
              <a:latin typeface="+mn-lt"/>
              <a:ea typeface="+mn-ea"/>
              <a:cs typeface="+mn-cs"/>
            </a:rPr>
            <a:t>____________________</a:t>
          </a:r>
          <a:endParaRPr lang="es-CO">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CO" sz="1100" baseline="0"/>
            <a:t>Daniel Pérez Acosta			</a:t>
          </a:r>
          <a:r>
            <a:rPr lang="es-CO" sz="1100">
              <a:solidFill>
                <a:schemeClr val="dk1"/>
              </a:solidFill>
              <a:effectLst/>
              <a:latin typeface="+mn-lt"/>
              <a:ea typeface="+mn-ea"/>
              <a:cs typeface="+mn-cs"/>
            </a:rPr>
            <a:t>Gustavo</a:t>
          </a:r>
          <a:r>
            <a:rPr lang="es-CO" sz="1100" baseline="0">
              <a:solidFill>
                <a:schemeClr val="dk1"/>
              </a:solidFill>
              <a:effectLst/>
              <a:latin typeface="+mn-lt"/>
              <a:ea typeface="+mn-ea"/>
              <a:cs typeface="+mn-cs"/>
            </a:rPr>
            <a:t> E. Rosillo M.</a:t>
          </a:r>
          <a:endParaRPr lang="es-CO" sz="1100"/>
        </a:p>
        <a:p>
          <a:r>
            <a:rPr lang="es-CO" sz="1100">
              <a:solidFill>
                <a:schemeClr val="dk1"/>
              </a:solidFill>
              <a:effectLst/>
              <a:latin typeface="+mn-lt"/>
              <a:ea typeface="+mn-ea"/>
              <a:cs typeface="+mn-cs"/>
            </a:rPr>
            <a:t>Representante Legal</a:t>
          </a:r>
          <a:r>
            <a:rPr lang="es-CO" sz="1100"/>
            <a:t>			</a:t>
          </a:r>
          <a:r>
            <a:rPr lang="es-CO" sz="1100">
              <a:solidFill>
                <a:schemeClr val="dk1"/>
              </a:solidFill>
              <a:effectLst/>
              <a:latin typeface="+mn-lt"/>
              <a:ea typeface="+mn-ea"/>
              <a:cs typeface="+mn-cs"/>
            </a:rPr>
            <a:t>Contador público </a:t>
          </a:r>
          <a:endParaRPr lang="es-CO" sz="1100"/>
        </a:p>
        <a:p>
          <a:r>
            <a:rPr lang="es-CO" sz="1100">
              <a:solidFill>
                <a:schemeClr val="dk1"/>
              </a:solidFill>
              <a:effectLst/>
              <a:latin typeface="+mn-lt"/>
              <a:ea typeface="+mn-ea"/>
              <a:cs typeface="+mn-cs"/>
            </a:rPr>
            <a:t>	</a:t>
          </a:r>
          <a:r>
            <a:rPr lang="es-CO" sz="1100"/>
            <a:t>			</a:t>
          </a:r>
          <a:r>
            <a:rPr lang="es-CO" sz="1100">
              <a:solidFill>
                <a:schemeClr val="dk1"/>
              </a:solidFill>
              <a:effectLst/>
              <a:latin typeface="+mn-lt"/>
              <a:ea typeface="+mn-ea"/>
              <a:cs typeface="+mn-cs"/>
            </a:rPr>
            <a:t>T.P. 76628-T</a:t>
          </a:r>
          <a:r>
            <a:rPr lang="es-CO" sz="1100"/>
            <a:t>	</a:t>
          </a:r>
          <a:endParaRPr lang="es-CO" sz="800">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211455</xdr:colOff>
      <xdr:row>55</xdr:row>
      <xdr:rowOff>47625</xdr:rowOff>
    </xdr:from>
    <xdr:to>
      <xdr:col>7</xdr:col>
      <xdr:colOff>630556</xdr:colOff>
      <xdr:row>59</xdr:row>
      <xdr:rowOff>120015</xdr:rowOff>
    </xdr:to>
    <xdr:sp macro="" textlink="">
      <xdr:nvSpPr>
        <xdr:cNvPr id="4" name="CuadroTexto 3">
          <a:extLst>
            <a:ext uri="{FF2B5EF4-FFF2-40B4-BE49-F238E27FC236}">
              <a16:creationId xmlns:a16="http://schemas.microsoft.com/office/drawing/2014/main" id="{8DDF4DF4-67E7-4819-98ED-5BD415136922}"/>
            </a:ext>
          </a:extLst>
        </xdr:cNvPr>
        <xdr:cNvSpPr txBox="1"/>
      </xdr:nvSpPr>
      <xdr:spPr>
        <a:xfrm>
          <a:off x="878205" y="7296150"/>
          <a:ext cx="5572126" cy="796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100"/>
            <a:t>____________________________		</a:t>
          </a:r>
          <a:r>
            <a:rPr lang="es-CO" sz="1100">
              <a:solidFill>
                <a:schemeClr val="dk1"/>
              </a:solidFill>
              <a:effectLst/>
              <a:latin typeface="+mn-lt"/>
              <a:ea typeface="+mn-ea"/>
              <a:cs typeface="+mn-cs"/>
            </a:rPr>
            <a:t>____________________</a:t>
          </a:r>
          <a:endParaRPr lang="es-CO">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CO" sz="1100" baseline="0"/>
            <a:t>Daniel Pérez Acosta			</a:t>
          </a:r>
          <a:r>
            <a:rPr lang="es-CO" sz="1100">
              <a:solidFill>
                <a:schemeClr val="dk1"/>
              </a:solidFill>
              <a:effectLst/>
              <a:latin typeface="+mn-lt"/>
              <a:ea typeface="+mn-ea"/>
              <a:cs typeface="+mn-cs"/>
            </a:rPr>
            <a:t>Gustavo</a:t>
          </a:r>
          <a:r>
            <a:rPr lang="es-CO" sz="1100" baseline="0">
              <a:solidFill>
                <a:schemeClr val="dk1"/>
              </a:solidFill>
              <a:effectLst/>
              <a:latin typeface="+mn-lt"/>
              <a:ea typeface="+mn-ea"/>
              <a:cs typeface="+mn-cs"/>
            </a:rPr>
            <a:t> E. Rosillo M.</a:t>
          </a:r>
          <a:endParaRPr lang="es-CO" sz="1100"/>
        </a:p>
        <a:p>
          <a:r>
            <a:rPr lang="es-CO" sz="1100">
              <a:solidFill>
                <a:schemeClr val="dk1"/>
              </a:solidFill>
              <a:effectLst/>
              <a:latin typeface="+mn-lt"/>
              <a:ea typeface="+mn-ea"/>
              <a:cs typeface="+mn-cs"/>
            </a:rPr>
            <a:t>Representante Legal</a:t>
          </a:r>
          <a:r>
            <a:rPr lang="es-CO" sz="1100"/>
            <a:t>			</a:t>
          </a:r>
          <a:r>
            <a:rPr lang="es-CO" sz="1100">
              <a:solidFill>
                <a:schemeClr val="dk1"/>
              </a:solidFill>
              <a:effectLst/>
              <a:latin typeface="+mn-lt"/>
              <a:ea typeface="+mn-ea"/>
              <a:cs typeface="+mn-cs"/>
            </a:rPr>
            <a:t>Contador público </a:t>
          </a:r>
          <a:endParaRPr lang="es-CO" sz="1100"/>
        </a:p>
        <a:p>
          <a:r>
            <a:rPr lang="es-CO" sz="1100">
              <a:solidFill>
                <a:schemeClr val="dk1"/>
              </a:solidFill>
              <a:effectLst/>
              <a:latin typeface="+mn-lt"/>
              <a:ea typeface="+mn-ea"/>
              <a:cs typeface="+mn-cs"/>
            </a:rPr>
            <a:t>	</a:t>
          </a:r>
          <a:r>
            <a:rPr lang="es-CO" sz="1100"/>
            <a:t>			</a:t>
          </a:r>
          <a:r>
            <a:rPr lang="es-CO" sz="1100">
              <a:solidFill>
                <a:schemeClr val="dk1"/>
              </a:solidFill>
              <a:effectLst/>
              <a:latin typeface="+mn-lt"/>
              <a:ea typeface="+mn-ea"/>
              <a:cs typeface="+mn-cs"/>
            </a:rPr>
            <a:t>T.P. 76628-T</a:t>
          </a:r>
          <a:r>
            <a:rPr lang="es-CO" sz="1100"/>
            <a:t>	</a:t>
          </a:r>
          <a:endParaRPr lang="es-CO" sz="800">
            <a:effectLst/>
          </a:endParaRP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1</xdr:col>
      <xdr:colOff>2305050</xdr:colOff>
      <xdr:row>48</xdr:row>
      <xdr:rowOff>19050</xdr:rowOff>
    </xdr:from>
    <xdr:ext cx="0" cy="704850"/>
    <xdr:sp macro="" textlink="">
      <xdr:nvSpPr>
        <xdr:cNvPr id="2" name="Text Box 2">
          <a:extLst>
            <a:ext uri="{FF2B5EF4-FFF2-40B4-BE49-F238E27FC236}">
              <a16:creationId xmlns:a16="http://schemas.microsoft.com/office/drawing/2014/main" id="{D2838518-C9A2-4547-993C-79EABFF1AA9B}"/>
            </a:ext>
          </a:extLst>
        </xdr:cNvPr>
        <xdr:cNvSpPr txBox="1">
          <a:spLocks noChangeArrowheads="1"/>
        </xdr:cNvSpPr>
      </xdr:nvSpPr>
      <xdr:spPr bwMode="auto">
        <a:xfrm>
          <a:off x="2552700" y="8562975"/>
          <a:ext cx="0" cy="70485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s-CO" sz="1000" b="0" i="0" strike="noStrike">
              <a:solidFill>
                <a:srgbClr val="000000"/>
              </a:solidFill>
              <a:latin typeface="Times New Roman"/>
              <a:cs typeface="Times New Roman"/>
            </a:rPr>
            <a:t>___________________________</a:t>
          </a:r>
        </a:p>
        <a:p>
          <a:pPr algn="ctr" rtl="0">
            <a:defRPr sz="1000"/>
          </a:pPr>
          <a:r>
            <a:rPr lang="es-CO" sz="1000" b="0" i="0" strike="noStrike">
              <a:solidFill>
                <a:srgbClr val="000000"/>
              </a:solidFill>
              <a:latin typeface="Times New Roman"/>
              <a:cs typeface="Times New Roman"/>
            </a:rPr>
            <a:t>NOMBRE</a:t>
          </a:r>
        </a:p>
        <a:p>
          <a:pPr algn="ctr" rtl="0">
            <a:defRPr sz="1000"/>
          </a:pPr>
          <a:r>
            <a:rPr lang="es-CO" sz="1000" b="0" i="0" strike="noStrike">
              <a:solidFill>
                <a:srgbClr val="000000"/>
              </a:solidFill>
              <a:latin typeface="Times New Roman"/>
              <a:cs typeface="Times New Roman"/>
            </a:rPr>
            <a:t>Contador Público</a:t>
          </a:r>
        </a:p>
        <a:p>
          <a:pPr algn="ctr" rtl="0">
            <a:defRPr sz="1000"/>
          </a:pPr>
          <a:r>
            <a:rPr lang="es-CO" sz="1000" b="0" i="0" strike="noStrike">
              <a:solidFill>
                <a:srgbClr val="000000"/>
              </a:solidFill>
              <a:latin typeface="Times New Roman"/>
              <a:cs typeface="Times New Roman"/>
            </a:rPr>
            <a:t>Tarjeta profesional No.75321-T</a:t>
          </a:r>
        </a:p>
        <a:p>
          <a:pPr algn="ctr" rtl="0">
            <a:defRPr sz="1000"/>
          </a:pPr>
          <a:endParaRPr lang="es-CO" sz="1000" b="0" i="0" strike="noStrike">
            <a:solidFill>
              <a:srgbClr val="000000"/>
            </a:solidFill>
            <a:latin typeface="Times New Roman"/>
            <a:cs typeface="Times New Roman"/>
          </a:endParaRPr>
        </a:p>
      </xdr:txBody>
    </xdr:sp>
    <xdr:clientData/>
  </xdr:oneCellAnchor>
  <xdr:oneCellAnchor>
    <xdr:from>
      <xdr:col>1</xdr:col>
      <xdr:colOff>2305050</xdr:colOff>
      <xdr:row>48</xdr:row>
      <xdr:rowOff>19050</xdr:rowOff>
    </xdr:from>
    <xdr:ext cx="0" cy="704850"/>
    <xdr:sp macro="" textlink="">
      <xdr:nvSpPr>
        <xdr:cNvPr id="3" name="Text Box 2">
          <a:extLst>
            <a:ext uri="{FF2B5EF4-FFF2-40B4-BE49-F238E27FC236}">
              <a16:creationId xmlns:a16="http://schemas.microsoft.com/office/drawing/2014/main" id="{8FABAD4B-40E8-4EAB-A0E2-8ADCC2F1C467}"/>
            </a:ext>
          </a:extLst>
        </xdr:cNvPr>
        <xdr:cNvSpPr txBox="1">
          <a:spLocks noChangeArrowheads="1"/>
        </xdr:cNvSpPr>
      </xdr:nvSpPr>
      <xdr:spPr bwMode="auto">
        <a:xfrm>
          <a:off x="2552700" y="8562975"/>
          <a:ext cx="0" cy="70485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s-CO" sz="1000" b="0" i="0" strike="noStrike">
              <a:solidFill>
                <a:srgbClr val="000000"/>
              </a:solidFill>
              <a:latin typeface="Times New Roman"/>
              <a:cs typeface="Times New Roman"/>
            </a:rPr>
            <a:t>___________________________</a:t>
          </a:r>
        </a:p>
        <a:p>
          <a:pPr algn="ctr" rtl="0">
            <a:defRPr sz="1000"/>
          </a:pPr>
          <a:r>
            <a:rPr lang="es-CO" sz="1000" b="0" i="0" strike="noStrike">
              <a:solidFill>
                <a:srgbClr val="000000"/>
              </a:solidFill>
              <a:latin typeface="Times New Roman"/>
              <a:cs typeface="Times New Roman"/>
            </a:rPr>
            <a:t>NOMBRE</a:t>
          </a:r>
        </a:p>
        <a:p>
          <a:pPr algn="ctr" rtl="0">
            <a:defRPr sz="1000"/>
          </a:pPr>
          <a:r>
            <a:rPr lang="es-CO" sz="1000" b="0" i="0" strike="noStrike">
              <a:solidFill>
                <a:srgbClr val="000000"/>
              </a:solidFill>
              <a:latin typeface="Times New Roman"/>
              <a:cs typeface="Times New Roman"/>
            </a:rPr>
            <a:t>Contador Público</a:t>
          </a:r>
        </a:p>
        <a:p>
          <a:pPr algn="ctr" rtl="0">
            <a:defRPr sz="1000"/>
          </a:pPr>
          <a:r>
            <a:rPr lang="es-CO" sz="1000" b="0" i="0" strike="noStrike">
              <a:solidFill>
                <a:srgbClr val="000000"/>
              </a:solidFill>
              <a:latin typeface="Times New Roman"/>
              <a:cs typeface="Times New Roman"/>
            </a:rPr>
            <a:t>Tarjeta profesional No.75321-T</a:t>
          </a:r>
        </a:p>
        <a:p>
          <a:pPr algn="ctr" rtl="0">
            <a:defRPr sz="1000"/>
          </a:pPr>
          <a:endParaRPr lang="es-CO" sz="1000" b="0" i="0" strike="noStrike">
            <a:solidFill>
              <a:srgbClr val="000000"/>
            </a:solidFill>
            <a:latin typeface="Times New Roman"/>
            <a:cs typeface="Times New Roman"/>
          </a:endParaRPr>
        </a:p>
      </xdr:txBody>
    </xdr:sp>
    <xdr:clientData/>
  </xdr:oneCellAnchor>
  <xdr:twoCellAnchor>
    <xdr:from>
      <xdr:col>1</xdr:col>
      <xdr:colOff>419099</xdr:colOff>
      <xdr:row>33</xdr:row>
      <xdr:rowOff>9525</xdr:rowOff>
    </xdr:from>
    <xdr:to>
      <xdr:col>6</xdr:col>
      <xdr:colOff>161925</xdr:colOff>
      <xdr:row>39</xdr:row>
      <xdr:rowOff>114300</xdr:rowOff>
    </xdr:to>
    <xdr:sp macro="" textlink="">
      <xdr:nvSpPr>
        <xdr:cNvPr id="4" name="CuadroTexto 3">
          <a:extLst>
            <a:ext uri="{FF2B5EF4-FFF2-40B4-BE49-F238E27FC236}">
              <a16:creationId xmlns:a16="http://schemas.microsoft.com/office/drawing/2014/main" id="{CCC3BD4D-E320-4E30-8AF6-18A0129AA5F9}"/>
            </a:ext>
          </a:extLst>
        </xdr:cNvPr>
        <xdr:cNvSpPr txBox="1"/>
      </xdr:nvSpPr>
      <xdr:spPr>
        <a:xfrm>
          <a:off x="666749" y="5553075"/>
          <a:ext cx="5410201"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100"/>
            <a:t>____________________________		</a:t>
          </a:r>
          <a:r>
            <a:rPr lang="es-CO" sz="1100">
              <a:solidFill>
                <a:schemeClr val="dk1"/>
              </a:solidFill>
              <a:effectLst/>
              <a:latin typeface="+mn-lt"/>
              <a:ea typeface="+mn-ea"/>
              <a:cs typeface="+mn-cs"/>
            </a:rPr>
            <a:t>____________________</a:t>
          </a:r>
          <a:endParaRPr lang="es-CO">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CO" sz="1100" baseline="0"/>
            <a:t>Daniel Pérez Acosta			</a:t>
          </a:r>
          <a:r>
            <a:rPr lang="es-CO" sz="1100">
              <a:solidFill>
                <a:schemeClr val="dk1"/>
              </a:solidFill>
              <a:effectLst/>
              <a:latin typeface="+mn-lt"/>
              <a:ea typeface="+mn-ea"/>
              <a:cs typeface="+mn-cs"/>
            </a:rPr>
            <a:t>Gustavo</a:t>
          </a:r>
          <a:r>
            <a:rPr lang="es-CO" sz="1100" baseline="0">
              <a:solidFill>
                <a:schemeClr val="dk1"/>
              </a:solidFill>
              <a:effectLst/>
              <a:latin typeface="+mn-lt"/>
              <a:ea typeface="+mn-ea"/>
              <a:cs typeface="+mn-cs"/>
            </a:rPr>
            <a:t> E. Rosillo M.</a:t>
          </a:r>
          <a:endParaRPr lang="es-CO" sz="1100"/>
        </a:p>
        <a:p>
          <a:r>
            <a:rPr lang="es-CO" sz="1100">
              <a:solidFill>
                <a:schemeClr val="dk1"/>
              </a:solidFill>
              <a:effectLst/>
              <a:latin typeface="+mn-lt"/>
              <a:ea typeface="+mn-ea"/>
              <a:cs typeface="+mn-cs"/>
            </a:rPr>
            <a:t>Representante Legal</a:t>
          </a:r>
          <a:r>
            <a:rPr lang="es-CO" sz="1100"/>
            <a:t>			</a:t>
          </a:r>
          <a:r>
            <a:rPr lang="es-CO" sz="1100">
              <a:solidFill>
                <a:schemeClr val="dk1"/>
              </a:solidFill>
              <a:effectLst/>
              <a:latin typeface="+mn-lt"/>
              <a:ea typeface="+mn-ea"/>
              <a:cs typeface="+mn-cs"/>
            </a:rPr>
            <a:t>Contador público </a:t>
          </a:r>
          <a:endParaRPr lang="es-CO" sz="1100"/>
        </a:p>
        <a:p>
          <a:r>
            <a:rPr lang="es-CO" sz="1100">
              <a:solidFill>
                <a:schemeClr val="dk1"/>
              </a:solidFill>
              <a:effectLst/>
              <a:latin typeface="+mn-lt"/>
              <a:ea typeface="+mn-ea"/>
              <a:cs typeface="+mn-cs"/>
            </a:rPr>
            <a:t>	</a:t>
          </a:r>
          <a:r>
            <a:rPr lang="es-CO" sz="1100"/>
            <a:t>			</a:t>
          </a:r>
          <a:r>
            <a:rPr lang="es-CO" sz="1100">
              <a:solidFill>
                <a:schemeClr val="dk1"/>
              </a:solidFill>
              <a:effectLst/>
              <a:latin typeface="+mn-lt"/>
              <a:ea typeface="+mn-ea"/>
              <a:cs typeface="+mn-cs"/>
            </a:rPr>
            <a:t>T.P. 76628-T</a:t>
          </a:r>
          <a:r>
            <a:rPr lang="es-CO" sz="1100"/>
            <a:t>	</a:t>
          </a:r>
          <a:endParaRPr lang="es-CO" sz="800">
            <a:effectLst/>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gerencie.com/venta-de-activos-fijos-no-genera-iva.html" TargetMode="External"/><Relationship Id="rId2" Type="http://schemas.openxmlformats.org/officeDocument/2006/relationships/hyperlink" Target="https://www.gerencie.com/se-debe-expedir-factura-por-la-venta-de-activos-fijos.html" TargetMode="External"/><Relationship Id="rId1" Type="http://schemas.openxmlformats.org/officeDocument/2006/relationships/hyperlink" Target="https://www.gerencie.com/determinar-la-utilidad-en-venta-de-activos-fijos.html" TargetMode="External"/><Relationship Id="rId5" Type="http://schemas.openxmlformats.org/officeDocument/2006/relationships/printerSettings" Target="../printerSettings/printerSettings8.bin"/><Relationship Id="rId4" Type="http://schemas.openxmlformats.org/officeDocument/2006/relationships/hyperlink" Target="https://www.gerencie.com/perdida-en-la-venta-de-activos-fijos.html"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cijuf.org.co/sites/cijuf.org.co/files/documentos_interes/DOC%20753.%20Deducci%C3%B3n%20indemnizaciones%20laborales.pdf" TargetMode="External"/><Relationship Id="rId7" Type="http://schemas.openxmlformats.org/officeDocument/2006/relationships/hyperlink" Target="https://www.consejodeestado.gov.co/documentos/boletines/95/S4/25000-23-27-000-2006-01354-01(17080).pdf" TargetMode="External"/><Relationship Id="rId2" Type="http://schemas.openxmlformats.org/officeDocument/2006/relationships/hyperlink" Target="https://lexir.co/2023/06/20/el-consejo-de-estado-modifica-su-interpretacion-y-considera-deducibles-las-indemnizaciones/" TargetMode="External"/><Relationship Id="rId1" Type="http://schemas.openxmlformats.org/officeDocument/2006/relationships/hyperlink" Target="https://www.gerencie.com/despido-del-trabajador-por-cierre-o-liquidacion-de-la-empresa.html" TargetMode="External"/><Relationship Id="rId6" Type="http://schemas.openxmlformats.org/officeDocument/2006/relationships/hyperlink" Target="https://actualicese.com/ventas-de-activos-fijos-o-movibles-cuyas-perdidas-no-son-aceptadas-fiscalmente/" TargetMode="External"/><Relationship Id="rId5" Type="http://schemas.openxmlformats.org/officeDocument/2006/relationships/hyperlink" Target="https://www.youtube.com/watch?v=qXI-hbehrIg" TargetMode="External"/><Relationship Id="rId10" Type="http://schemas.openxmlformats.org/officeDocument/2006/relationships/comments" Target="../comments1.xml"/><Relationship Id="rId4" Type="http://schemas.openxmlformats.org/officeDocument/2006/relationships/hyperlink" Target="https://www.gerencie.com/requisitos-y-limitaciones-para-que-los-gastos-en-el-exterior-sean-deducibles.html" TargetMode="External"/><Relationship Id="rId9"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E240E-7F18-485B-8ECA-B726E4AA1CF0}">
  <dimension ref="A1:F708"/>
  <sheetViews>
    <sheetView showGridLines="0" workbookViewId="0">
      <pane ySplit="1" topLeftCell="A2" activePane="bottomLeft" state="frozen"/>
      <selection pane="bottomLeft" activeCell="A28" sqref="A28"/>
    </sheetView>
  </sheetViews>
  <sheetFormatPr baseColWidth="10" defaultColWidth="11.42578125" defaultRowHeight="12.75"/>
  <cols>
    <col min="1" max="1" width="28" style="214" customWidth="1"/>
    <col min="2" max="2" width="95.85546875" style="214" customWidth="1"/>
    <col min="3" max="3" width="32.85546875" style="214" customWidth="1"/>
    <col min="4" max="4" width="33" style="214" customWidth="1"/>
    <col min="5" max="5" width="13" style="214" customWidth="1"/>
    <col min="6" max="6" width="13.140625" style="214" customWidth="1"/>
    <col min="7" max="256" width="11.5703125" style="214"/>
    <col min="257" max="257" width="28" style="214" customWidth="1"/>
    <col min="258" max="258" width="95.85546875" style="214" customWidth="1"/>
    <col min="259" max="259" width="32.85546875" style="214" customWidth="1"/>
    <col min="260" max="260" width="33" style="214" customWidth="1"/>
    <col min="261" max="261" width="13" style="214" customWidth="1"/>
    <col min="262" max="262" width="13.140625" style="214" customWidth="1"/>
    <col min="263" max="512" width="11.5703125" style="214"/>
    <col min="513" max="513" width="28" style="214" customWidth="1"/>
    <col min="514" max="514" width="95.85546875" style="214" customWidth="1"/>
    <col min="515" max="515" width="32.85546875" style="214" customWidth="1"/>
    <col min="516" max="516" width="33" style="214" customWidth="1"/>
    <col min="517" max="517" width="13" style="214" customWidth="1"/>
    <col min="518" max="518" width="13.140625" style="214" customWidth="1"/>
    <col min="519" max="768" width="11.5703125" style="214"/>
    <col min="769" max="769" width="28" style="214" customWidth="1"/>
    <col min="770" max="770" width="95.85546875" style="214" customWidth="1"/>
    <col min="771" max="771" width="32.85546875" style="214" customWidth="1"/>
    <col min="772" max="772" width="33" style="214" customWidth="1"/>
    <col min="773" max="773" width="13" style="214" customWidth="1"/>
    <col min="774" max="774" width="13.140625" style="214" customWidth="1"/>
    <col min="775" max="1024" width="11.5703125" style="214"/>
    <col min="1025" max="1025" width="28" style="214" customWidth="1"/>
    <col min="1026" max="1026" width="95.85546875" style="214" customWidth="1"/>
    <col min="1027" max="1027" width="32.85546875" style="214" customWidth="1"/>
    <col min="1028" max="1028" width="33" style="214" customWidth="1"/>
    <col min="1029" max="1029" width="13" style="214" customWidth="1"/>
    <col min="1030" max="1030" width="13.140625" style="214" customWidth="1"/>
    <col min="1031" max="1280" width="11.5703125" style="214"/>
    <col min="1281" max="1281" width="28" style="214" customWidth="1"/>
    <col min="1282" max="1282" width="95.85546875" style="214" customWidth="1"/>
    <col min="1283" max="1283" width="32.85546875" style="214" customWidth="1"/>
    <col min="1284" max="1284" width="33" style="214" customWidth="1"/>
    <col min="1285" max="1285" width="13" style="214" customWidth="1"/>
    <col min="1286" max="1286" width="13.140625" style="214" customWidth="1"/>
    <col min="1287" max="1536" width="11.5703125" style="214"/>
    <col min="1537" max="1537" width="28" style="214" customWidth="1"/>
    <col min="1538" max="1538" width="95.85546875" style="214" customWidth="1"/>
    <col min="1539" max="1539" width="32.85546875" style="214" customWidth="1"/>
    <col min="1540" max="1540" width="33" style="214" customWidth="1"/>
    <col min="1541" max="1541" width="13" style="214" customWidth="1"/>
    <col min="1542" max="1542" width="13.140625" style="214" customWidth="1"/>
    <col min="1543" max="1792" width="11.5703125" style="214"/>
    <col min="1793" max="1793" width="28" style="214" customWidth="1"/>
    <col min="1794" max="1794" width="95.85546875" style="214" customWidth="1"/>
    <col min="1795" max="1795" width="32.85546875" style="214" customWidth="1"/>
    <col min="1796" max="1796" width="33" style="214" customWidth="1"/>
    <col min="1797" max="1797" width="13" style="214" customWidth="1"/>
    <col min="1798" max="1798" width="13.140625" style="214" customWidth="1"/>
    <col min="1799" max="2048" width="11.5703125" style="214"/>
    <col min="2049" max="2049" width="28" style="214" customWidth="1"/>
    <col min="2050" max="2050" width="95.85546875" style="214" customWidth="1"/>
    <col min="2051" max="2051" width="32.85546875" style="214" customWidth="1"/>
    <col min="2052" max="2052" width="33" style="214" customWidth="1"/>
    <col min="2053" max="2053" width="13" style="214" customWidth="1"/>
    <col min="2054" max="2054" width="13.140625" style="214" customWidth="1"/>
    <col min="2055" max="2304" width="11.5703125" style="214"/>
    <col min="2305" max="2305" width="28" style="214" customWidth="1"/>
    <col min="2306" max="2306" width="95.85546875" style="214" customWidth="1"/>
    <col min="2307" max="2307" width="32.85546875" style="214" customWidth="1"/>
    <col min="2308" max="2308" width="33" style="214" customWidth="1"/>
    <col min="2309" max="2309" width="13" style="214" customWidth="1"/>
    <col min="2310" max="2310" width="13.140625" style="214" customWidth="1"/>
    <col min="2311" max="2560" width="11.5703125" style="214"/>
    <col min="2561" max="2561" width="28" style="214" customWidth="1"/>
    <col min="2562" max="2562" width="95.85546875" style="214" customWidth="1"/>
    <col min="2563" max="2563" width="32.85546875" style="214" customWidth="1"/>
    <col min="2564" max="2564" width="33" style="214" customWidth="1"/>
    <col min="2565" max="2565" width="13" style="214" customWidth="1"/>
    <col min="2566" max="2566" width="13.140625" style="214" customWidth="1"/>
    <col min="2567" max="2816" width="11.5703125" style="214"/>
    <col min="2817" max="2817" width="28" style="214" customWidth="1"/>
    <col min="2818" max="2818" width="95.85546875" style="214" customWidth="1"/>
    <col min="2819" max="2819" width="32.85546875" style="214" customWidth="1"/>
    <col min="2820" max="2820" width="33" style="214" customWidth="1"/>
    <col min="2821" max="2821" width="13" style="214" customWidth="1"/>
    <col min="2822" max="2822" width="13.140625" style="214" customWidth="1"/>
    <col min="2823" max="3072" width="11.5703125" style="214"/>
    <col min="3073" max="3073" width="28" style="214" customWidth="1"/>
    <col min="3074" max="3074" width="95.85546875" style="214" customWidth="1"/>
    <col min="3075" max="3075" width="32.85546875" style="214" customWidth="1"/>
    <col min="3076" max="3076" width="33" style="214" customWidth="1"/>
    <col min="3077" max="3077" width="13" style="214" customWidth="1"/>
    <col min="3078" max="3078" width="13.140625" style="214" customWidth="1"/>
    <col min="3079" max="3328" width="11.5703125" style="214"/>
    <col min="3329" max="3329" width="28" style="214" customWidth="1"/>
    <col min="3330" max="3330" width="95.85546875" style="214" customWidth="1"/>
    <col min="3331" max="3331" width="32.85546875" style="214" customWidth="1"/>
    <col min="3332" max="3332" width="33" style="214" customWidth="1"/>
    <col min="3333" max="3333" width="13" style="214" customWidth="1"/>
    <col min="3334" max="3334" width="13.140625" style="214" customWidth="1"/>
    <col min="3335" max="3584" width="11.5703125" style="214"/>
    <col min="3585" max="3585" width="28" style="214" customWidth="1"/>
    <col min="3586" max="3586" width="95.85546875" style="214" customWidth="1"/>
    <col min="3587" max="3587" width="32.85546875" style="214" customWidth="1"/>
    <col min="3588" max="3588" width="33" style="214" customWidth="1"/>
    <col min="3589" max="3589" width="13" style="214" customWidth="1"/>
    <col min="3590" max="3590" width="13.140625" style="214" customWidth="1"/>
    <col min="3591" max="3840" width="11.5703125" style="214"/>
    <col min="3841" max="3841" width="28" style="214" customWidth="1"/>
    <col min="3842" max="3842" width="95.85546875" style="214" customWidth="1"/>
    <col min="3843" max="3843" width="32.85546875" style="214" customWidth="1"/>
    <col min="3844" max="3844" width="33" style="214" customWidth="1"/>
    <col min="3845" max="3845" width="13" style="214" customWidth="1"/>
    <col min="3846" max="3846" width="13.140625" style="214" customWidth="1"/>
    <col min="3847" max="4096" width="11.5703125" style="214"/>
    <col min="4097" max="4097" width="28" style="214" customWidth="1"/>
    <col min="4098" max="4098" width="95.85546875" style="214" customWidth="1"/>
    <col min="4099" max="4099" width="32.85546875" style="214" customWidth="1"/>
    <col min="4100" max="4100" width="33" style="214" customWidth="1"/>
    <col min="4101" max="4101" width="13" style="214" customWidth="1"/>
    <col min="4102" max="4102" width="13.140625" style="214" customWidth="1"/>
    <col min="4103" max="4352" width="11.5703125" style="214"/>
    <col min="4353" max="4353" width="28" style="214" customWidth="1"/>
    <col min="4354" max="4354" width="95.85546875" style="214" customWidth="1"/>
    <col min="4355" max="4355" width="32.85546875" style="214" customWidth="1"/>
    <col min="4356" max="4356" width="33" style="214" customWidth="1"/>
    <col min="4357" max="4357" width="13" style="214" customWidth="1"/>
    <col min="4358" max="4358" width="13.140625" style="214" customWidth="1"/>
    <col min="4359" max="4608" width="11.5703125" style="214"/>
    <col min="4609" max="4609" width="28" style="214" customWidth="1"/>
    <col min="4610" max="4610" width="95.85546875" style="214" customWidth="1"/>
    <col min="4611" max="4611" width="32.85546875" style="214" customWidth="1"/>
    <col min="4612" max="4612" width="33" style="214" customWidth="1"/>
    <col min="4613" max="4613" width="13" style="214" customWidth="1"/>
    <col min="4614" max="4614" width="13.140625" style="214" customWidth="1"/>
    <col min="4615" max="4864" width="11.5703125" style="214"/>
    <col min="4865" max="4865" width="28" style="214" customWidth="1"/>
    <col min="4866" max="4866" width="95.85546875" style="214" customWidth="1"/>
    <col min="4867" max="4867" width="32.85546875" style="214" customWidth="1"/>
    <col min="4868" max="4868" width="33" style="214" customWidth="1"/>
    <col min="4869" max="4869" width="13" style="214" customWidth="1"/>
    <col min="4870" max="4870" width="13.140625" style="214" customWidth="1"/>
    <col min="4871" max="5120" width="11.5703125" style="214"/>
    <col min="5121" max="5121" width="28" style="214" customWidth="1"/>
    <col min="5122" max="5122" width="95.85546875" style="214" customWidth="1"/>
    <col min="5123" max="5123" width="32.85546875" style="214" customWidth="1"/>
    <col min="5124" max="5124" width="33" style="214" customWidth="1"/>
    <col min="5125" max="5125" width="13" style="214" customWidth="1"/>
    <col min="5126" max="5126" width="13.140625" style="214" customWidth="1"/>
    <col min="5127" max="5376" width="11.5703125" style="214"/>
    <col min="5377" max="5377" width="28" style="214" customWidth="1"/>
    <col min="5378" max="5378" width="95.85546875" style="214" customWidth="1"/>
    <col min="5379" max="5379" width="32.85546875" style="214" customWidth="1"/>
    <col min="5380" max="5380" width="33" style="214" customWidth="1"/>
    <col min="5381" max="5381" width="13" style="214" customWidth="1"/>
    <col min="5382" max="5382" width="13.140625" style="214" customWidth="1"/>
    <col min="5383" max="5632" width="11.5703125" style="214"/>
    <col min="5633" max="5633" width="28" style="214" customWidth="1"/>
    <col min="5634" max="5634" width="95.85546875" style="214" customWidth="1"/>
    <col min="5635" max="5635" width="32.85546875" style="214" customWidth="1"/>
    <col min="5636" max="5636" width="33" style="214" customWidth="1"/>
    <col min="5637" max="5637" width="13" style="214" customWidth="1"/>
    <col min="5638" max="5638" width="13.140625" style="214" customWidth="1"/>
    <col min="5639" max="5888" width="11.5703125" style="214"/>
    <col min="5889" max="5889" width="28" style="214" customWidth="1"/>
    <col min="5890" max="5890" width="95.85546875" style="214" customWidth="1"/>
    <col min="5891" max="5891" width="32.85546875" style="214" customWidth="1"/>
    <col min="5892" max="5892" width="33" style="214" customWidth="1"/>
    <col min="5893" max="5893" width="13" style="214" customWidth="1"/>
    <col min="5894" max="5894" width="13.140625" style="214" customWidth="1"/>
    <col min="5895" max="6144" width="11.5703125" style="214"/>
    <col min="6145" max="6145" width="28" style="214" customWidth="1"/>
    <col min="6146" max="6146" width="95.85546875" style="214" customWidth="1"/>
    <col min="6147" max="6147" width="32.85546875" style="214" customWidth="1"/>
    <col min="6148" max="6148" width="33" style="214" customWidth="1"/>
    <col min="6149" max="6149" width="13" style="214" customWidth="1"/>
    <col min="6150" max="6150" width="13.140625" style="214" customWidth="1"/>
    <col min="6151" max="6400" width="11.5703125" style="214"/>
    <col min="6401" max="6401" width="28" style="214" customWidth="1"/>
    <col min="6402" max="6402" width="95.85546875" style="214" customWidth="1"/>
    <col min="6403" max="6403" width="32.85546875" style="214" customWidth="1"/>
    <col min="6404" max="6404" width="33" style="214" customWidth="1"/>
    <col min="6405" max="6405" width="13" style="214" customWidth="1"/>
    <col min="6406" max="6406" width="13.140625" style="214" customWidth="1"/>
    <col min="6407" max="6656" width="11.5703125" style="214"/>
    <col min="6657" max="6657" width="28" style="214" customWidth="1"/>
    <col min="6658" max="6658" width="95.85546875" style="214" customWidth="1"/>
    <col min="6659" max="6659" width="32.85546875" style="214" customWidth="1"/>
    <col min="6660" max="6660" width="33" style="214" customWidth="1"/>
    <col min="6661" max="6661" width="13" style="214" customWidth="1"/>
    <col min="6662" max="6662" width="13.140625" style="214" customWidth="1"/>
    <col min="6663" max="6912" width="11.5703125" style="214"/>
    <col min="6913" max="6913" width="28" style="214" customWidth="1"/>
    <col min="6914" max="6914" width="95.85546875" style="214" customWidth="1"/>
    <col min="6915" max="6915" width="32.85546875" style="214" customWidth="1"/>
    <col min="6916" max="6916" width="33" style="214" customWidth="1"/>
    <col min="6917" max="6917" width="13" style="214" customWidth="1"/>
    <col min="6918" max="6918" width="13.140625" style="214" customWidth="1"/>
    <col min="6919" max="7168" width="11.5703125" style="214"/>
    <col min="7169" max="7169" width="28" style="214" customWidth="1"/>
    <col min="7170" max="7170" width="95.85546875" style="214" customWidth="1"/>
    <col min="7171" max="7171" width="32.85546875" style="214" customWidth="1"/>
    <col min="7172" max="7172" width="33" style="214" customWidth="1"/>
    <col min="7173" max="7173" width="13" style="214" customWidth="1"/>
    <col min="7174" max="7174" width="13.140625" style="214" customWidth="1"/>
    <col min="7175" max="7424" width="11.5703125" style="214"/>
    <col min="7425" max="7425" width="28" style="214" customWidth="1"/>
    <col min="7426" max="7426" width="95.85546875" style="214" customWidth="1"/>
    <col min="7427" max="7427" width="32.85546875" style="214" customWidth="1"/>
    <col min="7428" max="7428" width="33" style="214" customWidth="1"/>
    <col min="7429" max="7429" width="13" style="214" customWidth="1"/>
    <col min="7430" max="7430" width="13.140625" style="214" customWidth="1"/>
    <col min="7431" max="7680" width="11.5703125" style="214"/>
    <col min="7681" max="7681" width="28" style="214" customWidth="1"/>
    <col min="7682" max="7682" width="95.85546875" style="214" customWidth="1"/>
    <col min="7683" max="7683" width="32.85546875" style="214" customWidth="1"/>
    <col min="7684" max="7684" width="33" style="214" customWidth="1"/>
    <col min="7685" max="7685" width="13" style="214" customWidth="1"/>
    <col min="7686" max="7686" width="13.140625" style="214" customWidth="1"/>
    <col min="7687" max="7936" width="11.5703125" style="214"/>
    <col min="7937" max="7937" width="28" style="214" customWidth="1"/>
    <col min="7938" max="7938" width="95.85546875" style="214" customWidth="1"/>
    <col min="7939" max="7939" width="32.85546875" style="214" customWidth="1"/>
    <col min="7940" max="7940" width="33" style="214" customWidth="1"/>
    <col min="7941" max="7941" width="13" style="214" customWidth="1"/>
    <col min="7942" max="7942" width="13.140625" style="214" customWidth="1"/>
    <col min="7943" max="8192" width="11.5703125" style="214"/>
    <col min="8193" max="8193" width="28" style="214" customWidth="1"/>
    <col min="8194" max="8194" width="95.85546875" style="214" customWidth="1"/>
    <col min="8195" max="8195" width="32.85546875" style="214" customWidth="1"/>
    <col min="8196" max="8196" width="33" style="214" customWidth="1"/>
    <col min="8197" max="8197" width="13" style="214" customWidth="1"/>
    <col min="8198" max="8198" width="13.140625" style="214" customWidth="1"/>
    <col min="8199" max="8448" width="11.5703125" style="214"/>
    <col min="8449" max="8449" width="28" style="214" customWidth="1"/>
    <col min="8450" max="8450" width="95.85546875" style="214" customWidth="1"/>
    <col min="8451" max="8451" width="32.85546875" style="214" customWidth="1"/>
    <col min="8452" max="8452" width="33" style="214" customWidth="1"/>
    <col min="8453" max="8453" width="13" style="214" customWidth="1"/>
    <col min="8454" max="8454" width="13.140625" style="214" customWidth="1"/>
    <col min="8455" max="8704" width="11.5703125" style="214"/>
    <col min="8705" max="8705" width="28" style="214" customWidth="1"/>
    <col min="8706" max="8706" width="95.85546875" style="214" customWidth="1"/>
    <col min="8707" max="8707" width="32.85546875" style="214" customWidth="1"/>
    <col min="8708" max="8708" width="33" style="214" customWidth="1"/>
    <col min="8709" max="8709" width="13" style="214" customWidth="1"/>
    <col min="8710" max="8710" width="13.140625" style="214" customWidth="1"/>
    <col min="8711" max="8960" width="11.5703125" style="214"/>
    <col min="8961" max="8961" width="28" style="214" customWidth="1"/>
    <col min="8962" max="8962" width="95.85546875" style="214" customWidth="1"/>
    <col min="8963" max="8963" width="32.85546875" style="214" customWidth="1"/>
    <col min="8964" max="8964" width="33" style="214" customWidth="1"/>
    <col min="8965" max="8965" width="13" style="214" customWidth="1"/>
    <col min="8966" max="8966" width="13.140625" style="214" customWidth="1"/>
    <col min="8967" max="9216" width="11.5703125" style="214"/>
    <col min="9217" max="9217" width="28" style="214" customWidth="1"/>
    <col min="9218" max="9218" width="95.85546875" style="214" customWidth="1"/>
    <col min="9219" max="9219" width="32.85546875" style="214" customWidth="1"/>
    <col min="9220" max="9220" width="33" style="214" customWidth="1"/>
    <col min="9221" max="9221" width="13" style="214" customWidth="1"/>
    <col min="9222" max="9222" width="13.140625" style="214" customWidth="1"/>
    <col min="9223" max="9472" width="11.5703125" style="214"/>
    <col min="9473" max="9473" width="28" style="214" customWidth="1"/>
    <col min="9474" max="9474" width="95.85546875" style="214" customWidth="1"/>
    <col min="9475" max="9475" width="32.85546875" style="214" customWidth="1"/>
    <col min="9476" max="9476" width="33" style="214" customWidth="1"/>
    <col min="9477" max="9477" width="13" style="214" customWidth="1"/>
    <col min="9478" max="9478" width="13.140625" style="214" customWidth="1"/>
    <col min="9479" max="9728" width="11.5703125" style="214"/>
    <col min="9729" max="9729" width="28" style="214" customWidth="1"/>
    <col min="9730" max="9730" width="95.85546875" style="214" customWidth="1"/>
    <col min="9731" max="9731" width="32.85546875" style="214" customWidth="1"/>
    <col min="9732" max="9732" width="33" style="214" customWidth="1"/>
    <col min="9733" max="9733" width="13" style="214" customWidth="1"/>
    <col min="9734" max="9734" width="13.140625" style="214" customWidth="1"/>
    <col min="9735" max="9984" width="11.5703125" style="214"/>
    <col min="9985" max="9985" width="28" style="214" customWidth="1"/>
    <col min="9986" max="9986" width="95.85546875" style="214" customWidth="1"/>
    <col min="9987" max="9987" width="32.85546875" style="214" customWidth="1"/>
    <col min="9988" max="9988" width="33" style="214" customWidth="1"/>
    <col min="9989" max="9989" width="13" style="214" customWidth="1"/>
    <col min="9990" max="9990" width="13.140625" style="214" customWidth="1"/>
    <col min="9991" max="10240" width="11.5703125" style="214"/>
    <col min="10241" max="10241" width="28" style="214" customWidth="1"/>
    <col min="10242" max="10242" width="95.85546875" style="214" customWidth="1"/>
    <col min="10243" max="10243" width="32.85546875" style="214" customWidth="1"/>
    <col min="10244" max="10244" width="33" style="214" customWidth="1"/>
    <col min="10245" max="10245" width="13" style="214" customWidth="1"/>
    <col min="10246" max="10246" width="13.140625" style="214" customWidth="1"/>
    <col min="10247" max="10496" width="11.5703125" style="214"/>
    <col min="10497" max="10497" width="28" style="214" customWidth="1"/>
    <col min="10498" max="10498" width="95.85546875" style="214" customWidth="1"/>
    <col min="10499" max="10499" width="32.85546875" style="214" customWidth="1"/>
    <col min="10500" max="10500" width="33" style="214" customWidth="1"/>
    <col min="10501" max="10501" width="13" style="214" customWidth="1"/>
    <col min="10502" max="10502" width="13.140625" style="214" customWidth="1"/>
    <col min="10503" max="10752" width="11.5703125" style="214"/>
    <col min="10753" max="10753" width="28" style="214" customWidth="1"/>
    <col min="10754" max="10754" width="95.85546875" style="214" customWidth="1"/>
    <col min="10755" max="10755" width="32.85546875" style="214" customWidth="1"/>
    <col min="10756" max="10756" width="33" style="214" customWidth="1"/>
    <col min="10757" max="10757" width="13" style="214" customWidth="1"/>
    <col min="10758" max="10758" width="13.140625" style="214" customWidth="1"/>
    <col min="10759" max="11008" width="11.5703125" style="214"/>
    <col min="11009" max="11009" width="28" style="214" customWidth="1"/>
    <col min="11010" max="11010" width="95.85546875" style="214" customWidth="1"/>
    <col min="11011" max="11011" width="32.85546875" style="214" customWidth="1"/>
    <col min="11012" max="11012" width="33" style="214" customWidth="1"/>
    <col min="11013" max="11013" width="13" style="214" customWidth="1"/>
    <col min="11014" max="11014" width="13.140625" style="214" customWidth="1"/>
    <col min="11015" max="11264" width="11.5703125" style="214"/>
    <col min="11265" max="11265" width="28" style="214" customWidth="1"/>
    <col min="11266" max="11266" width="95.85546875" style="214" customWidth="1"/>
    <col min="11267" max="11267" width="32.85546875" style="214" customWidth="1"/>
    <col min="11268" max="11268" width="33" style="214" customWidth="1"/>
    <col min="11269" max="11269" width="13" style="214" customWidth="1"/>
    <col min="11270" max="11270" width="13.140625" style="214" customWidth="1"/>
    <col min="11271" max="11520" width="11.5703125" style="214"/>
    <col min="11521" max="11521" width="28" style="214" customWidth="1"/>
    <col min="11522" max="11522" width="95.85546875" style="214" customWidth="1"/>
    <col min="11523" max="11523" width="32.85546875" style="214" customWidth="1"/>
    <col min="11524" max="11524" width="33" style="214" customWidth="1"/>
    <col min="11525" max="11525" width="13" style="214" customWidth="1"/>
    <col min="11526" max="11526" width="13.140625" style="214" customWidth="1"/>
    <col min="11527" max="11776" width="11.5703125" style="214"/>
    <col min="11777" max="11777" width="28" style="214" customWidth="1"/>
    <col min="11778" max="11778" width="95.85546875" style="214" customWidth="1"/>
    <col min="11779" max="11779" width="32.85546875" style="214" customWidth="1"/>
    <col min="11780" max="11780" width="33" style="214" customWidth="1"/>
    <col min="11781" max="11781" width="13" style="214" customWidth="1"/>
    <col min="11782" max="11782" width="13.140625" style="214" customWidth="1"/>
    <col min="11783" max="12032" width="11.5703125" style="214"/>
    <col min="12033" max="12033" width="28" style="214" customWidth="1"/>
    <col min="12034" max="12034" width="95.85546875" style="214" customWidth="1"/>
    <col min="12035" max="12035" width="32.85546875" style="214" customWidth="1"/>
    <col min="12036" max="12036" width="33" style="214" customWidth="1"/>
    <col min="12037" max="12037" width="13" style="214" customWidth="1"/>
    <col min="12038" max="12038" width="13.140625" style="214" customWidth="1"/>
    <col min="12039" max="12288" width="11.5703125" style="214"/>
    <col min="12289" max="12289" width="28" style="214" customWidth="1"/>
    <col min="12290" max="12290" width="95.85546875" style="214" customWidth="1"/>
    <col min="12291" max="12291" width="32.85546875" style="214" customWidth="1"/>
    <col min="12292" max="12292" width="33" style="214" customWidth="1"/>
    <col min="12293" max="12293" width="13" style="214" customWidth="1"/>
    <col min="12294" max="12294" width="13.140625" style="214" customWidth="1"/>
    <col min="12295" max="12544" width="11.5703125" style="214"/>
    <col min="12545" max="12545" width="28" style="214" customWidth="1"/>
    <col min="12546" max="12546" width="95.85546875" style="214" customWidth="1"/>
    <col min="12547" max="12547" width="32.85546875" style="214" customWidth="1"/>
    <col min="12548" max="12548" width="33" style="214" customWidth="1"/>
    <col min="12549" max="12549" width="13" style="214" customWidth="1"/>
    <col min="12550" max="12550" width="13.140625" style="214" customWidth="1"/>
    <col min="12551" max="12800" width="11.5703125" style="214"/>
    <col min="12801" max="12801" width="28" style="214" customWidth="1"/>
    <col min="12802" max="12802" width="95.85546875" style="214" customWidth="1"/>
    <col min="12803" max="12803" width="32.85546875" style="214" customWidth="1"/>
    <col min="12804" max="12804" width="33" style="214" customWidth="1"/>
    <col min="12805" max="12805" width="13" style="214" customWidth="1"/>
    <col min="12806" max="12806" width="13.140625" style="214" customWidth="1"/>
    <col min="12807" max="13056" width="11.5703125" style="214"/>
    <col min="13057" max="13057" width="28" style="214" customWidth="1"/>
    <col min="13058" max="13058" width="95.85546875" style="214" customWidth="1"/>
    <col min="13059" max="13059" width="32.85546875" style="214" customWidth="1"/>
    <col min="13060" max="13060" width="33" style="214" customWidth="1"/>
    <col min="13061" max="13061" width="13" style="214" customWidth="1"/>
    <col min="13062" max="13062" width="13.140625" style="214" customWidth="1"/>
    <col min="13063" max="13312" width="11.5703125" style="214"/>
    <col min="13313" max="13313" width="28" style="214" customWidth="1"/>
    <col min="13314" max="13314" width="95.85546875" style="214" customWidth="1"/>
    <col min="13315" max="13315" width="32.85546875" style="214" customWidth="1"/>
    <col min="13316" max="13316" width="33" style="214" customWidth="1"/>
    <col min="13317" max="13317" width="13" style="214" customWidth="1"/>
    <col min="13318" max="13318" width="13.140625" style="214" customWidth="1"/>
    <col min="13319" max="13568" width="11.5703125" style="214"/>
    <col min="13569" max="13569" width="28" style="214" customWidth="1"/>
    <col min="13570" max="13570" width="95.85546875" style="214" customWidth="1"/>
    <col min="13571" max="13571" width="32.85546875" style="214" customWidth="1"/>
    <col min="13572" max="13572" width="33" style="214" customWidth="1"/>
    <col min="13573" max="13573" width="13" style="214" customWidth="1"/>
    <col min="13574" max="13574" width="13.140625" style="214" customWidth="1"/>
    <col min="13575" max="13824" width="11.5703125" style="214"/>
    <col min="13825" max="13825" width="28" style="214" customWidth="1"/>
    <col min="13826" max="13826" width="95.85546875" style="214" customWidth="1"/>
    <col min="13827" max="13827" width="32.85546875" style="214" customWidth="1"/>
    <col min="13828" max="13828" width="33" style="214" customWidth="1"/>
    <col min="13829" max="13829" width="13" style="214" customWidth="1"/>
    <col min="13830" max="13830" width="13.140625" style="214" customWidth="1"/>
    <col min="13831" max="14080" width="11.5703125" style="214"/>
    <col min="14081" max="14081" width="28" style="214" customWidth="1"/>
    <col min="14082" max="14082" width="95.85546875" style="214" customWidth="1"/>
    <col min="14083" max="14083" width="32.85546875" style="214" customWidth="1"/>
    <col min="14084" max="14084" width="33" style="214" customWidth="1"/>
    <col min="14085" max="14085" width="13" style="214" customWidth="1"/>
    <col min="14086" max="14086" width="13.140625" style="214" customWidth="1"/>
    <col min="14087" max="14336" width="11.5703125" style="214"/>
    <col min="14337" max="14337" width="28" style="214" customWidth="1"/>
    <col min="14338" max="14338" width="95.85546875" style="214" customWidth="1"/>
    <col min="14339" max="14339" width="32.85546875" style="214" customWidth="1"/>
    <col min="14340" max="14340" width="33" style="214" customWidth="1"/>
    <col min="14341" max="14341" width="13" style="214" customWidth="1"/>
    <col min="14342" max="14342" width="13.140625" style="214" customWidth="1"/>
    <col min="14343" max="14592" width="11.5703125" style="214"/>
    <col min="14593" max="14593" width="28" style="214" customWidth="1"/>
    <col min="14594" max="14594" width="95.85546875" style="214" customWidth="1"/>
    <col min="14595" max="14595" width="32.85546875" style="214" customWidth="1"/>
    <col min="14596" max="14596" width="33" style="214" customWidth="1"/>
    <col min="14597" max="14597" width="13" style="214" customWidth="1"/>
    <col min="14598" max="14598" width="13.140625" style="214" customWidth="1"/>
    <col min="14599" max="14848" width="11.5703125" style="214"/>
    <col min="14849" max="14849" width="28" style="214" customWidth="1"/>
    <col min="14850" max="14850" width="95.85546875" style="214" customWidth="1"/>
    <col min="14851" max="14851" width="32.85546875" style="214" customWidth="1"/>
    <col min="14852" max="14852" width="33" style="214" customWidth="1"/>
    <col min="14853" max="14853" width="13" style="214" customWidth="1"/>
    <col min="14854" max="14854" width="13.140625" style="214" customWidth="1"/>
    <col min="14855" max="15104" width="11.5703125" style="214"/>
    <col min="15105" max="15105" width="28" style="214" customWidth="1"/>
    <col min="15106" max="15106" width="95.85546875" style="214" customWidth="1"/>
    <col min="15107" max="15107" width="32.85546875" style="214" customWidth="1"/>
    <col min="15108" max="15108" width="33" style="214" customWidth="1"/>
    <col min="15109" max="15109" width="13" style="214" customWidth="1"/>
    <col min="15110" max="15110" width="13.140625" style="214" customWidth="1"/>
    <col min="15111" max="15360" width="11.5703125" style="214"/>
    <col min="15361" max="15361" width="28" style="214" customWidth="1"/>
    <col min="15362" max="15362" width="95.85546875" style="214" customWidth="1"/>
    <col min="15363" max="15363" width="32.85546875" style="214" customWidth="1"/>
    <col min="15364" max="15364" width="33" style="214" customWidth="1"/>
    <col min="15365" max="15365" width="13" style="214" customWidth="1"/>
    <col min="15366" max="15366" width="13.140625" style="214" customWidth="1"/>
    <col min="15367" max="15616" width="11.5703125" style="214"/>
    <col min="15617" max="15617" width="28" style="214" customWidth="1"/>
    <col min="15618" max="15618" width="95.85546875" style="214" customWidth="1"/>
    <col min="15619" max="15619" width="32.85546875" style="214" customWidth="1"/>
    <col min="15620" max="15620" width="33" style="214" customWidth="1"/>
    <col min="15621" max="15621" width="13" style="214" customWidth="1"/>
    <col min="15622" max="15622" width="13.140625" style="214" customWidth="1"/>
    <col min="15623" max="15872" width="11.5703125" style="214"/>
    <col min="15873" max="15873" width="28" style="214" customWidth="1"/>
    <col min="15874" max="15874" width="95.85546875" style="214" customWidth="1"/>
    <col min="15875" max="15875" width="32.85546875" style="214" customWidth="1"/>
    <col min="15876" max="15876" width="33" style="214" customWidth="1"/>
    <col min="15877" max="15877" width="13" style="214" customWidth="1"/>
    <col min="15878" max="15878" width="13.140625" style="214" customWidth="1"/>
    <col min="15879" max="16128" width="11.5703125" style="214"/>
    <col min="16129" max="16129" width="28" style="214" customWidth="1"/>
    <col min="16130" max="16130" width="95.85546875" style="214" customWidth="1"/>
    <col min="16131" max="16131" width="32.85546875" style="214" customWidth="1"/>
    <col min="16132" max="16132" width="33" style="214" customWidth="1"/>
    <col min="16133" max="16133" width="13" style="214" customWidth="1"/>
    <col min="16134" max="16134" width="13.140625" style="214" customWidth="1"/>
    <col min="16135" max="16384" width="11.5703125" style="214"/>
  </cols>
  <sheetData>
    <row r="1" spans="1:6">
      <c r="A1" s="212" t="s">
        <v>0</v>
      </c>
      <c r="B1" s="213" t="s">
        <v>1</v>
      </c>
      <c r="C1" s="213" t="s">
        <v>2</v>
      </c>
      <c r="D1" s="213" t="s">
        <v>3</v>
      </c>
      <c r="E1" s="213" t="s">
        <v>4</v>
      </c>
      <c r="F1" s="213" t="s">
        <v>5</v>
      </c>
    </row>
    <row r="2" spans="1:6">
      <c r="A2" s="215" t="s">
        <v>6</v>
      </c>
      <c r="B2" s="215" t="s">
        <v>7</v>
      </c>
      <c r="C2" s="215"/>
      <c r="D2" s="215"/>
      <c r="E2" s="216" t="s">
        <v>8</v>
      </c>
      <c r="F2" s="216" t="s">
        <v>9</v>
      </c>
    </row>
    <row r="3" spans="1:6">
      <c r="A3" s="215" t="s">
        <v>10</v>
      </c>
      <c r="B3" s="215" t="s">
        <v>11</v>
      </c>
      <c r="C3" s="215"/>
      <c r="D3" s="215"/>
      <c r="E3" s="216" t="s">
        <v>8</v>
      </c>
      <c r="F3" s="216" t="s">
        <v>9</v>
      </c>
    </row>
    <row r="4" spans="1:6">
      <c r="A4" s="215" t="s">
        <v>12</v>
      </c>
      <c r="B4" s="215" t="s">
        <v>13</v>
      </c>
      <c r="C4" s="215"/>
      <c r="D4" s="215"/>
      <c r="E4" s="216" t="s">
        <v>8</v>
      </c>
      <c r="F4" s="216" t="s">
        <v>9</v>
      </c>
    </row>
    <row r="5" spans="1:6">
      <c r="A5" s="215" t="s">
        <v>14</v>
      </c>
      <c r="B5" s="215" t="s">
        <v>15</v>
      </c>
      <c r="C5" s="215" t="s">
        <v>16</v>
      </c>
      <c r="D5" s="215" t="s">
        <v>15</v>
      </c>
      <c r="E5" s="216" t="s">
        <v>8</v>
      </c>
      <c r="F5" s="216" t="s">
        <v>9</v>
      </c>
    </row>
    <row r="6" spans="1:6">
      <c r="A6" s="215" t="s">
        <v>17</v>
      </c>
      <c r="B6" s="215" t="s">
        <v>18</v>
      </c>
      <c r="C6" s="215" t="s">
        <v>19</v>
      </c>
      <c r="D6" s="215" t="s">
        <v>18</v>
      </c>
      <c r="E6" s="216" t="s">
        <v>8</v>
      </c>
      <c r="F6" s="216" t="s">
        <v>9</v>
      </c>
    </row>
    <row r="7" spans="1:6">
      <c r="A7" s="215" t="s">
        <v>20</v>
      </c>
      <c r="B7" s="215" t="s">
        <v>21</v>
      </c>
      <c r="C7" s="215" t="s">
        <v>22</v>
      </c>
      <c r="D7" s="215" t="s">
        <v>21</v>
      </c>
      <c r="E7" s="216" t="s">
        <v>8</v>
      </c>
      <c r="F7" s="216" t="s">
        <v>9</v>
      </c>
    </row>
    <row r="8" spans="1:6">
      <c r="A8" s="215" t="s">
        <v>23</v>
      </c>
      <c r="B8" s="215" t="s">
        <v>24</v>
      </c>
      <c r="C8" s="215"/>
      <c r="D8" s="215"/>
      <c r="E8" s="216" t="s">
        <v>8</v>
      </c>
      <c r="F8" s="216" t="s">
        <v>9</v>
      </c>
    </row>
    <row r="9" spans="1:6">
      <c r="A9" s="215" t="s">
        <v>25</v>
      </c>
      <c r="B9" s="215" t="s">
        <v>26</v>
      </c>
      <c r="C9" s="215" t="s">
        <v>27</v>
      </c>
      <c r="D9" s="215" t="s">
        <v>28</v>
      </c>
      <c r="E9" s="216" t="s">
        <v>8</v>
      </c>
      <c r="F9" s="216" t="s">
        <v>9</v>
      </c>
    </row>
    <row r="10" spans="1:6">
      <c r="A10" s="215" t="s">
        <v>29</v>
      </c>
      <c r="B10" s="215" t="s">
        <v>21</v>
      </c>
      <c r="C10" s="215"/>
      <c r="D10" s="215"/>
      <c r="E10" s="216" t="s">
        <v>8</v>
      </c>
      <c r="F10" s="216" t="s">
        <v>9</v>
      </c>
    </row>
    <row r="11" spans="1:6">
      <c r="A11" s="215" t="s">
        <v>30</v>
      </c>
      <c r="B11" s="215" t="s">
        <v>31</v>
      </c>
      <c r="C11" s="215"/>
      <c r="D11" s="215"/>
      <c r="E11" s="216" t="s">
        <v>8</v>
      </c>
      <c r="F11" s="216" t="s">
        <v>9</v>
      </c>
    </row>
    <row r="12" spans="1:6">
      <c r="A12" s="215" t="s">
        <v>32</v>
      </c>
      <c r="B12" s="215" t="s">
        <v>26</v>
      </c>
      <c r="C12" s="215"/>
      <c r="D12" s="215"/>
      <c r="E12" s="216" t="s">
        <v>8</v>
      </c>
      <c r="F12" s="216" t="s">
        <v>9</v>
      </c>
    </row>
    <row r="13" spans="1:6">
      <c r="A13" s="215" t="s">
        <v>33</v>
      </c>
      <c r="B13" s="215" t="s">
        <v>21</v>
      </c>
      <c r="C13" s="215"/>
      <c r="D13" s="215"/>
      <c r="E13" s="216" t="s">
        <v>8</v>
      </c>
      <c r="F13" s="216" t="s">
        <v>9</v>
      </c>
    </row>
    <row r="14" spans="1:6">
      <c r="A14" s="215" t="s">
        <v>34</v>
      </c>
      <c r="B14" s="215" t="s">
        <v>35</v>
      </c>
      <c r="C14" s="215"/>
      <c r="D14" s="215"/>
      <c r="E14" s="216" t="s">
        <v>8</v>
      </c>
      <c r="F14" s="216" t="s">
        <v>9</v>
      </c>
    </row>
    <row r="15" spans="1:6">
      <c r="A15" s="215" t="s">
        <v>36</v>
      </c>
      <c r="B15" s="215" t="s">
        <v>24</v>
      </c>
      <c r="C15" s="215" t="s">
        <v>37</v>
      </c>
      <c r="D15" s="215" t="s">
        <v>35</v>
      </c>
      <c r="E15" s="216" t="s">
        <v>8</v>
      </c>
      <c r="F15" s="216" t="s">
        <v>9</v>
      </c>
    </row>
    <row r="16" spans="1:6">
      <c r="A16" s="215" t="s">
        <v>38</v>
      </c>
      <c r="B16" s="215" t="s">
        <v>39</v>
      </c>
      <c r="C16" s="215"/>
      <c r="D16" s="215"/>
      <c r="E16" s="216" t="s">
        <v>8</v>
      </c>
      <c r="F16" s="216" t="s">
        <v>9</v>
      </c>
    </row>
    <row r="17" spans="1:6">
      <c r="A17" s="215" t="s">
        <v>40</v>
      </c>
      <c r="B17" s="215" t="s">
        <v>41</v>
      </c>
      <c r="C17" s="215"/>
      <c r="D17" s="215"/>
      <c r="E17" s="216" t="s">
        <v>8</v>
      </c>
      <c r="F17" s="216" t="s">
        <v>9</v>
      </c>
    </row>
    <row r="18" spans="1:6">
      <c r="A18" s="215" t="s">
        <v>42</v>
      </c>
      <c r="B18" s="215" t="s">
        <v>43</v>
      </c>
      <c r="C18" s="215"/>
      <c r="D18" s="215"/>
      <c r="E18" s="216" t="s">
        <v>8</v>
      </c>
      <c r="F18" s="216" t="s">
        <v>9</v>
      </c>
    </row>
    <row r="19" spans="1:6">
      <c r="A19" s="215" t="s">
        <v>44</v>
      </c>
      <c r="B19" s="215" t="s">
        <v>45</v>
      </c>
      <c r="C19" s="215"/>
      <c r="D19" s="215"/>
      <c r="E19" s="216" t="s">
        <v>8</v>
      </c>
      <c r="F19" s="216" t="s">
        <v>9</v>
      </c>
    </row>
    <row r="20" spans="1:6">
      <c r="A20" s="215" t="s">
        <v>46</v>
      </c>
      <c r="B20" s="215" t="s">
        <v>47</v>
      </c>
      <c r="C20" s="215"/>
      <c r="D20" s="215"/>
      <c r="E20" s="216" t="s">
        <v>8</v>
      </c>
      <c r="F20" s="216" t="s">
        <v>9</v>
      </c>
    </row>
    <row r="21" spans="1:6">
      <c r="A21" s="215" t="s">
        <v>48</v>
      </c>
      <c r="B21" s="215" t="s">
        <v>49</v>
      </c>
      <c r="C21" s="215"/>
      <c r="D21" s="215"/>
      <c r="E21" s="216" t="s">
        <v>8</v>
      </c>
      <c r="F21" s="216" t="s">
        <v>9</v>
      </c>
    </row>
    <row r="22" spans="1:6">
      <c r="A22" s="215" t="s">
        <v>50</v>
      </c>
      <c r="B22" s="215" t="s">
        <v>51</v>
      </c>
      <c r="C22" s="215"/>
      <c r="D22" s="215"/>
      <c r="E22" s="216" t="s">
        <v>8</v>
      </c>
      <c r="F22" s="216" t="s">
        <v>9</v>
      </c>
    </row>
    <row r="23" spans="1:6">
      <c r="A23" s="215" t="s">
        <v>52</v>
      </c>
      <c r="B23" s="215" t="s">
        <v>53</v>
      </c>
      <c r="C23" s="215"/>
      <c r="D23" s="215"/>
      <c r="E23" s="216" t="s">
        <v>8</v>
      </c>
      <c r="F23" s="216" t="s">
        <v>9</v>
      </c>
    </row>
    <row r="24" spans="1:6">
      <c r="A24" s="215" t="s">
        <v>54</v>
      </c>
      <c r="B24" s="215" t="s">
        <v>55</v>
      </c>
      <c r="C24" s="215"/>
      <c r="D24" s="215"/>
      <c r="E24" s="216" t="s">
        <v>8</v>
      </c>
      <c r="F24" s="216" t="s">
        <v>9</v>
      </c>
    </row>
    <row r="25" spans="1:6">
      <c r="A25" s="215" t="s">
        <v>56</v>
      </c>
      <c r="B25" s="215" t="s">
        <v>57</v>
      </c>
      <c r="C25" s="215"/>
      <c r="D25" s="215"/>
      <c r="E25" s="216" t="s">
        <v>8</v>
      </c>
      <c r="F25" s="216" t="s">
        <v>9</v>
      </c>
    </row>
    <row r="26" spans="1:6">
      <c r="A26" s="215" t="s">
        <v>58</v>
      </c>
      <c r="B26" s="215" t="s">
        <v>59</v>
      </c>
      <c r="C26" s="215"/>
      <c r="D26" s="215"/>
      <c r="E26" s="216" t="s">
        <v>8</v>
      </c>
      <c r="F26" s="216" t="s">
        <v>9</v>
      </c>
    </row>
    <row r="27" spans="1:6">
      <c r="A27" s="215" t="s">
        <v>60</v>
      </c>
      <c r="B27" s="215" t="s">
        <v>61</v>
      </c>
      <c r="C27" s="215" t="s">
        <v>62</v>
      </c>
      <c r="D27" s="215" t="s">
        <v>61</v>
      </c>
      <c r="E27" s="216" t="s">
        <v>8</v>
      </c>
      <c r="F27" s="216" t="s">
        <v>9</v>
      </c>
    </row>
    <row r="28" spans="1:6">
      <c r="A28" s="215" t="s">
        <v>63</v>
      </c>
      <c r="B28" s="215" t="s">
        <v>64</v>
      </c>
      <c r="C28" s="215" t="s">
        <v>65</v>
      </c>
      <c r="D28" s="215" t="s">
        <v>64</v>
      </c>
      <c r="E28" s="216" t="s">
        <v>8</v>
      </c>
      <c r="F28" s="216" t="s">
        <v>9</v>
      </c>
    </row>
    <row r="29" spans="1:6">
      <c r="A29" s="215" t="s">
        <v>66</v>
      </c>
      <c r="B29" s="215" t="s">
        <v>67</v>
      </c>
      <c r="C29" s="215"/>
      <c r="D29" s="215"/>
      <c r="E29" s="216" t="s">
        <v>8</v>
      </c>
      <c r="F29" s="216" t="s">
        <v>9</v>
      </c>
    </row>
    <row r="30" spans="1:6">
      <c r="A30" s="215" t="s">
        <v>68</v>
      </c>
      <c r="B30" s="215" t="s">
        <v>69</v>
      </c>
      <c r="C30" s="215"/>
      <c r="D30" s="215"/>
      <c r="E30" s="216" t="s">
        <v>8</v>
      </c>
      <c r="F30" s="216" t="s">
        <v>9</v>
      </c>
    </row>
    <row r="31" spans="1:6">
      <c r="A31" s="215" t="s">
        <v>70</v>
      </c>
      <c r="B31" s="215" t="s">
        <v>71</v>
      </c>
      <c r="C31" s="215" t="s">
        <v>72</v>
      </c>
      <c r="D31" s="215" t="s">
        <v>71</v>
      </c>
      <c r="E31" s="216" t="s">
        <v>8</v>
      </c>
      <c r="F31" s="216" t="s">
        <v>9</v>
      </c>
    </row>
    <row r="32" spans="1:6">
      <c r="A32" s="215" t="s">
        <v>73</v>
      </c>
      <c r="B32" s="215" t="s">
        <v>74</v>
      </c>
      <c r="C32" s="215" t="s">
        <v>75</v>
      </c>
      <c r="D32" s="215" t="s">
        <v>74</v>
      </c>
      <c r="E32" s="216" t="s">
        <v>8</v>
      </c>
      <c r="F32" s="216" t="s">
        <v>9</v>
      </c>
    </row>
    <row r="33" spans="1:6">
      <c r="A33" s="215" t="s">
        <v>76</v>
      </c>
      <c r="B33" s="215" t="s">
        <v>77</v>
      </c>
      <c r="C33" s="215" t="s">
        <v>78</v>
      </c>
      <c r="D33" s="215" t="s">
        <v>77</v>
      </c>
      <c r="E33" s="216" t="s">
        <v>8</v>
      </c>
      <c r="F33" s="216" t="s">
        <v>9</v>
      </c>
    </row>
    <row r="34" spans="1:6">
      <c r="A34" s="215" t="s">
        <v>79</v>
      </c>
      <c r="B34" s="215" t="s">
        <v>80</v>
      </c>
      <c r="C34" s="215" t="s">
        <v>81</v>
      </c>
      <c r="D34" s="215" t="s">
        <v>80</v>
      </c>
      <c r="E34" s="216" t="s">
        <v>8</v>
      </c>
      <c r="F34" s="216" t="s">
        <v>9</v>
      </c>
    </row>
    <row r="35" spans="1:6">
      <c r="A35" s="215" t="s">
        <v>82</v>
      </c>
      <c r="B35" s="215" t="s">
        <v>83</v>
      </c>
      <c r="C35" s="215" t="s">
        <v>84</v>
      </c>
      <c r="D35" s="215" t="s">
        <v>83</v>
      </c>
      <c r="E35" s="216" t="s">
        <v>8</v>
      </c>
      <c r="F35" s="216" t="s">
        <v>9</v>
      </c>
    </row>
    <row r="36" spans="1:6">
      <c r="A36" s="215" t="s">
        <v>85</v>
      </c>
      <c r="B36" s="215" t="s">
        <v>86</v>
      </c>
      <c r="C36" s="215"/>
      <c r="D36" s="215"/>
      <c r="E36" s="216" t="s">
        <v>8</v>
      </c>
      <c r="F36" s="216" t="s">
        <v>9</v>
      </c>
    </row>
    <row r="37" spans="1:6">
      <c r="A37" s="215" t="s">
        <v>87</v>
      </c>
      <c r="B37" s="215" t="s">
        <v>88</v>
      </c>
      <c r="C37" s="215" t="s">
        <v>89</v>
      </c>
      <c r="D37" s="215" t="s">
        <v>88</v>
      </c>
      <c r="E37" s="216" t="s">
        <v>8</v>
      </c>
      <c r="F37" s="216" t="s">
        <v>9</v>
      </c>
    </row>
    <row r="38" spans="1:6">
      <c r="A38" s="215" t="s">
        <v>90</v>
      </c>
      <c r="B38" s="215" t="s">
        <v>91</v>
      </c>
      <c r="C38" s="215" t="s">
        <v>92</v>
      </c>
      <c r="D38" s="215" t="s">
        <v>91</v>
      </c>
      <c r="E38" s="216" t="s">
        <v>8</v>
      </c>
      <c r="F38" s="216" t="s">
        <v>9</v>
      </c>
    </row>
    <row r="39" spans="1:6">
      <c r="A39" s="215" t="s">
        <v>93</v>
      </c>
      <c r="B39" s="215" t="s">
        <v>94</v>
      </c>
      <c r="C39" s="215" t="s">
        <v>95</v>
      </c>
      <c r="D39" s="215" t="s">
        <v>94</v>
      </c>
      <c r="E39" s="216" t="s">
        <v>8</v>
      </c>
      <c r="F39" s="216" t="s">
        <v>9</v>
      </c>
    </row>
    <row r="40" spans="1:6">
      <c r="A40" s="215" t="s">
        <v>96</v>
      </c>
      <c r="B40" s="215" t="s">
        <v>97</v>
      </c>
      <c r="C40" s="215" t="s">
        <v>98</v>
      </c>
      <c r="D40" s="215" t="s">
        <v>97</v>
      </c>
      <c r="E40" s="216" t="s">
        <v>8</v>
      </c>
      <c r="F40" s="216" t="s">
        <v>9</v>
      </c>
    </row>
    <row r="41" spans="1:6">
      <c r="A41" s="215" t="s">
        <v>99</v>
      </c>
      <c r="B41" s="215" t="s">
        <v>100</v>
      </c>
      <c r="C41" s="215"/>
      <c r="D41" s="215"/>
      <c r="E41" s="216" t="s">
        <v>8</v>
      </c>
      <c r="F41" s="216" t="s">
        <v>9</v>
      </c>
    </row>
    <row r="42" spans="1:6">
      <c r="A42" s="215" t="s">
        <v>101</v>
      </c>
      <c r="B42" s="215" t="s">
        <v>102</v>
      </c>
      <c r="C42" s="215" t="s">
        <v>103</v>
      </c>
      <c r="D42" s="215" t="s">
        <v>102</v>
      </c>
      <c r="E42" s="216" t="s">
        <v>8</v>
      </c>
      <c r="F42" s="216" t="s">
        <v>9</v>
      </c>
    </row>
    <row r="43" spans="1:6">
      <c r="A43" s="215" t="s">
        <v>104</v>
      </c>
      <c r="B43" s="215" t="s">
        <v>105</v>
      </c>
      <c r="C43" s="215" t="s">
        <v>106</v>
      </c>
      <c r="D43" s="215" t="s">
        <v>105</v>
      </c>
      <c r="E43" s="216" t="s">
        <v>8</v>
      </c>
      <c r="F43" s="216" t="s">
        <v>9</v>
      </c>
    </row>
    <row r="44" spans="1:6">
      <c r="A44" s="215" t="s">
        <v>107</v>
      </c>
      <c r="B44" s="215" t="s">
        <v>108</v>
      </c>
      <c r="C44" s="215" t="s">
        <v>109</v>
      </c>
      <c r="D44" s="215" t="s">
        <v>108</v>
      </c>
      <c r="E44" s="216" t="s">
        <v>8</v>
      </c>
      <c r="F44" s="216" t="s">
        <v>9</v>
      </c>
    </row>
    <row r="45" spans="1:6">
      <c r="A45" s="215" t="s">
        <v>110</v>
      </c>
      <c r="B45" s="215" t="s">
        <v>111</v>
      </c>
      <c r="C45" s="215"/>
      <c r="D45" s="215"/>
      <c r="E45" s="216" t="s">
        <v>8</v>
      </c>
      <c r="F45" s="216" t="s">
        <v>9</v>
      </c>
    </row>
    <row r="46" spans="1:6">
      <c r="A46" s="215" t="s">
        <v>112</v>
      </c>
      <c r="B46" s="215" t="s">
        <v>113</v>
      </c>
      <c r="C46" s="215" t="s">
        <v>114</v>
      </c>
      <c r="D46" s="215" t="s">
        <v>113</v>
      </c>
      <c r="E46" s="216" t="s">
        <v>8</v>
      </c>
      <c r="F46" s="216" t="s">
        <v>9</v>
      </c>
    </row>
    <row r="47" spans="1:6">
      <c r="A47" s="215" t="s">
        <v>115</v>
      </c>
      <c r="B47" s="215" t="s">
        <v>116</v>
      </c>
      <c r="C47" s="215" t="s">
        <v>117</v>
      </c>
      <c r="D47" s="215" t="s">
        <v>116</v>
      </c>
      <c r="E47" s="216" t="s">
        <v>8</v>
      </c>
      <c r="F47" s="216" t="s">
        <v>9</v>
      </c>
    </row>
    <row r="48" spans="1:6">
      <c r="A48" s="215" t="s">
        <v>118</v>
      </c>
      <c r="B48" s="215" t="s">
        <v>119</v>
      </c>
      <c r="C48" s="215"/>
      <c r="D48" s="215"/>
      <c r="E48" s="216" t="s">
        <v>8</v>
      </c>
      <c r="F48" s="216" t="s">
        <v>9</v>
      </c>
    </row>
    <row r="49" spans="1:6">
      <c r="A49" s="215" t="s">
        <v>120</v>
      </c>
      <c r="B49" s="215" t="s">
        <v>121</v>
      </c>
      <c r="C49" s="215"/>
      <c r="D49" s="215"/>
      <c r="E49" s="216" t="s">
        <v>8</v>
      </c>
      <c r="F49" s="216" t="s">
        <v>9</v>
      </c>
    </row>
    <row r="50" spans="1:6">
      <c r="A50" s="215" t="s">
        <v>122</v>
      </c>
      <c r="B50" s="215" t="s">
        <v>123</v>
      </c>
      <c r="C50" s="215" t="s">
        <v>124</v>
      </c>
      <c r="D50" s="215" t="s">
        <v>123</v>
      </c>
      <c r="E50" s="216" t="s">
        <v>8</v>
      </c>
      <c r="F50" s="216" t="s">
        <v>9</v>
      </c>
    </row>
    <row r="51" spans="1:6">
      <c r="A51" s="215" t="s">
        <v>125</v>
      </c>
      <c r="B51" s="215" t="s">
        <v>126</v>
      </c>
      <c r="C51" s="215" t="s">
        <v>127</v>
      </c>
      <c r="D51" s="215" t="s">
        <v>126</v>
      </c>
      <c r="E51" s="216" t="s">
        <v>8</v>
      </c>
      <c r="F51" s="216" t="s">
        <v>9</v>
      </c>
    </row>
    <row r="52" spans="1:6">
      <c r="A52" s="215" t="s">
        <v>128</v>
      </c>
      <c r="B52" s="215" t="s">
        <v>129</v>
      </c>
      <c r="C52" s="215" t="s">
        <v>130</v>
      </c>
      <c r="D52" s="215" t="s">
        <v>129</v>
      </c>
      <c r="E52" s="216" t="s">
        <v>8</v>
      </c>
      <c r="F52" s="216" t="s">
        <v>9</v>
      </c>
    </row>
    <row r="53" spans="1:6">
      <c r="A53" s="215" t="s">
        <v>131</v>
      </c>
      <c r="B53" s="215" t="s">
        <v>132</v>
      </c>
      <c r="C53" s="215" t="s">
        <v>133</v>
      </c>
      <c r="D53" s="215" t="s">
        <v>132</v>
      </c>
      <c r="E53" s="216" t="s">
        <v>8</v>
      </c>
      <c r="F53" s="216" t="s">
        <v>9</v>
      </c>
    </row>
    <row r="54" spans="1:6">
      <c r="A54" s="215" t="s">
        <v>134</v>
      </c>
      <c r="B54" s="215" t="s">
        <v>135</v>
      </c>
      <c r="C54" s="215" t="s">
        <v>136</v>
      </c>
      <c r="D54" s="215" t="s">
        <v>135</v>
      </c>
      <c r="E54" s="216" t="s">
        <v>8</v>
      </c>
      <c r="F54" s="216" t="s">
        <v>9</v>
      </c>
    </row>
    <row r="55" spans="1:6">
      <c r="A55" s="215" t="s">
        <v>137</v>
      </c>
      <c r="B55" s="215" t="s">
        <v>138</v>
      </c>
      <c r="C55" s="215" t="s">
        <v>139</v>
      </c>
      <c r="D55" s="215" t="s">
        <v>138</v>
      </c>
      <c r="E55" s="216" t="s">
        <v>8</v>
      </c>
      <c r="F55" s="216" t="s">
        <v>9</v>
      </c>
    </row>
    <row r="56" spans="1:6">
      <c r="A56" s="215" t="s">
        <v>140</v>
      </c>
      <c r="B56" s="215" t="s">
        <v>141</v>
      </c>
      <c r="C56" s="215" t="s">
        <v>142</v>
      </c>
      <c r="D56" s="215" t="s">
        <v>141</v>
      </c>
      <c r="E56" s="216" t="s">
        <v>8</v>
      </c>
      <c r="F56" s="216" t="s">
        <v>9</v>
      </c>
    </row>
    <row r="57" spans="1:6">
      <c r="A57" s="215" t="s">
        <v>143</v>
      </c>
      <c r="B57" s="215" t="s">
        <v>144</v>
      </c>
      <c r="C57" s="215" t="s">
        <v>145</v>
      </c>
      <c r="D57" s="215" t="s">
        <v>144</v>
      </c>
      <c r="E57" s="216" t="s">
        <v>8</v>
      </c>
      <c r="F57" s="216" t="s">
        <v>9</v>
      </c>
    </row>
    <row r="58" spans="1:6">
      <c r="A58" s="215" t="s">
        <v>146</v>
      </c>
      <c r="B58" s="215" t="s">
        <v>147</v>
      </c>
      <c r="C58" s="215" t="s">
        <v>148</v>
      </c>
      <c r="D58" s="215" t="s">
        <v>147</v>
      </c>
      <c r="E58" s="216" t="s">
        <v>8</v>
      </c>
      <c r="F58" s="216" t="s">
        <v>9</v>
      </c>
    </row>
    <row r="59" spans="1:6">
      <c r="A59" s="215" t="s">
        <v>149</v>
      </c>
      <c r="B59" s="215" t="s">
        <v>150</v>
      </c>
      <c r="C59" s="215" t="s">
        <v>151</v>
      </c>
      <c r="D59" s="215" t="s">
        <v>150</v>
      </c>
      <c r="E59" s="216" t="s">
        <v>8</v>
      </c>
      <c r="F59" s="216" t="s">
        <v>9</v>
      </c>
    </row>
    <row r="60" spans="1:6">
      <c r="A60" s="215" t="s">
        <v>152</v>
      </c>
      <c r="B60" s="215" t="s">
        <v>153</v>
      </c>
      <c r="C60" s="215"/>
      <c r="D60" s="215"/>
      <c r="E60" s="216" t="s">
        <v>8</v>
      </c>
      <c r="F60" s="216" t="s">
        <v>9</v>
      </c>
    </row>
    <row r="61" spans="1:6">
      <c r="A61" s="215" t="s">
        <v>154</v>
      </c>
      <c r="B61" s="215" t="s">
        <v>155</v>
      </c>
      <c r="C61" s="215"/>
      <c r="D61" s="215"/>
      <c r="E61" s="216" t="s">
        <v>8</v>
      </c>
      <c r="F61" s="216" t="s">
        <v>9</v>
      </c>
    </row>
    <row r="62" spans="1:6">
      <c r="A62" s="215" t="s">
        <v>156</v>
      </c>
      <c r="B62" s="215" t="s">
        <v>157</v>
      </c>
      <c r="C62" s="215" t="s">
        <v>158</v>
      </c>
      <c r="D62" s="215" t="s">
        <v>157</v>
      </c>
      <c r="E62" s="216" t="s">
        <v>8</v>
      </c>
      <c r="F62" s="216" t="s">
        <v>9</v>
      </c>
    </row>
    <row r="63" spans="1:6">
      <c r="A63" s="215" t="s">
        <v>159</v>
      </c>
      <c r="B63" s="215" t="s">
        <v>160</v>
      </c>
      <c r="C63" s="215" t="s">
        <v>161</v>
      </c>
      <c r="D63" s="215" t="s">
        <v>160</v>
      </c>
      <c r="E63" s="216" t="s">
        <v>8</v>
      </c>
      <c r="F63" s="216" t="s">
        <v>9</v>
      </c>
    </row>
    <row r="64" spans="1:6">
      <c r="A64" s="215" t="s">
        <v>162</v>
      </c>
      <c r="B64" s="215" t="s">
        <v>163</v>
      </c>
      <c r="C64" s="215" t="s">
        <v>164</v>
      </c>
      <c r="D64" s="215" t="s">
        <v>163</v>
      </c>
      <c r="E64" s="216" t="s">
        <v>8</v>
      </c>
      <c r="F64" s="216" t="s">
        <v>9</v>
      </c>
    </row>
    <row r="65" spans="1:6">
      <c r="A65" s="215" t="s">
        <v>165</v>
      </c>
      <c r="B65" s="215" t="s">
        <v>166</v>
      </c>
      <c r="C65" s="215" t="s">
        <v>167</v>
      </c>
      <c r="D65" s="215" t="s">
        <v>166</v>
      </c>
      <c r="E65" s="216" t="s">
        <v>8</v>
      </c>
      <c r="F65" s="216" t="s">
        <v>9</v>
      </c>
    </row>
    <row r="66" spans="1:6">
      <c r="A66" s="215" t="s">
        <v>168</v>
      </c>
      <c r="B66" s="215" t="s">
        <v>169</v>
      </c>
      <c r="C66" s="215" t="s">
        <v>170</v>
      </c>
      <c r="D66" s="215" t="s">
        <v>169</v>
      </c>
      <c r="E66" s="216" t="s">
        <v>8</v>
      </c>
      <c r="F66" s="216" t="s">
        <v>9</v>
      </c>
    </row>
    <row r="67" spans="1:6" ht="22.5">
      <c r="A67" s="215" t="s">
        <v>171</v>
      </c>
      <c r="B67" s="215" t="s">
        <v>172</v>
      </c>
      <c r="C67" s="215" t="s">
        <v>173</v>
      </c>
      <c r="D67" s="215" t="s">
        <v>172</v>
      </c>
      <c r="E67" s="216" t="s">
        <v>8</v>
      </c>
      <c r="F67" s="216" t="s">
        <v>9</v>
      </c>
    </row>
    <row r="68" spans="1:6">
      <c r="A68" s="215" t="s">
        <v>174</v>
      </c>
      <c r="B68" s="215" t="s">
        <v>175</v>
      </c>
      <c r="C68" s="215" t="s">
        <v>176</v>
      </c>
      <c r="D68" s="215" t="s">
        <v>175</v>
      </c>
      <c r="E68" s="216" t="s">
        <v>8</v>
      </c>
      <c r="F68" s="216" t="s">
        <v>9</v>
      </c>
    </row>
    <row r="69" spans="1:6">
      <c r="A69" s="215" t="s">
        <v>177</v>
      </c>
      <c r="B69" s="215" t="s">
        <v>150</v>
      </c>
      <c r="C69" s="215" t="s">
        <v>178</v>
      </c>
      <c r="D69" s="215" t="s">
        <v>150</v>
      </c>
      <c r="E69" s="216" t="s">
        <v>8</v>
      </c>
      <c r="F69" s="216" t="s">
        <v>9</v>
      </c>
    </row>
    <row r="70" spans="1:6">
      <c r="A70" s="215" t="s">
        <v>179</v>
      </c>
      <c r="B70" s="215" t="s">
        <v>180</v>
      </c>
      <c r="C70" s="215"/>
      <c r="D70" s="215"/>
      <c r="E70" s="216" t="s">
        <v>8</v>
      </c>
      <c r="F70" s="216" t="s">
        <v>9</v>
      </c>
    </row>
    <row r="71" spans="1:6">
      <c r="A71" s="215" t="s">
        <v>181</v>
      </c>
      <c r="B71" s="215" t="s">
        <v>182</v>
      </c>
      <c r="C71" s="215" t="s">
        <v>183</v>
      </c>
      <c r="D71" s="215" t="s">
        <v>182</v>
      </c>
      <c r="E71" s="216" t="s">
        <v>8</v>
      </c>
      <c r="F71" s="216" t="s">
        <v>9</v>
      </c>
    </row>
    <row r="72" spans="1:6">
      <c r="A72" s="215" t="s">
        <v>184</v>
      </c>
      <c r="B72" s="215" t="s">
        <v>185</v>
      </c>
      <c r="C72" s="215" t="s">
        <v>186</v>
      </c>
      <c r="D72" s="215" t="s">
        <v>185</v>
      </c>
      <c r="E72" s="216" t="s">
        <v>8</v>
      </c>
      <c r="F72" s="216" t="s">
        <v>9</v>
      </c>
    </row>
    <row r="73" spans="1:6">
      <c r="A73" s="215" t="s">
        <v>187</v>
      </c>
      <c r="B73" s="215" t="s">
        <v>188</v>
      </c>
      <c r="C73" s="215" t="s">
        <v>189</v>
      </c>
      <c r="D73" s="215" t="s">
        <v>188</v>
      </c>
      <c r="E73" s="216" t="s">
        <v>8</v>
      </c>
      <c r="F73" s="216" t="s">
        <v>9</v>
      </c>
    </row>
    <row r="74" spans="1:6">
      <c r="A74" s="215" t="s">
        <v>190</v>
      </c>
      <c r="B74" s="215" t="s">
        <v>191</v>
      </c>
      <c r="C74" s="215" t="s">
        <v>192</v>
      </c>
      <c r="D74" s="215" t="s">
        <v>191</v>
      </c>
      <c r="E74" s="216" t="s">
        <v>8</v>
      </c>
      <c r="F74" s="216" t="s">
        <v>9</v>
      </c>
    </row>
    <row r="75" spans="1:6">
      <c r="A75" s="215" t="s">
        <v>193</v>
      </c>
      <c r="B75" s="215" t="s">
        <v>194</v>
      </c>
      <c r="C75" s="215" t="s">
        <v>195</v>
      </c>
      <c r="D75" s="215" t="s">
        <v>194</v>
      </c>
      <c r="E75" s="216" t="s">
        <v>8</v>
      </c>
      <c r="F75" s="216" t="s">
        <v>9</v>
      </c>
    </row>
    <row r="76" spans="1:6" ht="22.5">
      <c r="A76" s="215" t="s">
        <v>196</v>
      </c>
      <c r="B76" s="215" t="s">
        <v>197</v>
      </c>
      <c r="C76" s="215" t="s">
        <v>198</v>
      </c>
      <c r="D76" s="215" t="s">
        <v>197</v>
      </c>
      <c r="E76" s="216" t="s">
        <v>8</v>
      </c>
      <c r="F76" s="216" t="s">
        <v>9</v>
      </c>
    </row>
    <row r="77" spans="1:6">
      <c r="A77" s="215" t="s">
        <v>199</v>
      </c>
      <c r="B77" s="215" t="s">
        <v>200</v>
      </c>
      <c r="C77" s="215" t="s">
        <v>201</v>
      </c>
      <c r="D77" s="215" t="s">
        <v>200</v>
      </c>
      <c r="E77" s="216" t="s">
        <v>8</v>
      </c>
      <c r="F77" s="216" t="s">
        <v>9</v>
      </c>
    </row>
    <row r="78" spans="1:6">
      <c r="A78" s="215" t="s">
        <v>202</v>
      </c>
      <c r="B78" s="215" t="s">
        <v>203</v>
      </c>
      <c r="C78" s="215" t="s">
        <v>204</v>
      </c>
      <c r="D78" s="215" t="s">
        <v>203</v>
      </c>
      <c r="E78" s="216" t="s">
        <v>8</v>
      </c>
      <c r="F78" s="216" t="s">
        <v>9</v>
      </c>
    </row>
    <row r="79" spans="1:6">
      <c r="A79" s="215" t="s">
        <v>205</v>
      </c>
      <c r="B79" s="215" t="s">
        <v>206</v>
      </c>
      <c r="C79" s="215"/>
      <c r="D79" s="215"/>
      <c r="E79" s="216" t="s">
        <v>8</v>
      </c>
      <c r="F79" s="216" t="s">
        <v>9</v>
      </c>
    </row>
    <row r="80" spans="1:6">
      <c r="A80" s="215" t="s">
        <v>207</v>
      </c>
      <c r="B80" s="215" t="s">
        <v>208</v>
      </c>
      <c r="C80" s="215" t="s">
        <v>209</v>
      </c>
      <c r="D80" s="215" t="s">
        <v>208</v>
      </c>
      <c r="E80" s="216" t="s">
        <v>8</v>
      </c>
      <c r="F80" s="216" t="s">
        <v>9</v>
      </c>
    </row>
    <row r="81" spans="1:6">
      <c r="A81" s="215" t="s">
        <v>210</v>
      </c>
      <c r="B81" s="215" t="s">
        <v>211</v>
      </c>
      <c r="C81" s="215" t="s">
        <v>212</v>
      </c>
      <c r="D81" s="215" t="s">
        <v>211</v>
      </c>
      <c r="E81" s="216" t="s">
        <v>8</v>
      </c>
      <c r="F81" s="216" t="s">
        <v>9</v>
      </c>
    </row>
    <row r="82" spans="1:6">
      <c r="A82" s="215" t="s">
        <v>213</v>
      </c>
      <c r="B82" s="215" t="s">
        <v>214</v>
      </c>
      <c r="C82" s="215" t="s">
        <v>215</v>
      </c>
      <c r="D82" s="215" t="s">
        <v>214</v>
      </c>
      <c r="E82" s="216" t="s">
        <v>8</v>
      </c>
      <c r="F82" s="216" t="s">
        <v>9</v>
      </c>
    </row>
    <row r="83" spans="1:6">
      <c r="A83" s="215" t="s">
        <v>216</v>
      </c>
      <c r="B83" s="215" t="s">
        <v>217</v>
      </c>
      <c r="C83" s="215" t="s">
        <v>218</v>
      </c>
      <c r="D83" s="215" t="s">
        <v>217</v>
      </c>
      <c r="E83" s="216" t="s">
        <v>8</v>
      </c>
      <c r="F83" s="216" t="s">
        <v>9</v>
      </c>
    </row>
    <row r="84" spans="1:6">
      <c r="A84" s="215" t="s">
        <v>219</v>
      </c>
      <c r="B84" s="215" t="s">
        <v>132</v>
      </c>
      <c r="C84" s="215" t="s">
        <v>220</v>
      </c>
      <c r="D84" s="215" t="s">
        <v>132</v>
      </c>
      <c r="E84" s="216" t="s">
        <v>8</v>
      </c>
      <c r="F84" s="216" t="s">
        <v>9</v>
      </c>
    </row>
    <row r="85" spans="1:6">
      <c r="A85" s="215" t="s">
        <v>221</v>
      </c>
      <c r="B85" s="215" t="s">
        <v>222</v>
      </c>
      <c r="C85" s="215" t="s">
        <v>223</v>
      </c>
      <c r="D85" s="215" t="s">
        <v>222</v>
      </c>
      <c r="E85" s="216" t="s">
        <v>8</v>
      </c>
      <c r="F85" s="216" t="s">
        <v>9</v>
      </c>
    </row>
    <row r="86" spans="1:6">
      <c r="A86" s="215" t="s">
        <v>224</v>
      </c>
      <c r="B86" s="215" t="s">
        <v>225</v>
      </c>
      <c r="C86" s="215" t="s">
        <v>226</v>
      </c>
      <c r="D86" s="215" t="s">
        <v>225</v>
      </c>
      <c r="E86" s="216" t="s">
        <v>8</v>
      </c>
      <c r="F86" s="216" t="s">
        <v>9</v>
      </c>
    </row>
    <row r="87" spans="1:6">
      <c r="A87" s="215" t="s">
        <v>227</v>
      </c>
      <c r="B87" s="215" t="s">
        <v>150</v>
      </c>
      <c r="C87" s="215" t="s">
        <v>228</v>
      </c>
      <c r="D87" s="215" t="s">
        <v>150</v>
      </c>
      <c r="E87" s="216" t="s">
        <v>8</v>
      </c>
      <c r="F87" s="216" t="s">
        <v>9</v>
      </c>
    </row>
    <row r="88" spans="1:6">
      <c r="A88" s="215" t="s">
        <v>229</v>
      </c>
      <c r="B88" s="215" t="s">
        <v>230</v>
      </c>
      <c r="C88" s="215"/>
      <c r="D88" s="215"/>
      <c r="E88" s="216" t="s">
        <v>8</v>
      </c>
      <c r="F88" s="216" t="s">
        <v>9</v>
      </c>
    </row>
    <row r="89" spans="1:6">
      <c r="A89" s="215" t="s">
        <v>231</v>
      </c>
      <c r="B89" s="215" t="s">
        <v>232</v>
      </c>
      <c r="C89" s="215"/>
      <c r="D89" s="215"/>
      <c r="E89" s="216" t="s">
        <v>8</v>
      </c>
      <c r="F89" s="216" t="s">
        <v>9</v>
      </c>
    </row>
    <row r="90" spans="1:6">
      <c r="A90" s="215" t="s">
        <v>233</v>
      </c>
      <c r="B90" s="215" t="s">
        <v>234</v>
      </c>
      <c r="C90" s="215"/>
      <c r="D90" s="215"/>
      <c r="E90" s="216" t="s">
        <v>8</v>
      </c>
      <c r="F90" s="216" t="s">
        <v>9</v>
      </c>
    </row>
    <row r="91" spans="1:6">
      <c r="A91" s="215" t="s">
        <v>235</v>
      </c>
      <c r="B91" s="215" t="s">
        <v>236</v>
      </c>
      <c r="C91" s="215"/>
      <c r="D91" s="215"/>
      <c r="E91" s="216" t="s">
        <v>8</v>
      </c>
      <c r="F91" s="216" t="s">
        <v>9</v>
      </c>
    </row>
    <row r="92" spans="1:6">
      <c r="A92" s="215" t="s">
        <v>237</v>
      </c>
      <c r="B92" s="215" t="s">
        <v>238</v>
      </c>
      <c r="C92" s="215" t="s">
        <v>239</v>
      </c>
      <c r="D92" s="215" t="s">
        <v>238</v>
      </c>
      <c r="E92" s="216" t="s">
        <v>8</v>
      </c>
      <c r="F92" s="216" t="s">
        <v>9</v>
      </c>
    </row>
    <row r="93" spans="1:6">
      <c r="A93" s="215" t="s">
        <v>240</v>
      </c>
      <c r="B93" s="215" t="s">
        <v>241</v>
      </c>
      <c r="C93" s="215" t="s">
        <v>242</v>
      </c>
      <c r="D93" s="215" t="s">
        <v>241</v>
      </c>
      <c r="E93" s="216" t="s">
        <v>8</v>
      </c>
      <c r="F93" s="216" t="s">
        <v>9</v>
      </c>
    </row>
    <row r="94" spans="1:6">
      <c r="A94" s="215" t="s">
        <v>243</v>
      </c>
      <c r="B94" s="215" t="s">
        <v>244</v>
      </c>
      <c r="C94" s="215" t="s">
        <v>245</v>
      </c>
      <c r="D94" s="215" t="s">
        <v>244</v>
      </c>
      <c r="E94" s="216" t="s">
        <v>8</v>
      </c>
      <c r="F94" s="216" t="s">
        <v>9</v>
      </c>
    </row>
    <row r="95" spans="1:6">
      <c r="A95" s="215" t="s">
        <v>246</v>
      </c>
      <c r="B95" s="215" t="s">
        <v>247</v>
      </c>
      <c r="C95" s="215" t="s">
        <v>248</v>
      </c>
      <c r="D95" s="215" t="s">
        <v>247</v>
      </c>
      <c r="E95" s="216" t="s">
        <v>8</v>
      </c>
      <c r="F95" s="216" t="s">
        <v>9</v>
      </c>
    </row>
    <row r="96" spans="1:6">
      <c r="A96" s="215" t="s">
        <v>249</v>
      </c>
      <c r="B96" s="215" t="s">
        <v>250</v>
      </c>
      <c r="C96" s="215" t="s">
        <v>251</v>
      </c>
      <c r="D96" s="215" t="s">
        <v>250</v>
      </c>
      <c r="E96" s="216" t="s">
        <v>8</v>
      </c>
      <c r="F96" s="216" t="s">
        <v>9</v>
      </c>
    </row>
    <row r="97" spans="1:6">
      <c r="A97" s="215" t="s">
        <v>252</v>
      </c>
      <c r="B97" s="215" t="s">
        <v>253</v>
      </c>
      <c r="C97" s="215"/>
      <c r="D97" s="215"/>
      <c r="E97" s="216" t="s">
        <v>8</v>
      </c>
      <c r="F97" s="216" t="s">
        <v>9</v>
      </c>
    </row>
    <row r="98" spans="1:6">
      <c r="A98" s="215" t="s">
        <v>254</v>
      </c>
      <c r="B98" s="215" t="s">
        <v>255</v>
      </c>
      <c r="C98" s="215" t="s">
        <v>256</v>
      </c>
      <c r="D98" s="215" t="s">
        <v>255</v>
      </c>
      <c r="E98" s="216" t="s">
        <v>8</v>
      </c>
      <c r="F98" s="216" t="s">
        <v>9</v>
      </c>
    </row>
    <row r="99" spans="1:6">
      <c r="A99" s="215" t="s">
        <v>257</v>
      </c>
      <c r="B99" s="215" t="s">
        <v>258</v>
      </c>
      <c r="C99" s="215"/>
      <c r="D99" s="215"/>
      <c r="E99" s="216" t="s">
        <v>8</v>
      </c>
      <c r="F99" s="216" t="s">
        <v>9</v>
      </c>
    </row>
    <row r="100" spans="1:6">
      <c r="A100" s="215" t="s">
        <v>259</v>
      </c>
      <c r="B100" s="215" t="s">
        <v>260</v>
      </c>
      <c r="C100" s="215" t="s">
        <v>261</v>
      </c>
      <c r="D100" s="215" t="s">
        <v>260</v>
      </c>
      <c r="E100" s="216" t="s">
        <v>8</v>
      </c>
      <c r="F100" s="216" t="s">
        <v>9</v>
      </c>
    </row>
    <row r="101" spans="1:6">
      <c r="A101" s="215" t="s">
        <v>262</v>
      </c>
      <c r="B101" s="215" t="s">
        <v>263</v>
      </c>
      <c r="C101" s="215" t="s">
        <v>264</v>
      </c>
      <c r="D101" s="215" t="s">
        <v>263</v>
      </c>
      <c r="E101" s="216" t="s">
        <v>8</v>
      </c>
      <c r="F101" s="216" t="s">
        <v>9</v>
      </c>
    </row>
    <row r="102" spans="1:6">
      <c r="A102" s="215" t="s">
        <v>265</v>
      </c>
      <c r="B102" s="215" t="s">
        <v>266</v>
      </c>
      <c r="C102" s="215" t="s">
        <v>267</v>
      </c>
      <c r="D102" s="215" t="s">
        <v>266</v>
      </c>
      <c r="E102" s="216" t="s">
        <v>8</v>
      </c>
      <c r="F102" s="216" t="s">
        <v>9</v>
      </c>
    </row>
    <row r="103" spans="1:6">
      <c r="A103" s="215" t="s">
        <v>268</v>
      </c>
      <c r="B103" s="215" t="s">
        <v>269</v>
      </c>
      <c r="C103" s="215"/>
      <c r="D103" s="215"/>
      <c r="E103" s="216" t="s">
        <v>8</v>
      </c>
      <c r="F103" s="216" t="s">
        <v>9</v>
      </c>
    </row>
    <row r="104" spans="1:6">
      <c r="A104" s="215" t="s">
        <v>270</v>
      </c>
      <c r="B104" s="215" t="s">
        <v>271</v>
      </c>
      <c r="C104" s="215" t="s">
        <v>272</v>
      </c>
      <c r="D104" s="215" t="s">
        <v>271</v>
      </c>
      <c r="E104" s="216" t="s">
        <v>8</v>
      </c>
      <c r="F104" s="216" t="s">
        <v>9</v>
      </c>
    </row>
    <row r="105" spans="1:6">
      <c r="A105" s="215" t="s">
        <v>273</v>
      </c>
      <c r="B105" s="215" t="s">
        <v>274</v>
      </c>
      <c r="C105" s="215"/>
      <c r="D105" s="215"/>
      <c r="E105" s="216" t="s">
        <v>8</v>
      </c>
      <c r="F105" s="216" t="s">
        <v>9</v>
      </c>
    </row>
    <row r="106" spans="1:6" ht="22.5">
      <c r="A106" s="215" t="s">
        <v>275</v>
      </c>
      <c r="B106" s="215" t="s">
        <v>276</v>
      </c>
      <c r="C106" s="215" t="s">
        <v>277</v>
      </c>
      <c r="D106" s="215" t="s">
        <v>276</v>
      </c>
      <c r="E106" s="216" t="s">
        <v>8</v>
      </c>
      <c r="F106" s="216" t="s">
        <v>9</v>
      </c>
    </row>
    <row r="107" spans="1:6">
      <c r="A107" s="215" t="s">
        <v>278</v>
      </c>
      <c r="B107" s="215" t="s">
        <v>279</v>
      </c>
      <c r="C107" s="215"/>
      <c r="D107" s="215"/>
      <c r="E107" s="216" t="s">
        <v>8</v>
      </c>
      <c r="F107" s="216" t="s">
        <v>9</v>
      </c>
    </row>
    <row r="108" spans="1:6">
      <c r="A108" s="215" t="s">
        <v>280</v>
      </c>
      <c r="B108" s="215" t="s">
        <v>281</v>
      </c>
      <c r="C108" s="215"/>
      <c r="D108" s="215"/>
      <c r="E108" s="216" t="s">
        <v>8</v>
      </c>
      <c r="F108" s="216" t="s">
        <v>9</v>
      </c>
    </row>
    <row r="109" spans="1:6">
      <c r="A109" s="215" t="s">
        <v>282</v>
      </c>
      <c r="B109" s="215" t="s">
        <v>150</v>
      </c>
      <c r="C109" s="215"/>
      <c r="D109" s="215"/>
      <c r="E109" s="216" t="s">
        <v>8</v>
      </c>
      <c r="F109" s="216" t="s">
        <v>9</v>
      </c>
    </row>
    <row r="110" spans="1:6">
      <c r="A110" s="215" t="s">
        <v>283</v>
      </c>
      <c r="B110" s="215" t="s">
        <v>284</v>
      </c>
      <c r="C110" s="215"/>
      <c r="D110" s="215"/>
      <c r="E110" s="216" t="s">
        <v>8</v>
      </c>
      <c r="F110" s="216" t="s">
        <v>9</v>
      </c>
    </row>
    <row r="111" spans="1:6">
      <c r="A111" s="215" t="s">
        <v>285</v>
      </c>
      <c r="B111" s="215" t="s">
        <v>286</v>
      </c>
      <c r="C111" s="215" t="s">
        <v>287</v>
      </c>
      <c r="D111" s="215" t="s">
        <v>286</v>
      </c>
      <c r="E111" s="216" t="s">
        <v>8</v>
      </c>
      <c r="F111" s="216" t="s">
        <v>9</v>
      </c>
    </row>
    <row r="112" spans="1:6">
      <c r="A112" s="215" t="s">
        <v>288</v>
      </c>
      <c r="B112" s="215" t="s">
        <v>289</v>
      </c>
      <c r="C112" s="215" t="s">
        <v>290</v>
      </c>
      <c r="D112" s="215" t="s">
        <v>289</v>
      </c>
      <c r="E112" s="216" t="s">
        <v>8</v>
      </c>
      <c r="F112" s="216" t="s">
        <v>9</v>
      </c>
    </row>
    <row r="113" spans="1:6">
      <c r="A113" s="215" t="s">
        <v>291</v>
      </c>
      <c r="B113" s="215" t="s">
        <v>292</v>
      </c>
      <c r="C113" s="215" t="s">
        <v>293</v>
      </c>
      <c r="D113" s="215" t="s">
        <v>292</v>
      </c>
      <c r="E113" s="216" t="s">
        <v>8</v>
      </c>
      <c r="F113" s="216" t="s">
        <v>9</v>
      </c>
    </row>
    <row r="114" spans="1:6">
      <c r="A114" s="215" t="s">
        <v>294</v>
      </c>
      <c r="B114" s="215" t="s">
        <v>83</v>
      </c>
      <c r="C114" s="215" t="s">
        <v>295</v>
      </c>
      <c r="D114" s="215" t="s">
        <v>83</v>
      </c>
      <c r="E114" s="216" t="s">
        <v>8</v>
      </c>
      <c r="F114" s="216" t="s">
        <v>9</v>
      </c>
    </row>
    <row r="115" spans="1:6">
      <c r="A115" s="215" t="s">
        <v>296</v>
      </c>
      <c r="B115" s="215" t="s">
        <v>297</v>
      </c>
      <c r="C115" s="215"/>
      <c r="D115" s="215"/>
      <c r="E115" s="216" t="s">
        <v>8</v>
      </c>
      <c r="F115" s="216" t="s">
        <v>9</v>
      </c>
    </row>
    <row r="116" spans="1:6">
      <c r="A116" s="215" t="s">
        <v>298</v>
      </c>
      <c r="B116" s="215" t="s">
        <v>299</v>
      </c>
      <c r="C116" s="215" t="s">
        <v>300</v>
      </c>
      <c r="D116" s="215" t="s">
        <v>299</v>
      </c>
      <c r="E116" s="216" t="s">
        <v>8</v>
      </c>
      <c r="F116" s="216" t="s">
        <v>9</v>
      </c>
    </row>
    <row r="117" spans="1:6">
      <c r="A117" s="215" t="s">
        <v>301</v>
      </c>
      <c r="B117" s="215" t="s">
        <v>302</v>
      </c>
      <c r="C117" s="215" t="s">
        <v>303</v>
      </c>
      <c r="D117" s="215" t="s">
        <v>302</v>
      </c>
      <c r="E117" s="216" t="s">
        <v>8</v>
      </c>
      <c r="F117" s="216" t="s">
        <v>9</v>
      </c>
    </row>
    <row r="118" spans="1:6">
      <c r="A118" s="215" t="s">
        <v>304</v>
      </c>
      <c r="B118" s="215" t="s">
        <v>305</v>
      </c>
      <c r="C118" s="215" t="s">
        <v>306</v>
      </c>
      <c r="D118" s="215" t="s">
        <v>305</v>
      </c>
      <c r="E118" s="216" t="s">
        <v>8</v>
      </c>
      <c r="F118" s="216" t="s">
        <v>9</v>
      </c>
    </row>
    <row r="119" spans="1:6">
      <c r="A119" s="215" t="s">
        <v>307</v>
      </c>
      <c r="B119" s="215" t="s">
        <v>308</v>
      </c>
      <c r="C119" s="215" t="s">
        <v>309</v>
      </c>
      <c r="D119" s="215" t="s">
        <v>308</v>
      </c>
      <c r="E119" s="216" t="s">
        <v>8</v>
      </c>
      <c r="F119" s="216" t="s">
        <v>9</v>
      </c>
    </row>
    <row r="120" spans="1:6">
      <c r="A120" s="215" t="s">
        <v>310</v>
      </c>
      <c r="B120" s="215" t="s">
        <v>311</v>
      </c>
      <c r="C120" s="215" t="s">
        <v>312</v>
      </c>
      <c r="D120" s="215" t="s">
        <v>311</v>
      </c>
      <c r="E120" s="216" t="s">
        <v>8</v>
      </c>
      <c r="F120" s="216" t="s">
        <v>9</v>
      </c>
    </row>
    <row r="121" spans="1:6">
      <c r="A121" s="215" t="s">
        <v>313</v>
      </c>
      <c r="B121" s="215" t="s">
        <v>314</v>
      </c>
      <c r="C121" s="215" t="s">
        <v>315</v>
      </c>
      <c r="D121" s="215" t="s">
        <v>314</v>
      </c>
      <c r="E121" s="216" t="s">
        <v>8</v>
      </c>
      <c r="F121" s="216" t="s">
        <v>9</v>
      </c>
    </row>
    <row r="122" spans="1:6">
      <c r="A122" s="215" t="s">
        <v>316</v>
      </c>
      <c r="B122" s="215" t="s">
        <v>150</v>
      </c>
      <c r="C122" s="215" t="s">
        <v>317</v>
      </c>
      <c r="D122" s="215" t="s">
        <v>150</v>
      </c>
      <c r="E122" s="216" t="s">
        <v>8</v>
      </c>
      <c r="F122" s="216" t="s">
        <v>9</v>
      </c>
    </row>
    <row r="123" spans="1:6">
      <c r="A123" s="215" t="s">
        <v>318</v>
      </c>
      <c r="B123" s="215" t="s">
        <v>319</v>
      </c>
      <c r="C123" s="215"/>
      <c r="D123" s="215"/>
      <c r="E123" s="216" t="s">
        <v>8</v>
      </c>
      <c r="F123" s="216" t="s">
        <v>9</v>
      </c>
    </row>
    <row r="124" spans="1:6">
      <c r="A124" s="215" t="s">
        <v>320</v>
      </c>
      <c r="B124" s="215" t="s">
        <v>321</v>
      </c>
      <c r="C124" s="215" t="s">
        <v>322</v>
      </c>
      <c r="D124" s="215" t="s">
        <v>321</v>
      </c>
      <c r="E124" s="216" t="s">
        <v>8</v>
      </c>
      <c r="F124" s="216" t="s">
        <v>9</v>
      </c>
    </row>
    <row r="125" spans="1:6">
      <c r="A125" s="215" t="s">
        <v>323</v>
      </c>
      <c r="B125" s="215" t="s">
        <v>324</v>
      </c>
      <c r="C125" s="215" t="s">
        <v>325</v>
      </c>
      <c r="D125" s="215" t="s">
        <v>324</v>
      </c>
      <c r="E125" s="216" t="s">
        <v>8</v>
      </c>
      <c r="F125" s="216" t="s">
        <v>9</v>
      </c>
    </row>
    <row r="126" spans="1:6">
      <c r="A126" s="215" t="s">
        <v>326</v>
      </c>
      <c r="B126" s="215" t="s">
        <v>327</v>
      </c>
      <c r="C126" s="215"/>
      <c r="D126" s="215"/>
      <c r="E126" s="216" t="s">
        <v>8</v>
      </c>
      <c r="F126" s="216" t="s">
        <v>9</v>
      </c>
    </row>
    <row r="127" spans="1:6">
      <c r="A127" s="215" t="s">
        <v>328</v>
      </c>
      <c r="B127" s="215" t="s">
        <v>329</v>
      </c>
      <c r="C127" s="215" t="s">
        <v>330</v>
      </c>
      <c r="D127" s="215" t="s">
        <v>329</v>
      </c>
      <c r="E127" s="216" t="s">
        <v>8</v>
      </c>
      <c r="F127" s="216" t="s">
        <v>9</v>
      </c>
    </row>
    <row r="128" spans="1:6">
      <c r="A128" s="215" t="s">
        <v>331</v>
      </c>
      <c r="B128" s="215" t="s">
        <v>332</v>
      </c>
      <c r="C128" s="215" t="s">
        <v>333</v>
      </c>
      <c r="D128" s="215" t="s">
        <v>332</v>
      </c>
      <c r="E128" s="216" t="s">
        <v>8</v>
      </c>
      <c r="F128" s="216" t="s">
        <v>9</v>
      </c>
    </row>
    <row r="129" spans="1:6">
      <c r="A129" s="215" t="s">
        <v>334</v>
      </c>
      <c r="B129" s="215" t="s">
        <v>335</v>
      </c>
      <c r="C129" s="215" t="s">
        <v>336</v>
      </c>
      <c r="D129" s="215" t="s">
        <v>335</v>
      </c>
      <c r="E129" s="216" t="s">
        <v>8</v>
      </c>
      <c r="F129" s="216" t="s">
        <v>9</v>
      </c>
    </row>
    <row r="130" spans="1:6">
      <c r="A130" s="215" t="s">
        <v>337</v>
      </c>
      <c r="B130" s="215" t="s">
        <v>338</v>
      </c>
      <c r="C130" s="215" t="s">
        <v>339</v>
      </c>
      <c r="D130" s="215" t="s">
        <v>338</v>
      </c>
      <c r="E130" s="216" t="s">
        <v>8</v>
      </c>
      <c r="F130" s="216" t="s">
        <v>9</v>
      </c>
    </row>
    <row r="131" spans="1:6">
      <c r="A131" s="215" t="s">
        <v>340</v>
      </c>
      <c r="B131" s="215" t="s">
        <v>341</v>
      </c>
      <c r="C131" s="215" t="s">
        <v>342</v>
      </c>
      <c r="D131" s="215" t="s">
        <v>341</v>
      </c>
      <c r="E131" s="216" t="s">
        <v>8</v>
      </c>
      <c r="F131" s="216" t="s">
        <v>9</v>
      </c>
    </row>
    <row r="132" spans="1:6">
      <c r="A132" s="215" t="s">
        <v>343</v>
      </c>
      <c r="B132" s="215" t="s">
        <v>344</v>
      </c>
      <c r="C132" s="215" t="s">
        <v>345</v>
      </c>
      <c r="D132" s="215" t="s">
        <v>344</v>
      </c>
      <c r="E132" s="216" t="s">
        <v>8</v>
      </c>
      <c r="F132" s="216" t="s">
        <v>9</v>
      </c>
    </row>
    <row r="133" spans="1:6">
      <c r="A133" s="215" t="s">
        <v>346</v>
      </c>
      <c r="B133" s="215" t="s">
        <v>347</v>
      </c>
      <c r="C133" s="215" t="s">
        <v>348</v>
      </c>
      <c r="D133" s="215" t="s">
        <v>347</v>
      </c>
      <c r="E133" s="216" t="s">
        <v>8</v>
      </c>
      <c r="F133" s="216" t="s">
        <v>9</v>
      </c>
    </row>
    <row r="134" spans="1:6">
      <c r="A134" s="215" t="s">
        <v>349</v>
      </c>
      <c r="B134" s="215" t="s">
        <v>150</v>
      </c>
      <c r="C134" s="215" t="s">
        <v>350</v>
      </c>
      <c r="D134" s="215" t="s">
        <v>150</v>
      </c>
      <c r="E134" s="216" t="s">
        <v>8</v>
      </c>
      <c r="F134" s="216" t="s">
        <v>9</v>
      </c>
    </row>
    <row r="135" spans="1:6">
      <c r="A135" s="215" t="s">
        <v>351</v>
      </c>
      <c r="B135" s="215" t="s">
        <v>352</v>
      </c>
      <c r="C135" s="215"/>
      <c r="D135" s="215"/>
      <c r="E135" s="216" t="s">
        <v>8</v>
      </c>
      <c r="F135" s="216" t="s">
        <v>9</v>
      </c>
    </row>
    <row r="136" spans="1:6">
      <c r="A136" s="215" t="s">
        <v>353</v>
      </c>
      <c r="B136" s="215" t="s">
        <v>59</v>
      </c>
      <c r="C136" s="215" t="s">
        <v>354</v>
      </c>
      <c r="D136" s="215" t="s">
        <v>59</v>
      </c>
      <c r="E136" s="216" t="s">
        <v>8</v>
      </c>
      <c r="F136" s="216" t="s">
        <v>9</v>
      </c>
    </row>
    <row r="137" spans="1:6">
      <c r="A137" s="215" t="s">
        <v>355</v>
      </c>
      <c r="B137" s="215" t="s">
        <v>69</v>
      </c>
      <c r="C137" s="215" t="s">
        <v>356</v>
      </c>
      <c r="D137" s="215" t="s">
        <v>69</v>
      </c>
      <c r="E137" s="216" t="s">
        <v>8</v>
      </c>
      <c r="F137" s="216" t="s">
        <v>9</v>
      </c>
    </row>
    <row r="138" spans="1:6">
      <c r="A138" s="215" t="s">
        <v>357</v>
      </c>
      <c r="B138" s="215" t="s">
        <v>86</v>
      </c>
      <c r="C138" s="215" t="s">
        <v>358</v>
      </c>
      <c r="D138" s="215" t="s">
        <v>86</v>
      </c>
      <c r="E138" s="216" t="s">
        <v>8</v>
      </c>
      <c r="F138" s="216" t="s">
        <v>9</v>
      </c>
    </row>
    <row r="139" spans="1:6" ht="22.5">
      <c r="A139" s="215" t="s">
        <v>359</v>
      </c>
      <c r="B139" s="215" t="s">
        <v>100</v>
      </c>
      <c r="C139" s="215" t="s">
        <v>360</v>
      </c>
      <c r="D139" s="215" t="s">
        <v>100</v>
      </c>
      <c r="E139" s="216" t="s">
        <v>8</v>
      </c>
      <c r="F139" s="216" t="s">
        <v>9</v>
      </c>
    </row>
    <row r="140" spans="1:6" ht="22.5">
      <c r="A140" s="215" t="s">
        <v>361</v>
      </c>
      <c r="B140" s="215" t="s">
        <v>362</v>
      </c>
      <c r="C140" s="215" t="s">
        <v>363</v>
      </c>
      <c r="D140" s="215" t="s">
        <v>362</v>
      </c>
      <c r="E140" s="216" t="s">
        <v>8</v>
      </c>
      <c r="F140" s="216" t="s">
        <v>9</v>
      </c>
    </row>
    <row r="141" spans="1:6">
      <c r="A141" s="215" t="s">
        <v>364</v>
      </c>
      <c r="B141" s="215" t="s">
        <v>121</v>
      </c>
      <c r="C141" s="215" t="s">
        <v>365</v>
      </c>
      <c r="D141" s="215" t="s">
        <v>121</v>
      </c>
      <c r="E141" s="216" t="s">
        <v>8</v>
      </c>
      <c r="F141" s="216" t="s">
        <v>9</v>
      </c>
    </row>
    <row r="142" spans="1:6">
      <c r="A142" s="215" t="s">
        <v>366</v>
      </c>
      <c r="B142" s="215" t="s">
        <v>153</v>
      </c>
      <c r="C142" s="215" t="s">
        <v>367</v>
      </c>
      <c r="D142" s="215" t="s">
        <v>153</v>
      </c>
      <c r="E142" s="216" t="s">
        <v>8</v>
      </c>
      <c r="F142" s="216" t="s">
        <v>9</v>
      </c>
    </row>
    <row r="143" spans="1:6">
      <c r="A143" s="215" t="s">
        <v>368</v>
      </c>
      <c r="B143" s="215" t="s">
        <v>155</v>
      </c>
      <c r="C143" s="215" t="s">
        <v>369</v>
      </c>
      <c r="D143" s="215" t="s">
        <v>155</v>
      </c>
      <c r="E143" s="216" t="s">
        <v>8</v>
      </c>
      <c r="F143" s="216" t="s">
        <v>9</v>
      </c>
    </row>
    <row r="144" spans="1:6">
      <c r="A144" s="215" t="s">
        <v>370</v>
      </c>
      <c r="B144" s="215" t="s">
        <v>371</v>
      </c>
      <c r="C144" s="215" t="s">
        <v>372</v>
      </c>
      <c r="D144" s="215" t="s">
        <v>371</v>
      </c>
      <c r="E144" s="216" t="s">
        <v>8</v>
      </c>
      <c r="F144" s="216" t="s">
        <v>9</v>
      </c>
    </row>
    <row r="145" spans="1:6">
      <c r="A145" s="215" t="s">
        <v>373</v>
      </c>
      <c r="B145" s="215" t="s">
        <v>206</v>
      </c>
      <c r="C145" s="215" t="s">
        <v>374</v>
      </c>
      <c r="D145" s="215" t="s">
        <v>206</v>
      </c>
      <c r="E145" s="216" t="s">
        <v>8</v>
      </c>
      <c r="F145" s="216" t="s">
        <v>9</v>
      </c>
    </row>
    <row r="146" spans="1:6">
      <c r="A146" s="215" t="s">
        <v>375</v>
      </c>
      <c r="B146" s="215" t="s">
        <v>376</v>
      </c>
      <c r="C146" s="215" t="s">
        <v>377</v>
      </c>
      <c r="D146" s="215" t="s">
        <v>376</v>
      </c>
      <c r="E146" s="216" t="s">
        <v>8</v>
      </c>
      <c r="F146" s="216" t="s">
        <v>9</v>
      </c>
    </row>
    <row r="147" spans="1:6">
      <c r="A147" s="215" t="s">
        <v>378</v>
      </c>
      <c r="B147" s="215" t="s">
        <v>284</v>
      </c>
      <c r="C147" s="215" t="s">
        <v>379</v>
      </c>
      <c r="D147" s="215" t="s">
        <v>284</v>
      </c>
      <c r="E147" s="216" t="s">
        <v>8</v>
      </c>
      <c r="F147" s="216" t="s">
        <v>9</v>
      </c>
    </row>
    <row r="148" spans="1:6">
      <c r="A148" s="215" t="s">
        <v>380</v>
      </c>
      <c r="B148" s="215" t="s">
        <v>297</v>
      </c>
      <c r="C148" s="215" t="s">
        <v>381</v>
      </c>
      <c r="D148" s="215" t="s">
        <v>297</v>
      </c>
      <c r="E148" s="216" t="s">
        <v>8</v>
      </c>
      <c r="F148" s="216" t="s">
        <v>9</v>
      </c>
    </row>
    <row r="149" spans="1:6">
      <c r="A149" s="215" t="s">
        <v>382</v>
      </c>
      <c r="B149" s="215" t="s">
        <v>319</v>
      </c>
      <c r="C149" s="215" t="s">
        <v>383</v>
      </c>
      <c r="D149" s="215" t="s">
        <v>319</v>
      </c>
      <c r="E149" s="216" t="s">
        <v>8</v>
      </c>
      <c r="F149" s="216" t="s">
        <v>9</v>
      </c>
    </row>
    <row r="150" spans="1:6">
      <c r="A150" s="215" t="s">
        <v>384</v>
      </c>
      <c r="B150" s="215" t="s">
        <v>327</v>
      </c>
      <c r="C150" s="215" t="s">
        <v>385</v>
      </c>
      <c r="D150" s="215" t="s">
        <v>327</v>
      </c>
      <c r="E150" s="216" t="s">
        <v>8</v>
      </c>
      <c r="F150" s="216" t="s">
        <v>9</v>
      </c>
    </row>
    <row r="151" spans="1:6" ht="22.5">
      <c r="A151" s="215" t="s">
        <v>386</v>
      </c>
      <c r="B151" s="215" t="s">
        <v>387</v>
      </c>
      <c r="C151" s="215" t="s">
        <v>388</v>
      </c>
      <c r="D151" s="215" t="s">
        <v>387</v>
      </c>
      <c r="E151" s="216" t="s">
        <v>8</v>
      </c>
      <c r="F151" s="216" t="s">
        <v>9</v>
      </c>
    </row>
    <row r="152" spans="1:6">
      <c r="A152" s="215" t="s">
        <v>389</v>
      </c>
      <c r="B152" s="215" t="s">
        <v>390</v>
      </c>
      <c r="C152" s="215"/>
      <c r="D152" s="215"/>
      <c r="E152" s="216" t="s">
        <v>8</v>
      </c>
      <c r="F152" s="216" t="s">
        <v>9</v>
      </c>
    </row>
    <row r="153" spans="1:6">
      <c r="A153" s="215" t="s">
        <v>391</v>
      </c>
      <c r="B153" s="215" t="s">
        <v>392</v>
      </c>
      <c r="C153" s="215"/>
      <c r="D153" s="215"/>
      <c r="E153" s="216" t="s">
        <v>8</v>
      </c>
      <c r="F153" s="216" t="s">
        <v>9</v>
      </c>
    </row>
    <row r="154" spans="1:6">
      <c r="A154" s="215" t="s">
        <v>393</v>
      </c>
      <c r="B154" s="215" t="s">
        <v>394</v>
      </c>
      <c r="C154" s="215"/>
      <c r="D154" s="215"/>
      <c r="E154" s="216" t="s">
        <v>8</v>
      </c>
      <c r="F154" s="216" t="s">
        <v>9</v>
      </c>
    </row>
    <row r="155" spans="1:6">
      <c r="A155" s="215" t="s">
        <v>395</v>
      </c>
      <c r="B155" s="215" t="s">
        <v>396</v>
      </c>
      <c r="C155" s="215" t="s">
        <v>397</v>
      </c>
      <c r="D155" s="215" t="s">
        <v>398</v>
      </c>
      <c r="E155" s="216" t="s">
        <v>8</v>
      </c>
      <c r="F155" s="216" t="s">
        <v>9</v>
      </c>
    </row>
    <row r="156" spans="1:6">
      <c r="A156" s="215" t="s">
        <v>399</v>
      </c>
      <c r="B156" s="215" t="s">
        <v>400</v>
      </c>
      <c r="C156" s="215" t="s">
        <v>401</v>
      </c>
      <c r="D156" s="215" t="s">
        <v>402</v>
      </c>
      <c r="E156" s="216" t="s">
        <v>8</v>
      </c>
      <c r="F156" s="216" t="s">
        <v>9</v>
      </c>
    </row>
    <row r="157" spans="1:6">
      <c r="A157" s="215" t="s">
        <v>403</v>
      </c>
      <c r="B157" s="215" t="s">
        <v>404</v>
      </c>
      <c r="C157" s="215" t="s">
        <v>405</v>
      </c>
      <c r="D157" s="215" t="s">
        <v>404</v>
      </c>
      <c r="E157" s="216" t="s">
        <v>8</v>
      </c>
      <c r="F157" s="216" t="s">
        <v>9</v>
      </c>
    </row>
    <row r="158" spans="1:6">
      <c r="A158" s="215" t="s">
        <v>406</v>
      </c>
      <c r="B158" s="215" t="s">
        <v>407</v>
      </c>
      <c r="C158" s="215"/>
      <c r="D158" s="215"/>
      <c r="E158" s="216" t="s">
        <v>8</v>
      </c>
      <c r="F158" s="216" t="s">
        <v>9</v>
      </c>
    </row>
    <row r="159" spans="1:6">
      <c r="A159" s="215" t="s">
        <v>408</v>
      </c>
      <c r="B159" s="215" t="s">
        <v>409</v>
      </c>
      <c r="C159" s="215" t="s">
        <v>410</v>
      </c>
      <c r="D159" s="215" t="s">
        <v>409</v>
      </c>
      <c r="E159" s="216" t="s">
        <v>8</v>
      </c>
      <c r="F159" s="216" t="s">
        <v>9</v>
      </c>
    </row>
    <row r="160" spans="1:6">
      <c r="A160" s="215" t="s">
        <v>411</v>
      </c>
      <c r="B160" s="215" t="s">
        <v>412</v>
      </c>
      <c r="C160" s="215"/>
      <c r="D160" s="215"/>
      <c r="E160" s="216" t="s">
        <v>8</v>
      </c>
      <c r="F160" s="216" t="s">
        <v>9</v>
      </c>
    </row>
    <row r="161" spans="1:6">
      <c r="A161" s="215" t="s">
        <v>413</v>
      </c>
      <c r="B161" s="215" t="s">
        <v>414</v>
      </c>
      <c r="C161" s="215"/>
      <c r="D161" s="215"/>
      <c r="E161" s="216" t="s">
        <v>8</v>
      </c>
      <c r="F161" s="216" t="s">
        <v>9</v>
      </c>
    </row>
    <row r="162" spans="1:6">
      <c r="A162" s="215" t="s">
        <v>415</v>
      </c>
      <c r="B162" s="215" t="s">
        <v>416</v>
      </c>
      <c r="C162" s="215" t="s">
        <v>417</v>
      </c>
      <c r="D162" s="215" t="s">
        <v>416</v>
      </c>
      <c r="E162" s="216" t="s">
        <v>8</v>
      </c>
      <c r="F162" s="216" t="s">
        <v>9</v>
      </c>
    </row>
    <row r="163" spans="1:6">
      <c r="A163" s="215" t="s">
        <v>418</v>
      </c>
      <c r="B163" s="215" t="s">
        <v>419</v>
      </c>
      <c r="C163" s="215" t="s">
        <v>420</v>
      </c>
      <c r="D163" s="215" t="s">
        <v>419</v>
      </c>
      <c r="E163" s="216" t="s">
        <v>8</v>
      </c>
      <c r="F163" s="216" t="s">
        <v>9</v>
      </c>
    </row>
    <row r="164" spans="1:6">
      <c r="A164" s="215" t="s">
        <v>421</v>
      </c>
      <c r="B164" s="215" t="s">
        <v>404</v>
      </c>
      <c r="C164" s="215" t="s">
        <v>422</v>
      </c>
      <c r="D164" s="215" t="s">
        <v>404</v>
      </c>
      <c r="E164" s="216" t="s">
        <v>8</v>
      </c>
      <c r="F164" s="216" t="s">
        <v>9</v>
      </c>
    </row>
    <row r="165" spans="1:6">
      <c r="A165" s="215" t="s">
        <v>423</v>
      </c>
      <c r="B165" s="215" t="s">
        <v>424</v>
      </c>
      <c r="C165" s="215"/>
      <c r="D165" s="215"/>
      <c r="E165" s="216" t="s">
        <v>8</v>
      </c>
      <c r="F165" s="216" t="s">
        <v>9</v>
      </c>
    </row>
    <row r="166" spans="1:6">
      <c r="A166" s="215" t="s">
        <v>425</v>
      </c>
      <c r="B166" s="215" t="s">
        <v>426</v>
      </c>
      <c r="C166" s="215"/>
      <c r="D166" s="215"/>
      <c r="E166" s="216" t="s">
        <v>8</v>
      </c>
      <c r="F166" s="216" t="s">
        <v>9</v>
      </c>
    </row>
    <row r="167" spans="1:6">
      <c r="A167" s="215" t="s">
        <v>427</v>
      </c>
      <c r="B167" s="215" t="s">
        <v>428</v>
      </c>
      <c r="C167" s="215"/>
      <c r="D167" s="215"/>
      <c r="E167" s="216" t="s">
        <v>8</v>
      </c>
      <c r="F167" s="216" t="s">
        <v>9</v>
      </c>
    </row>
    <row r="168" spans="1:6">
      <c r="A168" s="215" t="s">
        <v>429</v>
      </c>
      <c r="B168" s="215" t="s">
        <v>430</v>
      </c>
      <c r="C168" s="215" t="s">
        <v>431</v>
      </c>
      <c r="D168" s="215" t="s">
        <v>432</v>
      </c>
      <c r="E168" s="216" t="s">
        <v>8</v>
      </c>
      <c r="F168" s="216" t="s">
        <v>9</v>
      </c>
    </row>
    <row r="169" spans="1:6">
      <c r="A169" s="215" t="s">
        <v>433</v>
      </c>
      <c r="B169" s="215" t="s">
        <v>434</v>
      </c>
      <c r="C169" s="215"/>
      <c r="D169" s="215"/>
      <c r="E169" s="216" t="s">
        <v>8</v>
      </c>
      <c r="F169" s="216" t="s">
        <v>9</v>
      </c>
    </row>
    <row r="170" spans="1:6">
      <c r="A170" s="215" t="s">
        <v>435</v>
      </c>
      <c r="B170" s="215" t="s">
        <v>436</v>
      </c>
      <c r="C170" s="215"/>
      <c r="D170" s="215"/>
      <c r="E170" s="216" t="s">
        <v>8</v>
      </c>
      <c r="F170" s="216" t="s">
        <v>9</v>
      </c>
    </row>
    <row r="171" spans="1:6">
      <c r="A171" s="215" t="s">
        <v>437</v>
      </c>
      <c r="B171" s="215" t="s">
        <v>438</v>
      </c>
      <c r="C171" s="215"/>
      <c r="D171" s="215"/>
      <c r="E171" s="216" t="s">
        <v>8</v>
      </c>
      <c r="F171" s="216" t="s">
        <v>9</v>
      </c>
    </row>
    <row r="172" spans="1:6">
      <c r="A172" s="215" t="s">
        <v>439</v>
      </c>
      <c r="B172" s="215" t="s">
        <v>438</v>
      </c>
      <c r="C172" s="215" t="s">
        <v>440</v>
      </c>
      <c r="D172" s="215" t="s">
        <v>441</v>
      </c>
      <c r="E172" s="216" t="s">
        <v>8</v>
      </c>
      <c r="F172" s="216" t="s">
        <v>9</v>
      </c>
    </row>
    <row r="173" spans="1:6">
      <c r="A173" s="215" t="s">
        <v>442</v>
      </c>
      <c r="B173" s="215" t="s">
        <v>443</v>
      </c>
      <c r="C173" s="215"/>
      <c r="D173" s="215"/>
      <c r="E173" s="216" t="s">
        <v>8</v>
      </c>
      <c r="F173" s="216" t="s">
        <v>9</v>
      </c>
    </row>
    <row r="174" spans="1:6">
      <c r="A174" s="215" t="s">
        <v>444</v>
      </c>
      <c r="B174" s="215" t="s">
        <v>445</v>
      </c>
      <c r="C174" s="215"/>
      <c r="D174" s="215"/>
      <c r="E174" s="216" t="s">
        <v>8</v>
      </c>
      <c r="F174" s="216" t="s">
        <v>9</v>
      </c>
    </row>
    <row r="175" spans="1:6">
      <c r="A175" s="215" t="s">
        <v>446</v>
      </c>
      <c r="B175" s="215" t="s">
        <v>447</v>
      </c>
      <c r="C175" s="215" t="s">
        <v>448</v>
      </c>
      <c r="D175" s="215" t="s">
        <v>447</v>
      </c>
      <c r="E175" s="216" t="s">
        <v>8</v>
      </c>
      <c r="F175" s="216" t="s">
        <v>9</v>
      </c>
    </row>
    <row r="176" spans="1:6">
      <c r="A176" s="215" t="s">
        <v>449</v>
      </c>
      <c r="B176" s="215" t="s">
        <v>450</v>
      </c>
      <c r="C176" s="215" t="s">
        <v>451</v>
      </c>
      <c r="D176" s="215" t="s">
        <v>450</v>
      </c>
      <c r="E176" s="216" t="s">
        <v>8</v>
      </c>
      <c r="F176" s="216" t="s">
        <v>9</v>
      </c>
    </row>
    <row r="177" spans="1:6">
      <c r="A177" s="215" t="s">
        <v>452</v>
      </c>
      <c r="B177" s="215" t="s">
        <v>453</v>
      </c>
      <c r="C177" s="215">
        <v>2305351001</v>
      </c>
      <c r="D177" s="215" t="s">
        <v>453</v>
      </c>
      <c r="E177" s="216" t="s">
        <v>8</v>
      </c>
      <c r="F177" s="216" t="s">
        <v>9</v>
      </c>
    </row>
    <row r="178" spans="1:6" ht="22.5">
      <c r="A178" s="215" t="s">
        <v>454</v>
      </c>
      <c r="B178" s="215" t="s">
        <v>455</v>
      </c>
      <c r="C178" s="215" t="s">
        <v>456</v>
      </c>
      <c r="D178" s="215" t="s">
        <v>455</v>
      </c>
      <c r="E178" s="216" t="s">
        <v>8</v>
      </c>
      <c r="F178" s="216" t="s">
        <v>9</v>
      </c>
    </row>
    <row r="179" spans="1:6">
      <c r="A179" s="215" t="s">
        <v>457</v>
      </c>
      <c r="B179" s="215" t="s">
        <v>214</v>
      </c>
      <c r="C179" s="215" t="s">
        <v>458</v>
      </c>
      <c r="D179" s="215" t="s">
        <v>214</v>
      </c>
      <c r="E179" s="216" t="s">
        <v>8</v>
      </c>
      <c r="F179" s="216" t="s">
        <v>9</v>
      </c>
    </row>
    <row r="180" spans="1:6">
      <c r="A180" s="215" t="s">
        <v>459</v>
      </c>
      <c r="B180" s="215" t="s">
        <v>217</v>
      </c>
      <c r="C180" s="215" t="s">
        <v>460</v>
      </c>
      <c r="D180" s="215" t="s">
        <v>217</v>
      </c>
      <c r="E180" s="216" t="s">
        <v>8</v>
      </c>
      <c r="F180" s="216" t="s">
        <v>9</v>
      </c>
    </row>
    <row r="181" spans="1:6">
      <c r="A181" s="215" t="s">
        <v>461</v>
      </c>
      <c r="B181" s="215" t="s">
        <v>462</v>
      </c>
      <c r="C181" s="215" t="s">
        <v>463</v>
      </c>
      <c r="D181" s="215" t="s">
        <v>464</v>
      </c>
      <c r="E181" s="216" t="s">
        <v>8</v>
      </c>
      <c r="F181" s="216" t="s">
        <v>9</v>
      </c>
    </row>
    <row r="182" spans="1:6">
      <c r="A182" s="215" t="s">
        <v>465</v>
      </c>
      <c r="B182" s="215" t="s">
        <v>466</v>
      </c>
      <c r="C182" s="215" t="s">
        <v>467</v>
      </c>
      <c r="D182" s="215" t="s">
        <v>468</v>
      </c>
      <c r="E182" s="216" t="s">
        <v>8</v>
      </c>
      <c r="F182" s="216" t="s">
        <v>9</v>
      </c>
    </row>
    <row r="183" spans="1:6">
      <c r="A183" s="215" t="s">
        <v>469</v>
      </c>
      <c r="B183" s="215" t="s">
        <v>470</v>
      </c>
      <c r="C183" s="215" t="s">
        <v>471</v>
      </c>
      <c r="D183" s="215" t="s">
        <v>470</v>
      </c>
      <c r="E183" s="216" t="s">
        <v>8</v>
      </c>
      <c r="F183" s="216" t="s">
        <v>9</v>
      </c>
    </row>
    <row r="184" spans="1:6">
      <c r="A184" s="215" t="s">
        <v>472</v>
      </c>
      <c r="B184" s="215" t="s">
        <v>473</v>
      </c>
      <c r="C184" s="215" t="s">
        <v>474</v>
      </c>
      <c r="D184" s="215" t="s">
        <v>473</v>
      </c>
      <c r="E184" s="216" t="s">
        <v>8</v>
      </c>
      <c r="F184" s="216" t="s">
        <v>9</v>
      </c>
    </row>
    <row r="185" spans="1:6">
      <c r="A185" s="215" t="s">
        <v>475</v>
      </c>
      <c r="B185" s="215" t="s">
        <v>476</v>
      </c>
      <c r="C185" s="215" t="s">
        <v>477</v>
      </c>
      <c r="D185" s="215" t="s">
        <v>476</v>
      </c>
      <c r="E185" s="216" t="s">
        <v>8</v>
      </c>
      <c r="F185" s="216" t="s">
        <v>9</v>
      </c>
    </row>
    <row r="186" spans="1:6">
      <c r="A186" s="215" t="s">
        <v>478</v>
      </c>
      <c r="B186" s="215" t="s">
        <v>479</v>
      </c>
      <c r="C186" s="215" t="s">
        <v>480</v>
      </c>
      <c r="D186" s="215" t="s">
        <v>479</v>
      </c>
      <c r="E186" s="216" t="s">
        <v>8</v>
      </c>
      <c r="F186" s="216" t="s">
        <v>9</v>
      </c>
    </row>
    <row r="187" spans="1:6">
      <c r="A187" s="215" t="s">
        <v>481</v>
      </c>
      <c r="B187" s="215" t="s">
        <v>222</v>
      </c>
      <c r="C187" s="215" t="s">
        <v>482</v>
      </c>
      <c r="D187" s="215" t="s">
        <v>222</v>
      </c>
      <c r="E187" s="216" t="s">
        <v>8</v>
      </c>
      <c r="F187" s="216" t="s">
        <v>9</v>
      </c>
    </row>
    <row r="188" spans="1:6">
      <c r="A188" s="215" t="s">
        <v>483</v>
      </c>
      <c r="B188" s="215" t="s">
        <v>484</v>
      </c>
      <c r="C188" s="215" t="s">
        <v>485</v>
      </c>
      <c r="D188" s="215" t="s">
        <v>486</v>
      </c>
      <c r="E188" s="216" t="s">
        <v>8</v>
      </c>
      <c r="F188" s="216" t="s">
        <v>9</v>
      </c>
    </row>
    <row r="189" spans="1:6">
      <c r="A189" s="215" t="s">
        <v>487</v>
      </c>
      <c r="B189" s="215" t="s">
        <v>488</v>
      </c>
      <c r="C189" s="215" t="s">
        <v>489</v>
      </c>
      <c r="D189" s="215" t="s">
        <v>488</v>
      </c>
      <c r="E189" s="216" t="s">
        <v>8</v>
      </c>
      <c r="F189" s="216" t="s">
        <v>9</v>
      </c>
    </row>
    <row r="190" spans="1:6">
      <c r="A190" s="215" t="s">
        <v>490</v>
      </c>
      <c r="B190" s="215" t="s">
        <v>491</v>
      </c>
      <c r="C190" s="215" t="s">
        <v>492</v>
      </c>
      <c r="D190" s="215" t="s">
        <v>493</v>
      </c>
      <c r="E190" s="216" t="s">
        <v>8</v>
      </c>
      <c r="F190" s="216" t="s">
        <v>9</v>
      </c>
    </row>
    <row r="191" spans="1:6">
      <c r="A191" s="215" t="s">
        <v>494</v>
      </c>
      <c r="B191" s="215" t="s">
        <v>495</v>
      </c>
      <c r="C191" s="215" t="s">
        <v>496</v>
      </c>
      <c r="D191" s="215" t="s">
        <v>497</v>
      </c>
      <c r="E191" s="216" t="s">
        <v>8</v>
      </c>
      <c r="F191" s="216" t="s">
        <v>9</v>
      </c>
    </row>
    <row r="192" spans="1:6">
      <c r="A192" s="215" t="s">
        <v>498</v>
      </c>
      <c r="B192" s="215" t="s">
        <v>499</v>
      </c>
      <c r="C192" s="215" t="s">
        <v>500</v>
      </c>
      <c r="D192" s="215" t="s">
        <v>499</v>
      </c>
      <c r="E192" s="216" t="s">
        <v>8</v>
      </c>
      <c r="F192" s="216" t="s">
        <v>9</v>
      </c>
    </row>
    <row r="193" spans="1:6">
      <c r="A193" s="215" t="s">
        <v>501</v>
      </c>
      <c r="B193" s="215" t="s">
        <v>502</v>
      </c>
      <c r="C193" s="215" t="s">
        <v>503</v>
      </c>
      <c r="D193" s="215" t="s">
        <v>504</v>
      </c>
      <c r="E193" s="216" t="s">
        <v>8</v>
      </c>
      <c r="F193" s="216" t="s">
        <v>9</v>
      </c>
    </row>
    <row r="194" spans="1:6">
      <c r="A194" s="215" t="s">
        <v>505</v>
      </c>
      <c r="B194" s="215" t="s">
        <v>506</v>
      </c>
      <c r="C194" s="215" t="s">
        <v>507</v>
      </c>
      <c r="D194" s="215" t="s">
        <v>508</v>
      </c>
      <c r="E194" s="216" t="s">
        <v>8</v>
      </c>
      <c r="F194" s="216" t="s">
        <v>9</v>
      </c>
    </row>
    <row r="195" spans="1:6">
      <c r="A195" s="215" t="s">
        <v>509</v>
      </c>
      <c r="B195" s="215" t="s">
        <v>510</v>
      </c>
      <c r="C195" s="215" t="s">
        <v>511</v>
      </c>
      <c r="D195" s="215" t="s">
        <v>510</v>
      </c>
      <c r="E195" s="216" t="s">
        <v>8</v>
      </c>
      <c r="F195" s="216" t="s">
        <v>9</v>
      </c>
    </row>
    <row r="196" spans="1:6">
      <c r="A196" s="215" t="s">
        <v>512</v>
      </c>
      <c r="B196" s="215" t="s">
        <v>513</v>
      </c>
      <c r="C196" s="215" t="s">
        <v>514</v>
      </c>
      <c r="D196" s="215" t="s">
        <v>513</v>
      </c>
      <c r="E196" s="216" t="s">
        <v>8</v>
      </c>
      <c r="F196" s="216" t="s">
        <v>9</v>
      </c>
    </row>
    <row r="197" spans="1:6">
      <c r="A197" s="215" t="s">
        <v>515</v>
      </c>
      <c r="B197" s="215" t="s">
        <v>516</v>
      </c>
      <c r="C197" s="215" t="s">
        <v>517</v>
      </c>
      <c r="D197" s="215" t="s">
        <v>516</v>
      </c>
      <c r="E197" s="216" t="s">
        <v>8</v>
      </c>
      <c r="F197" s="216" t="s">
        <v>9</v>
      </c>
    </row>
    <row r="198" spans="1:6">
      <c r="A198" s="215" t="s">
        <v>518</v>
      </c>
      <c r="B198" s="215" t="s">
        <v>519</v>
      </c>
      <c r="C198" s="215" t="s">
        <v>520</v>
      </c>
      <c r="D198" s="215" t="s">
        <v>519</v>
      </c>
      <c r="E198" s="216" t="s">
        <v>8</v>
      </c>
      <c r="F198" s="216" t="s">
        <v>9</v>
      </c>
    </row>
    <row r="199" spans="1:6">
      <c r="A199" s="215" t="s">
        <v>521</v>
      </c>
      <c r="B199" s="215" t="s">
        <v>522</v>
      </c>
      <c r="C199" s="215" t="s">
        <v>523</v>
      </c>
      <c r="D199" s="215" t="s">
        <v>522</v>
      </c>
      <c r="E199" s="216" t="s">
        <v>8</v>
      </c>
      <c r="F199" s="216" t="s">
        <v>9</v>
      </c>
    </row>
    <row r="200" spans="1:6">
      <c r="A200" s="215" t="s">
        <v>524</v>
      </c>
      <c r="B200" s="215" t="s">
        <v>525</v>
      </c>
      <c r="C200" s="215" t="s">
        <v>526</v>
      </c>
      <c r="D200" s="215" t="s">
        <v>525</v>
      </c>
      <c r="E200" s="216" t="s">
        <v>8</v>
      </c>
      <c r="F200" s="216" t="s">
        <v>9</v>
      </c>
    </row>
    <row r="201" spans="1:6">
      <c r="A201" s="215" t="s">
        <v>527</v>
      </c>
      <c r="B201" s="215" t="s">
        <v>528</v>
      </c>
      <c r="C201" s="215" t="s">
        <v>529</v>
      </c>
      <c r="D201" s="215" t="s">
        <v>530</v>
      </c>
      <c r="E201" s="216" t="s">
        <v>8</v>
      </c>
      <c r="F201" s="216" t="s">
        <v>9</v>
      </c>
    </row>
    <row r="202" spans="1:6" ht="22.5">
      <c r="A202" s="215" t="s">
        <v>531</v>
      </c>
      <c r="B202" s="215" t="s">
        <v>532</v>
      </c>
      <c r="C202" s="215" t="s">
        <v>533</v>
      </c>
      <c r="D202" s="215" t="s">
        <v>532</v>
      </c>
      <c r="E202" s="216" t="s">
        <v>8</v>
      </c>
      <c r="F202" s="216" t="s">
        <v>9</v>
      </c>
    </row>
    <row r="203" spans="1:6">
      <c r="A203" s="215" t="s">
        <v>534</v>
      </c>
      <c r="B203" s="215" t="s">
        <v>535</v>
      </c>
      <c r="C203" s="215" t="s">
        <v>536</v>
      </c>
      <c r="D203" s="215" t="s">
        <v>537</v>
      </c>
      <c r="E203" s="216" t="s">
        <v>8</v>
      </c>
      <c r="F203" s="216" t="s">
        <v>9</v>
      </c>
    </row>
    <row r="204" spans="1:6">
      <c r="A204" s="215" t="s">
        <v>538</v>
      </c>
      <c r="B204" s="215" t="s">
        <v>539</v>
      </c>
      <c r="C204" s="215" t="s">
        <v>540</v>
      </c>
      <c r="D204" s="215" t="s">
        <v>539</v>
      </c>
      <c r="E204" s="216" t="s">
        <v>8</v>
      </c>
      <c r="F204" s="216" t="s">
        <v>9</v>
      </c>
    </row>
    <row r="205" spans="1:6">
      <c r="A205" s="215" t="s">
        <v>541</v>
      </c>
      <c r="B205" s="215" t="s">
        <v>150</v>
      </c>
      <c r="C205" s="215" t="s">
        <v>542</v>
      </c>
      <c r="D205" s="215" t="s">
        <v>150</v>
      </c>
      <c r="E205" s="216" t="s">
        <v>8</v>
      </c>
      <c r="F205" s="216" t="s">
        <v>9</v>
      </c>
    </row>
    <row r="206" spans="1:6">
      <c r="A206" s="215" t="s">
        <v>543</v>
      </c>
      <c r="B206" s="215" t="s">
        <v>544</v>
      </c>
      <c r="C206" s="215" t="s">
        <v>545</v>
      </c>
      <c r="D206" s="215" t="s">
        <v>544</v>
      </c>
      <c r="E206" s="216" t="s">
        <v>8</v>
      </c>
      <c r="F206" s="216" t="s">
        <v>9</v>
      </c>
    </row>
    <row r="207" spans="1:6">
      <c r="A207" s="215" t="s">
        <v>546</v>
      </c>
      <c r="B207" s="215" t="s">
        <v>547</v>
      </c>
      <c r="C207" s="215" t="s">
        <v>548</v>
      </c>
      <c r="D207" s="215" t="s">
        <v>547</v>
      </c>
      <c r="E207" s="216" t="s">
        <v>8</v>
      </c>
      <c r="F207" s="216" t="s">
        <v>9</v>
      </c>
    </row>
    <row r="208" spans="1:6">
      <c r="A208" s="215" t="s">
        <v>549</v>
      </c>
      <c r="B208" s="215" t="s">
        <v>550</v>
      </c>
      <c r="C208" s="215" t="s">
        <v>551</v>
      </c>
      <c r="D208" s="215" t="s">
        <v>550</v>
      </c>
      <c r="E208" s="216" t="s">
        <v>8</v>
      </c>
      <c r="F208" s="216" t="s">
        <v>9</v>
      </c>
    </row>
    <row r="209" spans="1:6">
      <c r="A209" s="215" t="s">
        <v>552</v>
      </c>
      <c r="B209" s="215" t="s">
        <v>553</v>
      </c>
      <c r="C209" s="215" t="s">
        <v>554</v>
      </c>
      <c r="D209" s="215" t="s">
        <v>555</v>
      </c>
      <c r="E209" s="216" t="s">
        <v>8</v>
      </c>
      <c r="F209" s="216" t="s">
        <v>9</v>
      </c>
    </row>
    <row r="210" spans="1:6">
      <c r="A210" s="215" t="s">
        <v>556</v>
      </c>
      <c r="B210" s="215" t="s">
        <v>557</v>
      </c>
      <c r="C210" s="215" t="s">
        <v>558</v>
      </c>
      <c r="D210" s="215" t="s">
        <v>559</v>
      </c>
      <c r="E210" s="216" t="s">
        <v>8</v>
      </c>
      <c r="F210" s="216" t="s">
        <v>9</v>
      </c>
    </row>
    <row r="211" spans="1:6">
      <c r="A211" s="215" t="s">
        <v>560</v>
      </c>
      <c r="B211" s="215" t="s">
        <v>561</v>
      </c>
      <c r="C211" s="215"/>
      <c r="D211" s="215"/>
      <c r="E211" s="216" t="s">
        <v>8</v>
      </c>
      <c r="F211" s="216" t="s">
        <v>9</v>
      </c>
    </row>
    <row r="212" spans="1:6">
      <c r="A212" s="215" t="s">
        <v>562</v>
      </c>
      <c r="B212" s="215" t="s">
        <v>563</v>
      </c>
      <c r="C212" s="215" t="s">
        <v>564</v>
      </c>
      <c r="D212" s="215" t="s">
        <v>563</v>
      </c>
      <c r="E212" s="216" t="s">
        <v>8</v>
      </c>
      <c r="F212" s="216" t="s">
        <v>9</v>
      </c>
    </row>
    <row r="213" spans="1:6">
      <c r="A213" s="215" t="s">
        <v>565</v>
      </c>
      <c r="B213" s="215" t="s">
        <v>566</v>
      </c>
      <c r="C213" s="215" t="s">
        <v>567</v>
      </c>
      <c r="D213" s="215" t="s">
        <v>566</v>
      </c>
      <c r="E213" s="216" t="s">
        <v>8</v>
      </c>
      <c r="F213" s="216" t="s">
        <v>9</v>
      </c>
    </row>
    <row r="214" spans="1:6">
      <c r="A214" s="215" t="s">
        <v>568</v>
      </c>
      <c r="B214" s="215" t="s">
        <v>569</v>
      </c>
      <c r="C214" s="215"/>
      <c r="D214" s="215"/>
      <c r="E214" s="216" t="s">
        <v>8</v>
      </c>
      <c r="F214" s="216" t="s">
        <v>9</v>
      </c>
    </row>
    <row r="215" spans="1:6">
      <c r="A215" s="215" t="s">
        <v>570</v>
      </c>
      <c r="B215" s="215" t="s">
        <v>571</v>
      </c>
      <c r="C215" s="215" t="s">
        <v>572</v>
      </c>
      <c r="D215" s="215" t="s">
        <v>571</v>
      </c>
      <c r="E215" s="216" t="s">
        <v>8</v>
      </c>
      <c r="F215" s="216" t="s">
        <v>9</v>
      </c>
    </row>
    <row r="216" spans="1:6">
      <c r="A216" s="215" t="s">
        <v>573</v>
      </c>
      <c r="B216" s="215" t="s">
        <v>574</v>
      </c>
      <c r="C216" s="215" t="s">
        <v>575</v>
      </c>
      <c r="D216" s="215" t="s">
        <v>574</v>
      </c>
      <c r="E216" s="216" t="s">
        <v>8</v>
      </c>
      <c r="F216" s="216" t="s">
        <v>9</v>
      </c>
    </row>
    <row r="217" spans="1:6">
      <c r="A217" s="215" t="s">
        <v>576</v>
      </c>
      <c r="B217" s="215" t="s">
        <v>236</v>
      </c>
      <c r="C217" s="215"/>
      <c r="D217" s="215"/>
      <c r="E217" s="216" t="s">
        <v>8</v>
      </c>
      <c r="F217" s="216" t="s">
        <v>9</v>
      </c>
    </row>
    <row r="218" spans="1:6">
      <c r="A218" s="215" t="s">
        <v>577</v>
      </c>
      <c r="B218" s="215" t="s">
        <v>578</v>
      </c>
      <c r="C218" s="215"/>
      <c r="D218" s="215"/>
      <c r="E218" s="216" t="s">
        <v>8</v>
      </c>
      <c r="F218" s="216" t="s">
        <v>9</v>
      </c>
    </row>
    <row r="219" spans="1:6">
      <c r="A219" s="215" t="s">
        <v>579</v>
      </c>
      <c r="B219" s="215" t="s">
        <v>578</v>
      </c>
      <c r="C219" s="215" t="s">
        <v>580</v>
      </c>
      <c r="D219" s="215" t="s">
        <v>578</v>
      </c>
      <c r="E219" s="216" t="s">
        <v>8</v>
      </c>
      <c r="F219" s="216" t="s">
        <v>9</v>
      </c>
    </row>
    <row r="220" spans="1:6">
      <c r="A220" s="215" t="s">
        <v>581</v>
      </c>
      <c r="B220" s="215" t="s">
        <v>217</v>
      </c>
      <c r="C220" s="215"/>
      <c r="D220" s="215"/>
      <c r="E220" s="216" t="s">
        <v>8</v>
      </c>
      <c r="F220" s="216" t="s">
        <v>9</v>
      </c>
    </row>
    <row r="221" spans="1:6">
      <c r="A221" s="215" t="s">
        <v>582</v>
      </c>
      <c r="B221" s="215" t="s">
        <v>583</v>
      </c>
      <c r="C221" s="215" t="s">
        <v>584</v>
      </c>
      <c r="D221" s="215" t="s">
        <v>583</v>
      </c>
      <c r="E221" s="216" t="s">
        <v>8</v>
      </c>
      <c r="F221" s="216" t="s">
        <v>9</v>
      </c>
    </row>
    <row r="222" spans="1:6">
      <c r="A222" s="215" t="s">
        <v>585</v>
      </c>
      <c r="B222" s="215" t="s">
        <v>244</v>
      </c>
      <c r="C222" s="215" t="s">
        <v>586</v>
      </c>
      <c r="D222" s="215" t="s">
        <v>244</v>
      </c>
      <c r="E222" s="216" t="s">
        <v>8</v>
      </c>
      <c r="F222" s="216" t="s">
        <v>9</v>
      </c>
    </row>
    <row r="223" spans="1:6">
      <c r="A223" s="215" t="s">
        <v>587</v>
      </c>
      <c r="B223" s="215" t="s">
        <v>214</v>
      </c>
      <c r="C223" s="215"/>
      <c r="D223" s="215"/>
      <c r="E223" s="216" t="s">
        <v>8</v>
      </c>
      <c r="F223" s="216" t="s">
        <v>9</v>
      </c>
    </row>
    <row r="224" spans="1:6">
      <c r="A224" s="215" t="s">
        <v>588</v>
      </c>
      <c r="B224" s="215" t="s">
        <v>589</v>
      </c>
      <c r="C224" s="215" t="s">
        <v>590</v>
      </c>
      <c r="D224" s="215" t="s">
        <v>589</v>
      </c>
      <c r="E224" s="216" t="s">
        <v>8</v>
      </c>
      <c r="F224" s="216" t="s">
        <v>9</v>
      </c>
    </row>
    <row r="225" spans="1:6">
      <c r="A225" s="215" t="s">
        <v>591</v>
      </c>
      <c r="B225" s="215" t="s">
        <v>592</v>
      </c>
      <c r="C225" s="215" t="s">
        <v>593</v>
      </c>
      <c r="D225" s="215" t="s">
        <v>592</v>
      </c>
      <c r="E225" s="216" t="s">
        <v>8</v>
      </c>
      <c r="F225" s="216" t="s">
        <v>9</v>
      </c>
    </row>
    <row r="226" spans="1:6">
      <c r="A226" s="215" t="s">
        <v>594</v>
      </c>
      <c r="B226" s="215" t="s">
        <v>132</v>
      </c>
      <c r="C226" s="215"/>
      <c r="D226" s="215"/>
      <c r="E226" s="216" t="s">
        <v>8</v>
      </c>
      <c r="F226" s="216" t="s">
        <v>9</v>
      </c>
    </row>
    <row r="227" spans="1:6">
      <c r="A227" s="215" t="s">
        <v>595</v>
      </c>
      <c r="B227" s="215" t="s">
        <v>596</v>
      </c>
      <c r="C227" s="215" t="s">
        <v>597</v>
      </c>
      <c r="D227" s="215" t="s">
        <v>596</v>
      </c>
      <c r="E227" s="216" t="s">
        <v>8</v>
      </c>
      <c r="F227" s="216" t="s">
        <v>9</v>
      </c>
    </row>
    <row r="228" spans="1:6">
      <c r="A228" s="215" t="s">
        <v>598</v>
      </c>
      <c r="B228" s="215" t="s">
        <v>599</v>
      </c>
      <c r="C228" s="215" t="s">
        <v>600</v>
      </c>
      <c r="D228" s="215" t="s">
        <v>599</v>
      </c>
      <c r="E228" s="216" t="s">
        <v>8</v>
      </c>
      <c r="F228" s="216" t="s">
        <v>9</v>
      </c>
    </row>
    <row r="229" spans="1:6">
      <c r="A229" s="215" t="s">
        <v>601</v>
      </c>
      <c r="B229" s="215" t="s">
        <v>602</v>
      </c>
      <c r="C229" s="215" t="s">
        <v>603</v>
      </c>
      <c r="D229" s="215" t="s">
        <v>602</v>
      </c>
      <c r="E229" s="216" t="s">
        <v>8</v>
      </c>
      <c r="F229" s="216" t="s">
        <v>9</v>
      </c>
    </row>
    <row r="230" spans="1:6">
      <c r="A230" s="215" t="s">
        <v>604</v>
      </c>
      <c r="B230" s="215" t="s">
        <v>247</v>
      </c>
      <c r="C230" s="215" t="s">
        <v>605</v>
      </c>
      <c r="D230" s="215" t="s">
        <v>247</v>
      </c>
      <c r="E230" s="216" t="s">
        <v>8</v>
      </c>
      <c r="F230" s="216" t="s">
        <v>9</v>
      </c>
    </row>
    <row r="231" spans="1:6">
      <c r="A231" s="215" t="s">
        <v>606</v>
      </c>
      <c r="B231" s="215" t="s">
        <v>607</v>
      </c>
      <c r="C231" s="215" t="s">
        <v>608</v>
      </c>
      <c r="D231" s="215" t="s">
        <v>607</v>
      </c>
      <c r="E231" s="216" t="s">
        <v>8</v>
      </c>
      <c r="F231" s="216" t="s">
        <v>9</v>
      </c>
    </row>
    <row r="232" spans="1:6">
      <c r="A232" s="215" t="s">
        <v>609</v>
      </c>
      <c r="B232" s="215" t="s">
        <v>222</v>
      </c>
      <c r="C232" s="215"/>
      <c r="D232" s="215"/>
      <c r="E232" s="216" t="s">
        <v>8</v>
      </c>
      <c r="F232" s="216" t="s">
        <v>9</v>
      </c>
    </row>
    <row r="233" spans="1:6">
      <c r="A233" s="215" t="s">
        <v>610</v>
      </c>
      <c r="B233" s="215" t="s">
        <v>611</v>
      </c>
      <c r="C233" s="215" t="s">
        <v>612</v>
      </c>
      <c r="D233" s="215" t="s">
        <v>611</v>
      </c>
      <c r="E233" s="216" t="s">
        <v>8</v>
      </c>
      <c r="F233" s="216" t="s">
        <v>9</v>
      </c>
    </row>
    <row r="234" spans="1:6">
      <c r="A234" s="215" t="s">
        <v>613</v>
      </c>
      <c r="B234" s="215" t="s">
        <v>241</v>
      </c>
      <c r="C234" s="215" t="s">
        <v>614</v>
      </c>
      <c r="D234" s="215" t="s">
        <v>241</v>
      </c>
      <c r="E234" s="216" t="s">
        <v>8</v>
      </c>
      <c r="F234" s="216" t="s">
        <v>9</v>
      </c>
    </row>
    <row r="235" spans="1:6">
      <c r="A235" s="215" t="s">
        <v>615</v>
      </c>
      <c r="B235" s="215" t="s">
        <v>616</v>
      </c>
      <c r="C235" s="215"/>
      <c r="D235" s="215"/>
      <c r="E235" s="216" t="s">
        <v>8</v>
      </c>
      <c r="F235" s="216" t="s">
        <v>9</v>
      </c>
    </row>
    <row r="236" spans="1:6">
      <c r="A236" s="215" t="s">
        <v>617</v>
      </c>
      <c r="B236" s="215" t="s">
        <v>618</v>
      </c>
      <c r="C236" s="215" t="s">
        <v>619</v>
      </c>
      <c r="D236" s="215" t="s">
        <v>618</v>
      </c>
      <c r="E236" s="216" t="s">
        <v>8</v>
      </c>
      <c r="F236" s="216" t="s">
        <v>9</v>
      </c>
    </row>
    <row r="237" spans="1:6">
      <c r="A237" s="215" t="s">
        <v>620</v>
      </c>
      <c r="B237" s="215" t="s">
        <v>129</v>
      </c>
      <c r="C237" s="215"/>
      <c r="D237" s="215"/>
      <c r="E237" s="216" t="s">
        <v>8</v>
      </c>
      <c r="F237" s="216" t="s">
        <v>9</v>
      </c>
    </row>
    <row r="238" spans="1:6">
      <c r="A238" s="215" t="s">
        <v>621</v>
      </c>
      <c r="B238" s="215" t="s">
        <v>622</v>
      </c>
      <c r="C238" s="215" t="s">
        <v>623</v>
      </c>
      <c r="D238" s="215" t="s">
        <v>622</v>
      </c>
      <c r="E238" s="216" t="s">
        <v>8</v>
      </c>
      <c r="F238" s="216" t="s">
        <v>9</v>
      </c>
    </row>
    <row r="239" spans="1:6">
      <c r="A239" s="215" t="s">
        <v>624</v>
      </c>
      <c r="B239" s="215" t="s">
        <v>625</v>
      </c>
      <c r="C239" s="215"/>
      <c r="D239" s="215"/>
      <c r="E239" s="216" t="s">
        <v>8</v>
      </c>
      <c r="F239" s="216" t="s">
        <v>9</v>
      </c>
    </row>
    <row r="240" spans="1:6">
      <c r="A240" s="215" t="s">
        <v>626</v>
      </c>
      <c r="B240" s="215" t="s">
        <v>627</v>
      </c>
      <c r="C240" s="215"/>
      <c r="D240" s="215"/>
      <c r="E240" s="216" t="s">
        <v>8</v>
      </c>
      <c r="F240" s="216" t="s">
        <v>9</v>
      </c>
    </row>
    <row r="241" spans="1:6">
      <c r="A241" s="215" t="s">
        <v>628</v>
      </c>
      <c r="B241" s="215" t="s">
        <v>629</v>
      </c>
      <c r="C241" s="215" t="s">
        <v>630</v>
      </c>
      <c r="D241" s="215" t="s">
        <v>631</v>
      </c>
      <c r="E241" s="216" t="s">
        <v>8</v>
      </c>
      <c r="F241" s="216" t="s">
        <v>9</v>
      </c>
    </row>
    <row r="242" spans="1:6">
      <c r="A242" s="215" t="s">
        <v>632</v>
      </c>
      <c r="B242" s="215" t="s">
        <v>633</v>
      </c>
      <c r="C242" s="215"/>
      <c r="D242" s="215"/>
      <c r="E242" s="216" t="s">
        <v>8</v>
      </c>
      <c r="F242" s="216" t="s">
        <v>9</v>
      </c>
    </row>
    <row r="243" spans="1:6">
      <c r="A243" s="215" t="s">
        <v>634</v>
      </c>
      <c r="B243" s="215" t="s">
        <v>635</v>
      </c>
      <c r="C243" s="215"/>
      <c r="D243" s="215"/>
      <c r="E243" s="216" t="s">
        <v>8</v>
      </c>
      <c r="F243" s="216" t="s">
        <v>9</v>
      </c>
    </row>
    <row r="244" spans="1:6">
      <c r="A244" s="215" t="s">
        <v>636</v>
      </c>
      <c r="B244" s="215" t="s">
        <v>637</v>
      </c>
      <c r="C244" s="215"/>
      <c r="D244" s="215"/>
      <c r="E244" s="216" t="s">
        <v>8</v>
      </c>
      <c r="F244" s="216" t="s">
        <v>9</v>
      </c>
    </row>
    <row r="245" spans="1:6">
      <c r="A245" s="215" t="s">
        <v>638</v>
      </c>
      <c r="B245" s="215" t="s">
        <v>639</v>
      </c>
      <c r="C245" s="215"/>
      <c r="D245" s="215"/>
      <c r="E245" s="216" t="s">
        <v>8</v>
      </c>
      <c r="F245" s="216" t="s">
        <v>9</v>
      </c>
    </row>
    <row r="246" spans="1:6">
      <c r="A246" s="215" t="s">
        <v>640</v>
      </c>
      <c r="B246" s="215" t="s">
        <v>641</v>
      </c>
      <c r="C246" s="215" t="s">
        <v>642</v>
      </c>
      <c r="D246" s="215" t="s">
        <v>641</v>
      </c>
      <c r="E246" s="216" t="s">
        <v>8</v>
      </c>
      <c r="F246" s="216" t="s">
        <v>9</v>
      </c>
    </row>
    <row r="247" spans="1:6">
      <c r="A247" s="215" t="s">
        <v>643</v>
      </c>
      <c r="B247" s="215" t="s">
        <v>644</v>
      </c>
      <c r="C247" s="215"/>
      <c r="D247" s="215"/>
      <c r="E247" s="216" t="s">
        <v>8</v>
      </c>
      <c r="F247" s="216" t="s">
        <v>9</v>
      </c>
    </row>
    <row r="248" spans="1:6">
      <c r="A248" s="215" t="s">
        <v>645</v>
      </c>
      <c r="B248" s="215" t="s">
        <v>646</v>
      </c>
      <c r="C248" s="215"/>
      <c r="D248" s="215"/>
      <c r="E248" s="216" t="s">
        <v>8</v>
      </c>
      <c r="F248" s="216" t="s">
        <v>9</v>
      </c>
    </row>
    <row r="249" spans="1:6">
      <c r="A249" s="215" t="s">
        <v>647</v>
      </c>
      <c r="B249" s="215" t="s">
        <v>648</v>
      </c>
      <c r="C249" s="215" t="s">
        <v>649</v>
      </c>
      <c r="D249" s="215" t="s">
        <v>648</v>
      </c>
      <c r="E249" s="216" t="s">
        <v>8</v>
      </c>
      <c r="F249" s="216" t="s">
        <v>9</v>
      </c>
    </row>
    <row r="250" spans="1:6">
      <c r="A250" s="215" t="s">
        <v>650</v>
      </c>
      <c r="B250" s="215" t="s">
        <v>253</v>
      </c>
      <c r="C250" s="215"/>
      <c r="D250" s="215"/>
      <c r="E250" s="216" t="s">
        <v>8</v>
      </c>
      <c r="F250" s="216" t="s">
        <v>9</v>
      </c>
    </row>
    <row r="251" spans="1:6">
      <c r="A251" s="215" t="s">
        <v>651</v>
      </c>
      <c r="B251" s="215" t="s">
        <v>652</v>
      </c>
      <c r="C251" s="215"/>
      <c r="D251" s="215"/>
      <c r="E251" s="216" t="s">
        <v>8</v>
      </c>
      <c r="F251" s="216" t="s">
        <v>9</v>
      </c>
    </row>
    <row r="252" spans="1:6">
      <c r="A252" s="215" t="s">
        <v>653</v>
      </c>
      <c r="B252" s="215" t="s">
        <v>654</v>
      </c>
      <c r="C252" s="215" t="s">
        <v>655</v>
      </c>
      <c r="D252" s="215" t="s">
        <v>654</v>
      </c>
      <c r="E252" s="216" t="s">
        <v>8</v>
      </c>
      <c r="F252" s="216" t="s">
        <v>9</v>
      </c>
    </row>
    <row r="253" spans="1:6">
      <c r="A253" s="215" t="s">
        <v>656</v>
      </c>
      <c r="B253" s="215" t="s">
        <v>258</v>
      </c>
      <c r="C253" s="215"/>
      <c r="D253" s="215"/>
      <c r="E253" s="216" t="s">
        <v>8</v>
      </c>
      <c r="F253" s="216" t="s">
        <v>9</v>
      </c>
    </row>
    <row r="254" spans="1:6">
      <c r="A254" s="215" t="s">
        <v>657</v>
      </c>
      <c r="B254" s="215" t="s">
        <v>258</v>
      </c>
      <c r="C254" s="215"/>
      <c r="D254" s="215"/>
      <c r="E254" s="216" t="s">
        <v>8</v>
      </c>
      <c r="F254" s="216" t="s">
        <v>9</v>
      </c>
    </row>
    <row r="255" spans="1:6">
      <c r="A255" s="215" t="s">
        <v>658</v>
      </c>
      <c r="B255" s="215" t="s">
        <v>659</v>
      </c>
      <c r="C255" s="215" t="s">
        <v>660</v>
      </c>
      <c r="D255" s="215" t="s">
        <v>659</v>
      </c>
      <c r="E255" s="216" t="s">
        <v>8</v>
      </c>
      <c r="F255" s="216" t="s">
        <v>9</v>
      </c>
    </row>
    <row r="256" spans="1:6">
      <c r="A256" s="215" t="s">
        <v>661</v>
      </c>
      <c r="B256" s="215" t="s">
        <v>662</v>
      </c>
      <c r="C256" s="215" t="s">
        <v>663</v>
      </c>
      <c r="D256" s="215" t="s">
        <v>662</v>
      </c>
      <c r="E256" s="216" t="s">
        <v>8</v>
      </c>
      <c r="F256" s="216" t="s">
        <v>9</v>
      </c>
    </row>
    <row r="257" spans="1:6">
      <c r="A257" s="215" t="s">
        <v>664</v>
      </c>
      <c r="B257" s="215" t="s">
        <v>665</v>
      </c>
      <c r="C257" s="215" t="s">
        <v>666</v>
      </c>
      <c r="D257" s="215" t="s">
        <v>665</v>
      </c>
      <c r="E257" s="216" t="s">
        <v>8</v>
      </c>
      <c r="F257" s="216" t="s">
        <v>9</v>
      </c>
    </row>
    <row r="258" spans="1:6">
      <c r="A258" s="215" t="s">
        <v>667</v>
      </c>
      <c r="B258" s="215" t="s">
        <v>668</v>
      </c>
      <c r="C258" s="215" t="s">
        <v>669</v>
      </c>
      <c r="D258" s="215" t="s">
        <v>668</v>
      </c>
      <c r="E258" s="216" t="s">
        <v>8</v>
      </c>
      <c r="F258" s="216" t="s">
        <v>9</v>
      </c>
    </row>
    <row r="259" spans="1:6">
      <c r="A259" s="215" t="s">
        <v>670</v>
      </c>
      <c r="B259" s="215" t="s">
        <v>671</v>
      </c>
      <c r="C259" s="215" t="s">
        <v>672</v>
      </c>
      <c r="D259" s="215" t="s">
        <v>671</v>
      </c>
      <c r="E259" s="216" t="s">
        <v>8</v>
      </c>
      <c r="F259" s="216" t="s">
        <v>9</v>
      </c>
    </row>
    <row r="260" spans="1:6">
      <c r="A260" s="215" t="s">
        <v>673</v>
      </c>
      <c r="B260" s="215" t="s">
        <v>674</v>
      </c>
      <c r="C260" s="215"/>
      <c r="D260" s="215"/>
      <c r="E260" s="216" t="s">
        <v>8</v>
      </c>
      <c r="F260" s="216" t="s">
        <v>9</v>
      </c>
    </row>
    <row r="261" spans="1:6">
      <c r="A261" s="215" t="s">
        <v>675</v>
      </c>
      <c r="B261" s="215" t="s">
        <v>676</v>
      </c>
      <c r="C261" s="215" t="s">
        <v>677</v>
      </c>
      <c r="D261" s="215" t="s">
        <v>678</v>
      </c>
      <c r="E261" s="216" t="s">
        <v>8</v>
      </c>
      <c r="F261" s="216" t="s">
        <v>9</v>
      </c>
    </row>
    <row r="262" spans="1:6">
      <c r="A262" s="215" t="s">
        <v>679</v>
      </c>
      <c r="B262" s="215" t="s">
        <v>680</v>
      </c>
      <c r="C262" s="215" t="s">
        <v>681</v>
      </c>
      <c r="D262" s="215" t="s">
        <v>680</v>
      </c>
      <c r="E262" s="216" t="s">
        <v>8</v>
      </c>
      <c r="F262" s="216" t="s">
        <v>9</v>
      </c>
    </row>
    <row r="263" spans="1:6" ht="22.5">
      <c r="A263" s="215" t="s">
        <v>682</v>
      </c>
      <c r="B263" s="215" t="s">
        <v>683</v>
      </c>
      <c r="C263" s="215" t="s">
        <v>684</v>
      </c>
      <c r="D263" s="215" t="s">
        <v>683</v>
      </c>
      <c r="E263" s="216" t="s">
        <v>8</v>
      </c>
      <c r="F263" s="216" t="s">
        <v>9</v>
      </c>
    </row>
    <row r="264" spans="1:6">
      <c r="A264" s="215" t="s">
        <v>685</v>
      </c>
      <c r="B264" s="215" t="s">
        <v>686</v>
      </c>
      <c r="C264" s="215" t="s">
        <v>687</v>
      </c>
      <c r="D264" s="215" t="s">
        <v>686</v>
      </c>
      <c r="E264" s="216" t="s">
        <v>8</v>
      </c>
      <c r="F264" s="216" t="s">
        <v>9</v>
      </c>
    </row>
    <row r="265" spans="1:6">
      <c r="A265" s="215" t="s">
        <v>688</v>
      </c>
      <c r="B265" s="215" t="s">
        <v>689</v>
      </c>
      <c r="C265" s="215" t="s">
        <v>690</v>
      </c>
      <c r="D265" s="215" t="s">
        <v>689</v>
      </c>
      <c r="E265" s="216" t="s">
        <v>8</v>
      </c>
      <c r="F265" s="216" t="s">
        <v>9</v>
      </c>
    </row>
    <row r="266" spans="1:6">
      <c r="A266" s="215" t="s">
        <v>691</v>
      </c>
      <c r="B266" s="215" t="s">
        <v>692</v>
      </c>
      <c r="C266" s="215" t="s">
        <v>693</v>
      </c>
      <c r="D266" s="215" t="s">
        <v>692</v>
      </c>
      <c r="E266" s="216" t="s">
        <v>8</v>
      </c>
      <c r="F266" s="216" t="s">
        <v>9</v>
      </c>
    </row>
    <row r="267" spans="1:6">
      <c r="A267" s="215" t="s">
        <v>694</v>
      </c>
      <c r="B267" s="215" t="s">
        <v>695</v>
      </c>
      <c r="C267" s="215" t="s">
        <v>696</v>
      </c>
      <c r="D267" s="215" t="s">
        <v>695</v>
      </c>
      <c r="E267" s="216" t="s">
        <v>8</v>
      </c>
      <c r="F267" s="216" t="s">
        <v>9</v>
      </c>
    </row>
    <row r="268" spans="1:6">
      <c r="A268" s="215" t="s">
        <v>697</v>
      </c>
      <c r="B268" s="215" t="s">
        <v>698</v>
      </c>
      <c r="C268" s="215" t="s">
        <v>699</v>
      </c>
      <c r="D268" s="215" t="s">
        <v>698</v>
      </c>
      <c r="E268" s="216" t="s">
        <v>8</v>
      </c>
      <c r="F268" s="216" t="s">
        <v>9</v>
      </c>
    </row>
    <row r="269" spans="1:6">
      <c r="A269" s="215" t="s">
        <v>700</v>
      </c>
      <c r="B269" s="215" t="s">
        <v>43</v>
      </c>
      <c r="C269" s="215" t="s">
        <v>701</v>
      </c>
      <c r="D269" s="215" t="s">
        <v>702</v>
      </c>
      <c r="E269" s="216" t="s">
        <v>8</v>
      </c>
      <c r="F269" s="216" t="s">
        <v>9</v>
      </c>
    </row>
    <row r="270" spans="1:6">
      <c r="A270" s="215" t="s">
        <v>703</v>
      </c>
      <c r="B270" s="215" t="s">
        <v>150</v>
      </c>
      <c r="C270" s="215" t="s">
        <v>704</v>
      </c>
      <c r="D270" s="215" t="s">
        <v>150</v>
      </c>
      <c r="E270" s="216" t="s">
        <v>8</v>
      </c>
      <c r="F270" s="216" t="s">
        <v>9</v>
      </c>
    </row>
    <row r="271" spans="1:6">
      <c r="A271" s="215" t="s">
        <v>705</v>
      </c>
      <c r="B271" s="215" t="s">
        <v>706</v>
      </c>
      <c r="C271" s="215"/>
      <c r="D271" s="215"/>
      <c r="E271" s="216" t="s">
        <v>8</v>
      </c>
      <c r="F271" s="216" t="s">
        <v>9</v>
      </c>
    </row>
    <row r="272" spans="1:6">
      <c r="A272" s="215" t="s">
        <v>707</v>
      </c>
      <c r="B272" s="215" t="s">
        <v>329</v>
      </c>
      <c r="C272" s="215" t="s">
        <v>708</v>
      </c>
      <c r="D272" s="215" t="s">
        <v>329</v>
      </c>
      <c r="E272" s="216" t="s">
        <v>8</v>
      </c>
      <c r="F272" s="216" t="s">
        <v>9</v>
      </c>
    </row>
    <row r="273" spans="1:6">
      <c r="A273" s="215" t="s">
        <v>709</v>
      </c>
      <c r="B273" s="215" t="s">
        <v>332</v>
      </c>
      <c r="C273" s="215" t="s">
        <v>710</v>
      </c>
      <c r="D273" s="215" t="s">
        <v>332</v>
      </c>
      <c r="E273" s="216" t="s">
        <v>8</v>
      </c>
      <c r="F273" s="216" t="s">
        <v>9</v>
      </c>
    </row>
    <row r="274" spans="1:6" ht="22.5">
      <c r="A274" s="215" t="s">
        <v>711</v>
      </c>
      <c r="B274" s="215" t="s">
        <v>712</v>
      </c>
      <c r="C274" s="215" t="s">
        <v>713</v>
      </c>
      <c r="D274" s="215" t="s">
        <v>712</v>
      </c>
      <c r="E274" s="216" t="s">
        <v>8</v>
      </c>
      <c r="F274" s="216" t="s">
        <v>9</v>
      </c>
    </row>
    <row r="275" spans="1:6">
      <c r="A275" s="215" t="s">
        <v>714</v>
      </c>
      <c r="B275" s="215" t="s">
        <v>715</v>
      </c>
      <c r="C275" s="215" t="s">
        <v>716</v>
      </c>
      <c r="D275" s="215" t="s">
        <v>715</v>
      </c>
      <c r="E275" s="216" t="s">
        <v>8</v>
      </c>
      <c r="F275" s="216" t="s">
        <v>9</v>
      </c>
    </row>
    <row r="276" spans="1:6">
      <c r="A276" s="215" t="s">
        <v>717</v>
      </c>
      <c r="B276" s="215" t="s">
        <v>718</v>
      </c>
      <c r="C276" s="215" t="s">
        <v>719</v>
      </c>
      <c r="D276" s="215" t="s">
        <v>718</v>
      </c>
      <c r="E276" s="216" t="s">
        <v>8</v>
      </c>
      <c r="F276" s="216" t="s">
        <v>9</v>
      </c>
    </row>
    <row r="277" spans="1:6">
      <c r="A277" s="215" t="s">
        <v>720</v>
      </c>
      <c r="B277" s="215" t="s">
        <v>721</v>
      </c>
      <c r="C277" s="215" t="s">
        <v>701</v>
      </c>
      <c r="D277" s="215" t="s">
        <v>702</v>
      </c>
      <c r="E277" s="216" t="s">
        <v>8</v>
      </c>
      <c r="F277" s="216" t="s">
        <v>9</v>
      </c>
    </row>
    <row r="278" spans="1:6">
      <c r="A278" s="215" t="s">
        <v>722</v>
      </c>
      <c r="B278" s="215" t="s">
        <v>723</v>
      </c>
      <c r="C278" s="215" t="s">
        <v>724</v>
      </c>
      <c r="D278" s="215" t="s">
        <v>723</v>
      </c>
      <c r="E278" s="216" t="s">
        <v>8</v>
      </c>
      <c r="F278" s="216" t="s">
        <v>9</v>
      </c>
    </row>
    <row r="279" spans="1:6">
      <c r="A279" s="215" t="s">
        <v>725</v>
      </c>
      <c r="B279" s="215" t="s">
        <v>150</v>
      </c>
      <c r="C279" s="215" t="s">
        <v>726</v>
      </c>
      <c r="D279" s="215" t="s">
        <v>150</v>
      </c>
      <c r="E279" s="216" t="s">
        <v>8</v>
      </c>
      <c r="F279" s="216" t="s">
        <v>9</v>
      </c>
    </row>
    <row r="280" spans="1:6">
      <c r="A280" s="215" t="s">
        <v>727</v>
      </c>
      <c r="B280" s="215" t="s">
        <v>728</v>
      </c>
      <c r="C280" s="215"/>
      <c r="D280" s="215"/>
      <c r="E280" s="216" t="s">
        <v>8</v>
      </c>
      <c r="F280" s="216" t="s">
        <v>9</v>
      </c>
    </row>
    <row r="281" spans="1:6">
      <c r="A281" s="215" t="s">
        <v>729</v>
      </c>
      <c r="B281" s="215" t="s">
        <v>730</v>
      </c>
      <c r="C281" s="215"/>
      <c r="D281" s="215"/>
      <c r="E281" s="216" t="s">
        <v>8</v>
      </c>
      <c r="F281" s="216" t="s">
        <v>9</v>
      </c>
    </row>
    <row r="282" spans="1:6">
      <c r="A282" s="215" t="s">
        <v>731</v>
      </c>
      <c r="B282" s="215" t="s">
        <v>732</v>
      </c>
      <c r="C282" s="215" t="s">
        <v>733</v>
      </c>
      <c r="D282" s="215" t="s">
        <v>732</v>
      </c>
      <c r="E282" s="216" t="s">
        <v>8</v>
      </c>
      <c r="F282" s="216" t="s">
        <v>9</v>
      </c>
    </row>
    <row r="283" spans="1:6">
      <c r="A283" s="215" t="s">
        <v>734</v>
      </c>
      <c r="B283" s="215" t="s">
        <v>735</v>
      </c>
      <c r="C283" s="215" t="s">
        <v>736</v>
      </c>
      <c r="D283" s="215" t="s">
        <v>735</v>
      </c>
      <c r="E283" s="216" t="s">
        <v>8</v>
      </c>
      <c r="F283" s="216" t="s">
        <v>9</v>
      </c>
    </row>
    <row r="284" spans="1:6">
      <c r="A284" s="215" t="s">
        <v>737</v>
      </c>
      <c r="B284" s="215" t="s">
        <v>738</v>
      </c>
      <c r="C284" s="215"/>
      <c r="D284" s="215"/>
      <c r="E284" s="216" t="s">
        <v>8</v>
      </c>
      <c r="F284" s="216" t="s">
        <v>9</v>
      </c>
    </row>
    <row r="285" spans="1:6">
      <c r="A285" s="215" t="s">
        <v>739</v>
      </c>
      <c r="B285" s="215" t="s">
        <v>740</v>
      </c>
      <c r="C285" s="215"/>
      <c r="D285" s="215"/>
      <c r="E285" s="216" t="s">
        <v>8</v>
      </c>
      <c r="F285" s="216" t="s">
        <v>9</v>
      </c>
    </row>
    <row r="286" spans="1:6">
      <c r="A286" s="215" t="s">
        <v>741</v>
      </c>
      <c r="B286" s="215" t="s">
        <v>742</v>
      </c>
      <c r="C286" s="215" t="s">
        <v>743</v>
      </c>
      <c r="D286" s="215" t="s">
        <v>742</v>
      </c>
      <c r="E286" s="216" t="s">
        <v>8</v>
      </c>
      <c r="F286" s="216" t="s">
        <v>9</v>
      </c>
    </row>
    <row r="287" spans="1:6">
      <c r="A287" s="215" t="s">
        <v>744</v>
      </c>
      <c r="B287" s="215" t="s">
        <v>745</v>
      </c>
      <c r="C287" s="215"/>
      <c r="D287" s="215"/>
      <c r="E287" s="216" t="s">
        <v>8</v>
      </c>
      <c r="F287" s="216" t="s">
        <v>9</v>
      </c>
    </row>
    <row r="288" spans="1:6">
      <c r="A288" s="215" t="s">
        <v>746</v>
      </c>
      <c r="B288" s="215" t="s">
        <v>747</v>
      </c>
      <c r="C288" s="215" t="s">
        <v>748</v>
      </c>
      <c r="D288" s="215" t="s">
        <v>747</v>
      </c>
      <c r="E288" s="216" t="s">
        <v>8</v>
      </c>
      <c r="F288" s="216" t="s">
        <v>9</v>
      </c>
    </row>
    <row r="289" spans="1:6">
      <c r="A289" s="215" t="s">
        <v>749</v>
      </c>
      <c r="B289" s="215" t="s">
        <v>750</v>
      </c>
      <c r="C289" s="215" t="s">
        <v>751</v>
      </c>
      <c r="D289" s="215" t="s">
        <v>750</v>
      </c>
      <c r="E289" s="216" t="s">
        <v>8</v>
      </c>
      <c r="F289" s="216" t="s">
        <v>9</v>
      </c>
    </row>
    <row r="290" spans="1:6">
      <c r="A290" s="215" t="s">
        <v>752</v>
      </c>
      <c r="B290" s="215" t="s">
        <v>753</v>
      </c>
      <c r="C290" s="215" t="s">
        <v>754</v>
      </c>
      <c r="D290" s="215" t="s">
        <v>753</v>
      </c>
      <c r="E290" s="216" t="s">
        <v>8</v>
      </c>
      <c r="F290" s="216" t="s">
        <v>9</v>
      </c>
    </row>
    <row r="291" spans="1:6">
      <c r="A291" s="215" t="s">
        <v>755</v>
      </c>
      <c r="B291" s="215" t="s">
        <v>756</v>
      </c>
      <c r="C291" s="215" t="s">
        <v>757</v>
      </c>
      <c r="D291" s="215" t="s">
        <v>756</v>
      </c>
      <c r="E291" s="216" t="s">
        <v>8</v>
      </c>
      <c r="F291" s="216" t="s">
        <v>9</v>
      </c>
    </row>
    <row r="292" spans="1:6">
      <c r="A292" s="215" t="s">
        <v>758</v>
      </c>
      <c r="B292" s="215" t="s">
        <v>759</v>
      </c>
      <c r="C292" s="215"/>
      <c r="D292" s="215"/>
      <c r="E292" s="216" t="s">
        <v>8</v>
      </c>
      <c r="F292" s="216" t="s">
        <v>9</v>
      </c>
    </row>
    <row r="293" spans="1:6">
      <c r="A293" s="215" t="s">
        <v>760</v>
      </c>
      <c r="B293" s="215" t="s">
        <v>732</v>
      </c>
      <c r="C293" s="215" t="s">
        <v>761</v>
      </c>
      <c r="D293" s="215" t="s">
        <v>732</v>
      </c>
      <c r="E293" s="216" t="s">
        <v>8</v>
      </c>
      <c r="F293" s="216" t="s">
        <v>9</v>
      </c>
    </row>
    <row r="294" spans="1:6">
      <c r="A294" s="215" t="s">
        <v>762</v>
      </c>
      <c r="B294" s="215" t="s">
        <v>735</v>
      </c>
      <c r="C294" s="215" t="s">
        <v>763</v>
      </c>
      <c r="D294" s="215" t="s">
        <v>735</v>
      </c>
      <c r="E294" s="216" t="s">
        <v>8</v>
      </c>
      <c r="F294" s="216" t="s">
        <v>9</v>
      </c>
    </row>
    <row r="295" spans="1:6">
      <c r="A295" s="215" t="s">
        <v>764</v>
      </c>
      <c r="B295" s="215" t="s">
        <v>765</v>
      </c>
      <c r="C295" s="215"/>
      <c r="D295" s="215"/>
      <c r="E295" s="216" t="s">
        <v>8</v>
      </c>
      <c r="F295" s="216" t="s">
        <v>9</v>
      </c>
    </row>
    <row r="296" spans="1:6">
      <c r="A296" s="215" t="s">
        <v>766</v>
      </c>
      <c r="B296" s="215" t="s">
        <v>767</v>
      </c>
      <c r="C296" s="215"/>
      <c r="D296" s="215"/>
      <c r="E296" s="216" t="s">
        <v>8</v>
      </c>
      <c r="F296" s="216" t="s">
        <v>9</v>
      </c>
    </row>
    <row r="297" spans="1:6">
      <c r="A297" s="215" t="s">
        <v>768</v>
      </c>
      <c r="B297" s="215" t="s">
        <v>767</v>
      </c>
      <c r="C297" s="215" t="s">
        <v>769</v>
      </c>
      <c r="D297" s="215" t="s">
        <v>767</v>
      </c>
      <c r="E297" s="216" t="s">
        <v>8</v>
      </c>
      <c r="F297" s="216" t="s">
        <v>9</v>
      </c>
    </row>
    <row r="298" spans="1:6">
      <c r="A298" s="215" t="s">
        <v>770</v>
      </c>
      <c r="B298" s="215" t="s">
        <v>771</v>
      </c>
      <c r="C298" s="215"/>
      <c r="D298" s="215"/>
      <c r="E298" s="216" t="s">
        <v>8</v>
      </c>
      <c r="F298" s="216" t="s">
        <v>9</v>
      </c>
    </row>
    <row r="299" spans="1:6">
      <c r="A299" s="215" t="s">
        <v>772</v>
      </c>
      <c r="B299" s="215" t="s">
        <v>773</v>
      </c>
      <c r="C299" s="215" t="s">
        <v>774</v>
      </c>
      <c r="D299" s="215" t="s">
        <v>773</v>
      </c>
      <c r="E299" s="216" t="s">
        <v>8</v>
      </c>
      <c r="F299" s="216" t="s">
        <v>9</v>
      </c>
    </row>
    <row r="300" spans="1:6">
      <c r="A300" s="215" t="s">
        <v>775</v>
      </c>
      <c r="B300" s="215" t="s">
        <v>776</v>
      </c>
      <c r="C300" s="215" t="s">
        <v>777</v>
      </c>
      <c r="D300" s="215" t="s">
        <v>776</v>
      </c>
      <c r="E300" s="216" t="s">
        <v>8</v>
      </c>
      <c r="F300" s="216" t="s">
        <v>9</v>
      </c>
    </row>
    <row r="301" spans="1:6">
      <c r="A301" s="215" t="s">
        <v>778</v>
      </c>
      <c r="B301" s="215" t="s">
        <v>779</v>
      </c>
      <c r="C301" s="215"/>
      <c r="D301" s="215"/>
      <c r="E301" s="216" t="s">
        <v>8</v>
      </c>
      <c r="F301" s="216" t="s">
        <v>9</v>
      </c>
    </row>
    <row r="302" spans="1:6">
      <c r="A302" s="215" t="s">
        <v>780</v>
      </c>
      <c r="B302" s="215" t="s">
        <v>779</v>
      </c>
      <c r="C302" s="215" t="s">
        <v>781</v>
      </c>
      <c r="D302" s="215" t="s">
        <v>779</v>
      </c>
      <c r="E302" s="216" t="s">
        <v>8</v>
      </c>
      <c r="F302" s="216" t="s">
        <v>9</v>
      </c>
    </row>
    <row r="303" spans="1:6">
      <c r="A303" s="215" t="s">
        <v>782</v>
      </c>
      <c r="B303" s="215" t="s">
        <v>783</v>
      </c>
      <c r="C303" s="215"/>
      <c r="D303" s="215"/>
      <c r="E303" s="216" t="s">
        <v>8</v>
      </c>
      <c r="F303" s="216" t="s">
        <v>9</v>
      </c>
    </row>
    <row r="304" spans="1:6">
      <c r="A304" s="215" t="s">
        <v>784</v>
      </c>
      <c r="B304" s="215" t="s">
        <v>783</v>
      </c>
      <c r="C304" s="215" t="s">
        <v>785</v>
      </c>
      <c r="D304" s="215" t="s">
        <v>783</v>
      </c>
      <c r="E304" s="216" t="s">
        <v>8</v>
      </c>
      <c r="F304" s="216" t="s">
        <v>9</v>
      </c>
    </row>
    <row r="305" spans="1:6">
      <c r="A305" s="215" t="s">
        <v>786</v>
      </c>
      <c r="B305" s="215" t="s">
        <v>787</v>
      </c>
      <c r="C305" s="215"/>
      <c r="D305" s="215"/>
      <c r="E305" s="216" t="s">
        <v>8</v>
      </c>
      <c r="F305" s="216" t="s">
        <v>9</v>
      </c>
    </row>
    <row r="306" spans="1:6">
      <c r="A306" s="215" t="s">
        <v>788</v>
      </c>
      <c r="B306" s="215" t="s">
        <v>787</v>
      </c>
      <c r="C306" s="215" t="s">
        <v>789</v>
      </c>
      <c r="D306" s="215" t="s">
        <v>787</v>
      </c>
      <c r="E306" s="216" t="s">
        <v>8</v>
      </c>
      <c r="F306" s="216" t="s">
        <v>9</v>
      </c>
    </row>
    <row r="307" spans="1:6">
      <c r="A307" s="215" t="s">
        <v>790</v>
      </c>
      <c r="B307" s="215" t="s">
        <v>791</v>
      </c>
      <c r="C307" s="215"/>
      <c r="D307" s="215"/>
      <c r="E307" s="216" t="s">
        <v>8</v>
      </c>
      <c r="F307" s="216" t="s">
        <v>9</v>
      </c>
    </row>
    <row r="308" spans="1:6">
      <c r="A308" s="215" t="s">
        <v>792</v>
      </c>
      <c r="B308" s="215" t="s">
        <v>793</v>
      </c>
      <c r="C308" s="215" t="s">
        <v>794</v>
      </c>
      <c r="D308" s="215" t="s">
        <v>793</v>
      </c>
      <c r="E308" s="216" t="s">
        <v>8</v>
      </c>
      <c r="F308" s="216" t="s">
        <v>9</v>
      </c>
    </row>
    <row r="309" spans="1:6">
      <c r="A309" s="215" t="s">
        <v>795</v>
      </c>
      <c r="B309" s="215" t="s">
        <v>796</v>
      </c>
      <c r="C309" s="215" t="s">
        <v>797</v>
      </c>
      <c r="D309" s="215" t="s">
        <v>796</v>
      </c>
      <c r="E309" s="216" t="s">
        <v>8</v>
      </c>
      <c r="F309" s="216" t="s">
        <v>9</v>
      </c>
    </row>
    <row r="310" spans="1:6" ht="22.5">
      <c r="A310" s="215" t="s">
        <v>798</v>
      </c>
      <c r="B310" s="215" t="s">
        <v>799</v>
      </c>
      <c r="C310" s="215" t="s">
        <v>800</v>
      </c>
      <c r="D310" s="215" t="s">
        <v>799</v>
      </c>
      <c r="E310" s="216" t="s">
        <v>8</v>
      </c>
      <c r="F310" s="216" t="s">
        <v>9</v>
      </c>
    </row>
    <row r="311" spans="1:6">
      <c r="A311" s="215" t="s">
        <v>801</v>
      </c>
      <c r="B311" s="215" t="s">
        <v>802</v>
      </c>
      <c r="C311" s="215" t="s">
        <v>803</v>
      </c>
      <c r="D311" s="215" t="s">
        <v>802</v>
      </c>
      <c r="E311" s="216" t="s">
        <v>8</v>
      </c>
      <c r="F311" s="216" t="s">
        <v>9</v>
      </c>
    </row>
    <row r="312" spans="1:6">
      <c r="A312" s="215" t="s">
        <v>804</v>
      </c>
      <c r="B312" s="215" t="s">
        <v>522</v>
      </c>
      <c r="C312" s="215" t="s">
        <v>805</v>
      </c>
      <c r="D312" s="215" t="s">
        <v>522</v>
      </c>
      <c r="E312" s="216" t="s">
        <v>8</v>
      </c>
      <c r="F312" s="216" t="s">
        <v>9</v>
      </c>
    </row>
    <row r="313" spans="1:6">
      <c r="A313" s="215" t="s">
        <v>806</v>
      </c>
      <c r="B313" s="215" t="s">
        <v>83</v>
      </c>
      <c r="C313" s="215" t="s">
        <v>807</v>
      </c>
      <c r="D313" s="215" t="s">
        <v>83</v>
      </c>
      <c r="E313" s="216" t="s">
        <v>8</v>
      </c>
      <c r="F313" s="216" t="s">
        <v>9</v>
      </c>
    </row>
    <row r="314" spans="1:6">
      <c r="A314" s="215" t="s">
        <v>808</v>
      </c>
      <c r="B314" s="215" t="s">
        <v>809</v>
      </c>
      <c r="C314" s="215"/>
      <c r="D314" s="215"/>
      <c r="E314" s="216" t="s">
        <v>8</v>
      </c>
      <c r="F314" s="216" t="s">
        <v>9</v>
      </c>
    </row>
    <row r="315" spans="1:6">
      <c r="A315" s="215" t="s">
        <v>810</v>
      </c>
      <c r="B315" s="215" t="s">
        <v>811</v>
      </c>
      <c r="C315" s="215"/>
      <c r="D315" s="215"/>
      <c r="E315" s="216" t="s">
        <v>8</v>
      </c>
      <c r="F315" s="216" t="s">
        <v>9</v>
      </c>
    </row>
    <row r="316" spans="1:6">
      <c r="A316" s="215" t="s">
        <v>812</v>
      </c>
      <c r="B316" s="215" t="s">
        <v>813</v>
      </c>
      <c r="C316" s="215" t="s">
        <v>814</v>
      </c>
      <c r="D316" s="215" t="s">
        <v>813</v>
      </c>
      <c r="E316" s="216" t="s">
        <v>8</v>
      </c>
      <c r="F316" s="216" t="s">
        <v>9</v>
      </c>
    </row>
    <row r="317" spans="1:6">
      <c r="A317" s="215" t="s">
        <v>815</v>
      </c>
      <c r="B317" s="215" t="s">
        <v>779</v>
      </c>
      <c r="C317" s="215" t="s">
        <v>816</v>
      </c>
      <c r="D317" s="215" t="s">
        <v>779</v>
      </c>
      <c r="E317" s="216" t="s">
        <v>8</v>
      </c>
      <c r="F317" s="216" t="s">
        <v>9</v>
      </c>
    </row>
    <row r="318" spans="1:6">
      <c r="A318" s="215" t="s">
        <v>817</v>
      </c>
      <c r="B318" s="215" t="s">
        <v>818</v>
      </c>
      <c r="C318" s="215" t="s">
        <v>819</v>
      </c>
      <c r="D318" s="215" t="s">
        <v>818</v>
      </c>
      <c r="E318" s="216" t="s">
        <v>8</v>
      </c>
      <c r="F318" s="216" t="s">
        <v>9</v>
      </c>
    </row>
    <row r="319" spans="1:6">
      <c r="A319" s="215" t="s">
        <v>820</v>
      </c>
      <c r="B319" s="215" t="s">
        <v>783</v>
      </c>
      <c r="C319" s="215" t="s">
        <v>821</v>
      </c>
      <c r="D319" s="215" t="s">
        <v>783</v>
      </c>
      <c r="E319" s="216" t="s">
        <v>8</v>
      </c>
      <c r="F319" s="216" t="s">
        <v>9</v>
      </c>
    </row>
    <row r="320" spans="1:6">
      <c r="A320" s="215" t="s">
        <v>822</v>
      </c>
      <c r="B320" s="215" t="s">
        <v>791</v>
      </c>
      <c r="C320" s="215" t="s">
        <v>823</v>
      </c>
      <c r="D320" s="215" t="s">
        <v>791</v>
      </c>
      <c r="E320" s="216" t="s">
        <v>8</v>
      </c>
      <c r="F320" s="216" t="s">
        <v>9</v>
      </c>
    </row>
    <row r="321" spans="1:6">
      <c r="A321" s="215" t="s">
        <v>824</v>
      </c>
      <c r="B321" s="215" t="s">
        <v>825</v>
      </c>
      <c r="C321" s="215" t="s">
        <v>826</v>
      </c>
      <c r="D321" s="215" t="s">
        <v>825</v>
      </c>
      <c r="E321" s="216" t="s">
        <v>8</v>
      </c>
      <c r="F321" s="216" t="s">
        <v>9</v>
      </c>
    </row>
    <row r="322" spans="1:6">
      <c r="A322" s="215" t="s">
        <v>827</v>
      </c>
      <c r="B322" s="215" t="s">
        <v>83</v>
      </c>
      <c r="C322" s="215" t="s">
        <v>828</v>
      </c>
      <c r="D322" s="215" t="s">
        <v>83</v>
      </c>
      <c r="E322" s="216" t="s">
        <v>8</v>
      </c>
      <c r="F322" s="216" t="s">
        <v>9</v>
      </c>
    </row>
    <row r="323" spans="1:6">
      <c r="A323" s="215" t="s">
        <v>829</v>
      </c>
      <c r="B323" s="215" t="s">
        <v>830</v>
      </c>
      <c r="C323" s="215"/>
      <c r="D323" s="215"/>
      <c r="E323" s="216" t="s">
        <v>8</v>
      </c>
      <c r="F323" s="216" t="s">
        <v>9</v>
      </c>
    </row>
    <row r="324" spans="1:6">
      <c r="A324" s="215" t="s">
        <v>831</v>
      </c>
      <c r="B324" s="215" t="s">
        <v>832</v>
      </c>
      <c r="C324" s="215"/>
      <c r="D324" s="215"/>
      <c r="E324" s="216" t="s">
        <v>8</v>
      </c>
      <c r="F324" s="216" t="s">
        <v>9</v>
      </c>
    </row>
    <row r="325" spans="1:6">
      <c r="A325" s="215" t="s">
        <v>833</v>
      </c>
      <c r="B325" s="215" t="s">
        <v>834</v>
      </c>
      <c r="C325" s="215" t="s">
        <v>835</v>
      </c>
      <c r="D325" s="215" t="s">
        <v>834</v>
      </c>
      <c r="E325" s="216" t="s">
        <v>8</v>
      </c>
      <c r="F325" s="216" t="s">
        <v>9</v>
      </c>
    </row>
    <row r="326" spans="1:6">
      <c r="A326" s="215" t="s">
        <v>836</v>
      </c>
      <c r="B326" s="215" t="s">
        <v>837</v>
      </c>
      <c r="C326" s="215" t="s">
        <v>838</v>
      </c>
      <c r="D326" s="215" t="s">
        <v>837</v>
      </c>
      <c r="E326" s="216" t="s">
        <v>8</v>
      </c>
      <c r="F326" s="216" t="s">
        <v>9</v>
      </c>
    </row>
    <row r="327" spans="1:6">
      <c r="A327" s="215" t="s">
        <v>839</v>
      </c>
      <c r="B327" s="215" t="s">
        <v>840</v>
      </c>
      <c r="C327" s="215" t="s">
        <v>841</v>
      </c>
      <c r="D327" s="215" t="s">
        <v>840</v>
      </c>
      <c r="E327" s="216" t="s">
        <v>8</v>
      </c>
      <c r="F327" s="216" t="s">
        <v>9</v>
      </c>
    </row>
    <row r="328" spans="1:6">
      <c r="A328" s="215" t="s">
        <v>842</v>
      </c>
      <c r="B328" s="215" t="s">
        <v>150</v>
      </c>
      <c r="C328" s="215" t="s">
        <v>843</v>
      </c>
      <c r="D328" s="215" t="s">
        <v>150</v>
      </c>
      <c r="E328" s="216" t="s">
        <v>8</v>
      </c>
      <c r="F328" s="216" t="s">
        <v>9</v>
      </c>
    </row>
    <row r="329" spans="1:6">
      <c r="A329" s="215" t="s">
        <v>844</v>
      </c>
      <c r="B329" s="215" t="s">
        <v>845</v>
      </c>
      <c r="C329" s="215"/>
      <c r="D329" s="215"/>
      <c r="E329" s="216" t="s">
        <v>8</v>
      </c>
      <c r="F329" s="216" t="s">
        <v>9</v>
      </c>
    </row>
    <row r="330" spans="1:6">
      <c r="A330" s="215" t="s">
        <v>846</v>
      </c>
      <c r="B330" s="215" t="s">
        <v>847</v>
      </c>
      <c r="C330" s="215"/>
      <c r="D330" s="215"/>
      <c r="E330" s="216" t="s">
        <v>8</v>
      </c>
      <c r="F330" s="216" t="s">
        <v>9</v>
      </c>
    </row>
    <row r="331" spans="1:6">
      <c r="A331" s="215" t="s">
        <v>848</v>
      </c>
      <c r="B331" s="215" t="s">
        <v>849</v>
      </c>
      <c r="C331" s="215"/>
      <c r="D331" s="215"/>
      <c r="E331" s="216" t="s">
        <v>8</v>
      </c>
      <c r="F331" s="216" t="s">
        <v>9</v>
      </c>
    </row>
    <row r="332" spans="1:6">
      <c r="A332" s="215" t="s">
        <v>850</v>
      </c>
      <c r="B332" s="215" t="s">
        <v>851</v>
      </c>
      <c r="C332" s="215" t="s">
        <v>850</v>
      </c>
      <c r="D332" s="215" t="s">
        <v>851</v>
      </c>
      <c r="E332" s="216" t="s">
        <v>8</v>
      </c>
      <c r="F332" s="216" t="s">
        <v>9</v>
      </c>
    </row>
    <row r="333" spans="1:6">
      <c r="A333" s="215" t="s">
        <v>852</v>
      </c>
      <c r="B333" s="215" t="s">
        <v>853</v>
      </c>
      <c r="C333" s="215" t="s">
        <v>852</v>
      </c>
      <c r="D333" s="215" t="s">
        <v>853</v>
      </c>
      <c r="E333" s="216" t="s">
        <v>8</v>
      </c>
      <c r="F333" s="216" t="s">
        <v>9</v>
      </c>
    </row>
    <row r="334" spans="1:6">
      <c r="A334" s="215" t="s">
        <v>854</v>
      </c>
      <c r="B334" s="215" t="s">
        <v>855</v>
      </c>
      <c r="C334" s="215" t="s">
        <v>854</v>
      </c>
      <c r="D334" s="215" t="s">
        <v>855</v>
      </c>
      <c r="E334" s="216" t="s">
        <v>8</v>
      </c>
      <c r="F334" s="216" t="s">
        <v>9</v>
      </c>
    </row>
    <row r="335" spans="1:6">
      <c r="A335" s="215" t="s">
        <v>856</v>
      </c>
      <c r="B335" s="215" t="s">
        <v>857</v>
      </c>
      <c r="C335" s="215"/>
      <c r="D335" s="215"/>
      <c r="E335" s="216" t="s">
        <v>8</v>
      </c>
      <c r="F335" s="216" t="s">
        <v>9</v>
      </c>
    </row>
    <row r="336" spans="1:6">
      <c r="A336" s="215" t="s">
        <v>858</v>
      </c>
      <c r="B336" s="215" t="s">
        <v>859</v>
      </c>
      <c r="C336" s="215" t="s">
        <v>858</v>
      </c>
      <c r="D336" s="215" t="s">
        <v>859</v>
      </c>
      <c r="E336" s="216" t="s">
        <v>8</v>
      </c>
      <c r="F336" s="216" t="s">
        <v>9</v>
      </c>
    </row>
    <row r="337" spans="1:6" ht="22.5">
      <c r="A337" s="215" t="s">
        <v>860</v>
      </c>
      <c r="B337" s="215" t="s">
        <v>861</v>
      </c>
      <c r="C337" s="215" t="s">
        <v>860</v>
      </c>
      <c r="D337" s="215" t="s">
        <v>861</v>
      </c>
      <c r="E337" s="216" t="s">
        <v>8</v>
      </c>
      <c r="F337" s="216" t="s">
        <v>9</v>
      </c>
    </row>
    <row r="338" spans="1:6">
      <c r="A338" s="215" t="s">
        <v>862</v>
      </c>
      <c r="B338" s="215" t="s">
        <v>863</v>
      </c>
      <c r="C338" s="215"/>
      <c r="D338" s="215"/>
      <c r="E338" s="216" t="s">
        <v>8</v>
      </c>
      <c r="F338" s="216" t="s">
        <v>9</v>
      </c>
    </row>
    <row r="339" spans="1:6">
      <c r="A339" s="215" t="s">
        <v>864</v>
      </c>
      <c r="B339" s="215" t="s">
        <v>865</v>
      </c>
      <c r="C339" s="215" t="s">
        <v>864</v>
      </c>
      <c r="D339" s="215" t="s">
        <v>865</v>
      </c>
      <c r="E339" s="216" t="s">
        <v>8</v>
      </c>
      <c r="F339" s="216" t="s">
        <v>9</v>
      </c>
    </row>
    <row r="340" spans="1:6" ht="22.5">
      <c r="A340" s="215" t="s">
        <v>866</v>
      </c>
      <c r="B340" s="215" t="s">
        <v>867</v>
      </c>
      <c r="C340" s="215" t="s">
        <v>866</v>
      </c>
      <c r="D340" s="215" t="s">
        <v>867</v>
      </c>
      <c r="E340" s="216" t="s">
        <v>8</v>
      </c>
      <c r="F340" s="216" t="s">
        <v>9</v>
      </c>
    </row>
    <row r="341" spans="1:6" ht="22.5">
      <c r="A341" s="215" t="s">
        <v>868</v>
      </c>
      <c r="B341" s="215" t="s">
        <v>869</v>
      </c>
      <c r="C341" s="215" t="s">
        <v>868</v>
      </c>
      <c r="D341" s="215" t="s">
        <v>869</v>
      </c>
      <c r="E341" s="216" t="s">
        <v>8</v>
      </c>
      <c r="F341" s="216" t="s">
        <v>9</v>
      </c>
    </row>
    <row r="342" spans="1:6">
      <c r="A342" s="215" t="s">
        <v>870</v>
      </c>
      <c r="B342" s="215" t="s">
        <v>871</v>
      </c>
      <c r="C342" s="215" t="s">
        <v>870</v>
      </c>
      <c r="D342" s="215" t="s">
        <v>871</v>
      </c>
      <c r="E342" s="216" t="s">
        <v>8</v>
      </c>
      <c r="F342" s="216" t="s">
        <v>9</v>
      </c>
    </row>
    <row r="343" spans="1:6">
      <c r="A343" s="215" t="s">
        <v>872</v>
      </c>
      <c r="B343" s="215" t="s">
        <v>873</v>
      </c>
      <c r="C343" s="215"/>
      <c r="D343" s="215"/>
      <c r="E343" s="216" t="s">
        <v>8</v>
      </c>
      <c r="F343" s="216" t="s">
        <v>9</v>
      </c>
    </row>
    <row r="344" spans="1:6">
      <c r="A344" s="215" t="s">
        <v>874</v>
      </c>
      <c r="B344" s="215" t="s">
        <v>875</v>
      </c>
      <c r="C344" s="215"/>
      <c r="D344" s="215"/>
      <c r="E344" s="216" t="s">
        <v>8</v>
      </c>
      <c r="F344" s="216" t="s">
        <v>9</v>
      </c>
    </row>
    <row r="345" spans="1:6">
      <c r="A345" s="215" t="s">
        <v>876</v>
      </c>
      <c r="B345" s="215" t="s">
        <v>877</v>
      </c>
      <c r="C345" s="215" t="s">
        <v>876</v>
      </c>
      <c r="D345" s="215" t="s">
        <v>877</v>
      </c>
      <c r="E345" s="216" t="s">
        <v>8</v>
      </c>
      <c r="F345" s="216" t="s">
        <v>9</v>
      </c>
    </row>
    <row r="346" spans="1:6" ht="22.5">
      <c r="A346" s="215" t="s">
        <v>878</v>
      </c>
      <c r="B346" s="215" t="s">
        <v>879</v>
      </c>
      <c r="C346" s="215" t="s">
        <v>878</v>
      </c>
      <c r="D346" s="215" t="s">
        <v>879</v>
      </c>
      <c r="E346" s="216" t="s">
        <v>8</v>
      </c>
      <c r="F346" s="216" t="s">
        <v>9</v>
      </c>
    </row>
    <row r="347" spans="1:6" ht="22.5">
      <c r="A347" s="215" t="s">
        <v>880</v>
      </c>
      <c r="B347" s="215" t="s">
        <v>881</v>
      </c>
      <c r="C347" s="215" t="s">
        <v>880</v>
      </c>
      <c r="D347" s="215" t="s">
        <v>881</v>
      </c>
      <c r="E347" s="216" t="s">
        <v>8</v>
      </c>
      <c r="F347" s="216" t="s">
        <v>9</v>
      </c>
    </row>
    <row r="348" spans="1:6">
      <c r="A348" s="215" t="s">
        <v>882</v>
      </c>
      <c r="B348" s="215" t="s">
        <v>883</v>
      </c>
      <c r="C348" s="215"/>
      <c r="D348" s="215"/>
      <c r="E348" s="216" t="s">
        <v>8</v>
      </c>
      <c r="F348" s="216" t="s">
        <v>9</v>
      </c>
    </row>
    <row r="349" spans="1:6">
      <c r="A349" s="215" t="s">
        <v>884</v>
      </c>
      <c r="B349" s="215" t="s">
        <v>885</v>
      </c>
      <c r="C349" s="215" t="s">
        <v>884</v>
      </c>
      <c r="D349" s="215" t="s">
        <v>885</v>
      </c>
      <c r="E349" s="216" t="s">
        <v>8</v>
      </c>
      <c r="F349" s="216" t="s">
        <v>9</v>
      </c>
    </row>
    <row r="350" spans="1:6">
      <c r="A350" s="215" t="s">
        <v>886</v>
      </c>
      <c r="B350" s="215" t="s">
        <v>887</v>
      </c>
      <c r="C350" s="215" t="s">
        <v>886</v>
      </c>
      <c r="D350" s="215" t="s">
        <v>887</v>
      </c>
      <c r="E350" s="216" t="s">
        <v>8</v>
      </c>
      <c r="F350" s="216" t="s">
        <v>9</v>
      </c>
    </row>
    <row r="351" spans="1:6">
      <c r="A351" s="215" t="s">
        <v>888</v>
      </c>
      <c r="B351" s="215" t="s">
        <v>889</v>
      </c>
      <c r="C351" s="215" t="s">
        <v>888</v>
      </c>
      <c r="D351" s="215" t="s">
        <v>889</v>
      </c>
      <c r="E351" s="216" t="s">
        <v>8</v>
      </c>
      <c r="F351" s="216" t="s">
        <v>9</v>
      </c>
    </row>
    <row r="352" spans="1:6">
      <c r="A352" s="215" t="s">
        <v>890</v>
      </c>
      <c r="B352" s="215" t="s">
        <v>891</v>
      </c>
      <c r="C352" s="215" t="s">
        <v>890</v>
      </c>
      <c r="D352" s="215" t="s">
        <v>891</v>
      </c>
      <c r="E352" s="216" t="s">
        <v>8</v>
      </c>
      <c r="F352" s="216" t="s">
        <v>9</v>
      </c>
    </row>
    <row r="353" spans="1:6">
      <c r="A353" s="215" t="s">
        <v>892</v>
      </c>
      <c r="B353" s="215" t="s">
        <v>893</v>
      </c>
      <c r="C353" s="215" t="s">
        <v>892</v>
      </c>
      <c r="D353" s="215" t="s">
        <v>893</v>
      </c>
      <c r="E353" s="216" t="s">
        <v>8</v>
      </c>
      <c r="F353" s="216" t="s">
        <v>9</v>
      </c>
    </row>
    <row r="354" spans="1:6">
      <c r="A354" s="215" t="s">
        <v>894</v>
      </c>
      <c r="B354" s="215" t="s">
        <v>895</v>
      </c>
      <c r="C354" s="215"/>
      <c r="D354" s="215"/>
      <c r="E354" s="216" t="s">
        <v>8</v>
      </c>
      <c r="F354" s="216" t="s">
        <v>9</v>
      </c>
    </row>
    <row r="355" spans="1:6">
      <c r="A355" s="215" t="s">
        <v>896</v>
      </c>
      <c r="B355" s="215" t="s">
        <v>897</v>
      </c>
      <c r="C355" s="215"/>
      <c r="D355" s="215"/>
      <c r="E355" s="216" t="s">
        <v>8</v>
      </c>
      <c r="F355" s="216" t="s">
        <v>9</v>
      </c>
    </row>
    <row r="356" spans="1:6">
      <c r="A356" s="215" t="s">
        <v>898</v>
      </c>
      <c r="B356" s="215" t="s">
        <v>899</v>
      </c>
      <c r="C356" s="215"/>
      <c r="D356" s="215"/>
      <c r="E356" s="216" t="s">
        <v>8</v>
      </c>
      <c r="F356" s="216" t="s">
        <v>9</v>
      </c>
    </row>
    <row r="357" spans="1:6">
      <c r="A357" s="215" t="s">
        <v>900</v>
      </c>
      <c r="B357" s="215" t="s">
        <v>901</v>
      </c>
      <c r="C357" s="215" t="s">
        <v>900</v>
      </c>
      <c r="D357" s="215" t="s">
        <v>901</v>
      </c>
      <c r="E357" s="216" t="s">
        <v>8</v>
      </c>
      <c r="F357" s="216" t="s">
        <v>9</v>
      </c>
    </row>
    <row r="358" spans="1:6">
      <c r="A358" s="215" t="s">
        <v>902</v>
      </c>
      <c r="B358" s="215" t="s">
        <v>903</v>
      </c>
      <c r="C358" s="215" t="s">
        <v>902</v>
      </c>
      <c r="D358" s="215" t="s">
        <v>903</v>
      </c>
      <c r="E358" s="216" t="s">
        <v>8</v>
      </c>
      <c r="F358" s="216" t="s">
        <v>9</v>
      </c>
    </row>
    <row r="359" spans="1:6" ht="22.5">
      <c r="A359" s="215" t="s">
        <v>904</v>
      </c>
      <c r="B359" s="215" t="s">
        <v>905</v>
      </c>
      <c r="C359" s="215" t="s">
        <v>904</v>
      </c>
      <c r="D359" s="215" t="s">
        <v>905</v>
      </c>
      <c r="E359" s="216" t="s">
        <v>8</v>
      </c>
      <c r="F359" s="216" t="s">
        <v>9</v>
      </c>
    </row>
    <row r="360" spans="1:6" ht="22.5">
      <c r="A360" s="215" t="s">
        <v>906</v>
      </c>
      <c r="B360" s="215" t="s">
        <v>907</v>
      </c>
      <c r="C360" s="215" t="s">
        <v>906</v>
      </c>
      <c r="D360" s="215" t="s">
        <v>907</v>
      </c>
      <c r="E360" s="216" t="s">
        <v>8</v>
      </c>
      <c r="F360" s="216" t="s">
        <v>9</v>
      </c>
    </row>
    <row r="361" spans="1:6" ht="22.5">
      <c r="A361" s="215" t="s">
        <v>908</v>
      </c>
      <c r="B361" s="215" t="s">
        <v>909</v>
      </c>
      <c r="C361" s="215" t="s">
        <v>908</v>
      </c>
      <c r="D361" s="215" t="s">
        <v>909</v>
      </c>
      <c r="E361" s="216" t="s">
        <v>8</v>
      </c>
      <c r="F361" s="216" t="s">
        <v>9</v>
      </c>
    </row>
    <row r="362" spans="1:6">
      <c r="A362" s="215" t="s">
        <v>910</v>
      </c>
      <c r="B362" s="215" t="s">
        <v>911</v>
      </c>
      <c r="C362" s="215" t="s">
        <v>910</v>
      </c>
      <c r="D362" s="215" t="s">
        <v>911</v>
      </c>
      <c r="E362" s="216" t="s">
        <v>8</v>
      </c>
      <c r="F362" s="216" t="s">
        <v>9</v>
      </c>
    </row>
    <row r="363" spans="1:6" ht="22.5">
      <c r="A363" s="215" t="s">
        <v>912</v>
      </c>
      <c r="B363" s="215" t="s">
        <v>913</v>
      </c>
      <c r="C363" s="215" t="s">
        <v>912</v>
      </c>
      <c r="D363" s="215" t="s">
        <v>913</v>
      </c>
      <c r="E363" s="216" t="s">
        <v>8</v>
      </c>
      <c r="F363" s="216" t="s">
        <v>9</v>
      </c>
    </row>
    <row r="364" spans="1:6">
      <c r="A364" s="215" t="s">
        <v>914</v>
      </c>
      <c r="B364" s="215" t="s">
        <v>915</v>
      </c>
      <c r="C364" s="215" t="s">
        <v>914</v>
      </c>
      <c r="D364" s="215" t="s">
        <v>915</v>
      </c>
      <c r="E364" s="216" t="s">
        <v>8</v>
      </c>
      <c r="F364" s="216" t="s">
        <v>9</v>
      </c>
    </row>
    <row r="365" spans="1:6">
      <c r="A365" s="215" t="s">
        <v>916</v>
      </c>
      <c r="B365" s="215" t="s">
        <v>83</v>
      </c>
      <c r="C365" s="215" t="s">
        <v>916</v>
      </c>
      <c r="D365" s="215" t="s">
        <v>83</v>
      </c>
      <c r="E365" s="216" t="s">
        <v>8</v>
      </c>
      <c r="F365" s="216" t="s">
        <v>9</v>
      </c>
    </row>
    <row r="366" spans="1:6">
      <c r="A366" s="215" t="s">
        <v>917</v>
      </c>
      <c r="B366" s="215" t="s">
        <v>918</v>
      </c>
      <c r="C366" s="215"/>
      <c r="D366" s="215"/>
      <c r="E366" s="216" t="s">
        <v>8</v>
      </c>
      <c r="F366" s="216" t="s">
        <v>9</v>
      </c>
    </row>
    <row r="367" spans="1:6">
      <c r="A367" s="215" t="s">
        <v>919</v>
      </c>
      <c r="B367" s="215" t="s">
        <v>920</v>
      </c>
      <c r="C367" s="215" t="s">
        <v>919</v>
      </c>
      <c r="D367" s="215" t="s">
        <v>920</v>
      </c>
      <c r="E367" s="216" t="s">
        <v>8</v>
      </c>
      <c r="F367" s="216" t="s">
        <v>9</v>
      </c>
    </row>
    <row r="368" spans="1:6">
      <c r="A368" s="215" t="s">
        <v>921</v>
      </c>
      <c r="B368" s="215" t="s">
        <v>922</v>
      </c>
      <c r="C368" s="215" t="s">
        <v>921</v>
      </c>
      <c r="D368" s="215" t="s">
        <v>922</v>
      </c>
      <c r="E368" s="216" t="s">
        <v>8</v>
      </c>
      <c r="F368" s="216" t="s">
        <v>9</v>
      </c>
    </row>
    <row r="369" spans="1:6">
      <c r="A369" s="215" t="s">
        <v>923</v>
      </c>
      <c r="B369" s="215" t="s">
        <v>924</v>
      </c>
      <c r="C369" s="215" t="s">
        <v>923</v>
      </c>
      <c r="D369" s="215" t="s">
        <v>924</v>
      </c>
      <c r="E369" s="216" t="s">
        <v>8</v>
      </c>
      <c r="F369" s="216" t="s">
        <v>9</v>
      </c>
    </row>
    <row r="370" spans="1:6">
      <c r="A370" s="215" t="s">
        <v>925</v>
      </c>
      <c r="B370" s="215" t="s">
        <v>83</v>
      </c>
      <c r="C370" s="215" t="s">
        <v>925</v>
      </c>
      <c r="D370" s="215" t="s">
        <v>83</v>
      </c>
      <c r="E370" s="216" t="s">
        <v>8</v>
      </c>
      <c r="F370" s="216" t="s">
        <v>9</v>
      </c>
    </row>
    <row r="371" spans="1:6">
      <c r="A371" s="215" t="s">
        <v>926</v>
      </c>
      <c r="B371" s="215" t="s">
        <v>927</v>
      </c>
      <c r="C371" s="215"/>
      <c r="D371" s="215"/>
      <c r="E371" s="216" t="s">
        <v>8</v>
      </c>
      <c r="F371" s="216" t="s">
        <v>9</v>
      </c>
    </row>
    <row r="372" spans="1:6">
      <c r="A372" s="215" t="s">
        <v>928</v>
      </c>
      <c r="B372" s="215" t="s">
        <v>929</v>
      </c>
      <c r="C372" s="215" t="s">
        <v>928</v>
      </c>
      <c r="D372" s="215" t="s">
        <v>929</v>
      </c>
      <c r="E372" s="216" t="s">
        <v>8</v>
      </c>
      <c r="F372" s="216" t="s">
        <v>9</v>
      </c>
    </row>
    <row r="373" spans="1:6">
      <c r="A373" s="215" t="s">
        <v>930</v>
      </c>
      <c r="B373" s="215" t="s">
        <v>920</v>
      </c>
      <c r="C373" s="215" t="s">
        <v>930</v>
      </c>
      <c r="D373" s="215" t="s">
        <v>920</v>
      </c>
      <c r="E373" s="216" t="s">
        <v>8</v>
      </c>
      <c r="F373" s="216" t="s">
        <v>9</v>
      </c>
    </row>
    <row r="374" spans="1:6">
      <c r="A374" s="215" t="s">
        <v>931</v>
      </c>
      <c r="B374" s="215" t="s">
        <v>924</v>
      </c>
      <c r="C374" s="215" t="s">
        <v>931</v>
      </c>
      <c r="D374" s="215" t="s">
        <v>924</v>
      </c>
      <c r="E374" s="216" t="s">
        <v>8</v>
      </c>
      <c r="F374" s="216" t="s">
        <v>9</v>
      </c>
    </row>
    <row r="375" spans="1:6" ht="22.5">
      <c r="A375" s="215" t="s">
        <v>932</v>
      </c>
      <c r="B375" s="215" t="s">
        <v>933</v>
      </c>
      <c r="C375" s="215" t="s">
        <v>932</v>
      </c>
      <c r="D375" s="215" t="s">
        <v>933</v>
      </c>
      <c r="E375" s="216" t="s">
        <v>8</v>
      </c>
      <c r="F375" s="216" t="s">
        <v>9</v>
      </c>
    </row>
    <row r="376" spans="1:6">
      <c r="A376" s="215" t="s">
        <v>934</v>
      </c>
      <c r="B376" s="215" t="s">
        <v>935</v>
      </c>
      <c r="C376" s="215" t="s">
        <v>934</v>
      </c>
      <c r="D376" s="215" t="s">
        <v>935</v>
      </c>
      <c r="E376" s="216" t="s">
        <v>8</v>
      </c>
      <c r="F376" s="216" t="s">
        <v>9</v>
      </c>
    </row>
    <row r="377" spans="1:6">
      <c r="A377" s="215" t="s">
        <v>936</v>
      </c>
      <c r="B377" s="215" t="s">
        <v>937</v>
      </c>
      <c r="C377" s="215" t="s">
        <v>936</v>
      </c>
      <c r="D377" s="215" t="s">
        <v>937</v>
      </c>
      <c r="E377" s="216" t="s">
        <v>8</v>
      </c>
      <c r="F377" s="216" t="s">
        <v>9</v>
      </c>
    </row>
    <row r="378" spans="1:6">
      <c r="A378" s="215" t="s">
        <v>938</v>
      </c>
      <c r="B378" s="215" t="s">
        <v>939</v>
      </c>
      <c r="C378" s="215" t="s">
        <v>938</v>
      </c>
      <c r="D378" s="215" t="s">
        <v>939</v>
      </c>
      <c r="E378" s="216" t="s">
        <v>8</v>
      </c>
      <c r="F378" s="216" t="s">
        <v>9</v>
      </c>
    </row>
    <row r="379" spans="1:6">
      <c r="A379" s="215" t="s">
        <v>940</v>
      </c>
      <c r="B379" s="215" t="s">
        <v>941</v>
      </c>
      <c r="C379" s="215" t="s">
        <v>940</v>
      </c>
      <c r="D379" s="215" t="s">
        <v>941</v>
      </c>
      <c r="E379" s="216" t="s">
        <v>8</v>
      </c>
      <c r="F379" s="216" t="s">
        <v>9</v>
      </c>
    </row>
    <row r="380" spans="1:6" ht="22.5">
      <c r="A380" s="215" t="s">
        <v>942</v>
      </c>
      <c r="B380" s="215" t="s">
        <v>943</v>
      </c>
      <c r="C380" s="215" t="s">
        <v>942</v>
      </c>
      <c r="D380" s="215" t="s">
        <v>943</v>
      </c>
      <c r="E380" s="216" t="s">
        <v>8</v>
      </c>
      <c r="F380" s="216" t="s">
        <v>9</v>
      </c>
    </row>
    <row r="381" spans="1:6">
      <c r="A381" s="215" t="s">
        <v>944</v>
      </c>
      <c r="B381" s="215" t="s">
        <v>83</v>
      </c>
      <c r="C381" s="215" t="s">
        <v>944</v>
      </c>
      <c r="D381" s="215" t="s">
        <v>83</v>
      </c>
      <c r="E381" s="216" t="s">
        <v>8</v>
      </c>
      <c r="F381" s="216" t="s">
        <v>9</v>
      </c>
    </row>
    <row r="382" spans="1:6">
      <c r="A382" s="215" t="s">
        <v>945</v>
      </c>
      <c r="B382" s="215" t="s">
        <v>946</v>
      </c>
      <c r="C382" s="215"/>
      <c r="D382" s="215"/>
      <c r="E382" s="216" t="s">
        <v>8</v>
      </c>
      <c r="F382" s="216" t="s">
        <v>9</v>
      </c>
    </row>
    <row r="383" spans="1:6">
      <c r="A383" s="215" t="s">
        <v>947</v>
      </c>
      <c r="B383" s="215" t="s">
        <v>948</v>
      </c>
      <c r="C383" s="215"/>
      <c r="D383" s="215"/>
      <c r="E383" s="216" t="s">
        <v>8</v>
      </c>
      <c r="F383" s="216" t="s">
        <v>9</v>
      </c>
    </row>
    <row r="384" spans="1:6">
      <c r="A384" s="215" t="s">
        <v>949</v>
      </c>
      <c r="B384" s="215" t="s">
        <v>950</v>
      </c>
      <c r="C384" s="215" t="s">
        <v>949</v>
      </c>
      <c r="D384" s="215" t="s">
        <v>950</v>
      </c>
      <c r="E384" s="216" t="s">
        <v>8</v>
      </c>
      <c r="F384" s="216" t="s">
        <v>9</v>
      </c>
    </row>
    <row r="385" spans="1:6">
      <c r="A385" s="215" t="s">
        <v>951</v>
      </c>
      <c r="B385" s="215" t="s">
        <v>952</v>
      </c>
      <c r="C385" s="215" t="s">
        <v>951</v>
      </c>
      <c r="D385" s="215" t="s">
        <v>952</v>
      </c>
      <c r="E385" s="216" t="s">
        <v>8</v>
      </c>
      <c r="F385" s="216" t="s">
        <v>9</v>
      </c>
    </row>
    <row r="386" spans="1:6">
      <c r="A386" s="215" t="s">
        <v>953</v>
      </c>
      <c r="B386" s="215" t="s">
        <v>954</v>
      </c>
      <c r="C386" s="215" t="s">
        <v>953</v>
      </c>
      <c r="D386" s="215" t="s">
        <v>954</v>
      </c>
      <c r="E386" s="216" t="s">
        <v>8</v>
      </c>
      <c r="F386" s="216" t="s">
        <v>9</v>
      </c>
    </row>
    <row r="387" spans="1:6" ht="22.5">
      <c r="A387" s="215" t="s">
        <v>955</v>
      </c>
      <c r="B387" s="215" t="s">
        <v>956</v>
      </c>
      <c r="C387" s="215" t="s">
        <v>955</v>
      </c>
      <c r="D387" s="215" t="s">
        <v>956</v>
      </c>
      <c r="E387" s="216" t="s">
        <v>8</v>
      </c>
      <c r="F387" s="216" t="s">
        <v>9</v>
      </c>
    </row>
    <row r="388" spans="1:6">
      <c r="A388" s="215" t="s">
        <v>957</v>
      </c>
      <c r="B388" s="215" t="s">
        <v>958</v>
      </c>
      <c r="C388" s="215" t="s">
        <v>957</v>
      </c>
      <c r="D388" s="215" t="s">
        <v>958</v>
      </c>
      <c r="E388" s="216" t="s">
        <v>8</v>
      </c>
      <c r="F388" s="216" t="s">
        <v>9</v>
      </c>
    </row>
    <row r="389" spans="1:6">
      <c r="A389" s="215" t="s">
        <v>959</v>
      </c>
      <c r="B389" s="215" t="s">
        <v>960</v>
      </c>
      <c r="C389" s="215"/>
      <c r="D389" s="215"/>
      <c r="E389" s="216" t="s">
        <v>8</v>
      </c>
      <c r="F389" s="216" t="s">
        <v>9</v>
      </c>
    </row>
    <row r="390" spans="1:6">
      <c r="A390" s="215" t="s">
        <v>961</v>
      </c>
      <c r="B390" s="215" t="s">
        <v>962</v>
      </c>
      <c r="C390" s="215"/>
      <c r="D390" s="215"/>
      <c r="E390" s="216" t="s">
        <v>8</v>
      </c>
      <c r="F390" s="216" t="s">
        <v>9</v>
      </c>
    </row>
    <row r="391" spans="1:6">
      <c r="A391" s="215" t="s">
        <v>963</v>
      </c>
      <c r="B391" s="215" t="s">
        <v>964</v>
      </c>
      <c r="C391" s="215"/>
      <c r="D391" s="215"/>
      <c r="E391" s="216" t="s">
        <v>8</v>
      </c>
      <c r="F391" s="216" t="s">
        <v>9</v>
      </c>
    </row>
    <row r="392" spans="1:6">
      <c r="A392" s="215" t="s">
        <v>965</v>
      </c>
      <c r="B392" s="215" t="s">
        <v>966</v>
      </c>
      <c r="C392" s="215"/>
      <c r="D392" s="215"/>
      <c r="E392" s="216" t="s">
        <v>8</v>
      </c>
      <c r="F392" s="216" t="s">
        <v>9</v>
      </c>
    </row>
    <row r="393" spans="1:6">
      <c r="A393" s="215" t="s">
        <v>967</v>
      </c>
      <c r="B393" s="215" t="s">
        <v>966</v>
      </c>
      <c r="C393" s="215" t="s">
        <v>967</v>
      </c>
      <c r="D393" s="215" t="s">
        <v>966</v>
      </c>
      <c r="E393" s="216" t="s">
        <v>8</v>
      </c>
      <c r="F393" s="216" t="s">
        <v>9</v>
      </c>
    </row>
    <row r="394" spans="1:6">
      <c r="A394" s="215" t="s">
        <v>968</v>
      </c>
      <c r="B394" s="215" t="s">
        <v>969</v>
      </c>
      <c r="C394" s="215" t="s">
        <v>968</v>
      </c>
      <c r="D394" s="215" t="s">
        <v>969</v>
      </c>
      <c r="E394" s="216" t="s">
        <v>8</v>
      </c>
      <c r="F394" s="216" t="s">
        <v>9</v>
      </c>
    </row>
    <row r="395" spans="1:6">
      <c r="A395" s="215" t="s">
        <v>970</v>
      </c>
      <c r="B395" s="215" t="s">
        <v>971</v>
      </c>
      <c r="C395" s="215"/>
      <c r="D395" s="215"/>
      <c r="E395" s="216" t="s">
        <v>8</v>
      </c>
      <c r="F395" s="216" t="s">
        <v>9</v>
      </c>
    </row>
    <row r="396" spans="1:6">
      <c r="A396" s="215" t="s">
        <v>972</v>
      </c>
      <c r="B396" s="215" t="s">
        <v>971</v>
      </c>
      <c r="C396" s="215" t="s">
        <v>972</v>
      </c>
      <c r="D396" s="215" t="s">
        <v>971</v>
      </c>
      <c r="E396" s="216" t="s">
        <v>8</v>
      </c>
      <c r="F396" s="216" t="s">
        <v>9</v>
      </c>
    </row>
    <row r="397" spans="1:6">
      <c r="A397" s="215" t="s">
        <v>973</v>
      </c>
      <c r="B397" s="215" t="s">
        <v>974</v>
      </c>
      <c r="C397" s="215" t="s">
        <v>973</v>
      </c>
      <c r="D397" s="215" t="s">
        <v>974</v>
      </c>
      <c r="E397" s="216" t="s">
        <v>8</v>
      </c>
      <c r="F397" s="216" t="s">
        <v>9</v>
      </c>
    </row>
    <row r="398" spans="1:6">
      <c r="A398" s="215" t="s">
        <v>975</v>
      </c>
      <c r="B398" s="215" t="s">
        <v>976</v>
      </c>
      <c r="C398" s="215"/>
      <c r="D398" s="215"/>
      <c r="E398" s="216" t="s">
        <v>8</v>
      </c>
      <c r="F398" s="216" t="s">
        <v>9</v>
      </c>
    </row>
    <row r="399" spans="1:6">
      <c r="A399" s="215" t="s">
        <v>977</v>
      </c>
      <c r="B399" s="215" t="s">
        <v>978</v>
      </c>
      <c r="C399" s="215"/>
      <c r="D399" s="215"/>
      <c r="E399" s="216" t="s">
        <v>8</v>
      </c>
      <c r="F399" s="216" t="s">
        <v>9</v>
      </c>
    </row>
    <row r="400" spans="1:6">
      <c r="A400" s="215" t="s">
        <v>979</v>
      </c>
      <c r="B400" s="215" t="s">
        <v>978</v>
      </c>
      <c r="C400" s="215" t="s">
        <v>979</v>
      </c>
      <c r="D400" s="215" t="s">
        <v>978</v>
      </c>
      <c r="E400" s="216" t="s">
        <v>8</v>
      </c>
      <c r="F400" s="216" t="s">
        <v>9</v>
      </c>
    </row>
    <row r="401" spans="1:6">
      <c r="A401" s="215" t="s">
        <v>980</v>
      </c>
      <c r="B401" s="215" t="s">
        <v>981</v>
      </c>
      <c r="C401" s="215"/>
      <c r="D401" s="215"/>
      <c r="E401" s="216" t="s">
        <v>8</v>
      </c>
      <c r="F401" s="216" t="s">
        <v>9</v>
      </c>
    </row>
    <row r="402" spans="1:6">
      <c r="A402" s="215" t="s">
        <v>982</v>
      </c>
      <c r="B402" s="215" t="s">
        <v>981</v>
      </c>
      <c r="C402" s="215" t="s">
        <v>982</v>
      </c>
      <c r="D402" s="215" t="s">
        <v>981</v>
      </c>
      <c r="E402" s="216" t="s">
        <v>8</v>
      </c>
      <c r="F402" s="216" t="s">
        <v>9</v>
      </c>
    </row>
    <row r="403" spans="1:6">
      <c r="A403" s="215" t="s">
        <v>983</v>
      </c>
      <c r="B403" s="215" t="s">
        <v>984</v>
      </c>
      <c r="C403" s="215"/>
      <c r="D403" s="215"/>
      <c r="E403" s="216" t="s">
        <v>8</v>
      </c>
      <c r="F403" s="216" t="s">
        <v>9</v>
      </c>
    </row>
    <row r="404" spans="1:6">
      <c r="A404" s="215" t="s">
        <v>985</v>
      </c>
      <c r="B404" s="215" t="s">
        <v>986</v>
      </c>
      <c r="C404" s="215"/>
      <c r="D404" s="215"/>
      <c r="E404" s="216" t="s">
        <v>8</v>
      </c>
      <c r="F404" s="216" t="s">
        <v>9</v>
      </c>
    </row>
    <row r="405" spans="1:6">
      <c r="A405" s="215" t="s">
        <v>987</v>
      </c>
      <c r="B405" s="215" t="s">
        <v>988</v>
      </c>
      <c r="C405" s="215"/>
      <c r="D405" s="215"/>
      <c r="E405" s="216" t="s">
        <v>8</v>
      </c>
      <c r="F405" s="216" t="s">
        <v>9</v>
      </c>
    </row>
    <row r="406" spans="1:6">
      <c r="A406" s="215" t="s">
        <v>989</v>
      </c>
      <c r="B406" s="215" t="s">
        <v>990</v>
      </c>
      <c r="C406" s="215" t="s">
        <v>989</v>
      </c>
      <c r="D406" s="215" t="s">
        <v>990</v>
      </c>
      <c r="E406" s="216" t="s">
        <v>8</v>
      </c>
      <c r="F406" s="216" t="s">
        <v>9</v>
      </c>
    </row>
    <row r="407" spans="1:6" ht="22.5">
      <c r="A407" s="215" t="s">
        <v>991</v>
      </c>
      <c r="B407" s="215" t="s">
        <v>992</v>
      </c>
      <c r="C407" s="215" t="s">
        <v>991</v>
      </c>
      <c r="D407" s="215" t="s">
        <v>992</v>
      </c>
      <c r="E407" s="216" t="s">
        <v>8</v>
      </c>
      <c r="F407" s="216" t="s">
        <v>9</v>
      </c>
    </row>
    <row r="408" spans="1:6">
      <c r="A408" s="215" t="s">
        <v>993</v>
      </c>
      <c r="B408" s="215" t="s">
        <v>994</v>
      </c>
      <c r="C408" s="215" t="s">
        <v>993</v>
      </c>
      <c r="D408" s="215" t="s">
        <v>994</v>
      </c>
      <c r="E408" s="216" t="s">
        <v>8</v>
      </c>
      <c r="F408" s="216" t="s">
        <v>9</v>
      </c>
    </row>
    <row r="409" spans="1:6">
      <c r="A409" s="215" t="s">
        <v>995</v>
      </c>
      <c r="B409" s="215" t="s">
        <v>996</v>
      </c>
      <c r="C409" s="215" t="s">
        <v>995</v>
      </c>
      <c r="D409" s="215" t="s">
        <v>996</v>
      </c>
      <c r="E409" s="216" t="s">
        <v>8</v>
      </c>
      <c r="F409" s="216" t="s">
        <v>9</v>
      </c>
    </row>
    <row r="410" spans="1:6" ht="22.5">
      <c r="A410" s="215" t="s">
        <v>997</v>
      </c>
      <c r="B410" s="215" t="s">
        <v>998</v>
      </c>
      <c r="C410" s="215" t="s">
        <v>997</v>
      </c>
      <c r="D410" s="215" t="s">
        <v>998</v>
      </c>
      <c r="E410" s="216" t="s">
        <v>8</v>
      </c>
      <c r="F410" s="216" t="s">
        <v>9</v>
      </c>
    </row>
    <row r="411" spans="1:6" ht="22.5">
      <c r="A411" s="215" t="s">
        <v>999</v>
      </c>
      <c r="B411" s="215" t="s">
        <v>1000</v>
      </c>
      <c r="C411" s="215" t="s">
        <v>999</v>
      </c>
      <c r="D411" s="215" t="s">
        <v>1000</v>
      </c>
      <c r="E411" s="216" t="s">
        <v>8</v>
      </c>
      <c r="F411" s="216" t="s">
        <v>9</v>
      </c>
    </row>
    <row r="412" spans="1:6">
      <c r="A412" s="215" t="s">
        <v>1001</v>
      </c>
      <c r="B412" s="215" t="s">
        <v>1002</v>
      </c>
      <c r="C412" s="215" t="s">
        <v>1001</v>
      </c>
      <c r="D412" s="215" t="s">
        <v>1002</v>
      </c>
      <c r="E412" s="216" t="s">
        <v>8</v>
      </c>
      <c r="F412" s="216" t="s">
        <v>9</v>
      </c>
    </row>
    <row r="413" spans="1:6" ht="22.5">
      <c r="A413" s="215" t="s">
        <v>1003</v>
      </c>
      <c r="B413" s="215" t="s">
        <v>1004</v>
      </c>
      <c r="C413" s="215" t="s">
        <v>1003</v>
      </c>
      <c r="D413" s="215" t="s">
        <v>1004</v>
      </c>
      <c r="E413" s="216" t="s">
        <v>8</v>
      </c>
      <c r="F413" s="216" t="s">
        <v>9</v>
      </c>
    </row>
    <row r="414" spans="1:6" ht="22.5">
      <c r="A414" s="215" t="s">
        <v>1005</v>
      </c>
      <c r="B414" s="215" t="s">
        <v>1006</v>
      </c>
      <c r="C414" s="215" t="s">
        <v>1005</v>
      </c>
      <c r="D414" s="215" t="s">
        <v>1006</v>
      </c>
      <c r="E414" s="216" t="s">
        <v>8</v>
      </c>
      <c r="F414" s="216" t="s">
        <v>9</v>
      </c>
    </row>
    <row r="415" spans="1:6" ht="22.5">
      <c r="A415" s="215" t="s">
        <v>1007</v>
      </c>
      <c r="B415" s="215" t="s">
        <v>1008</v>
      </c>
      <c r="C415" s="215" t="s">
        <v>1007</v>
      </c>
      <c r="D415" s="215" t="s">
        <v>1008</v>
      </c>
      <c r="E415" s="216" t="s">
        <v>8</v>
      </c>
      <c r="F415" s="216" t="s">
        <v>9</v>
      </c>
    </row>
    <row r="416" spans="1:6">
      <c r="A416" s="215" t="s">
        <v>1009</v>
      </c>
      <c r="B416" s="215" t="s">
        <v>1010</v>
      </c>
      <c r="C416" s="215" t="s">
        <v>1009</v>
      </c>
      <c r="D416" s="215" t="s">
        <v>1010</v>
      </c>
      <c r="E416" s="216" t="s">
        <v>8</v>
      </c>
      <c r="F416" s="216" t="s">
        <v>9</v>
      </c>
    </row>
    <row r="417" spans="1:6">
      <c r="A417" s="215" t="s">
        <v>1011</v>
      </c>
      <c r="B417" s="215" t="s">
        <v>1012</v>
      </c>
      <c r="C417" s="215" t="s">
        <v>1011</v>
      </c>
      <c r="D417" s="215" t="s">
        <v>1012</v>
      </c>
      <c r="E417" s="216" t="s">
        <v>8</v>
      </c>
      <c r="F417" s="216" t="s">
        <v>9</v>
      </c>
    </row>
    <row r="418" spans="1:6">
      <c r="A418" s="215" t="s">
        <v>1013</v>
      </c>
      <c r="B418" s="215" t="s">
        <v>1014</v>
      </c>
      <c r="C418" s="215" t="s">
        <v>1013</v>
      </c>
      <c r="D418" s="215" t="s">
        <v>1014</v>
      </c>
      <c r="E418" s="216" t="s">
        <v>8</v>
      </c>
      <c r="F418" s="216" t="s">
        <v>9</v>
      </c>
    </row>
    <row r="419" spans="1:6">
      <c r="A419" s="215" t="s">
        <v>1015</v>
      </c>
      <c r="B419" s="215" t="s">
        <v>1016</v>
      </c>
      <c r="C419" s="215" t="s">
        <v>1015</v>
      </c>
      <c r="D419" s="215" t="s">
        <v>1016</v>
      </c>
      <c r="E419" s="216" t="s">
        <v>8</v>
      </c>
      <c r="F419" s="216" t="s">
        <v>9</v>
      </c>
    </row>
    <row r="420" spans="1:6">
      <c r="A420" s="215" t="s">
        <v>1017</v>
      </c>
      <c r="B420" s="215" t="s">
        <v>1018</v>
      </c>
      <c r="C420" s="215" t="s">
        <v>1017</v>
      </c>
      <c r="D420" s="215" t="s">
        <v>1018</v>
      </c>
      <c r="E420" s="216" t="s">
        <v>8</v>
      </c>
      <c r="F420" s="216" t="s">
        <v>9</v>
      </c>
    </row>
    <row r="421" spans="1:6">
      <c r="A421" s="215" t="s">
        <v>1019</v>
      </c>
      <c r="B421" s="215" t="s">
        <v>1020</v>
      </c>
      <c r="C421" s="215" t="s">
        <v>1019</v>
      </c>
      <c r="D421" s="215" t="s">
        <v>1020</v>
      </c>
      <c r="E421" s="216" t="s">
        <v>8</v>
      </c>
      <c r="F421" s="216" t="s">
        <v>9</v>
      </c>
    </row>
    <row r="422" spans="1:6">
      <c r="A422" s="215" t="s">
        <v>1021</v>
      </c>
      <c r="B422" s="215" t="s">
        <v>1022</v>
      </c>
      <c r="C422" s="215" t="s">
        <v>1021</v>
      </c>
      <c r="D422" s="215" t="s">
        <v>1022</v>
      </c>
      <c r="E422" s="216" t="s">
        <v>8</v>
      </c>
      <c r="F422" s="216" t="s">
        <v>9</v>
      </c>
    </row>
    <row r="423" spans="1:6" ht="22.5">
      <c r="A423" s="215" t="s">
        <v>1023</v>
      </c>
      <c r="B423" s="215" t="s">
        <v>1024</v>
      </c>
      <c r="C423" s="215" t="s">
        <v>1023</v>
      </c>
      <c r="D423" s="215" t="s">
        <v>1024</v>
      </c>
      <c r="E423" s="216" t="s">
        <v>8</v>
      </c>
      <c r="F423" s="216" t="s">
        <v>9</v>
      </c>
    </row>
    <row r="424" spans="1:6">
      <c r="A424" s="215" t="s">
        <v>1025</v>
      </c>
      <c r="B424" s="215" t="s">
        <v>1026</v>
      </c>
      <c r="C424" s="215" t="s">
        <v>1025</v>
      </c>
      <c r="D424" s="215" t="s">
        <v>1026</v>
      </c>
      <c r="E424" s="216" t="s">
        <v>8</v>
      </c>
      <c r="F424" s="216" t="s">
        <v>9</v>
      </c>
    </row>
    <row r="425" spans="1:6">
      <c r="A425" s="215" t="s">
        <v>1027</v>
      </c>
      <c r="B425" s="215" t="s">
        <v>948</v>
      </c>
      <c r="C425" s="215" t="s">
        <v>1027</v>
      </c>
      <c r="D425" s="215" t="s">
        <v>948</v>
      </c>
      <c r="E425" s="216" t="s">
        <v>8</v>
      </c>
      <c r="F425" s="216" t="s">
        <v>9</v>
      </c>
    </row>
    <row r="426" spans="1:6">
      <c r="A426" s="215" t="s">
        <v>1028</v>
      </c>
      <c r="B426" s="215" t="s">
        <v>1029</v>
      </c>
      <c r="C426" s="215"/>
      <c r="D426" s="215"/>
      <c r="E426" s="216" t="s">
        <v>8</v>
      </c>
      <c r="F426" s="216" t="s">
        <v>9</v>
      </c>
    </row>
    <row r="427" spans="1:6">
      <c r="A427" s="215" t="s">
        <v>1030</v>
      </c>
      <c r="B427" s="215" t="s">
        <v>1031</v>
      </c>
      <c r="C427" s="215" t="s">
        <v>1030</v>
      </c>
      <c r="D427" s="215" t="s">
        <v>1031</v>
      </c>
      <c r="E427" s="216" t="s">
        <v>8</v>
      </c>
      <c r="F427" s="216" t="s">
        <v>9</v>
      </c>
    </row>
    <row r="428" spans="1:6">
      <c r="A428" s="215" t="s">
        <v>1032</v>
      </c>
      <c r="B428" s="215" t="s">
        <v>948</v>
      </c>
      <c r="C428" s="215" t="s">
        <v>1032</v>
      </c>
      <c r="D428" s="215" t="s">
        <v>948</v>
      </c>
      <c r="E428" s="216" t="s">
        <v>8</v>
      </c>
      <c r="F428" s="216" t="s">
        <v>9</v>
      </c>
    </row>
    <row r="429" spans="1:6">
      <c r="A429" s="215" t="s">
        <v>1033</v>
      </c>
      <c r="B429" s="215" t="s">
        <v>1034</v>
      </c>
      <c r="C429" s="215"/>
      <c r="D429" s="215"/>
      <c r="E429" s="216" t="s">
        <v>8</v>
      </c>
      <c r="F429" s="216" t="s">
        <v>9</v>
      </c>
    </row>
    <row r="430" spans="1:6">
      <c r="A430" s="215" t="s">
        <v>1035</v>
      </c>
      <c r="B430" s="215" t="s">
        <v>1036</v>
      </c>
      <c r="C430" s="215"/>
      <c r="D430" s="215"/>
      <c r="E430" s="216" t="s">
        <v>8</v>
      </c>
      <c r="F430" s="216" t="s">
        <v>9</v>
      </c>
    </row>
    <row r="431" spans="1:6">
      <c r="A431" s="215" t="s">
        <v>1037</v>
      </c>
      <c r="B431" s="215" t="s">
        <v>211</v>
      </c>
      <c r="C431" s="215" t="s">
        <v>1037</v>
      </c>
      <c r="D431" s="215" t="s">
        <v>211</v>
      </c>
      <c r="E431" s="216" t="s">
        <v>8</v>
      </c>
      <c r="F431" s="216" t="s">
        <v>9</v>
      </c>
    </row>
    <row r="432" spans="1:6">
      <c r="A432" s="215" t="s">
        <v>1038</v>
      </c>
      <c r="B432" s="215" t="s">
        <v>1039</v>
      </c>
      <c r="C432" s="215" t="s">
        <v>1038</v>
      </c>
      <c r="D432" s="215" t="s">
        <v>1040</v>
      </c>
      <c r="E432" s="216" t="s">
        <v>8</v>
      </c>
      <c r="F432" s="216" t="s">
        <v>9</v>
      </c>
    </row>
    <row r="433" spans="1:6">
      <c r="A433" s="215" t="s">
        <v>1041</v>
      </c>
      <c r="B433" s="215" t="s">
        <v>1042</v>
      </c>
      <c r="C433" s="215" t="s">
        <v>1041</v>
      </c>
      <c r="D433" s="215" t="s">
        <v>1042</v>
      </c>
      <c r="E433" s="216" t="s">
        <v>8</v>
      </c>
      <c r="F433" s="216" t="s">
        <v>9</v>
      </c>
    </row>
    <row r="434" spans="1:6">
      <c r="A434" s="215" t="s">
        <v>1043</v>
      </c>
      <c r="B434" s="215" t="s">
        <v>1044</v>
      </c>
      <c r="C434" s="215" t="s">
        <v>1043</v>
      </c>
      <c r="D434" s="215" t="s">
        <v>1044</v>
      </c>
      <c r="E434" s="216" t="s">
        <v>8</v>
      </c>
      <c r="F434" s="216" t="s">
        <v>9</v>
      </c>
    </row>
    <row r="435" spans="1:6">
      <c r="A435" s="215" t="s">
        <v>1045</v>
      </c>
      <c r="B435" s="215" t="s">
        <v>1046</v>
      </c>
      <c r="C435" s="215" t="s">
        <v>1045</v>
      </c>
      <c r="D435" s="215" t="s">
        <v>1046</v>
      </c>
      <c r="E435" s="216" t="s">
        <v>8</v>
      </c>
      <c r="F435" s="216" t="s">
        <v>9</v>
      </c>
    </row>
    <row r="436" spans="1:6">
      <c r="A436" s="215" t="s">
        <v>1047</v>
      </c>
      <c r="B436" s="215" t="s">
        <v>1048</v>
      </c>
      <c r="C436" s="215" t="s">
        <v>1047</v>
      </c>
      <c r="D436" s="215" t="s">
        <v>1048</v>
      </c>
      <c r="E436" s="216" t="s">
        <v>8</v>
      </c>
      <c r="F436" s="216" t="s">
        <v>9</v>
      </c>
    </row>
    <row r="437" spans="1:6">
      <c r="A437" s="215" t="s">
        <v>1049</v>
      </c>
      <c r="B437" s="215" t="s">
        <v>1050</v>
      </c>
      <c r="C437" s="215" t="s">
        <v>1049</v>
      </c>
      <c r="D437" s="215" t="s">
        <v>1050</v>
      </c>
      <c r="E437" s="216" t="s">
        <v>8</v>
      </c>
      <c r="F437" s="216" t="s">
        <v>9</v>
      </c>
    </row>
    <row r="438" spans="1:6">
      <c r="A438" s="215" t="s">
        <v>1051</v>
      </c>
      <c r="B438" s="215" t="s">
        <v>1052</v>
      </c>
      <c r="C438" s="215" t="s">
        <v>1051</v>
      </c>
      <c r="D438" s="215" t="s">
        <v>1052</v>
      </c>
      <c r="E438" s="216" t="s">
        <v>8</v>
      </c>
      <c r="F438" s="216" t="s">
        <v>9</v>
      </c>
    </row>
    <row r="439" spans="1:6" ht="22.5">
      <c r="A439" s="215" t="s">
        <v>1053</v>
      </c>
      <c r="B439" s="215" t="s">
        <v>1054</v>
      </c>
      <c r="C439" s="215" t="s">
        <v>1053</v>
      </c>
      <c r="D439" s="215" t="s">
        <v>1054</v>
      </c>
      <c r="E439" s="216" t="s">
        <v>8</v>
      </c>
      <c r="F439" s="216" t="s">
        <v>9</v>
      </c>
    </row>
    <row r="440" spans="1:6">
      <c r="A440" s="215" t="s">
        <v>1055</v>
      </c>
      <c r="B440" s="215" t="s">
        <v>1056</v>
      </c>
      <c r="C440" s="215" t="s">
        <v>1055</v>
      </c>
      <c r="D440" s="215" t="s">
        <v>1056</v>
      </c>
      <c r="E440" s="216" t="s">
        <v>8</v>
      </c>
      <c r="F440" s="216" t="s">
        <v>9</v>
      </c>
    </row>
    <row r="441" spans="1:6">
      <c r="A441" s="215" t="s">
        <v>1057</v>
      </c>
      <c r="B441" s="215" t="s">
        <v>1058</v>
      </c>
      <c r="C441" s="215" t="s">
        <v>1057</v>
      </c>
      <c r="D441" s="215" t="s">
        <v>1058</v>
      </c>
      <c r="E441" s="216" t="s">
        <v>8</v>
      </c>
      <c r="F441" s="216" t="s">
        <v>9</v>
      </c>
    </row>
    <row r="442" spans="1:6">
      <c r="A442" s="215" t="s">
        <v>1059</v>
      </c>
      <c r="B442" s="215" t="s">
        <v>1060</v>
      </c>
      <c r="C442" s="215" t="s">
        <v>1059</v>
      </c>
      <c r="D442" s="215" t="s">
        <v>1060</v>
      </c>
      <c r="E442" s="216" t="s">
        <v>8</v>
      </c>
      <c r="F442" s="216" t="s">
        <v>9</v>
      </c>
    </row>
    <row r="443" spans="1:6">
      <c r="A443" s="215" t="s">
        <v>1061</v>
      </c>
      <c r="B443" s="215" t="s">
        <v>1062</v>
      </c>
      <c r="C443" s="215" t="s">
        <v>1061</v>
      </c>
      <c r="D443" s="215" t="s">
        <v>1062</v>
      </c>
      <c r="E443" s="216" t="s">
        <v>8</v>
      </c>
      <c r="F443" s="216" t="s">
        <v>9</v>
      </c>
    </row>
    <row r="444" spans="1:6">
      <c r="A444" s="215" t="s">
        <v>1063</v>
      </c>
      <c r="B444" s="215" t="s">
        <v>150</v>
      </c>
      <c r="C444" s="215" t="s">
        <v>1063</v>
      </c>
      <c r="D444" s="215" t="s">
        <v>150</v>
      </c>
      <c r="E444" s="216" t="s">
        <v>8</v>
      </c>
      <c r="F444" s="216" t="s">
        <v>9</v>
      </c>
    </row>
    <row r="445" spans="1:6">
      <c r="A445" s="215" t="s">
        <v>1064</v>
      </c>
      <c r="B445" s="215" t="s">
        <v>1065</v>
      </c>
      <c r="C445" s="215" t="s">
        <v>1064</v>
      </c>
      <c r="D445" s="215" t="s">
        <v>1065</v>
      </c>
      <c r="E445" s="216" t="s">
        <v>8</v>
      </c>
      <c r="F445" s="216" t="s">
        <v>9</v>
      </c>
    </row>
    <row r="446" spans="1:6">
      <c r="A446" s="215" t="s">
        <v>1066</v>
      </c>
      <c r="B446" s="215" t="s">
        <v>948</v>
      </c>
      <c r="C446" s="215" t="s">
        <v>1066</v>
      </c>
      <c r="D446" s="215" t="s">
        <v>948</v>
      </c>
      <c r="E446" s="216" t="s">
        <v>8</v>
      </c>
      <c r="F446" s="216" t="s">
        <v>9</v>
      </c>
    </row>
    <row r="447" spans="1:6">
      <c r="A447" s="215" t="s">
        <v>1067</v>
      </c>
      <c r="B447" s="215" t="s">
        <v>1068</v>
      </c>
      <c r="C447" s="215"/>
      <c r="D447" s="215"/>
      <c r="E447" s="216" t="s">
        <v>8</v>
      </c>
      <c r="F447" s="216" t="s">
        <v>9</v>
      </c>
    </row>
    <row r="448" spans="1:6">
      <c r="A448" s="215" t="s">
        <v>1069</v>
      </c>
      <c r="B448" s="215" t="s">
        <v>1070</v>
      </c>
      <c r="C448" s="215"/>
      <c r="D448" s="215"/>
      <c r="E448" s="216" t="s">
        <v>8</v>
      </c>
      <c r="F448" s="216" t="s">
        <v>9</v>
      </c>
    </row>
    <row r="449" spans="1:6">
      <c r="A449" s="215" t="s">
        <v>1071</v>
      </c>
      <c r="B449" s="215" t="s">
        <v>1072</v>
      </c>
      <c r="C449" s="215"/>
      <c r="D449" s="215"/>
      <c r="E449" s="216" t="s">
        <v>8</v>
      </c>
      <c r="F449" s="216" t="s">
        <v>9</v>
      </c>
    </row>
    <row r="450" spans="1:6">
      <c r="A450" s="215" t="s">
        <v>1073</v>
      </c>
      <c r="B450" s="215" t="s">
        <v>1074</v>
      </c>
      <c r="C450" s="215" t="s">
        <v>1073</v>
      </c>
      <c r="D450" s="215" t="s">
        <v>1074</v>
      </c>
      <c r="E450" s="216" t="s">
        <v>8</v>
      </c>
      <c r="F450" s="216" t="s">
        <v>9</v>
      </c>
    </row>
    <row r="451" spans="1:6">
      <c r="A451" s="215" t="s">
        <v>1075</v>
      </c>
      <c r="B451" s="215" t="s">
        <v>1076</v>
      </c>
      <c r="C451" s="215" t="s">
        <v>1075</v>
      </c>
      <c r="D451" s="215" t="s">
        <v>1076</v>
      </c>
      <c r="E451" s="216" t="s">
        <v>8</v>
      </c>
      <c r="F451" s="216" t="s">
        <v>9</v>
      </c>
    </row>
    <row r="452" spans="1:6">
      <c r="A452" s="215" t="s">
        <v>1077</v>
      </c>
      <c r="B452" s="215" t="s">
        <v>1078</v>
      </c>
      <c r="C452" s="215" t="s">
        <v>1077</v>
      </c>
      <c r="D452" s="215" t="s">
        <v>1078</v>
      </c>
      <c r="E452" s="216" t="s">
        <v>8</v>
      </c>
      <c r="F452" s="216" t="s">
        <v>9</v>
      </c>
    </row>
    <row r="453" spans="1:6">
      <c r="A453" s="215" t="s">
        <v>1079</v>
      </c>
      <c r="B453" s="215" t="s">
        <v>1080</v>
      </c>
      <c r="C453" s="215" t="s">
        <v>1079</v>
      </c>
      <c r="D453" s="215" t="s">
        <v>1080</v>
      </c>
      <c r="E453" s="216" t="s">
        <v>8</v>
      </c>
      <c r="F453" s="216" t="s">
        <v>9</v>
      </c>
    </row>
    <row r="454" spans="1:6">
      <c r="A454" s="215" t="s">
        <v>1081</v>
      </c>
      <c r="B454" s="215" t="s">
        <v>214</v>
      </c>
      <c r="C454" s="215" t="s">
        <v>1081</v>
      </c>
      <c r="D454" s="215" t="s">
        <v>214</v>
      </c>
      <c r="E454" s="216" t="s">
        <v>8</v>
      </c>
      <c r="F454" s="216" t="s">
        <v>9</v>
      </c>
    </row>
    <row r="455" spans="1:6">
      <c r="A455" s="215" t="s">
        <v>1082</v>
      </c>
      <c r="B455" s="215" t="s">
        <v>825</v>
      </c>
      <c r="C455" s="215" t="s">
        <v>1082</v>
      </c>
      <c r="D455" s="215" t="s">
        <v>825</v>
      </c>
      <c r="E455" s="216" t="s">
        <v>8</v>
      </c>
      <c r="F455" s="216" t="s">
        <v>9</v>
      </c>
    </row>
    <row r="456" spans="1:6">
      <c r="A456" s="215" t="s">
        <v>1083</v>
      </c>
      <c r="B456" s="215" t="s">
        <v>1084</v>
      </c>
      <c r="C456" s="215" t="s">
        <v>1083</v>
      </c>
      <c r="D456" s="215" t="s">
        <v>1085</v>
      </c>
      <c r="E456" s="216" t="s">
        <v>8</v>
      </c>
      <c r="F456" s="216" t="s">
        <v>9</v>
      </c>
    </row>
    <row r="457" spans="1:6">
      <c r="A457" s="215" t="s">
        <v>1086</v>
      </c>
      <c r="B457" s="215" t="s">
        <v>1087</v>
      </c>
      <c r="C457" s="215" t="s">
        <v>1086</v>
      </c>
      <c r="D457" s="215" t="s">
        <v>1087</v>
      </c>
      <c r="E457" s="216" t="s">
        <v>8</v>
      </c>
      <c r="F457" s="216" t="s">
        <v>9</v>
      </c>
    </row>
    <row r="458" spans="1:6">
      <c r="A458" s="215" t="s">
        <v>1088</v>
      </c>
      <c r="B458" s="215" t="s">
        <v>1089</v>
      </c>
      <c r="C458" s="215" t="s">
        <v>1088</v>
      </c>
      <c r="D458" s="215" t="s">
        <v>1089</v>
      </c>
      <c r="E458" s="216" t="s">
        <v>8</v>
      </c>
      <c r="F458" s="216" t="s">
        <v>9</v>
      </c>
    </row>
    <row r="459" spans="1:6">
      <c r="A459" s="215" t="s">
        <v>1090</v>
      </c>
      <c r="B459" s="215" t="s">
        <v>813</v>
      </c>
      <c r="C459" s="215" t="s">
        <v>1090</v>
      </c>
      <c r="D459" s="215" t="s">
        <v>813</v>
      </c>
      <c r="E459" s="216" t="s">
        <v>8</v>
      </c>
      <c r="F459" s="216" t="s">
        <v>9</v>
      </c>
    </row>
    <row r="460" spans="1:6">
      <c r="A460" s="215" t="s">
        <v>1091</v>
      </c>
      <c r="B460" s="215" t="s">
        <v>779</v>
      </c>
      <c r="C460" s="215" t="s">
        <v>1091</v>
      </c>
      <c r="D460" s="215" t="s">
        <v>779</v>
      </c>
      <c r="E460" s="216" t="s">
        <v>8</v>
      </c>
      <c r="F460" s="216" t="s">
        <v>9</v>
      </c>
    </row>
    <row r="461" spans="1:6">
      <c r="A461" s="215" t="s">
        <v>1092</v>
      </c>
      <c r="B461" s="215" t="s">
        <v>783</v>
      </c>
      <c r="C461" s="215" t="s">
        <v>1092</v>
      </c>
      <c r="D461" s="215" t="s">
        <v>783</v>
      </c>
      <c r="E461" s="216" t="s">
        <v>8</v>
      </c>
      <c r="F461" s="216" t="s">
        <v>9</v>
      </c>
    </row>
    <row r="462" spans="1:6">
      <c r="A462" s="215" t="s">
        <v>1093</v>
      </c>
      <c r="B462" s="215" t="s">
        <v>818</v>
      </c>
      <c r="C462" s="215" t="s">
        <v>1093</v>
      </c>
      <c r="D462" s="215" t="s">
        <v>818</v>
      </c>
      <c r="E462" s="216" t="s">
        <v>8</v>
      </c>
      <c r="F462" s="216" t="s">
        <v>9</v>
      </c>
    </row>
    <row r="463" spans="1:6">
      <c r="A463" s="215" t="s">
        <v>1094</v>
      </c>
      <c r="B463" s="215" t="s">
        <v>1095</v>
      </c>
      <c r="C463" s="215" t="s">
        <v>1094</v>
      </c>
      <c r="D463" s="215" t="s">
        <v>1095</v>
      </c>
      <c r="E463" s="216" t="s">
        <v>8</v>
      </c>
      <c r="F463" s="216" t="s">
        <v>9</v>
      </c>
    </row>
    <row r="464" spans="1:6">
      <c r="A464" s="215" t="s">
        <v>1096</v>
      </c>
      <c r="B464" s="215" t="s">
        <v>796</v>
      </c>
      <c r="C464" s="215" t="s">
        <v>1096</v>
      </c>
      <c r="D464" s="215" t="s">
        <v>796</v>
      </c>
      <c r="E464" s="216" t="s">
        <v>8</v>
      </c>
      <c r="F464" s="216" t="s">
        <v>9</v>
      </c>
    </row>
    <row r="465" spans="1:6">
      <c r="A465" s="215" t="s">
        <v>1097</v>
      </c>
      <c r="B465" s="215" t="s">
        <v>802</v>
      </c>
      <c r="C465" s="215" t="s">
        <v>1097</v>
      </c>
      <c r="D465" s="215" t="s">
        <v>802</v>
      </c>
      <c r="E465" s="216" t="s">
        <v>8</v>
      </c>
      <c r="F465" s="216" t="s">
        <v>9</v>
      </c>
    </row>
    <row r="466" spans="1:6" ht="22.5">
      <c r="A466" s="215" t="s">
        <v>1098</v>
      </c>
      <c r="B466" s="215" t="s">
        <v>799</v>
      </c>
      <c r="C466" s="215" t="s">
        <v>1098</v>
      </c>
      <c r="D466" s="215" t="s">
        <v>799</v>
      </c>
      <c r="E466" s="216" t="s">
        <v>8</v>
      </c>
      <c r="F466" s="216" t="s">
        <v>9</v>
      </c>
    </row>
    <row r="467" spans="1:6">
      <c r="A467" s="215" t="s">
        <v>1099</v>
      </c>
      <c r="B467" s="215" t="s">
        <v>522</v>
      </c>
      <c r="C467" s="215" t="s">
        <v>1099</v>
      </c>
      <c r="D467" s="215" t="s">
        <v>522</v>
      </c>
      <c r="E467" s="216" t="s">
        <v>8</v>
      </c>
      <c r="F467" s="216" t="s">
        <v>9</v>
      </c>
    </row>
    <row r="468" spans="1:6" ht="22.5">
      <c r="A468" s="215" t="s">
        <v>1100</v>
      </c>
      <c r="B468" s="215" t="s">
        <v>1101</v>
      </c>
      <c r="C468" s="215" t="s">
        <v>1100</v>
      </c>
      <c r="D468" s="215" t="s">
        <v>1101</v>
      </c>
      <c r="E468" s="216" t="s">
        <v>8</v>
      </c>
      <c r="F468" s="216" t="s">
        <v>9</v>
      </c>
    </row>
    <row r="469" spans="1:6" ht="22.5">
      <c r="A469" s="215" t="s">
        <v>1102</v>
      </c>
      <c r="B469" s="215" t="s">
        <v>1103</v>
      </c>
      <c r="C469" s="215" t="s">
        <v>1102</v>
      </c>
      <c r="D469" s="215" t="s">
        <v>1103</v>
      </c>
      <c r="E469" s="216" t="s">
        <v>8</v>
      </c>
      <c r="F469" s="216" t="s">
        <v>9</v>
      </c>
    </row>
    <row r="470" spans="1:6">
      <c r="A470" s="215" t="s">
        <v>1104</v>
      </c>
      <c r="B470" s="215" t="s">
        <v>1105</v>
      </c>
      <c r="C470" s="215" t="s">
        <v>1104</v>
      </c>
      <c r="D470" s="215" t="s">
        <v>1105</v>
      </c>
      <c r="E470" s="216" t="s">
        <v>8</v>
      </c>
      <c r="F470" s="216" t="s">
        <v>9</v>
      </c>
    </row>
    <row r="471" spans="1:6">
      <c r="A471" s="215" t="s">
        <v>1106</v>
      </c>
      <c r="B471" s="215" t="s">
        <v>1107</v>
      </c>
      <c r="C471" s="215" t="s">
        <v>1106</v>
      </c>
      <c r="D471" s="215" t="s">
        <v>1107</v>
      </c>
      <c r="E471" s="216" t="s">
        <v>8</v>
      </c>
      <c r="F471" s="216" t="s">
        <v>9</v>
      </c>
    </row>
    <row r="472" spans="1:6">
      <c r="A472" s="215" t="s">
        <v>1108</v>
      </c>
      <c r="B472" s="215" t="s">
        <v>1109</v>
      </c>
      <c r="C472" s="215" t="s">
        <v>1108</v>
      </c>
      <c r="D472" s="215" t="s">
        <v>1109</v>
      </c>
      <c r="E472" s="216" t="s">
        <v>8</v>
      </c>
      <c r="F472" s="216" t="s">
        <v>9</v>
      </c>
    </row>
    <row r="473" spans="1:6">
      <c r="A473" s="215" t="s">
        <v>1110</v>
      </c>
      <c r="B473" s="215" t="s">
        <v>1111</v>
      </c>
      <c r="C473" s="215" t="s">
        <v>1110</v>
      </c>
      <c r="D473" s="215" t="s">
        <v>1111</v>
      </c>
      <c r="E473" s="216" t="s">
        <v>8</v>
      </c>
      <c r="F473" s="216" t="s">
        <v>9</v>
      </c>
    </row>
    <row r="474" spans="1:6">
      <c r="A474" s="215" t="s">
        <v>1112</v>
      </c>
      <c r="B474" s="215" t="s">
        <v>680</v>
      </c>
      <c r="C474" s="215" t="s">
        <v>1112</v>
      </c>
      <c r="D474" s="215" t="s">
        <v>680</v>
      </c>
      <c r="E474" s="216" t="s">
        <v>8</v>
      </c>
      <c r="F474" s="216" t="s">
        <v>9</v>
      </c>
    </row>
    <row r="475" spans="1:6">
      <c r="A475" s="215" t="s">
        <v>1113</v>
      </c>
      <c r="B475" s="215" t="s">
        <v>1114</v>
      </c>
      <c r="C475" s="215" t="s">
        <v>1113</v>
      </c>
      <c r="D475" s="215" t="s">
        <v>1114</v>
      </c>
      <c r="E475" s="216" t="s">
        <v>8</v>
      </c>
      <c r="F475" s="216" t="s">
        <v>9</v>
      </c>
    </row>
    <row r="476" spans="1:6">
      <c r="A476" s="215" t="s">
        <v>1115</v>
      </c>
      <c r="B476" s="215" t="s">
        <v>1116</v>
      </c>
      <c r="C476" s="215" t="s">
        <v>1115</v>
      </c>
      <c r="D476" s="215" t="s">
        <v>1116</v>
      </c>
      <c r="E476" s="216" t="s">
        <v>8</v>
      </c>
      <c r="F476" s="216" t="s">
        <v>9</v>
      </c>
    </row>
    <row r="477" spans="1:6" ht="22.5">
      <c r="A477" s="215" t="s">
        <v>1117</v>
      </c>
      <c r="B477" s="215" t="s">
        <v>1118</v>
      </c>
      <c r="C477" s="215" t="s">
        <v>1117</v>
      </c>
      <c r="D477" s="215" t="s">
        <v>1118</v>
      </c>
      <c r="E477" s="216" t="s">
        <v>8</v>
      </c>
      <c r="F477" s="216" t="s">
        <v>9</v>
      </c>
    </row>
    <row r="478" spans="1:6">
      <c r="A478" s="215" t="s">
        <v>1119</v>
      </c>
      <c r="B478" s="215" t="s">
        <v>1120</v>
      </c>
      <c r="C478" s="215" t="s">
        <v>1119</v>
      </c>
      <c r="D478" s="215" t="s">
        <v>1120</v>
      </c>
      <c r="E478" s="216" t="s">
        <v>8</v>
      </c>
      <c r="F478" s="216" t="s">
        <v>9</v>
      </c>
    </row>
    <row r="479" spans="1:6">
      <c r="A479" s="215" t="s">
        <v>1121</v>
      </c>
      <c r="B479" s="215" t="s">
        <v>1122</v>
      </c>
      <c r="C479" s="215" t="s">
        <v>1121</v>
      </c>
      <c r="D479" s="215" t="s">
        <v>1122</v>
      </c>
      <c r="E479" s="216" t="s">
        <v>8</v>
      </c>
      <c r="F479" s="216" t="s">
        <v>9</v>
      </c>
    </row>
    <row r="480" spans="1:6">
      <c r="A480" s="215" t="s">
        <v>1123</v>
      </c>
      <c r="B480" s="215" t="s">
        <v>1124</v>
      </c>
      <c r="C480" s="215" t="s">
        <v>1123</v>
      </c>
      <c r="D480" s="215" t="s">
        <v>1124</v>
      </c>
      <c r="E480" s="216" t="s">
        <v>8</v>
      </c>
      <c r="F480" s="216" t="s">
        <v>9</v>
      </c>
    </row>
    <row r="481" spans="1:6">
      <c r="A481" s="215" t="s">
        <v>1125</v>
      </c>
      <c r="B481" s="215" t="s">
        <v>1126</v>
      </c>
      <c r="C481" s="215" t="s">
        <v>1125</v>
      </c>
      <c r="D481" s="215" t="s">
        <v>1126</v>
      </c>
      <c r="E481" s="216" t="s">
        <v>8</v>
      </c>
      <c r="F481" s="216" t="s">
        <v>9</v>
      </c>
    </row>
    <row r="482" spans="1:6">
      <c r="A482" s="215" t="s">
        <v>1127</v>
      </c>
      <c r="B482" s="215" t="s">
        <v>150</v>
      </c>
      <c r="C482" s="215" t="s">
        <v>1127</v>
      </c>
      <c r="D482" s="215" t="s">
        <v>150</v>
      </c>
      <c r="E482" s="216" t="s">
        <v>8</v>
      </c>
      <c r="F482" s="216" t="s">
        <v>9</v>
      </c>
    </row>
    <row r="483" spans="1:6">
      <c r="A483" s="215" t="s">
        <v>1128</v>
      </c>
      <c r="B483" s="215" t="s">
        <v>1129</v>
      </c>
      <c r="C483" s="215" t="s">
        <v>1128</v>
      </c>
      <c r="D483" s="215" t="s">
        <v>1130</v>
      </c>
      <c r="E483" s="216" t="s">
        <v>8</v>
      </c>
      <c r="F483" s="216" t="s">
        <v>9</v>
      </c>
    </row>
    <row r="484" spans="1:6">
      <c r="A484" s="215" t="s">
        <v>1131</v>
      </c>
      <c r="B484" s="215" t="s">
        <v>1132</v>
      </c>
      <c r="C484" s="215" t="s">
        <v>1131</v>
      </c>
      <c r="D484" s="215" t="s">
        <v>1132</v>
      </c>
      <c r="E484" s="216" t="s">
        <v>8</v>
      </c>
      <c r="F484" s="216" t="s">
        <v>9</v>
      </c>
    </row>
    <row r="485" spans="1:6">
      <c r="A485" s="215" t="s">
        <v>1133</v>
      </c>
      <c r="B485" s="215" t="s">
        <v>948</v>
      </c>
      <c r="C485" s="215" t="s">
        <v>1133</v>
      </c>
      <c r="D485" s="215" t="s">
        <v>948</v>
      </c>
      <c r="E485" s="216" t="s">
        <v>8</v>
      </c>
      <c r="F485" s="216" t="s">
        <v>9</v>
      </c>
    </row>
    <row r="486" spans="1:6">
      <c r="A486" s="215" t="s">
        <v>1134</v>
      </c>
      <c r="B486" s="215" t="s">
        <v>217</v>
      </c>
      <c r="C486" s="215"/>
      <c r="D486" s="215"/>
      <c r="E486" s="216" t="s">
        <v>8</v>
      </c>
      <c r="F486" s="216" t="s">
        <v>9</v>
      </c>
    </row>
    <row r="487" spans="1:6">
      <c r="A487" s="215" t="s">
        <v>1135</v>
      </c>
      <c r="B487" s="215" t="s">
        <v>1136</v>
      </c>
      <c r="C487" s="215" t="s">
        <v>1135</v>
      </c>
      <c r="D487" s="215" t="s">
        <v>1136</v>
      </c>
      <c r="E487" s="216" t="s">
        <v>8</v>
      </c>
      <c r="F487" s="216" t="s">
        <v>9</v>
      </c>
    </row>
    <row r="488" spans="1:6">
      <c r="A488" s="215" t="s">
        <v>1137</v>
      </c>
      <c r="B488" s="215" t="s">
        <v>1138</v>
      </c>
      <c r="C488" s="215" t="s">
        <v>1137</v>
      </c>
      <c r="D488" s="215" t="s">
        <v>1138</v>
      </c>
      <c r="E488" s="216" t="s">
        <v>8</v>
      </c>
      <c r="F488" s="216" t="s">
        <v>9</v>
      </c>
    </row>
    <row r="489" spans="1:6">
      <c r="A489" s="215" t="s">
        <v>1139</v>
      </c>
      <c r="B489" s="215" t="s">
        <v>1140</v>
      </c>
      <c r="C489" s="215" t="s">
        <v>1139</v>
      </c>
      <c r="D489" s="215" t="s">
        <v>1140</v>
      </c>
      <c r="E489" s="216" t="s">
        <v>8</v>
      </c>
      <c r="F489" s="216" t="s">
        <v>9</v>
      </c>
    </row>
    <row r="490" spans="1:6">
      <c r="A490" s="215" t="s">
        <v>1141</v>
      </c>
      <c r="B490" s="215" t="s">
        <v>1142</v>
      </c>
      <c r="C490" s="215" t="s">
        <v>1141</v>
      </c>
      <c r="D490" s="215" t="s">
        <v>1142</v>
      </c>
      <c r="E490" s="216" t="s">
        <v>8</v>
      </c>
      <c r="F490" s="216" t="s">
        <v>9</v>
      </c>
    </row>
    <row r="491" spans="1:6">
      <c r="A491" s="215" t="s">
        <v>1143</v>
      </c>
      <c r="B491" s="215" t="s">
        <v>1144</v>
      </c>
      <c r="C491" s="215" t="s">
        <v>1143</v>
      </c>
      <c r="D491" s="215" t="s">
        <v>1144</v>
      </c>
      <c r="E491" s="216" t="s">
        <v>8</v>
      </c>
      <c r="F491" s="216" t="s">
        <v>9</v>
      </c>
    </row>
    <row r="492" spans="1:6">
      <c r="A492" s="215" t="s">
        <v>1145</v>
      </c>
      <c r="B492" s="215" t="s">
        <v>1146</v>
      </c>
      <c r="C492" s="215" t="s">
        <v>1145</v>
      </c>
      <c r="D492" s="215" t="s">
        <v>1147</v>
      </c>
      <c r="E492" s="216" t="s">
        <v>8</v>
      </c>
      <c r="F492" s="216" t="s">
        <v>9</v>
      </c>
    </row>
    <row r="493" spans="1:6">
      <c r="A493" s="215" t="s">
        <v>1148</v>
      </c>
      <c r="B493" s="215" t="s">
        <v>1149</v>
      </c>
      <c r="C493" s="215" t="s">
        <v>1148</v>
      </c>
      <c r="D493" s="215" t="s">
        <v>1149</v>
      </c>
      <c r="E493" s="216" t="s">
        <v>8</v>
      </c>
      <c r="F493" s="216" t="s">
        <v>9</v>
      </c>
    </row>
    <row r="494" spans="1:6">
      <c r="A494" s="215" t="s">
        <v>1150</v>
      </c>
      <c r="B494" s="215" t="s">
        <v>1151</v>
      </c>
      <c r="C494" s="215" t="s">
        <v>1150</v>
      </c>
      <c r="D494" s="215" t="s">
        <v>1151</v>
      </c>
      <c r="E494" s="216" t="s">
        <v>8</v>
      </c>
      <c r="F494" s="216" t="s">
        <v>9</v>
      </c>
    </row>
    <row r="495" spans="1:6">
      <c r="A495" s="215" t="s">
        <v>1152</v>
      </c>
      <c r="B495" s="215" t="s">
        <v>150</v>
      </c>
      <c r="C495" s="215" t="s">
        <v>1152</v>
      </c>
      <c r="D495" s="215" t="s">
        <v>150</v>
      </c>
      <c r="E495" s="216" t="s">
        <v>8</v>
      </c>
      <c r="F495" s="216" t="s">
        <v>9</v>
      </c>
    </row>
    <row r="496" spans="1:6">
      <c r="A496" s="215" t="s">
        <v>1153</v>
      </c>
      <c r="B496" s="215" t="s">
        <v>468</v>
      </c>
      <c r="C496" s="215" t="s">
        <v>1153</v>
      </c>
      <c r="D496" s="215" t="s">
        <v>1154</v>
      </c>
      <c r="E496" s="216" t="s">
        <v>8</v>
      </c>
      <c r="F496" s="216" t="s">
        <v>9</v>
      </c>
    </row>
    <row r="497" spans="1:6">
      <c r="A497" s="215" t="s">
        <v>1155</v>
      </c>
      <c r="B497" s="215" t="s">
        <v>948</v>
      </c>
      <c r="C497" s="215" t="s">
        <v>1155</v>
      </c>
      <c r="D497" s="215" t="s">
        <v>948</v>
      </c>
      <c r="E497" s="216" t="s">
        <v>8</v>
      </c>
      <c r="F497" s="216" t="s">
        <v>9</v>
      </c>
    </row>
    <row r="498" spans="1:6">
      <c r="A498" s="215" t="s">
        <v>1156</v>
      </c>
      <c r="B498" s="215" t="s">
        <v>1157</v>
      </c>
      <c r="C498" s="215"/>
      <c r="D498" s="215"/>
      <c r="E498" s="216" t="s">
        <v>8</v>
      </c>
      <c r="F498" s="216" t="s">
        <v>9</v>
      </c>
    </row>
    <row r="499" spans="1:6">
      <c r="A499" s="215" t="s">
        <v>1158</v>
      </c>
      <c r="B499" s="215" t="s">
        <v>1159</v>
      </c>
      <c r="C499" s="215" t="s">
        <v>1158</v>
      </c>
      <c r="D499" s="215" t="s">
        <v>1159</v>
      </c>
      <c r="E499" s="216" t="s">
        <v>8</v>
      </c>
      <c r="F499" s="216" t="s">
        <v>9</v>
      </c>
    </row>
    <row r="500" spans="1:6">
      <c r="A500" s="215" t="s">
        <v>1160</v>
      </c>
      <c r="B500" s="215" t="s">
        <v>1161</v>
      </c>
      <c r="C500" s="215" t="s">
        <v>1160</v>
      </c>
      <c r="D500" s="215" t="s">
        <v>1161</v>
      </c>
      <c r="E500" s="216" t="s">
        <v>8</v>
      </c>
      <c r="F500" s="216" t="s">
        <v>9</v>
      </c>
    </row>
    <row r="501" spans="1:6">
      <c r="A501" s="215" t="s">
        <v>1162</v>
      </c>
      <c r="B501" s="215" t="s">
        <v>1163</v>
      </c>
      <c r="C501" s="215" t="s">
        <v>1162</v>
      </c>
      <c r="D501" s="215" t="s">
        <v>1163</v>
      </c>
      <c r="E501" s="216" t="s">
        <v>8</v>
      </c>
      <c r="F501" s="216" t="s">
        <v>9</v>
      </c>
    </row>
    <row r="502" spans="1:6" ht="22.5">
      <c r="A502" s="215" t="s">
        <v>1164</v>
      </c>
      <c r="B502" s="215" t="s">
        <v>1165</v>
      </c>
      <c r="C502" s="215" t="s">
        <v>1164</v>
      </c>
      <c r="D502" s="215" t="s">
        <v>1165</v>
      </c>
      <c r="E502" s="216" t="s">
        <v>8</v>
      </c>
      <c r="F502" s="216" t="s">
        <v>9</v>
      </c>
    </row>
    <row r="503" spans="1:6">
      <c r="A503" s="215" t="s">
        <v>1166</v>
      </c>
      <c r="B503" s="215" t="s">
        <v>1167</v>
      </c>
      <c r="C503" s="215" t="s">
        <v>1166</v>
      </c>
      <c r="D503" s="215" t="s">
        <v>1167</v>
      </c>
      <c r="E503" s="216" t="s">
        <v>8</v>
      </c>
      <c r="F503" s="216" t="s">
        <v>9</v>
      </c>
    </row>
    <row r="504" spans="1:6">
      <c r="A504" s="215" t="s">
        <v>1168</v>
      </c>
      <c r="B504" s="215" t="s">
        <v>1169</v>
      </c>
      <c r="C504" s="215" t="s">
        <v>1168</v>
      </c>
      <c r="D504" s="215" t="s">
        <v>1169</v>
      </c>
      <c r="E504" s="216" t="s">
        <v>8</v>
      </c>
      <c r="F504" s="216" t="s">
        <v>9</v>
      </c>
    </row>
    <row r="505" spans="1:6">
      <c r="A505" s="215" t="s">
        <v>1170</v>
      </c>
      <c r="B505" s="215" t="s">
        <v>1171</v>
      </c>
      <c r="C505" s="215" t="s">
        <v>1170</v>
      </c>
      <c r="D505" s="215" t="s">
        <v>1171</v>
      </c>
      <c r="E505" s="216" t="s">
        <v>8</v>
      </c>
      <c r="F505" s="216" t="s">
        <v>9</v>
      </c>
    </row>
    <row r="506" spans="1:6">
      <c r="A506" s="215" t="s">
        <v>1172</v>
      </c>
      <c r="B506" s="215" t="s">
        <v>1173</v>
      </c>
      <c r="C506" s="215" t="s">
        <v>1172</v>
      </c>
      <c r="D506" s="215" t="s">
        <v>1173</v>
      </c>
      <c r="E506" s="216" t="s">
        <v>8</v>
      </c>
      <c r="F506" s="216" t="s">
        <v>9</v>
      </c>
    </row>
    <row r="507" spans="1:6">
      <c r="A507" s="215" t="s">
        <v>1174</v>
      </c>
      <c r="B507" s="215" t="s">
        <v>1175</v>
      </c>
      <c r="C507" s="215" t="s">
        <v>1174</v>
      </c>
      <c r="D507" s="215" t="s">
        <v>1175</v>
      </c>
      <c r="E507" s="216" t="s">
        <v>8</v>
      </c>
      <c r="F507" s="216" t="s">
        <v>9</v>
      </c>
    </row>
    <row r="508" spans="1:6">
      <c r="A508" s="215" t="s">
        <v>1176</v>
      </c>
      <c r="B508" s="215" t="s">
        <v>1177</v>
      </c>
      <c r="C508" s="215" t="s">
        <v>1176</v>
      </c>
      <c r="D508" s="215" t="s">
        <v>1177</v>
      </c>
      <c r="E508" s="216" t="s">
        <v>8</v>
      </c>
      <c r="F508" s="216" t="s">
        <v>9</v>
      </c>
    </row>
    <row r="509" spans="1:6">
      <c r="A509" s="215" t="s">
        <v>1178</v>
      </c>
      <c r="B509" s="215" t="s">
        <v>745</v>
      </c>
      <c r="C509" s="215" t="s">
        <v>1178</v>
      </c>
      <c r="D509" s="215" t="s">
        <v>745</v>
      </c>
      <c r="E509" s="216" t="s">
        <v>8</v>
      </c>
      <c r="F509" s="216" t="s">
        <v>9</v>
      </c>
    </row>
    <row r="510" spans="1:6">
      <c r="A510" s="215" t="s">
        <v>1179</v>
      </c>
      <c r="B510" s="215" t="s">
        <v>150</v>
      </c>
      <c r="C510" s="215" t="s">
        <v>1179</v>
      </c>
      <c r="D510" s="215" t="s">
        <v>150</v>
      </c>
      <c r="E510" s="216" t="s">
        <v>8</v>
      </c>
      <c r="F510" s="216" t="s">
        <v>9</v>
      </c>
    </row>
    <row r="511" spans="1:6">
      <c r="A511" s="215" t="s">
        <v>1180</v>
      </c>
      <c r="B511" s="215" t="s">
        <v>1181</v>
      </c>
      <c r="C511" s="215" t="s">
        <v>1180</v>
      </c>
      <c r="D511" s="215" t="s">
        <v>1181</v>
      </c>
      <c r="E511" s="216" t="s">
        <v>8</v>
      </c>
      <c r="F511" s="216" t="s">
        <v>9</v>
      </c>
    </row>
    <row r="512" spans="1:6">
      <c r="A512" s="215" t="s">
        <v>1182</v>
      </c>
      <c r="B512" s="215" t="s">
        <v>948</v>
      </c>
      <c r="C512" s="215" t="s">
        <v>1182</v>
      </c>
      <c r="D512" s="215" t="s">
        <v>948</v>
      </c>
      <c r="E512" s="216" t="s">
        <v>8</v>
      </c>
      <c r="F512" s="216" t="s">
        <v>9</v>
      </c>
    </row>
    <row r="513" spans="1:6">
      <c r="A513" s="215" t="s">
        <v>1183</v>
      </c>
      <c r="B513" s="215" t="s">
        <v>222</v>
      </c>
      <c r="C513" s="215"/>
      <c r="D513" s="215"/>
      <c r="E513" s="216" t="s">
        <v>8</v>
      </c>
      <c r="F513" s="216" t="s">
        <v>9</v>
      </c>
    </row>
    <row r="514" spans="1:6">
      <c r="A514" s="215" t="s">
        <v>1184</v>
      </c>
      <c r="B514" s="215" t="s">
        <v>1185</v>
      </c>
      <c r="C514" s="215" t="s">
        <v>1184</v>
      </c>
      <c r="D514" s="215" t="s">
        <v>1185</v>
      </c>
      <c r="E514" s="216" t="s">
        <v>8</v>
      </c>
      <c r="F514" s="216" t="s">
        <v>9</v>
      </c>
    </row>
    <row r="515" spans="1:6">
      <c r="A515" s="215" t="s">
        <v>1186</v>
      </c>
      <c r="B515" s="215" t="s">
        <v>1187</v>
      </c>
      <c r="C515" s="215" t="s">
        <v>1186</v>
      </c>
      <c r="D515" s="215" t="s">
        <v>1187</v>
      </c>
      <c r="E515" s="216" t="s">
        <v>8</v>
      </c>
      <c r="F515" s="216" t="s">
        <v>9</v>
      </c>
    </row>
    <row r="516" spans="1:6">
      <c r="A516" s="215" t="s">
        <v>1188</v>
      </c>
      <c r="B516" s="215" t="s">
        <v>1189</v>
      </c>
      <c r="C516" s="215" t="s">
        <v>1188</v>
      </c>
      <c r="D516" s="215" t="s">
        <v>486</v>
      </c>
      <c r="E516" s="216" t="s">
        <v>8</v>
      </c>
      <c r="F516" s="216" t="s">
        <v>9</v>
      </c>
    </row>
    <row r="517" spans="1:6">
      <c r="A517" s="215" t="s">
        <v>1190</v>
      </c>
      <c r="B517" s="215" t="s">
        <v>1191</v>
      </c>
      <c r="C517" s="215" t="s">
        <v>1190</v>
      </c>
      <c r="D517" s="215" t="s">
        <v>1191</v>
      </c>
      <c r="E517" s="216" t="s">
        <v>8</v>
      </c>
      <c r="F517" s="216" t="s">
        <v>9</v>
      </c>
    </row>
    <row r="518" spans="1:6">
      <c r="A518" s="215" t="s">
        <v>1192</v>
      </c>
      <c r="B518" s="215" t="s">
        <v>1193</v>
      </c>
      <c r="C518" s="215" t="s">
        <v>1192</v>
      </c>
      <c r="D518" s="215" t="s">
        <v>1193</v>
      </c>
      <c r="E518" s="216" t="s">
        <v>8</v>
      </c>
      <c r="F518" s="216" t="s">
        <v>9</v>
      </c>
    </row>
    <row r="519" spans="1:6" ht="22.5">
      <c r="A519" s="215" t="s">
        <v>1194</v>
      </c>
      <c r="B519" s="215" t="s">
        <v>392</v>
      </c>
      <c r="C519" s="215" t="s">
        <v>1194</v>
      </c>
      <c r="D519" s="215" t="s">
        <v>392</v>
      </c>
      <c r="E519" s="216" t="s">
        <v>8</v>
      </c>
      <c r="F519" s="216" t="s">
        <v>9</v>
      </c>
    </row>
    <row r="520" spans="1:6">
      <c r="A520" s="215" t="s">
        <v>1195</v>
      </c>
      <c r="B520" s="215" t="s">
        <v>1196</v>
      </c>
      <c r="C520" s="215" t="s">
        <v>1195</v>
      </c>
      <c r="D520" s="215" t="s">
        <v>1196</v>
      </c>
      <c r="E520" s="216" t="s">
        <v>8</v>
      </c>
      <c r="F520" s="216" t="s">
        <v>9</v>
      </c>
    </row>
    <row r="521" spans="1:6">
      <c r="A521" s="215" t="s">
        <v>1197</v>
      </c>
      <c r="B521" s="215" t="s">
        <v>1198</v>
      </c>
      <c r="C521" s="215" t="s">
        <v>1197</v>
      </c>
      <c r="D521" s="215" t="s">
        <v>1198</v>
      </c>
      <c r="E521" s="216" t="s">
        <v>8</v>
      </c>
      <c r="F521" s="216" t="s">
        <v>9</v>
      </c>
    </row>
    <row r="522" spans="1:6">
      <c r="A522" s="215" t="s">
        <v>1199</v>
      </c>
      <c r="B522" s="215" t="s">
        <v>1200</v>
      </c>
      <c r="C522" s="215" t="s">
        <v>1199</v>
      </c>
      <c r="D522" s="215" t="s">
        <v>1200</v>
      </c>
      <c r="E522" s="216" t="s">
        <v>8</v>
      </c>
      <c r="F522" s="216" t="s">
        <v>9</v>
      </c>
    </row>
    <row r="523" spans="1:6">
      <c r="A523" s="215" t="s">
        <v>1201</v>
      </c>
      <c r="B523" s="215" t="s">
        <v>1202</v>
      </c>
      <c r="C523" s="215" t="s">
        <v>1201</v>
      </c>
      <c r="D523" s="215" t="s">
        <v>1202</v>
      </c>
      <c r="E523" s="216" t="s">
        <v>8</v>
      </c>
      <c r="F523" s="216" t="s">
        <v>9</v>
      </c>
    </row>
    <row r="524" spans="1:6">
      <c r="A524" s="215" t="s">
        <v>1203</v>
      </c>
      <c r="B524" s="215" t="s">
        <v>1204</v>
      </c>
      <c r="C524" s="215" t="s">
        <v>1203</v>
      </c>
      <c r="D524" s="215" t="s">
        <v>1204</v>
      </c>
      <c r="E524" s="216" t="s">
        <v>8</v>
      </c>
      <c r="F524" s="216" t="s">
        <v>9</v>
      </c>
    </row>
    <row r="525" spans="1:6">
      <c r="A525" s="215" t="s">
        <v>1205</v>
      </c>
      <c r="B525" s="215" t="s">
        <v>1206</v>
      </c>
      <c r="C525" s="215" t="s">
        <v>1205</v>
      </c>
      <c r="D525" s="215" t="s">
        <v>1206</v>
      </c>
      <c r="E525" s="216" t="s">
        <v>8</v>
      </c>
      <c r="F525" s="216" t="s">
        <v>9</v>
      </c>
    </row>
    <row r="526" spans="1:6">
      <c r="A526" s="215" t="s">
        <v>1207</v>
      </c>
      <c r="B526" s="215" t="s">
        <v>1208</v>
      </c>
      <c r="C526" s="215" t="s">
        <v>1207</v>
      </c>
      <c r="D526" s="215" t="s">
        <v>1208</v>
      </c>
      <c r="E526" s="216" t="s">
        <v>8</v>
      </c>
      <c r="F526" s="216" t="s">
        <v>9</v>
      </c>
    </row>
    <row r="527" spans="1:6">
      <c r="A527" s="215" t="s">
        <v>1209</v>
      </c>
      <c r="B527" s="215" t="s">
        <v>1210</v>
      </c>
      <c r="C527" s="215" t="s">
        <v>1209</v>
      </c>
      <c r="D527" s="215" t="s">
        <v>1210</v>
      </c>
      <c r="E527" s="216" t="s">
        <v>8</v>
      </c>
      <c r="F527" s="216" t="s">
        <v>9</v>
      </c>
    </row>
    <row r="528" spans="1:6">
      <c r="A528" s="215" t="s">
        <v>1211</v>
      </c>
      <c r="B528" s="215" t="s">
        <v>1212</v>
      </c>
      <c r="C528" s="215" t="s">
        <v>1211</v>
      </c>
      <c r="D528" s="215" t="s">
        <v>1212</v>
      </c>
      <c r="E528" s="216" t="s">
        <v>8</v>
      </c>
      <c r="F528" s="216" t="s">
        <v>9</v>
      </c>
    </row>
    <row r="529" spans="1:6">
      <c r="A529" s="215" t="s">
        <v>1213</v>
      </c>
      <c r="B529" s="215" t="s">
        <v>150</v>
      </c>
      <c r="C529" s="215" t="s">
        <v>1213</v>
      </c>
      <c r="D529" s="215" t="s">
        <v>150</v>
      </c>
      <c r="E529" s="216" t="s">
        <v>8</v>
      </c>
      <c r="F529" s="216" t="s">
        <v>9</v>
      </c>
    </row>
    <row r="530" spans="1:6">
      <c r="A530" s="215" t="s">
        <v>1214</v>
      </c>
      <c r="B530" s="215" t="s">
        <v>948</v>
      </c>
      <c r="C530" s="215" t="s">
        <v>1214</v>
      </c>
      <c r="D530" s="215" t="s">
        <v>948</v>
      </c>
      <c r="E530" s="216" t="s">
        <v>8</v>
      </c>
      <c r="F530" s="216" t="s">
        <v>9</v>
      </c>
    </row>
    <row r="531" spans="1:6">
      <c r="A531" s="215" t="s">
        <v>1215</v>
      </c>
      <c r="B531" s="215" t="s">
        <v>1216</v>
      </c>
      <c r="C531" s="215"/>
      <c r="D531" s="215"/>
      <c r="E531" s="216" t="s">
        <v>8</v>
      </c>
      <c r="F531" s="216" t="s">
        <v>9</v>
      </c>
    </row>
    <row r="532" spans="1:6">
      <c r="A532" s="215" t="s">
        <v>1217</v>
      </c>
      <c r="B532" s="215" t="s">
        <v>279</v>
      </c>
      <c r="C532" s="215" t="s">
        <v>1217</v>
      </c>
      <c r="D532" s="215" t="s">
        <v>279</v>
      </c>
      <c r="E532" s="216" t="s">
        <v>8</v>
      </c>
      <c r="F532" s="216" t="s">
        <v>9</v>
      </c>
    </row>
    <row r="533" spans="1:6">
      <c r="A533" s="215" t="s">
        <v>1218</v>
      </c>
      <c r="B533" s="215" t="s">
        <v>1219</v>
      </c>
      <c r="C533" s="215" t="s">
        <v>1218</v>
      </c>
      <c r="D533" s="215" t="s">
        <v>1219</v>
      </c>
      <c r="E533" s="216" t="s">
        <v>8</v>
      </c>
      <c r="F533" s="216" t="s">
        <v>9</v>
      </c>
    </row>
    <row r="534" spans="1:6">
      <c r="A534" s="215" t="s">
        <v>1220</v>
      </c>
      <c r="B534" s="215" t="s">
        <v>948</v>
      </c>
      <c r="C534" s="215" t="s">
        <v>1220</v>
      </c>
      <c r="D534" s="215" t="s">
        <v>948</v>
      </c>
      <c r="E534" s="216" t="s">
        <v>8</v>
      </c>
      <c r="F534" s="216" t="s">
        <v>9</v>
      </c>
    </row>
    <row r="535" spans="1:6">
      <c r="A535" s="215" t="s">
        <v>1221</v>
      </c>
      <c r="B535" s="215" t="s">
        <v>522</v>
      </c>
      <c r="C535" s="215"/>
      <c r="D535" s="215"/>
      <c r="E535" s="216" t="s">
        <v>8</v>
      </c>
      <c r="F535" s="216" t="s">
        <v>9</v>
      </c>
    </row>
    <row r="536" spans="1:6">
      <c r="A536" s="215" t="s">
        <v>1222</v>
      </c>
      <c r="B536" s="215" t="s">
        <v>1223</v>
      </c>
      <c r="C536" s="215" t="s">
        <v>1222</v>
      </c>
      <c r="D536" s="215" t="s">
        <v>1223</v>
      </c>
      <c r="E536" s="216" t="s">
        <v>8</v>
      </c>
      <c r="F536" s="216" t="s">
        <v>9</v>
      </c>
    </row>
    <row r="537" spans="1:6">
      <c r="A537" s="215" t="s">
        <v>1224</v>
      </c>
      <c r="B537" s="215" t="s">
        <v>1225</v>
      </c>
      <c r="C537" s="215" t="s">
        <v>1224</v>
      </c>
      <c r="D537" s="215" t="s">
        <v>1225</v>
      </c>
      <c r="E537" s="216" t="s">
        <v>8</v>
      </c>
      <c r="F537" s="216" t="s">
        <v>9</v>
      </c>
    </row>
    <row r="538" spans="1:6">
      <c r="A538" s="215" t="s">
        <v>1226</v>
      </c>
      <c r="B538" s="215" t="s">
        <v>1227</v>
      </c>
      <c r="C538" s="215" t="s">
        <v>1226</v>
      </c>
      <c r="D538" s="215" t="s">
        <v>1227</v>
      </c>
      <c r="E538" s="216" t="s">
        <v>8</v>
      </c>
      <c r="F538" s="216" t="s">
        <v>9</v>
      </c>
    </row>
    <row r="539" spans="1:6">
      <c r="A539" s="215" t="s">
        <v>1228</v>
      </c>
      <c r="B539" s="215" t="s">
        <v>1229</v>
      </c>
      <c r="C539" s="215" t="s">
        <v>1228</v>
      </c>
      <c r="D539" s="215" t="s">
        <v>1229</v>
      </c>
      <c r="E539" s="216" t="s">
        <v>8</v>
      </c>
      <c r="F539" s="216" t="s">
        <v>9</v>
      </c>
    </row>
    <row r="540" spans="1:6">
      <c r="A540" s="215" t="s">
        <v>1230</v>
      </c>
      <c r="B540" s="215" t="s">
        <v>1231</v>
      </c>
      <c r="C540" s="215" t="s">
        <v>1230</v>
      </c>
      <c r="D540" s="215" t="s">
        <v>1231</v>
      </c>
      <c r="E540" s="216" t="s">
        <v>8</v>
      </c>
      <c r="F540" s="216" t="s">
        <v>9</v>
      </c>
    </row>
    <row r="541" spans="1:6">
      <c r="A541" s="215" t="s">
        <v>1232</v>
      </c>
      <c r="B541" s="215" t="s">
        <v>1233</v>
      </c>
      <c r="C541" s="215" t="s">
        <v>1232</v>
      </c>
      <c r="D541" s="215" t="s">
        <v>1233</v>
      </c>
      <c r="E541" s="216" t="s">
        <v>8</v>
      </c>
      <c r="F541" s="216" t="s">
        <v>9</v>
      </c>
    </row>
    <row r="542" spans="1:6">
      <c r="A542" s="215" t="s">
        <v>1234</v>
      </c>
      <c r="B542" s="215" t="s">
        <v>1235</v>
      </c>
      <c r="C542" s="215" t="s">
        <v>1234</v>
      </c>
      <c r="D542" s="215" t="s">
        <v>1235</v>
      </c>
      <c r="E542" s="216" t="s">
        <v>8</v>
      </c>
      <c r="F542" s="216" t="s">
        <v>9</v>
      </c>
    </row>
    <row r="543" spans="1:6">
      <c r="A543" s="215" t="s">
        <v>1236</v>
      </c>
      <c r="B543" s="215" t="s">
        <v>1200</v>
      </c>
      <c r="C543" s="215" t="s">
        <v>1236</v>
      </c>
      <c r="D543" s="215" t="s">
        <v>1200</v>
      </c>
      <c r="E543" s="216" t="s">
        <v>8</v>
      </c>
      <c r="F543" s="216" t="s">
        <v>9</v>
      </c>
    </row>
    <row r="544" spans="1:6">
      <c r="A544" s="215" t="s">
        <v>1237</v>
      </c>
      <c r="B544" s="215" t="s">
        <v>1202</v>
      </c>
      <c r="C544" s="215" t="s">
        <v>1237</v>
      </c>
      <c r="D544" s="215" t="s">
        <v>1202</v>
      </c>
      <c r="E544" s="216" t="s">
        <v>8</v>
      </c>
      <c r="F544" s="216" t="s">
        <v>9</v>
      </c>
    </row>
    <row r="545" spans="1:6">
      <c r="A545" s="215" t="s">
        <v>1238</v>
      </c>
      <c r="B545" s="215" t="s">
        <v>1204</v>
      </c>
      <c r="C545" s="215" t="s">
        <v>1238</v>
      </c>
      <c r="D545" s="215" t="s">
        <v>1204</v>
      </c>
      <c r="E545" s="216" t="s">
        <v>8</v>
      </c>
      <c r="F545" s="216" t="s">
        <v>9</v>
      </c>
    </row>
    <row r="546" spans="1:6">
      <c r="A546" s="215" t="s">
        <v>1239</v>
      </c>
      <c r="B546" s="215" t="s">
        <v>1206</v>
      </c>
      <c r="C546" s="215" t="s">
        <v>1239</v>
      </c>
      <c r="D546" s="215" t="s">
        <v>1206</v>
      </c>
      <c r="E546" s="216" t="s">
        <v>8</v>
      </c>
      <c r="F546" s="216" t="s">
        <v>9</v>
      </c>
    </row>
    <row r="547" spans="1:6" ht="22.5">
      <c r="A547" s="215" t="s">
        <v>1240</v>
      </c>
      <c r="B547" s="215" t="s">
        <v>1241</v>
      </c>
      <c r="C547" s="215" t="s">
        <v>1240</v>
      </c>
      <c r="D547" s="215" t="s">
        <v>1241</v>
      </c>
      <c r="E547" s="216" t="s">
        <v>8</v>
      </c>
      <c r="F547" s="216" t="s">
        <v>9</v>
      </c>
    </row>
    <row r="548" spans="1:6">
      <c r="A548" s="215" t="s">
        <v>1242</v>
      </c>
      <c r="B548" s="215" t="s">
        <v>1243</v>
      </c>
      <c r="C548" s="215" t="s">
        <v>1242</v>
      </c>
      <c r="D548" s="215" t="s">
        <v>1243</v>
      </c>
      <c r="E548" s="216" t="s">
        <v>8</v>
      </c>
      <c r="F548" s="216" t="s">
        <v>9</v>
      </c>
    </row>
    <row r="549" spans="1:6">
      <c r="A549" s="215" t="s">
        <v>1244</v>
      </c>
      <c r="B549" s="215" t="s">
        <v>1245</v>
      </c>
      <c r="C549" s="215" t="s">
        <v>1244</v>
      </c>
      <c r="D549" s="215" t="s">
        <v>1245</v>
      </c>
      <c r="E549" s="216" t="s">
        <v>8</v>
      </c>
      <c r="F549" s="216" t="s">
        <v>9</v>
      </c>
    </row>
    <row r="550" spans="1:6">
      <c r="A550" s="215" t="s">
        <v>1246</v>
      </c>
      <c r="B550" s="215" t="s">
        <v>1247</v>
      </c>
      <c r="C550" s="215" t="s">
        <v>1246</v>
      </c>
      <c r="D550" s="215" t="s">
        <v>1247</v>
      </c>
      <c r="E550" s="216" t="s">
        <v>8</v>
      </c>
      <c r="F550" s="216" t="s">
        <v>9</v>
      </c>
    </row>
    <row r="551" spans="1:6">
      <c r="A551" s="215" t="s">
        <v>1248</v>
      </c>
      <c r="B551" s="215" t="s">
        <v>1249</v>
      </c>
      <c r="C551" s="215" t="s">
        <v>1248</v>
      </c>
      <c r="D551" s="215" t="s">
        <v>1249</v>
      </c>
      <c r="E551" s="216" t="s">
        <v>8</v>
      </c>
      <c r="F551" s="216" t="s">
        <v>9</v>
      </c>
    </row>
    <row r="552" spans="1:6">
      <c r="A552" s="215" t="s">
        <v>1250</v>
      </c>
      <c r="B552" s="215" t="s">
        <v>150</v>
      </c>
      <c r="C552" s="215" t="s">
        <v>1250</v>
      </c>
      <c r="D552" s="215" t="s">
        <v>150</v>
      </c>
      <c r="E552" s="216" t="s">
        <v>8</v>
      </c>
      <c r="F552" s="216" t="s">
        <v>9</v>
      </c>
    </row>
    <row r="553" spans="1:6">
      <c r="A553" s="215" t="s">
        <v>1251</v>
      </c>
      <c r="B553" s="215" t="s">
        <v>948</v>
      </c>
      <c r="C553" s="215" t="s">
        <v>1251</v>
      </c>
      <c r="D553" s="215" t="s">
        <v>948</v>
      </c>
      <c r="E553" s="216" t="s">
        <v>8</v>
      </c>
      <c r="F553" s="216" t="s">
        <v>9</v>
      </c>
    </row>
    <row r="554" spans="1:6">
      <c r="A554" s="215" t="s">
        <v>1252</v>
      </c>
      <c r="B554" s="215" t="s">
        <v>132</v>
      </c>
      <c r="C554" s="215"/>
      <c r="D554" s="215"/>
      <c r="E554" s="216" t="s">
        <v>8</v>
      </c>
      <c r="F554" s="216" t="s">
        <v>9</v>
      </c>
    </row>
    <row r="555" spans="1:6">
      <c r="A555" s="215" t="s">
        <v>1253</v>
      </c>
      <c r="B555" s="215" t="s">
        <v>1254</v>
      </c>
      <c r="C555" s="215" t="s">
        <v>1253</v>
      </c>
      <c r="D555" s="215" t="s">
        <v>1254</v>
      </c>
      <c r="E555" s="216" t="s">
        <v>8</v>
      </c>
      <c r="F555" s="216" t="s">
        <v>9</v>
      </c>
    </row>
    <row r="556" spans="1:6">
      <c r="A556" s="215" t="s">
        <v>1255</v>
      </c>
      <c r="B556" s="215" t="s">
        <v>1256</v>
      </c>
      <c r="C556" s="215" t="s">
        <v>1255</v>
      </c>
      <c r="D556" s="215" t="s">
        <v>513</v>
      </c>
      <c r="E556" s="216" t="s">
        <v>8</v>
      </c>
      <c r="F556" s="216" t="s">
        <v>9</v>
      </c>
    </row>
    <row r="557" spans="1:6">
      <c r="A557" s="215" t="s">
        <v>1257</v>
      </c>
      <c r="B557" s="215" t="s">
        <v>1258</v>
      </c>
      <c r="C557" s="215" t="s">
        <v>1257</v>
      </c>
      <c r="D557" s="215" t="s">
        <v>1258</v>
      </c>
      <c r="E557" s="216" t="s">
        <v>8</v>
      </c>
      <c r="F557" s="216" t="s">
        <v>9</v>
      </c>
    </row>
    <row r="558" spans="1:6">
      <c r="A558" s="215" t="s">
        <v>1259</v>
      </c>
      <c r="B558" s="215" t="s">
        <v>1260</v>
      </c>
      <c r="C558" s="215" t="s">
        <v>1259</v>
      </c>
      <c r="D558" s="215" t="s">
        <v>1260</v>
      </c>
      <c r="E558" s="216" t="s">
        <v>8</v>
      </c>
      <c r="F558" s="216" t="s">
        <v>9</v>
      </c>
    </row>
    <row r="559" spans="1:6">
      <c r="A559" s="215" t="s">
        <v>1261</v>
      </c>
      <c r="B559" s="215" t="s">
        <v>1262</v>
      </c>
      <c r="C559" s="215" t="s">
        <v>1261</v>
      </c>
      <c r="D559" s="215" t="s">
        <v>476</v>
      </c>
      <c r="E559" s="216" t="s">
        <v>8</v>
      </c>
      <c r="F559" s="216" t="s">
        <v>9</v>
      </c>
    </row>
    <row r="560" spans="1:6">
      <c r="A560" s="217">
        <v>51351502</v>
      </c>
      <c r="B560" s="217" t="s">
        <v>1263</v>
      </c>
      <c r="C560" s="217">
        <v>51351502</v>
      </c>
      <c r="D560" s="217" t="s">
        <v>1263</v>
      </c>
      <c r="E560" s="218" t="s">
        <v>8</v>
      </c>
      <c r="F560" s="218" t="s">
        <v>9</v>
      </c>
    </row>
    <row r="561" spans="1:6">
      <c r="A561" s="215" t="s">
        <v>1264</v>
      </c>
      <c r="B561" s="215" t="s">
        <v>1265</v>
      </c>
      <c r="C561" s="215" t="s">
        <v>1264</v>
      </c>
      <c r="D561" s="215" t="s">
        <v>1265</v>
      </c>
      <c r="E561" s="216" t="s">
        <v>8</v>
      </c>
      <c r="F561" s="216" t="s">
        <v>9</v>
      </c>
    </row>
    <row r="562" spans="1:6">
      <c r="A562" s="215" t="s">
        <v>1266</v>
      </c>
      <c r="B562" s="215" t="s">
        <v>1267</v>
      </c>
      <c r="C562" s="215" t="s">
        <v>1266</v>
      </c>
      <c r="D562" s="215" t="s">
        <v>1268</v>
      </c>
      <c r="E562" s="216" t="s">
        <v>8</v>
      </c>
      <c r="F562" s="216" t="s">
        <v>9</v>
      </c>
    </row>
    <row r="563" spans="1:6">
      <c r="A563" s="215" t="s">
        <v>1269</v>
      </c>
      <c r="B563" s="215" t="s">
        <v>1270</v>
      </c>
      <c r="C563" s="215" t="s">
        <v>1269</v>
      </c>
      <c r="D563" s="215" t="s">
        <v>1270</v>
      </c>
      <c r="E563" s="216" t="s">
        <v>8</v>
      </c>
      <c r="F563" s="216" t="s">
        <v>9</v>
      </c>
    </row>
    <row r="564" spans="1:6">
      <c r="A564" s="215" t="s">
        <v>1271</v>
      </c>
      <c r="B564" s="215" t="s">
        <v>1272</v>
      </c>
      <c r="C564" s="215" t="s">
        <v>1271</v>
      </c>
      <c r="D564" s="215" t="s">
        <v>1272</v>
      </c>
      <c r="E564" s="216" t="s">
        <v>8</v>
      </c>
      <c r="F564" s="216" t="s">
        <v>9</v>
      </c>
    </row>
    <row r="565" spans="1:6">
      <c r="A565" s="215" t="s">
        <v>1273</v>
      </c>
      <c r="B565" s="215" t="s">
        <v>516</v>
      </c>
      <c r="C565" s="215" t="s">
        <v>1273</v>
      </c>
      <c r="D565" s="215" t="s">
        <v>516</v>
      </c>
      <c r="E565" s="216" t="s">
        <v>8</v>
      </c>
      <c r="F565" s="216" t="s">
        <v>9</v>
      </c>
    </row>
    <row r="566" spans="1:6">
      <c r="A566" s="215" t="s">
        <v>1274</v>
      </c>
      <c r="B566" s="215" t="s">
        <v>516</v>
      </c>
      <c r="C566" s="215" t="s">
        <v>1274</v>
      </c>
      <c r="D566" s="215" t="s">
        <v>516</v>
      </c>
      <c r="E566" s="216" t="s">
        <v>8</v>
      </c>
      <c r="F566" s="216" t="s">
        <v>9</v>
      </c>
    </row>
    <row r="567" spans="1:6">
      <c r="A567" s="215" t="s">
        <v>1275</v>
      </c>
      <c r="B567" s="215" t="s">
        <v>1276</v>
      </c>
      <c r="C567" s="215" t="s">
        <v>1275</v>
      </c>
      <c r="D567" s="215" t="s">
        <v>1276</v>
      </c>
      <c r="E567" s="216" t="s">
        <v>8</v>
      </c>
      <c r="F567" s="216" t="s">
        <v>9</v>
      </c>
    </row>
    <row r="568" spans="1:6">
      <c r="A568" s="215" t="s">
        <v>1277</v>
      </c>
      <c r="B568" s="215" t="s">
        <v>502</v>
      </c>
      <c r="C568" s="215" t="s">
        <v>1277</v>
      </c>
      <c r="D568" s="215" t="s">
        <v>1278</v>
      </c>
      <c r="E568" s="216" t="s">
        <v>8</v>
      </c>
      <c r="F568" s="216" t="s">
        <v>9</v>
      </c>
    </row>
    <row r="569" spans="1:6">
      <c r="A569" s="215" t="s">
        <v>1279</v>
      </c>
      <c r="B569" s="215" t="s">
        <v>1280</v>
      </c>
      <c r="C569" s="215" t="s">
        <v>1279</v>
      </c>
      <c r="D569" s="215" t="s">
        <v>1280</v>
      </c>
      <c r="E569" s="216" t="s">
        <v>8</v>
      </c>
      <c r="F569" s="216" t="s">
        <v>9</v>
      </c>
    </row>
    <row r="570" spans="1:6">
      <c r="A570" s="215" t="s">
        <v>1281</v>
      </c>
      <c r="B570" s="215" t="s">
        <v>497</v>
      </c>
      <c r="C570" s="215" t="s">
        <v>1281</v>
      </c>
      <c r="D570" s="215" t="s">
        <v>497</v>
      </c>
      <c r="E570" s="216" t="s">
        <v>8</v>
      </c>
      <c r="F570" s="216" t="s">
        <v>9</v>
      </c>
    </row>
    <row r="571" spans="1:6">
      <c r="A571" s="215" t="s">
        <v>1282</v>
      </c>
      <c r="B571" s="215" t="s">
        <v>1283</v>
      </c>
      <c r="C571" s="215" t="s">
        <v>1282</v>
      </c>
      <c r="D571" s="215" t="s">
        <v>1283</v>
      </c>
      <c r="E571" s="216" t="s">
        <v>8</v>
      </c>
      <c r="F571" s="216" t="s">
        <v>9</v>
      </c>
    </row>
    <row r="572" spans="1:6">
      <c r="A572" s="215" t="s">
        <v>1284</v>
      </c>
      <c r="B572" s="215" t="s">
        <v>1285</v>
      </c>
      <c r="C572" s="215" t="s">
        <v>1284</v>
      </c>
      <c r="D572" s="215" t="s">
        <v>1285</v>
      </c>
      <c r="E572" s="216" t="s">
        <v>8</v>
      </c>
      <c r="F572" s="216" t="s">
        <v>9</v>
      </c>
    </row>
    <row r="573" spans="1:6">
      <c r="A573" s="215" t="s">
        <v>1286</v>
      </c>
      <c r="B573" s="215" t="s">
        <v>1287</v>
      </c>
      <c r="C573" s="215" t="s">
        <v>1286</v>
      </c>
      <c r="D573" s="215" t="s">
        <v>1287</v>
      </c>
      <c r="E573" s="216" t="s">
        <v>8</v>
      </c>
      <c r="F573" s="216" t="s">
        <v>9</v>
      </c>
    </row>
    <row r="574" spans="1:6">
      <c r="A574" s="215" t="s">
        <v>1288</v>
      </c>
      <c r="B574" s="215" t="s">
        <v>150</v>
      </c>
      <c r="C574" s="215" t="s">
        <v>1288</v>
      </c>
      <c r="D574" s="215" t="s">
        <v>150</v>
      </c>
      <c r="E574" s="216" t="s">
        <v>8</v>
      </c>
      <c r="F574" s="216" t="s">
        <v>9</v>
      </c>
    </row>
    <row r="575" spans="1:6">
      <c r="A575" s="215" t="s">
        <v>1289</v>
      </c>
      <c r="B575" s="215" t="s">
        <v>1290</v>
      </c>
      <c r="C575" s="215" t="s">
        <v>1289</v>
      </c>
      <c r="D575" s="215" t="s">
        <v>1290</v>
      </c>
      <c r="E575" s="216" t="s">
        <v>8</v>
      </c>
      <c r="F575" s="216" t="s">
        <v>9</v>
      </c>
    </row>
    <row r="576" spans="1:6">
      <c r="A576" s="215" t="s">
        <v>1291</v>
      </c>
      <c r="B576" s="215" t="s">
        <v>948</v>
      </c>
      <c r="C576" s="215" t="s">
        <v>1291</v>
      </c>
      <c r="D576" s="215" t="s">
        <v>948</v>
      </c>
      <c r="E576" s="216" t="s">
        <v>8</v>
      </c>
      <c r="F576" s="216" t="s">
        <v>9</v>
      </c>
    </row>
    <row r="577" spans="1:6">
      <c r="A577" s="215" t="s">
        <v>1292</v>
      </c>
      <c r="B577" s="215" t="s">
        <v>450</v>
      </c>
      <c r="C577" s="215"/>
      <c r="D577" s="215"/>
      <c r="E577" s="216" t="s">
        <v>8</v>
      </c>
      <c r="F577" s="216" t="s">
        <v>9</v>
      </c>
    </row>
    <row r="578" spans="1:6">
      <c r="A578" s="215" t="s">
        <v>1293</v>
      </c>
      <c r="B578" s="215" t="s">
        <v>1294</v>
      </c>
      <c r="C578" s="215" t="s">
        <v>1293</v>
      </c>
      <c r="D578" s="215" t="s">
        <v>1294</v>
      </c>
      <c r="E578" s="216" t="s">
        <v>8</v>
      </c>
      <c r="F578" s="216" t="s">
        <v>9</v>
      </c>
    </row>
    <row r="579" spans="1:6">
      <c r="A579" s="215" t="s">
        <v>1295</v>
      </c>
      <c r="B579" s="215" t="s">
        <v>1296</v>
      </c>
      <c r="C579" s="215" t="s">
        <v>1295</v>
      </c>
      <c r="D579" s="215" t="s">
        <v>1296</v>
      </c>
      <c r="E579" s="216" t="s">
        <v>8</v>
      </c>
      <c r="F579" s="216" t="s">
        <v>9</v>
      </c>
    </row>
    <row r="580" spans="1:6">
      <c r="A580" s="215" t="s">
        <v>1297</v>
      </c>
      <c r="B580" s="215" t="s">
        <v>1298</v>
      </c>
      <c r="C580" s="215" t="s">
        <v>1297</v>
      </c>
      <c r="D580" s="215" t="s">
        <v>1298</v>
      </c>
      <c r="E580" s="216" t="s">
        <v>8</v>
      </c>
      <c r="F580" s="216" t="s">
        <v>9</v>
      </c>
    </row>
    <row r="581" spans="1:6">
      <c r="A581" s="215" t="s">
        <v>1299</v>
      </c>
      <c r="B581" s="215" t="s">
        <v>1300</v>
      </c>
      <c r="C581" s="215" t="s">
        <v>1299</v>
      </c>
      <c r="D581" s="215" t="s">
        <v>1301</v>
      </c>
      <c r="E581" s="216" t="s">
        <v>8</v>
      </c>
      <c r="F581" s="216" t="s">
        <v>9</v>
      </c>
    </row>
    <row r="582" spans="1:6">
      <c r="A582" s="215" t="s">
        <v>1302</v>
      </c>
      <c r="B582" s="215" t="s">
        <v>1303</v>
      </c>
      <c r="C582" s="215" t="s">
        <v>1302</v>
      </c>
      <c r="D582" s="215" t="s">
        <v>1304</v>
      </c>
      <c r="E582" s="216" t="s">
        <v>8</v>
      </c>
      <c r="F582" s="216" t="s">
        <v>9</v>
      </c>
    </row>
    <row r="583" spans="1:6">
      <c r="A583" s="215" t="s">
        <v>1305</v>
      </c>
      <c r="B583" s="215" t="s">
        <v>1306</v>
      </c>
      <c r="C583" s="215" t="s">
        <v>1305</v>
      </c>
      <c r="D583" s="215" t="s">
        <v>1306</v>
      </c>
      <c r="E583" s="216" t="s">
        <v>8</v>
      </c>
      <c r="F583" s="216" t="s">
        <v>9</v>
      </c>
    </row>
    <row r="584" spans="1:6">
      <c r="A584" s="215" t="s">
        <v>1307</v>
      </c>
      <c r="B584" s="215" t="s">
        <v>1308</v>
      </c>
      <c r="C584" s="215" t="s">
        <v>1307</v>
      </c>
      <c r="D584" s="215" t="s">
        <v>1308</v>
      </c>
      <c r="E584" s="216" t="s">
        <v>8</v>
      </c>
      <c r="F584" s="216" t="s">
        <v>9</v>
      </c>
    </row>
    <row r="585" spans="1:6">
      <c r="A585" s="215" t="s">
        <v>1309</v>
      </c>
      <c r="B585" s="215" t="s">
        <v>1310</v>
      </c>
      <c r="C585" s="215" t="s">
        <v>1309</v>
      </c>
      <c r="D585" s="215" t="s">
        <v>1310</v>
      </c>
      <c r="E585" s="216" t="s">
        <v>8</v>
      </c>
      <c r="F585" s="216" t="s">
        <v>9</v>
      </c>
    </row>
    <row r="586" spans="1:6">
      <c r="A586" s="215" t="s">
        <v>1311</v>
      </c>
      <c r="B586" s="215" t="s">
        <v>150</v>
      </c>
      <c r="C586" s="215" t="s">
        <v>1311</v>
      </c>
      <c r="D586" s="215" t="s">
        <v>150</v>
      </c>
      <c r="E586" s="216" t="s">
        <v>8</v>
      </c>
      <c r="F586" s="216" t="s">
        <v>9</v>
      </c>
    </row>
    <row r="587" spans="1:6">
      <c r="A587" s="215" t="s">
        <v>1312</v>
      </c>
      <c r="B587" s="215" t="s">
        <v>948</v>
      </c>
      <c r="C587" s="215" t="s">
        <v>1312</v>
      </c>
      <c r="D587" s="215" t="s">
        <v>948</v>
      </c>
      <c r="E587" s="216" t="s">
        <v>8</v>
      </c>
      <c r="F587" s="216" t="s">
        <v>9</v>
      </c>
    </row>
    <row r="588" spans="1:6">
      <c r="A588" s="215" t="s">
        <v>1313</v>
      </c>
      <c r="B588" s="215" t="s">
        <v>1314</v>
      </c>
      <c r="C588" s="215"/>
      <c r="D588" s="215"/>
      <c r="E588" s="216" t="s">
        <v>8</v>
      </c>
      <c r="F588" s="216" t="s">
        <v>9</v>
      </c>
    </row>
    <row r="589" spans="1:6">
      <c r="A589" s="215" t="s">
        <v>1315</v>
      </c>
      <c r="B589" s="215" t="s">
        <v>1185</v>
      </c>
      <c r="C589" s="215" t="s">
        <v>1315</v>
      </c>
      <c r="D589" s="215" t="s">
        <v>1185</v>
      </c>
      <c r="E589" s="216" t="s">
        <v>8</v>
      </c>
      <c r="F589" s="216" t="s">
        <v>9</v>
      </c>
    </row>
    <row r="590" spans="1:6">
      <c r="A590" s="215" t="s">
        <v>1316</v>
      </c>
      <c r="B590" s="215" t="s">
        <v>1187</v>
      </c>
      <c r="C590" s="215" t="s">
        <v>1316</v>
      </c>
      <c r="D590" s="215" t="s">
        <v>1187</v>
      </c>
      <c r="E590" s="216" t="s">
        <v>8</v>
      </c>
      <c r="F590" s="216" t="s">
        <v>9</v>
      </c>
    </row>
    <row r="591" spans="1:6">
      <c r="A591" s="215" t="s">
        <v>1317</v>
      </c>
      <c r="B591" s="215" t="s">
        <v>1191</v>
      </c>
      <c r="C591" s="215" t="s">
        <v>1317</v>
      </c>
      <c r="D591" s="215" t="s">
        <v>1191</v>
      </c>
      <c r="E591" s="216" t="s">
        <v>8</v>
      </c>
      <c r="F591" s="216" t="s">
        <v>9</v>
      </c>
    </row>
    <row r="592" spans="1:6">
      <c r="A592" s="215" t="s">
        <v>1318</v>
      </c>
      <c r="B592" s="215" t="s">
        <v>1193</v>
      </c>
      <c r="C592" s="215" t="s">
        <v>1318</v>
      </c>
      <c r="D592" s="215" t="s">
        <v>1193</v>
      </c>
      <c r="E592" s="216" t="s">
        <v>8</v>
      </c>
      <c r="F592" s="216" t="s">
        <v>9</v>
      </c>
    </row>
    <row r="593" spans="1:6" ht="22.5">
      <c r="A593" s="215" t="s">
        <v>1319</v>
      </c>
      <c r="B593" s="215" t="s">
        <v>392</v>
      </c>
      <c r="C593" s="215" t="s">
        <v>1319</v>
      </c>
      <c r="D593" s="215" t="s">
        <v>392</v>
      </c>
      <c r="E593" s="216" t="s">
        <v>8</v>
      </c>
      <c r="F593" s="216" t="s">
        <v>9</v>
      </c>
    </row>
    <row r="594" spans="1:6">
      <c r="A594" s="215" t="s">
        <v>1320</v>
      </c>
      <c r="B594" s="215" t="s">
        <v>1321</v>
      </c>
      <c r="C594" s="215" t="s">
        <v>1320</v>
      </c>
      <c r="D594" s="215" t="s">
        <v>1321</v>
      </c>
      <c r="E594" s="216" t="s">
        <v>8</v>
      </c>
      <c r="F594" s="216" t="s">
        <v>9</v>
      </c>
    </row>
    <row r="595" spans="1:6">
      <c r="A595" s="215" t="s">
        <v>1322</v>
      </c>
      <c r="B595" s="215" t="s">
        <v>1198</v>
      </c>
      <c r="C595" s="215" t="s">
        <v>1322</v>
      </c>
      <c r="D595" s="215" t="s">
        <v>1198</v>
      </c>
      <c r="E595" s="216" t="s">
        <v>8</v>
      </c>
      <c r="F595" s="216" t="s">
        <v>9</v>
      </c>
    </row>
    <row r="596" spans="1:6">
      <c r="A596" s="215" t="s">
        <v>1323</v>
      </c>
      <c r="B596" s="215" t="s">
        <v>1200</v>
      </c>
      <c r="C596" s="215" t="s">
        <v>1323</v>
      </c>
      <c r="D596" s="215" t="s">
        <v>1200</v>
      </c>
      <c r="E596" s="216" t="s">
        <v>8</v>
      </c>
      <c r="F596" s="216" t="s">
        <v>9</v>
      </c>
    </row>
    <row r="597" spans="1:6">
      <c r="A597" s="215" t="s">
        <v>1324</v>
      </c>
      <c r="B597" s="215" t="s">
        <v>1202</v>
      </c>
      <c r="C597" s="215" t="s">
        <v>1324</v>
      </c>
      <c r="D597" s="215" t="s">
        <v>1202</v>
      </c>
      <c r="E597" s="216" t="s">
        <v>8</v>
      </c>
      <c r="F597" s="216" t="s">
        <v>9</v>
      </c>
    </row>
    <row r="598" spans="1:6">
      <c r="A598" s="215" t="s">
        <v>1325</v>
      </c>
      <c r="B598" s="215" t="s">
        <v>1204</v>
      </c>
      <c r="C598" s="215" t="s">
        <v>1325</v>
      </c>
      <c r="D598" s="215" t="s">
        <v>1204</v>
      </c>
      <c r="E598" s="216" t="s">
        <v>8</v>
      </c>
      <c r="F598" s="216" t="s">
        <v>9</v>
      </c>
    </row>
    <row r="599" spans="1:6">
      <c r="A599" s="215" t="s">
        <v>1326</v>
      </c>
      <c r="B599" s="215" t="s">
        <v>1206</v>
      </c>
      <c r="C599" s="215" t="s">
        <v>1326</v>
      </c>
      <c r="D599" s="215" t="s">
        <v>1206</v>
      </c>
      <c r="E599" s="216" t="s">
        <v>8</v>
      </c>
      <c r="F599" s="216" t="s">
        <v>9</v>
      </c>
    </row>
    <row r="600" spans="1:6">
      <c r="A600" s="215" t="s">
        <v>1327</v>
      </c>
      <c r="B600" s="215" t="s">
        <v>1208</v>
      </c>
      <c r="C600" s="215" t="s">
        <v>1327</v>
      </c>
      <c r="D600" s="215" t="s">
        <v>1208</v>
      </c>
      <c r="E600" s="216" t="s">
        <v>8</v>
      </c>
      <c r="F600" s="216" t="s">
        <v>9</v>
      </c>
    </row>
    <row r="601" spans="1:6">
      <c r="A601" s="215" t="s">
        <v>1328</v>
      </c>
      <c r="B601" s="215" t="s">
        <v>1329</v>
      </c>
      <c r="C601" s="215" t="s">
        <v>1328</v>
      </c>
      <c r="D601" s="215" t="s">
        <v>1329</v>
      </c>
      <c r="E601" s="216" t="s">
        <v>8</v>
      </c>
      <c r="F601" s="216" t="s">
        <v>9</v>
      </c>
    </row>
    <row r="602" spans="1:6">
      <c r="A602" s="215" t="s">
        <v>1330</v>
      </c>
      <c r="B602" s="215" t="s">
        <v>1331</v>
      </c>
      <c r="C602" s="215" t="s">
        <v>1330</v>
      </c>
      <c r="D602" s="215" t="s">
        <v>1331</v>
      </c>
      <c r="E602" s="216" t="s">
        <v>8</v>
      </c>
      <c r="F602" s="216" t="s">
        <v>9</v>
      </c>
    </row>
    <row r="603" spans="1:6">
      <c r="A603" s="215" t="s">
        <v>1332</v>
      </c>
      <c r="B603" s="215" t="s">
        <v>948</v>
      </c>
      <c r="C603" s="215" t="s">
        <v>1332</v>
      </c>
      <c r="D603" s="215" t="s">
        <v>948</v>
      </c>
      <c r="E603" s="216" t="s">
        <v>8</v>
      </c>
      <c r="F603" s="216" t="s">
        <v>9</v>
      </c>
    </row>
    <row r="604" spans="1:6">
      <c r="A604" s="215" t="s">
        <v>1333</v>
      </c>
      <c r="B604" s="215" t="s">
        <v>1334</v>
      </c>
      <c r="C604" s="215"/>
      <c r="D604" s="215"/>
      <c r="E604" s="216" t="s">
        <v>8</v>
      </c>
      <c r="F604" s="216" t="s">
        <v>9</v>
      </c>
    </row>
    <row r="605" spans="1:6">
      <c r="A605" s="215" t="s">
        <v>1335</v>
      </c>
      <c r="B605" s="215" t="s">
        <v>1336</v>
      </c>
      <c r="C605" s="215" t="s">
        <v>1335</v>
      </c>
      <c r="D605" s="215" t="s">
        <v>1336</v>
      </c>
      <c r="E605" s="216" t="s">
        <v>8</v>
      </c>
      <c r="F605" s="216" t="s">
        <v>9</v>
      </c>
    </row>
    <row r="606" spans="1:6">
      <c r="A606" s="215" t="s">
        <v>1337</v>
      </c>
      <c r="B606" s="215" t="s">
        <v>1338</v>
      </c>
      <c r="C606" s="215" t="s">
        <v>1337</v>
      </c>
      <c r="D606" s="215" t="s">
        <v>1338</v>
      </c>
      <c r="E606" s="216" t="s">
        <v>8</v>
      </c>
      <c r="F606" s="216" t="s">
        <v>9</v>
      </c>
    </row>
    <row r="607" spans="1:6">
      <c r="A607" s="215" t="s">
        <v>1339</v>
      </c>
      <c r="B607" s="215" t="s">
        <v>1340</v>
      </c>
      <c r="C607" s="215" t="s">
        <v>1339</v>
      </c>
      <c r="D607" s="215" t="s">
        <v>1340</v>
      </c>
      <c r="E607" s="216" t="s">
        <v>8</v>
      </c>
      <c r="F607" s="216" t="s">
        <v>9</v>
      </c>
    </row>
    <row r="608" spans="1:6">
      <c r="A608" s="215" t="s">
        <v>1341</v>
      </c>
      <c r="B608" s="215" t="s">
        <v>150</v>
      </c>
      <c r="C608" s="215" t="s">
        <v>1341</v>
      </c>
      <c r="D608" s="215" t="s">
        <v>150</v>
      </c>
      <c r="E608" s="216" t="s">
        <v>8</v>
      </c>
      <c r="F608" s="216" t="s">
        <v>9</v>
      </c>
    </row>
    <row r="609" spans="1:6">
      <c r="A609" s="215" t="s">
        <v>1342</v>
      </c>
      <c r="B609" s="215" t="s">
        <v>948</v>
      </c>
      <c r="C609" s="215" t="s">
        <v>1342</v>
      </c>
      <c r="D609" s="215" t="s">
        <v>948</v>
      </c>
      <c r="E609" s="216" t="s">
        <v>8</v>
      </c>
      <c r="F609" s="216" t="s">
        <v>9</v>
      </c>
    </row>
    <row r="610" spans="1:6">
      <c r="A610" s="215" t="s">
        <v>1343</v>
      </c>
      <c r="B610" s="215" t="s">
        <v>525</v>
      </c>
      <c r="C610" s="215"/>
      <c r="D610" s="215"/>
      <c r="E610" s="216" t="s">
        <v>8</v>
      </c>
      <c r="F610" s="216" t="s">
        <v>9</v>
      </c>
    </row>
    <row r="611" spans="1:6">
      <c r="A611" s="215" t="s">
        <v>1344</v>
      </c>
      <c r="B611" s="215" t="s">
        <v>1345</v>
      </c>
      <c r="C611" s="215" t="s">
        <v>1344</v>
      </c>
      <c r="D611" s="215" t="s">
        <v>1345</v>
      </c>
      <c r="E611" s="216" t="s">
        <v>8</v>
      </c>
      <c r="F611" s="216" t="s">
        <v>9</v>
      </c>
    </row>
    <row r="612" spans="1:6">
      <c r="A612" s="215" t="s">
        <v>1346</v>
      </c>
      <c r="B612" s="215" t="s">
        <v>1347</v>
      </c>
      <c r="C612" s="215" t="s">
        <v>1346</v>
      </c>
      <c r="D612" s="215" t="s">
        <v>1347</v>
      </c>
      <c r="E612" s="216" t="s">
        <v>8</v>
      </c>
      <c r="F612" s="216" t="s">
        <v>9</v>
      </c>
    </row>
    <row r="613" spans="1:6">
      <c r="A613" s="215" t="s">
        <v>1348</v>
      </c>
      <c r="B613" s="215" t="s">
        <v>1349</v>
      </c>
      <c r="C613" s="215" t="s">
        <v>1348</v>
      </c>
      <c r="D613" s="215" t="s">
        <v>1349</v>
      </c>
      <c r="E613" s="216" t="s">
        <v>8</v>
      </c>
      <c r="F613" s="216" t="s">
        <v>9</v>
      </c>
    </row>
    <row r="614" spans="1:6">
      <c r="A614" s="215" t="s">
        <v>1350</v>
      </c>
      <c r="B614" s="215" t="s">
        <v>1351</v>
      </c>
      <c r="C614" s="215" t="s">
        <v>1350</v>
      </c>
      <c r="D614" s="215" t="s">
        <v>1352</v>
      </c>
      <c r="E614" s="216" t="s">
        <v>8</v>
      </c>
      <c r="F614" s="216" t="s">
        <v>9</v>
      </c>
    </row>
    <row r="615" spans="1:6">
      <c r="A615" s="215" t="s">
        <v>1353</v>
      </c>
      <c r="B615" s="215" t="s">
        <v>1354</v>
      </c>
      <c r="C615" s="215" t="s">
        <v>1353</v>
      </c>
      <c r="D615" s="215" t="s">
        <v>1354</v>
      </c>
      <c r="E615" s="216" t="s">
        <v>8</v>
      </c>
      <c r="F615" s="216" t="s">
        <v>9</v>
      </c>
    </row>
    <row r="616" spans="1:6">
      <c r="A616" s="215" t="s">
        <v>1355</v>
      </c>
      <c r="B616" s="215" t="s">
        <v>1356</v>
      </c>
      <c r="C616" s="215" t="s">
        <v>1355</v>
      </c>
      <c r="D616" s="215" t="s">
        <v>1356</v>
      </c>
      <c r="E616" s="216" t="s">
        <v>8</v>
      </c>
      <c r="F616" s="216" t="s">
        <v>9</v>
      </c>
    </row>
    <row r="617" spans="1:6">
      <c r="A617" s="215" t="s">
        <v>1357</v>
      </c>
      <c r="B617" s="215" t="s">
        <v>150</v>
      </c>
      <c r="C617" s="215" t="s">
        <v>1357</v>
      </c>
      <c r="D617" s="215" t="s">
        <v>150</v>
      </c>
      <c r="E617" s="216" t="s">
        <v>8</v>
      </c>
      <c r="F617" s="216" t="s">
        <v>9</v>
      </c>
    </row>
    <row r="618" spans="1:6">
      <c r="A618" s="215" t="s">
        <v>1358</v>
      </c>
      <c r="B618" s="215" t="s">
        <v>948</v>
      </c>
      <c r="C618" s="215" t="s">
        <v>1358</v>
      </c>
      <c r="D618" s="215" t="s">
        <v>948</v>
      </c>
      <c r="E618" s="216" t="s">
        <v>8</v>
      </c>
      <c r="F618" s="216" t="s">
        <v>9</v>
      </c>
    </row>
    <row r="619" spans="1:6">
      <c r="A619" s="215" t="s">
        <v>1359</v>
      </c>
      <c r="B619" s="215" t="s">
        <v>1360</v>
      </c>
      <c r="C619" s="215"/>
      <c r="D619" s="215"/>
      <c r="E619" s="216" t="s">
        <v>8</v>
      </c>
      <c r="F619" s="216" t="s">
        <v>9</v>
      </c>
    </row>
    <row r="620" spans="1:6">
      <c r="A620" s="215" t="s">
        <v>1361</v>
      </c>
      <c r="B620" s="215" t="s">
        <v>1187</v>
      </c>
      <c r="C620" s="215" t="s">
        <v>1361</v>
      </c>
      <c r="D620" s="215" t="s">
        <v>1187</v>
      </c>
      <c r="E620" s="216" t="s">
        <v>8</v>
      </c>
      <c r="F620" s="216" t="s">
        <v>9</v>
      </c>
    </row>
    <row r="621" spans="1:6">
      <c r="A621" s="215" t="s">
        <v>1362</v>
      </c>
      <c r="B621" s="215" t="s">
        <v>1191</v>
      </c>
      <c r="C621" s="215" t="s">
        <v>1362</v>
      </c>
      <c r="D621" s="215" t="s">
        <v>1191</v>
      </c>
      <c r="E621" s="216" t="s">
        <v>8</v>
      </c>
      <c r="F621" s="216" t="s">
        <v>9</v>
      </c>
    </row>
    <row r="622" spans="1:6">
      <c r="A622" s="215" t="s">
        <v>1363</v>
      </c>
      <c r="B622" s="215" t="s">
        <v>1193</v>
      </c>
      <c r="C622" s="215" t="s">
        <v>1363</v>
      </c>
      <c r="D622" s="215" t="s">
        <v>1193</v>
      </c>
      <c r="E622" s="216" t="s">
        <v>8</v>
      </c>
      <c r="F622" s="216" t="s">
        <v>9</v>
      </c>
    </row>
    <row r="623" spans="1:6" ht="22.5">
      <c r="A623" s="215" t="s">
        <v>1364</v>
      </c>
      <c r="B623" s="215" t="s">
        <v>392</v>
      </c>
      <c r="C623" s="215" t="s">
        <v>1364</v>
      </c>
      <c r="D623" s="215" t="s">
        <v>392</v>
      </c>
      <c r="E623" s="216" t="s">
        <v>8</v>
      </c>
      <c r="F623" s="216" t="s">
        <v>9</v>
      </c>
    </row>
    <row r="624" spans="1:6">
      <c r="A624" s="215" t="s">
        <v>1365</v>
      </c>
      <c r="B624" s="215" t="s">
        <v>416</v>
      </c>
      <c r="C624" s="215" t="s">
        <v>1365</v>
      </c>
      <c r="D624" s="215" t="s">
        <v>416</v>
      </c>
      <c r="E624" s="216" t="s">
        <v>8</v>
      </c>
      <c r="F624" s="216" t="s">
        <v>9</v>
      </c>
    </row>
    <row r="625" spans="1:6">
      <c r="A625" s="215" t="s">
        <v>1366</v>
      </c>
      <c r="B625" s="215" t="s">
        <v>1367</v>
      </c>
      <c r="C625" s="215" t="s">
        <v>1366</v>
      </c>
      <c r="D625" s="215" t="s">
        <v>419</v>
      </c>
      <c r="E625" s="216" t="s">
        <v>8</v>
      </c>
      <c r="F625" s="216" t="s">
        <v>9</v>
      </c>
    </row>
    <row r="626" spans="1:6">
      <c r="A626" s="215" t="s">
        <v>1368</v>
      </c>
      <c r="B626" s="215" t="s">
        <v>404</v>
      </c>
      <c r="C626" s="215" t="s">
        <v>1368</v>
      </c>
      <c r="D626" s="215" t="s">
        <v>404</v>
      </c>
      <c r="E626" s="216" t="s">
        <v>8</v>
      </c>
      <c r="F626" s="216" t="s">
        <v>9</v>
      </c>
    </row>
    <row r="627" spans="1:6">
      <c r="A627" s="215" t="s">
        <v>1369</v>
      </c>
      <c r="B627" s="215" t="s">
        <v>1196</v>
      </c>
      <c r="C627" s="215" t="s">
        <v>1369</v>
      </c>
      <c r="D627" s="215" t="s">
        <v>1196</v>
      </c>
      <c r="E627" s="216" t="s">
        <v>8</v>
      </c>
      <c r="F627" s="216" t="s">
        <v>9</v>
      </c>
    </row>
    <row r="628" spans="1:6">
      <c r="A628" s="215" t="s">
        <v>1370</v>
      </c>
      <c r="B628" s="215" t="s">
        <v>1198</v>
      </c>
      <c r="C628" s="215" t="s">
        <v>1370</v>
      </c>
      <c r="D628" s="215" t="s">
        <v>1198</v>
      </c>
      <c r="E628" s="216" t="s">
        <v>8</v>
      </c>
      <c r="F628" s="216" t="s">
        <v>9</v>
      </c>
    </row>
    <row r="629" spans="1:6">
      <c r="A629" s="215" t="s">
        <v>1371</v>
      </c>
      <c r="B629" s="215" t="s">
        <v>1200</v>
      </c>
      <c r="C629" s="215" t="s">
        <v>1371</v>
      </c>
      <c r="D629" s="215" t="s">
        <v>1200</v>
      </c>
      <c r="E629" s="216" t="s">
        <v>8</v>
      </c>
      <c r="F629" s="216" t="s">
        <v>9</v>
      </c>
    </row>
    <row r="630" spans="1:6">
      <c r="A630" s="215" t="s">
        <v>1372</v>
      </c>
      <c r="B630" s="215" t="s">
        <v>1202</v>
      </c>
      <c r="C630" s="215" t="s">
        <v>1372</v>
      </c>
      <c r="D630" s="215" t="s">
        <v>1202</v>
      </c>
      <c r="E630" s="216" t="s">
        <v>8</v>
      </c>
      <c r="F630" s="216" t="s">
        <v>9</v>
      </c>
    </row>
    <row r="631" spans="1:6">
      <c r="A631" s="215" t="s">
        <v>1373</v>
      </c>
      <c r="B631" s="215" t="s">
        <v>1204</v>
      </c>
      <c r="C631" s="215" t="s">
        <v>1373</v>
      </c>
      <c r="D631" s="215" t="s">
        <v>1204</v>
      </c>
      <c r="E631" s="216" t="s">
        <v>8</v>
      </c>
      <c r="F631" s="216" t="s">
        <v>9</v>
      </c>
    </row>
    <row r="632" spans="1:6">
      <c r="A632" s="215" t="s">
        <v>1374</v>
      </c>
      <c r="B632" s="215" t="s">
        <v>1206</v>
      </c>
      <c r="C632" s="215" t="s">
        <v>1374</v>
      </c>
      <c r="D632" s="215" t="s">
        <v>1206</v>
      </c>
      <c r="E632" s="216" t="s">
        <v>8</v>
      </c>
      <c r="F632" s="216" t="s">
        <v>9</v>
      </c>
    </row>
    <row r="633" spans="1:6">
      <c r="A633" s="215" t="s">
        <v>1375</v>
      </c>
      <c r="B633" s="215" t="s">
        <v>1376</v>
      </c>
      <c r="C633" s="215" t="s">
        <v>1375</v>
      </c>
      <c r="D633" s="215" t="s">
        <v>1376</v>
      </c>
      <c r="E633" s="216" t="s">
        <v>8</v>
      </c>
      <c r="F633" s="216" t="s">
        <v>9</v>
      </c>
    </row>
    <row r="634" spans="1:6">
      <c r="A634" s="215" t="s">
        <v>1377</v>
      </c>
      <c r="B634" s="215" t="s">
        <v>1329</v>
      </c>
      <c r="C634" s="215" t="s">
        <v>1377</v>
      </c>
      <c r="D634" s="215" t="s">
        <v>1329</v>
      </c>
      <c r="E634" s="216" t="s">
        <v>8</v>
      </c>
      <c r="F634" s="216" t="s">
        <v>9</v>
      </c>
    </row>
    <row r="635" spans="1:6">
      <c r="A635" s="215" t="s">
        <v>1378</v>
      </c>
      <c r="B635" s="215" t="s">
        <v>948</v>
      </c>
      <c r="C635" s="215" t="s">
        <v>1378</v>
      </c>
      <c r="D635" s="215" t="s">
        <v>948</v>
      </c>
      <c r="E635" s="216" t="s">
        <v>8</v>
      </c>
      <c r="F635" s="216" t="s">
        <v>9</v>
      </c>
    </row>
    <row r="636" spans="1:6">
      <c r="A636" s="215" t="s">
        <v>1379</v>
      </c>
      <c r="B636" s="215" t="s">
        <v>1380</v>
      </c>
      <c r="C636" s="215"/>
      <c r="D636" s="215"/>
      <c r="E636" s="216" t="s">
        <v>8</v>
      </c>
      <c r="F636" s="216" t="s">
        <v>9</v>
      </c>
    </row>
    <row r="637" spans="1:6">
      <c r="A637" s="215" t="s">
        <v>1381</v>
      </c>
      <c r="B637" s="215" t="s">
        <v>1331</v>
      </c>
      <c r="C637" s="215" t="s">
        <v>1381</v>
      </c>
      <c r="D637" s="215" t="s">
        <v>1331</v>
      </c>
      <c r="E637" s="216" t="s">
        <v>8</v>
      </c>
      <c r="F637" s="216" t="s">
        <v>9</v>
      </c>
    </row>
    <row r="638" spans="1:6">
      <c r="A638" s="215" t="s">
        <v>1382</v>
      </c>
      <c r="B638" s="215" t="s">
        <v>1383</v>
      </c>
      <c r="C638" s="215" t="s">
        <v>1382</v>
      </c>
      <c r="D638" s="215" t="s">
        <v>1383</v>
      </c>
      <c r="E638" s="216" t="s">
        <v>8</v>
      </c>
      <c r="F638" s="216" t="s">
        <v>9</v>
      </c>
    </row>
    <row r="639" spans="1:6">
      <c r="A639" s="215" t="s">
        <v>1384</v>
      </c>
      <c r="B639" s="215" t="s">
        <v>1385</v>
      </c>
      <c r="C639" s="215" t="s">
        <v>1384</v>
      </c>
      <c r="D639" s="215" t="s">
        <v>1385</v>
      </c>
      <c r="E639" s="216" t="s">
        <v>8</v>
      </c>
      <c r="F639" s="216" t="s">
        <v>9</v>
      </c>
    </row>
    <row r="640" spans="1:6">
      <c r="A640" s="215" t="s">
        <v>1386</v>
      </c>
      <c r="B640" s="215" t="s">
        <v>83</v>
      </c>
      <c r="C640" s="215" t="s">
        <v>1386</v>
      </c>
      <c r="D640" s="215" t="s">
        <v>83</v>
      </c>
      <c r="E640" s="216" t="s">
        <v>8</v>
      </c>
      <c r="F640" s="216" t="s">
        <v>9</v>
      </c>
    </row>
    <row r="641" spans="1:6">
      <c r="A641" s="215" t="s">
        <v>1387</v>
      </c>
      <c r="B641" s="215" t="s">
        <v>948</v>
      </c>
      <c r="C641" s="215" t="s">
        <v>1387</v>
      </c>
      <c r="D641" s="215" t="s">
        <v>948</v>
      </c>
      <c r="E641" s="216" t="s">
        <v>8</v>
      </c>
      <c r="F641" s="216" t="s">
        <v>9</v>
      </c>
    </row>
    <row r="642" spans="1:6">
      <c r="A642" s="215" t="s">
        <v>1388</v>
      </c>
      <c r="B642" s="215" t="s">
        <v>1389</v>
      </c>
      <c r="C642" s="215"/>
      <c r="D642" s="215"/>
      <c r="E642" s="216" t="s">
        <v>8</v>
      </c>
      <c r="F642" s="216" t="s">
        <v>9</v>
      </c>
    </row>
    <row r="643" spans="1:6">
      <c r="A643" s="215" t="s">
        <v>1390</v>
      </c>
      <c r="B643" s="215" t="s">
        <v>1391</v>
      </c>
      <c r="C643" s="215"/>
      <c r="D643" s="215"/>
      <c r="E643" s="216" t="s">
        <v>8</v>
      </c>
      <c r="F643" s="216" t="s">
        <v>9</v>
      </c>
    </row>
    <row r="644" spans="1:6">
      <c r="A644" s="215" t="s">
        <v>1392</v>
      </c>
      <c r="B644" s="215" t="s">
        <v>1393</v>
      </c>
      <c r="C644" s="215" t="s">
        <v>1392</v>
      </c>
      <c r="D644" s="215" t="s">
        <v>1393</v>
      </c>
      <c r="E644" s="216" t="s">
        <v>8</v>
      </c>
      <c r="F644" s="216" t="s">
        <v>9</v>
      </c>
    </row>
    <row r="645" spans="1:6">
      <c r="A645" s="215" t="s">
        <v>1394</v>
      </c>
      <c r="B645" s="215" t="s">
        <v>1395</v>
      </c>
      <c r="C645" s="215" t="s">
        <v>1394</v>
      </c>
      <c r="D645" s="215" t="s">
        <v>1395</v>
      </c>
      <c r="E645" s="216" t="s">
        <v>8</v>
      </c>
      <c r="F645" s="216" t="s">
        <v>9</v>
      </c>
    </row>
    <row r="646" spans="1:6">
      <c r="A646" s="215" t="s">
        <v>1396</v>
      </c>
      <c r="B646" s="215" t="s">
        <v>1397</v>
      </c>
      <c r="C646" s="215" t="s">
        <v>1396</v>
      </c>
      <c r="D646" s="215" t="s">
        <v>1398</v>
      </c>
      <c r="E646" s="216" t="s">
        <v>8</v>
      </c>
      <c r="F646" s="216" t="s">
        <v>9</v>
      </c>
    </row>
    <row r="647" spans="1:6">
      <c r="A647" s="215" t="s">
        <v>1399</v>
      </c>
      <c r="B647" s="215" t="s">
        <v>1400</v>
      </c>
      <c r="C647" s="215"/>
      <c r="D647" s="215"/>
      <c r="E647" s="216" t="s">
        <v>8</v>
      </c>
      <c r="F647" s="216" t="s">
        <v>9</v>
      </c>
    </row>
    <row r="648" spans="1:6">
      <c r="A648" s="215" t="s">
        <v>1401</v>
      </c>
      <c r="B648" s="215" t="s">
        <v>404</v>
      </c>
      <c r="C648" s="215" t="s">
        <v>1401</v>
      </c>
      <c r="D648" s="215" t="s">
        <v>404</v>
      </c>
      <c r="E648" s="216" t="s">
        <v>8</v>
      </c>
      <c r="F648" s="216" t="s">
        <v>9</v>
      </c>
    </row>
    <row r="649" spans="1:6">
      <c r="A649" s="215" t="s">
        <v>1402</v>
      </c>
      <c r="B649" s="215" t="s">
        <v>419</v>
      </c>
      <c r="C649" s="215" t="s">
        <v>1402</v>
      </c>
      <c r="D649" s="215" t="s">
        <v>419</v>
      </c>
      <c r="E649" s="216" t="s">
        <v>8</v>
      </c>
      <c r="F649" s="216" t="s">
        <v>9</v>
      </c>
    </row>
    <row r="650" spans="1:6">
      <c r="A650" s="215" t="s">
        <v>1403</v>
      </c>
      <c r="B650" s="215" t="s">
        <v>1404</v>
      </c>
      <c r="C650" s="215"/>
      <c r="D650" s="215"/>
      <c r="E650" s="216" t="s">
        <v>8</v>
      </c>
      <c r="F650" s="216" t="s">
        <v>9</v>
      </c>
    </row>
    <row r="651" spans="1:6">
      <c r="A651" s="215" t="s">
        <v>1405</v>
      </c>
      <c r="B651" s="215" t="s">
        <v>214</v>
      </c>
      <c r="C651" s="215" t="s">
        <v>1405</v>
      </c>
      <c r="D651" s="215" t="s">
        <v>214</v>
      </c>
      <c r="E651" s="216" t="s">
        <v>8</v>
      </c>
      <c r="F651" s="216" t="s">
        <v>9</v>
      </c>
    </row>
    <row r="652" spans="1:6" ht="22.5">
      <c r="A652" s="215" t="s">
        <v>1406</v>
      </c>
      <c r="B652" s="215" t="s">
        <v>455</v>
      </c>
      <c r="C652" s="215" t="s">
        <v>1406</v>
      </c>
      <c r="D652" s="215" t="s">
        <v>455</v>
      </c>
      <c r="E652" s="216" t="s">
        <v>8</v>
      </c>
      <c r="F652" s="216" t="s">
        <v>9</v>
      </c>
    </row>
    <row r="653" spans="1:6">
      <c r="A653" s="215" t="s">
        <v>1407</v>
      </c>
      <c r="B653" s="215" t="s">
        <v>1408</v>
      </c>
      <c r="C653" s="215" t="s">
        <v>1407</v>
      </c>
      <c r="D653" s="215" t="s">
        <v>1408</v>
      </c>
      <c r="E653" s="216" t="s">
        <v>8</v>
      </c>
      <c r="F653" s="216" t="s">
        <v>9</v>
      </c>
    </row>
    <row r="654" spans="1:6" ht="22.5">
      <c r="A654" s="215" t="s">
        <v>1409</v>
      </c>
      <c r="B654" s="215" t="s">
        <v>532</v>
      </c>
      <c r="C654" s="215" t="s">
        <v>1409</v>
      </c>
      <c r="D654" s="215" t="s">
        <v>532</v>
      </c>
      <c r="E654" s="216" t="s">
        <v>8</v>
      </c>
      <c r="F654" s="216" t="s">
        <v>9</v>
      </c>
    </row>
    <row r="655" spans="1:6">
      <c r="A655" s="215" t="s">
        <v>1410</v>
      </c>
      <c r="B655" s="215" t="s">
        <v>547</v>
      </c>
      <c r="C655" s="215" t="s">
        <v>1410</v>
      </c>
      <c r="D655" s="215" t="s">
        <v>547</v>
      </c>
      <c r="E655" s="216" t="s">
        <v>8</v>
      </c>
      <c r="F655" s="216" t="s">
        <v>9</v>
      </c>
    </row>
    <row r="656" spans="1:6">
      <c r="A656" s="215" t="s">
        <v>1411</v>
      </c>
      <c r="B656" s="215" t="s">
        <v>1412</v>
      </c>
      <c r="C656" s="215" t="s">
        <v>1411</v>
      </c>
      <c r="D656" s="215" t="s">
        <v>1412</v>
      </c>
      <c r="E656" s="216" t="s">
        <v>8</v>
      </c>
      <c r="F656" s="216" t="s">
        <v>9</v>
      </c>
    </row>
    <row r="657" spans="1:6">
      <c r="A657" s="215" t="s">
        <v>1413</v>
      </c>
      <c r="B657" s="215" t="s">
        <v>1414</v>
      </c>
      <c r="C657" s="215" t="s">
        <v>1413</v>
      </c>
      <c r="D657" s="215" t="s">
        <v>1414</v>
      </c>
      <c r="E657" s="216" t="s">
        <v>8</v>
      </c>
      <c r="F657" s="216" t="s">
        <v>9</v>
      </c>
    </row>
    <row r="658" spans="1:6">
      <c r="A658" s="215" t="s">
        <v>1415</v>
      </c>
      <c r="B658" s="215" t="s">
        <v>1416</v>
      </c>
      <c r="C658" s="215" t="s">
        <v>1415</v>
      </c>
      <c r="D658" s="215" t="s">
        <v>1416</v>
      </c>
      <c r="E658" s="216" t="s">
        <v>8</v>
      </c>
      <c r="F658" s="216" t="s">
        <v>9</v>
      </c>
    </row>
    <row r="659" spans="1:6">
      <c r="A659" s="215" t="s">
        <v>1417</v>
      </c>
      <c r="B659" s="215" t="s">
        <v>1418</v>
      </c>
      <c r="C659" s="215" t="s">
        <v>1417</v>
      </c>
      <c r="D659" s="215" t="s">
        <v>1419</v>
      </c>
      <c r="E659" s="216" t="s">
        <v>8</v>
      </c>
      <c r="F659" s="216" t="s">
        <v>9</v>
      </c>
    </row>
    <row r="660" spans="1:6">
      <c r="A660" s="215" t="s">
        <v>1420</v>
      </c>
      <c r="B660" s="215" t="s">
        <v>1421</v>
      </c>
      <c r="C660" s="215" t="s">
        <v>1420</v>
      </c>
      <c r="D660" s="215" t="s">
        <v>1421</v>
      </c>
      <c r="E660" s="216" t="s">
        <v>8</v>
      </c>
      <c r="F660" s="216" t="s">
        <v>9</v>
      </c>
    </row>
    <row r="661" spans="1:6">
      <c r="A661" s="215" t="s">
        <v>1422</v>
      </c>
      <c r="B661" s="215" t="s">
        <v>1423</v>
      </c>
      <c r="C661" s="215" t="s">
        <v>1422</v>
      </c>
      <c r="D661" s="215" t="s">
        <v>1423</v>
      </c>
      <c r="E661" s="216" t="s">
        <v>8</v>
      </c>
      <c r="F661" s="216" t="s">
        <v>9</v>
      </c>
    </row>
    <row r="662" spans="1:6">
      <c r="A662" s="215" t="s">
        <v>1424</v>
      </c>
      <c r="B662" s="215" t="s">
        <v>1425</v>
      </c>
      <c r="C662" s="215" t="s">
        <v>1424</v>
      </c>
      <c r="D662" s="215" t="s">
        <v>1425</v>
      </c>
      <c r="E662" s="216" t="s">
        <v>8</v>
      </c>
      <c r="F662" s="216" t="s">
        <v>9</v>
      </c>
    </row>
    <row r="663" spans="1:6">
      <c r="A663" s="215" t="s">
        <v>1426</v>
      </c>
      <c r="B663" s="215" t="s">
        <v>1427</v>
      </c>
      <c r="C663" s="215" t="s">
        <v>1426</v>
      </c>
      <c r="D663" s="215" t="s">
        <v>1428</v>
      </c>
      <c r="E663" s="216" t="s">
        <v>8</v>
      </c>
      <c r="F663" s="216" t="s">
        <v>9</v>
      </c>
    </row>
    <row r="664" spans="1:6">
      <c r="A664" s="215" t="s">
        <v>1429</v>
      </c>
      <c r="B664" s="215" t="s">
        <v>1430</v>
      </c>
      <c r="C664" s="215" t="s">
        <v>1429</v>
      </c>
      <c r="D664" s="215" t="s">
        <v>1430</v>
      </c>
      <c r="E664" s="216" t="s">
        <v>8</v>
      </c>
      <c r="F664" s="216" t="s">
        <v>9</v>
      </c>
    </row>
    <row r="665" spans="1:6">
      <c r="A665" s="215" t="s">
        <v>1431</v>
      </c>
      <c r="B665" s="215" t="s">
        <v>1432</v>
      </c>
      <c r="C665" s="215" t="s">
        <v>1431</v>
      </c>
      <c r="D665" s="215" t="s">
        <v>1432</v>
      </c>
      <c r="E665" s="216" t="s">
        <v>8</v>
      </c>
      <c r="F665" s="216" t="s">
        <v>9</v>
      </c>
    </row>
    <row r="666" spans="1:6">
      <c r="A666" s="215" t="s">
        <v>1433</v>
      </c>
      <c r="B666" s="215" t="s">
        <v>1434</v>
      </c>
      <c r="C666" s="215" t="s">
        <v>1433</v>
      </c>
      <c r="D666" s="215" t="s">
        <v>1434</v>
      </c>
      <c r="E666" s="216" t="s">
        <v>8</v>
      </c>
      <c r="F666" s="216" t="s">
        <v>9</v>
      </c>
    </row>
    <row r="667" spans="1:6">
      <c r="A667" s="215" t="s">
        <v>1435</v>
      </c>
      <c r="B667" s="215" t="s">
        <v>1436</v>
      </c>
      <c r="C667" s="215" t="s">
        <v>1435</v>
      </c>
      <c r="D667" s="215" t="s">
        <v>1437</v>
      </c>
      <c r="E667" s="216" t="s">
        <v>8</v>
      </c>
      <c r="F667" s="216" t="s">
        <v>9</v>
      </c>
    </row>
    <row r="668" spans="1:6">
      <c r="A668" s="215" t="s">
        <v>1438</v>
      </c>
      <c r="B668" s="215" t="s">
        <v>1439</v>
      </c>
      <c r="C668" s="215" t="s">
        <v>1438</v>
      </c>
      <c r="D668" s="215" t="s">
        <v>1439</v>
      </c>
      <c r="E668" s="216" t="s">
        <v>8</v>
      </c>
      <c r="F668" s="216" t="s">
        <v>9</v>
      </c>
    </row>
    <row r="669" spans="1:6">
      <c r="A669" s="215" t="s">
        <v>1440</v>
      </c>
      <c r="B669" s="215" t="s">
        <v>1441</v>
      </c>
      <c r="C669" s="215" t="s">
        <v>1440</v>
      </c>
      <c r="D669" s="215" t="s">
        <v>1441</v>
      </c>
      <c r="E669" s="216" t="s">
        <v>8</v>
      </c>
      <c r="F669" s="216" t="s">
        <v>9</v>
      </c>
    </row>
    <row r="670" spans="1:6">
      <c r="A670" s="215" t="s">
        <v>1442</v>
      </c>
      <c r="B670" s="215" t="s">
        <v>1443</v>
      </c>
      <c r="C670" s="215" t="s">
        <v>1442</v>
      </c>
      <c r="D670" s="215" t="s">
        <v>1443</v>
      </c>
      <c r="E670" s="216" t="s">
        <v>8</v>
      </c>
      <c r="F670" s="216" t="s">
        <v>9</v>
      </c>
    </row>
    <row r="671" spans="1:6">
      <c r="A671" s="215" t="s">
        <v>1444</v>
      </c>
      <c r="B671" s="215" t="s">
        <v>1445</v>
      </c>
      <c r="C671" s="215" t="s">
        <v>1444</v>
      </c>
      <c r="D671" s="215" t="s">
        <v>1445</v>
      </c>
      <c r="E671" s="216" t="s">
        <v>8</v>
      </c>
      <c r="F671" s="216" t="s">
        <v>9</v>
      </c>
    </row>
    <row r="672" spans="1:6">
      <c r="A672" s="215" t="s">
        <v>1446</v>
      </c>
      <c r="B672" s="215" t="s">
        <v>150</v>
      </c>
      <c r="C672" s="215" t="s">
        <v>1446</v>
      </c>
      <c r="D672" s="215" t="s">
        <v>150</v>
      </c>
      <c r="E672" s="216" t="s">
        <v>8</v>
      </c>
      <c r="F672" s="216" t="s">
        <v>9</v>
      </c>
    </row>
    <row r="673" spans="1:6">
      <c r="A673" s="215" t="s">
        <v>1447</v>
      </c>
      <c r="B673" s="215" t="s">
        <v>948</v>
      </c>
      <c r="C673" s="215" t="s">
        <v>1447</v>
      </c>
      <c r="D673" s="215" t="s">
        <v>948</v>
      </c>
      <c r="E673" s="216" t="s">
        <v>8</v>
      </c>
      <c r="F673" s="216" t="s">
        <v>9</v>
      </c>
    </row>
    <row r="674" spans="1:6">
      <c r="A674" s="215" t="s">
        <v>1448</v>
      </c>
      <c r="B674" s="215" t="s">
        <v>352</v>
      </c>
      <c r="C674" s="215"/>
      <c r="D674" s="215"/>
      <c r="E674" s="216" t="s">
        <v>8</v>
      </c>
      <c r="F674" s="216" t="s">
        <v>9</v>
      </c>
    </row>
    <row r="675" spans="1:6">
      <c r="A675" s="215" t="s">
        <v>1449</v>
      </c>
      <c r="B675" s="215" t="s">
        <v>1450</v>
      </c>
      <c r="C675" s="215" t="s">
        <v>1449</v>
      </c>
      <c r="D675" s="215" t="s">
        <v>1450</v>
      </c>
      <c r="E675" s="216" t="s">
        <v>8</v>
      </c>
      <c r="F675" s="216" t="s">
        <v>9</v>
      </c>
    </row>
    <row r="676" spans="1:6">
      <c r="A676" s="215" t="s">
        <v>1451</v>
      </c>
      <c r="B676" s="215" t="s">
        <v>57</v>
      </c>
      <c r="C676" s="215" t="s">
        <v>1451</v>
      </c>
      <c r="D676" s="215" t="s">
        <v>57</v>
      </c>
      <c r="E676" s="216" t="s">
        <v>8</v>
      </c>
      <c r="F676" s="216" t="s">
        <v>9</v>
      </c>
    </row>
    <row r="677" spans="1:6">
      <c r="A677" s="215" t="s">
        <v>1452</v>
      </c>
      <c r="B677" s="215" t="s">
        <v>1453</v>
      </c>
      <c r="C677" s="215" t="s">
        <v>1452</v>
      </c>
      <c r="D677" s="215" t="s">
        <v>1453</v>
      </c>
      <c r="E677" s="216" t="s">
        <v>8</v>
      </c>
      <c r="F677" s="216" t="s">
        <v>9</v>
      </c>
    </row>
    <row r="678" spans="1:6">
      <c r="A678" s="215" t="s">
        <v>1454</v>
      </c>
      <c r="B678" s="215" t="s">
        <v>1455</v>
      </c>
      <c r="C678" s="215" t="s">
        <v>1454</v>
      </c>
      <c r="D678" s="215" t="s">
        <v>1455</v>
      </c>
      <c r="E678" s="216" t="s">
        <v>8</v>
      </c>
      <c r="F678" s="216" t="s">
        <v>9</v>
      </c>
    </row>
    <row r="679" spans="1:6">
      <c r="A679" s="215" t="s">
        <v>1456</v>
      </c>
      <c r="B679" s="215" t="s">
        <v>948</v>
      </c>
      <c r="C679" s="215" t="s">
        <v>1456</v>
      </c>
      <c r="D679" s="215" t="s">
        <v>948</v>
      </c>
      <c r="E679" s="216" t="s">
        <v>8</v>
      </c>
      <c r="F679" s="216" t="s">
        <v>9</v>
      </c>
    </row>
    <row r="680" spans="1:6">
      <c r="A680" s="215" t="s">
        <v>1457</v>
      </c>
      <c r="B680" s="215" t="s">
        <v>1034</v>
      </c>
      <c r="C680" s="215"/>
      <c r="D680" s="215"/>
      <c r="E680" s="216" t="s">
        <v>8</v>
      </c>
      <c r="F680" s="216" t="s">
        <v>9</v>
      </c>
    </row>
    <row r="681" spans="1:6">
      <c r="A681" s="215" t="s">
        <v>1458</v>
      </c>
      <c r="B681" s="215" t="s">
        <v>1036</v>
      </c>
      <c r="C681" s="215"/>
      <c r="D681" s="215"/>
      <c r="E681" s="216" t="s">
        <v>8</v>
      </c>
      <c r="F681" s="216" t="s">
        <v>9</v>
      </c>
    </row>
    <row r="682" spans="1:6">
      <c r="A682" s="215" t="s">
        <v>1459</v>
      </c>
      <c r="B682" s="215" t="s">
        <v>1460</v>
      </c>
      <c r="C682" s="215" t="s">
        <v>1459</v>
      </c>
      <c r="D682" s="215" t="s">
        <v>1460</v>
      </c>
      <c r="E682" s="216" t="s">
        <v>8</v>
      </c>
      <c r="F682" s="216" t="s">
        <v>9</v>
      </c>
    </row>
    <row r="683" spans="1:6">
      <c r="A683" s="215" t="s">
        <v>1461</v>
      </c>
      <c r="B683" s="215" t="s">
        <v>1462</v>
      </c>
      <c r="C683" s="215" t="s">
        <v>1461</v>
      </c>
      <c r="D683" s="215" t="s">
        <v>1463</v>
      </c>
      <c r="E683" s="216" t="s">
        <v>8</v>
      </c>
      <c r="F683" s="216" t="s">
        <v>9</v>
      </c>
    </row>
    <row r="684" spans="1:6">
      <c r="A684" s="215" t="s">
        <v>1464</v>
      </c>
      <c r="B684" s="215" t="s">
        <v>1465</v>
      </c>
      <c r="C684" s="215" t="s">
        <v>1464</v>
      </c>
      <c r="D684" s="215" t="s">
        <v>1466</v>
      </c>
      <c r="E684" s="216" t="s">
        <v>8</v>
      </c>
      <c r="F684" s="216" t="s">
        <v>9</v>
      </c>
    </row>
    <row r="685" spans="1:6">
      <c r="A685" s="215" t="s">
        <v>1467</v>
      </c>
      <c r="B685" s="215" t="s">
        <v>1468</v>
      </c>
      <c r="C685" s="215" t="s">
        <v>1467</v>
      </c>
      <c r="D685" s="215" t="s">
        <v>1468</v>
      </c>
      <c r="E685" s="216" t="s">
        <v>8</v>
      </c>
      <c r="F685" s="216" t="s">
        <v>9</v>
      </c>
    </row>
    <row r="686" spans="1:6">
      <c r="A686" s="215" t="s">
        <v>1469</v>
      </c>
      <c r="B686" s="215" t="s">
        <v>1042</v>
      </c>
      <c r="C686" s="215" t="s">
        <v>1469</v>
      </c>
      <c r="D686" s="215" t="s">
        <v>1042</v>
      </c>
      <c r="E686" s="216" t="s">
        <v>8</v>
      </c>
      <c r="F686" s="216" t="s">
        <v>9</v>
      </c>
    </row>
    <row r="687" spans="1:6">
      <c r="A687" s="215" t="s">
        <v>1470</v>
      </c>
      <c r="B687" s="215" t="s">
        <v>214</v>
      </c>
      <c r="C687" s="215" t="s">
        <v>1470</v>
      </c>
      <c r="D687" s="215" t="s">
        <v>214</v>
      </c>
      <c r="E687" s="216" t="s">
        <v>8</v>
      </c>
      <c r="F687" s="216" t="s">
        <v>9</v>
      </c>
    </row>
    <row r="688" spans="1:6">
      <c r="A688" s="215" t="s">
        <v>1471</v>
      </c>
      <c r="B688" s="215" t="s">
        <v>211</v>
      </c>
      <c r="C688" s="215" t="s">
        <v>1471</v>
      </c>
      <c r="D688" s="215" t="s">
        <v>211</v>
      </c>
      <c r="E688" s="216" t="s">
        <v>8</v>
      </c>
      <c r="F688" s="216" t="s">
        <v>9</v>
      </c>
    </row>
    <row r="689" spans="1:6">
      <c r="A689" s="215" t="s">
        <v>1472</v>
      </c>
      <c r="B689" s="215" t="s">
        <v>1046</v>
      </c>
      <c r="C689" s="215" t="s">
        <v>1472</v>
      </c>
      <c r="D689" s="215" t="s">
        <v>1046</v>
      </c>
      <c r="E689" s="216" t="s">
        <v>8</v>
      </c>
      <c r="F689" s="216" t="s">
        <v>9</v>
      </c>
    </row>
    <row r="690" spans="1:6" ht="22.5">
      <c r="A690" s="215" t="s">
        <v>1473</v>
      </c>
      <c r="B690" s="215" t="s">
        <v>1474</v>
      </c>
      <c r="C690" s="215" t="s">
        <v>1473</v>
      </c>
      <c r="D690" s="215" t="s">
        <v>1474</v>
      </c>
      <c r="E690" s="216" t="s">
        <v>8</v>
      </c>
      <c r="F690" s="216" t="s">
        <v>9</v>
      </c>
    </row>
    <row r="691" spans="1:6" ht="22.5">
      <c r="A691" s="215" t="s">
        <v>1475</v>
      </c>
      <c r="B691" s="215" t="s">
        <v>1054</v>
      </c>
      <c r="C691" s="215" t="s">
        <v>1475</v>
      </c>
      <c r="D691" s="215" t="s">
        <v>1054</v>
      </c>
      <c r="E691" s="216" t="s">
        <v>8</v>
      </c>
      <c r="F691" s="216" t="s">
        <v>9</v>
      </c>
    </row>
    <row r="692" spans="1:6">
      <c r="A692" s="215" t="s">
        <v>1476</v>
      </c>
      <c r="B692" s="215" t="s">
        <v>1477</v>
      </c>
      <c r="C692" s="215" t="s">
        <v>1476</v>
      </c>
      <c r="D692" s="215" t="s">
        <v>1477</v>
      </c>
      <c r="E692" s="216" t="s">
        <v>8</v>
      </c>
      <c r="F692" s="216" t="s">
        <v>9</v>
      </c>
    </row>
    <row r="693" spans="1:6">
      <c r="A693" s="215" t="s">
        <v>1478</v>
      </c>
      <c r="B693" s="215" t="s">
        <v>1479</v>
      </c>
      <c r="C693" s="215" t="s">
        <v>1478</v>
      </c>
      <c r="D693" s="215" t="s">
        <v>1479</v>
      </c>
      <c r="E693" s="216" t="s">
        <v>8</v>
      </c>
      <c r="F693" s="216" t="s">
        <v>9</v>
      </c>
    </row>
    <row r="694" spans="1:6">
      <c r="A694" s="215" t="s">
        <v>1480</v>
      </c>
      <c r="B694" s="215" t="s">
        <v>150</v>
      </c>
      <c r="C694" s="215"/>
      <c r="D694" s="215"/>
      <c r="E694" s="216" t="s">
        <v>8</v>
      </c>
      <c r="F694" s="216" t="s">
        <v>9</v>
      </c>
    </row>
    <row r="695" spans="1:6">
      <c r="A695" s="215" t="s">
        <v>1481</v>
      </c>
      <c r="B695" s="215" t="s">
        <v>1482</v>
      </c>
      <c r="C695" s="215" t="s">
        <v>1483</v>
      </c>
      <c r="D695" s="215" t="s">
        <v>1482</v>
      </c>
      <c r="E695" s="216" t="s">
        <v>8</v>
      </c>
      <c r="F695" s="216" t="s">
        <v>9</v>
      </c>
    </row>
    <row r="696" spans="1:6">
      <c r="A696" s="215" t="s">
        <v>1484</v>
      </c>
      <c r="B696" s="215" t="s">
        <v>1065</v>
      </c>
      <c r="C696" s="215" t="s">
        <v>1485</v>
      </c>
      <c r="D696" s="215" t="s">
        <v>1065</v>
      </c>
      <c r="E696" s="216" t="s">
        <v>8</v>
      </c>
      <c r="F696" s="216" t="s">
        <v>9</v>
      </c>
    </row>
    <row r="697" spans="1:6">
      <c r="A697" s="215" t="s">
        <v>1486</v>
      </c>
      <c r="B697" s="215" t="s">
        <v>948</v>
      </c>
      <c r="C697" s="215" t="s">
        <v>1486</v>
      </c>
      <c r="D697" s="215" t="s">
        <v>948</v>
      </c>
      <c r="E697" s="216" t="s">
        <v>8</v>
      </c>
      <c r="F697" s="216" t="s">
        <v>9</v>
      </c>
    </row>
    <row r="698" spans="1:6">
      <c r="A698" s="215" t="s">
        <v>1487</v>
      </c>
      <c r="B698" s="215" t="s">
        <v>1488</v>
      </c>
      <c r="C698" s="215"/>
      <c r="D698" s="215"/>
      <c r="E698" s="216" t="s">
        <v>8</v>
      </c>
      <c r="F698" s="216" t="s">
        <v>9</v>
      </c>
    </row>
    <row r="699" spans="1:6">
      <c r="A699" s="215" t="s">
        <v>1489</v>
      </c>
      <c r="B699" s="215" t="s">
        <v>1490</v>
      </c>
      <c r="C699" s="215"/>
      <c r="D699" s="215"/>
      <c r="E699" s="216" t="s">
        <v>8</v>
      </c>
      <c r="F699" s="216" t="s">
        <v>9</v>
      </c>
    </row>
    <row r="700" spans="1:6">
      <c r="A700" s="215" t="s">
        <v>1491</v>
      </c>
      <c r="B700" s="215" t="s">
        <v>1492</v>
      </c>
      <c r="C700" s="215" t="s">
        <v>1491</v>
      </c>
      <c r="D700" s="215" t="s">
        <v>1493</v>
      </c>
      <c r="E700" s="216" t="s">
        <v>8</v>
      </c>
      <c r="F700" s="216" t="s">
        <v>9</v>
      </c>
    </row>
    <row r="701" spans="1:6">
      <c r="A701" s="215" t="s">
        <v>1494</v>
      </c>
      <c r="B701" s="215" t="s">
        <v>1495</v>
      </c>
      <c r="C701" s="215" t="s">
        <v>1494</v>
      </c>
      <c r="D701" s="215" t="s">
        <v>1496</v>
      </c>
      <c r="E701" s="216" t="s">
        <v>8</v>
      </c>
      <c r="F701" s="216" t="s">
        <v>9</v>
      </c>
    </row>
    <row r="702" spans="1:6">
      <c r="A702" s="215" t="s">
        <v>1497</v>
      </c>
      <c r="B702" s="215" t="s">
        <v>1498</v>
      </c>
      <c r="C702" s="215" t="s">
        <v>1497</v>
      </c>
      <c r="D702" s="215" t="s">
        <v>1498</v>
      </c>
      <c r="E702" s="216" t="s">
        <v>8</v>
      </c>
      <c r="F702" s="216" t="s">
        <v>9</v>
      </c>
    </row>
    <row r="703" spans="1:6">
      <c r="A703" s="215" t="s">
        <v>1499</v>
      </c>
      <c r="B703" s="215" t="s">
        <v>1500</v>
      </c>
      <c r="C703" s="215"/>
      <c r="D703" s="215"/>
      <c r="E703" s="216" t="s">
        <v>8</v>
      </c>
      <c r="F703" s="216" t="s">
        <v>9</v>
      </c>
    </row>
    <row r="704" spans="1:6">
      <c r="A704" s="215" t="s">
        <v>1501</v>
      </c>
      <c r="B704" s="215" t="s">
        <v>1500</v>
      </c>
      <c r="C704" s="215"/>
      <c r="D704" s="215"/>
      <c r="E704" s="216" t="s">
        <v>8</v>
      </c>
      <c r="F704" s="216" t="s">
        <v>9</v>
      </c>
    </row>
    <row r="705" spans="1:6">
      <c r="A705" s="215" t="s">
        <v>1502</v>
      </c>
      <c r="B705" s="215" t="s">
        <v>1500</v>
      </c>
      <c r="C705" s="215" t="s">
        <v>1502</v>
      </c>
      <c r="D705" s="215" t="s">
        <v>1500</v>
      </c>
      <c r="E705" s="216" t="s">
        <v>8</v>
      </c>
      <c r="F705" s="216" t="s">
        <v>9</v>
      </c>
    </row>
    <row r="706" spans="1:6">
      <c r="A706" s="215" t="s">
        <v>1503</v>
      </c>
      <c r="B706" s="215" t="s">
        <v>1504</v>
      </c>
      <c r="C706" s="215"/>
      <c r="D706" s="215"/>
      <c r="E706" s="216" t="s">
        <v>8</v>
      </c>
      <c r="F706" s="216" t="s">
        <v>9</v>
      </c>
    </row>
    <row r="707" spans="1:6">
      <c r="A707" s="215" t="s">
        <v>1505</v>
      </c>
      <c r="B707" s="215" t="s">
        <v>1504</v>
      </c>
      <c r="C707" s="215"/>
      <c r="D707" s="215"/>
      <c r="E707" s="216" t="s">
        <v>8</v>
      </c>
      <c r="F707" s="216" t="s">
        <v>9</v>
      </c>
    </row>
    <row r="708" spans="1:6">
      <c r="A708" s="215" t="s">
        <v>1506</v>
      </c>
      <c r="B708" s="215" t="s">
        <v>1504</v>
      </c>
      <c r="C708" s="215" t="s">
        <v>1506</v>
      </c>
      <c r="D708" s="215" t="s">
        <v>1504</v>
      </c>
      <c r="E708" s="216" t="s">
        <v>8</v>
      </c>
      <c r="F708" s="216" t="s">
        <v>9</v>
      </c>
    </row>
  </sheetData>
  <autoFilter ref="A1:F708" xr:uid="{B6FA62DE-0AC4-4942-B77C-23524852775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D78EF-F58F-49D9-AA00-F91ACF029A69}">
  <dimension ref="B1:J88"/>
  <sheetViews>
    <sheetView workbookViewId="0">
      <pane xSplit="6" ySplit="5" topLeftCell="G6" activePane="bottomRight" state="frozen"/>
      <selection pane="topRight" activeCell="F1" sqref="F1"/>
      <selection pane="bottomLeft" activeCell="F1" sqref="F1"/>
      <selection pane="bottomRight" activeCell="G6" sqref="G6"/>
    </sheetView>
  </sheetViews>
  <sheetFormatPr baseColWidth="10" defaultColWidth="11.42578125" defaultRowHeight="15"/>
  <cols>
    <col min="3" max="5" width="2.7109375" customWidth="1"/>
    <col min="6" max="6" width="50.7109375" customWidth="1"/>
    <col min="7" max="7" width="16.85546875" bestFit="1" customWidth="1"/>
    <col min="8" max="9" width="15.28515625" bestFit="1" customWidth="1"/>
    <col min="10" max="10" width="11.85546875" bestFit="1" customWidth="1"/>
  </cols>
  <sheetData>
    <row r="1" spans="3:9">
      <c r="F1" s="64"/>
    </row>
    <row r="2" spans="3:9">
      <c r="F2" s="64" t="s">
        <v>4704</v>
      </c>
      <c r="G2" s="3">
        <f>G66</f>
        <v>9132637</v>
      </c>
    </row>
    <row r="3" spans="3:9">
      <c r="F3" t="str">
        <f>"Periodo: 1 de enero a 31 de diciembre de "&amp;G5</f>
        <v>Periodo: 1 de enero a 31 de diciembre de 2023</v>
      </c>
    </row>
    <row r="4" spans="3:9">
      <c r="F4" t="s">
        <v>4705</v>
      </c>
    </row>
    <row r="5" spans="3:9">
      <c r="G5" s="341">
        <f>ESF!F6</f>
        <v>2023</v>
      </c>
      <c r="H5" s="3"/>
      <c r="I5" s="3"/>
    </row>
    <row r="6" spans="3:9">
      <c r="C6" s="377" t="s">
        <v>4706</v>
      </c>
      <c r="D6" s="378"/>
      <c r="E6" s="378"/>
      <c r="F6" s="379"/>
      <c r="G6" s="322"/>
      <c r="H6" s="3"/>
      <c r="I6" s="3"/>
    </row>
    <row r="7" spans="3:9">
      <c r="C7" s="323"/>
      <c r="D7" s="380" t="s">
        <v>4707</v>
      </c>
      <c r="E7" s="381"/>
      <c r="F7" s="382"/>
      <c r="G7" s="322"/>
      <c r="H7" s="3"/>
      <c r="I7" s="3"/>
    </row>
    <row r="8" spans="3:9">
      <c r="C8" s="323"/>
      <c r="D8" s="324"/>
      <c r="E8" s="383" t="s">
        <v>4390</v>
      </c>
      <c r="F8" s="384"/>
      <c r="G8" s="326">
        <f>ROUND(-SUMIF(Mov!$U:$U,E8,Mov!$J:$J),0)</f>
        <v>49763400</v>
      </c>
      <c r="H8" s="3"/>
      <c r="I8" s="3"/>
    </row>
    <row r="9" spans="3:9">
      <c r="C9" s="323"/>
      <c r="D9" s="324"/>
      <c r="E9" s="375" t="s">
        <v>4708</v>
      </c>
      <c r="F9" s="376"/>
      <c r="G9" s="322"/>
      <c r="H9" s="3"/>
      <c r="I9" s="3"/>
    </row>
    <row r="10" spans="3:9">
      <c r="C10" s="323"/>
      <c r="D10" s="324"/>
      <c r="E10" s="324"/>
      <c r="F10" s="327" t="s">
        <v>4709</v>
      </c>
      <c r="G10" s="328"/>
      <c r="H10" s="3"/>
      <c r="I10" s="3"/>
    </row>
    <row r="11" spans="3:9">
      <c r="C11" s="323"/>
      <c r="D11" s="324"/>
      <c r="E11" s="324"/>
      <c r="F11" s="321" t="s">
        <v>4316</v>
      </c>
      <c r="G11" s="343">
        <f>ROUND(-SUMIF(Mov!$U:$U,F11,Mov!$J:$J),0)</f>
        <v>21126660</v>
      </c>
      <c r="H11" s="3"/>
      <c r="I11" s="3"/>
    </row>
    <row r="12" spans="3:9">
      <c r="C12" s="323"/>
      <c r="D12" s="324"/>
      <c r="E12" s="324"/>
      <c r="F12" s="321" t="s">
        <v>4710</v>
      </c>
      <c r="G12" s="329"/>
      <c r="H12" s="3"/>
      <c r="I12" s="3"/>
    </row>
    <row r="13" spans="3:9" ht="25.5">
      <c r="C13" s="323"/>
      <c r="D13" s="324"/>
      <c r="E13" s="324"/>
      <c r="F13" s="327" t="s">
        <v>4711</v>
      </c>
      <c r="G13" s="328"/>
      <c r="H13" s="3"/>
      <c r="I13" s="3"/>
    </row>
    <row r="14" spans="3:9">
      <c r="C14" s="323"/>
      <c r="D14" s="324"/>
      <c r="E14" s="324"/>
      <c r="F14" s="321" t="s">
        <v>4712</v>
      </c>
      <c r="G14" s="329"/>
      <c r="H14" s="3"/>
      <c r="I14" s="3"/>
    </row>
    <row r="15" spans="3:9">
      <c r="C15" s="323"/>
      <c r="D15" s="324"/>
      <c r="E15" s="324"/>
      <c r="F15" s="327" t="s">
        <v>4713</v>
      </c>
      <c r="G15" s="328"/>
      <c r="H15" s="3"/>
      <c r="I15" s="3"/>
    </row>
    <row r="16" spans="3:9" ht="25.5">
      <c r="C16" s="323"/>
      <c r="D16" s="324"/>
      <c r="E16" s="324"/>
      <c r="F16" s="321" t="s">
        <v>4714</v>
      </c>
      <c r="G16" s="329"/>
      <c r="H16" s="3"/>
      <c r="I16" s="3"/>
    </row>
    <row r="17" spans="3:9">
      <c r="C17" s="323"/>
      <c r="D17" s="324"/>
      <c r="E17" s="324"/>
      <c r="F17" s="327" t="s">
        <v>4715</v>
      </c>
      <c r="G17" s="328"/>
      <c r="H17" s="3"/>
      <c r="I17" s="3"/>
    </row>
    <row r="18" spans="3:9">
      <c r="C18" s="323"/>
      <c r="D18" s="324"/>
      <c r="E18" s="324"/>
      <c r="F18" s="321" t="s">
        <v>4716</v>
      </c>
      <c r="G18" s="329"/>
      <c r="H18" s="3"/>
      <c r="I18" s="3"/>
    </row>
    <row r="19" spans="3:9" ht="25.5">
      <c r="C19" s="323"/>
      <c r="D19" s="324"/>
      <c r="E19" s="324"/>
      <c r="F19" s="327" t="s">
        <v>4717</v>
      </c>
      <c r="G19" s="328"/>
      <c r="H19" s="3"/>
      <c r="I19" s="3"/>
    </row>
    <row r="20" spans="3:9">
      <c r="C20" s="323"/>
      <c r="D20" s="324"/>
      <c r="E20" s="324"/>
      <c r="F20" s="321" t="s">
        <v>4331</v>
      </c>
      <c r="G20" s="343">
        <f>ROUND(-SUMIF(Mov!$U:$U,F20,Mov!$J:$J),0)</f>
        <v>38393938</v>
      </c>
      <c r="H20" s="3"/>
      <c r="I20" s="3"/>
    </row>
    <row r="21" spans="3:9">
      <c r="C21" s="323"/>
      <c r="D21" s="324"/>
      <c r="E21" s="330"/>
      <c r="F21" s="331" t="s">
        <v>4718</v>
      </c>
      <c r="G21" s="326">
        <f>SUM(G10:G17)-G18+G19+G20</f>
        <v>59520598</v>
      </c>
      <c r="H21" s="3"/>
      <c r="I21" s="3"/>
    </row>
    <row r="22" spans="3:9" ht="24.75" customHeight="1">
      <c r="C22" s="323"/>
      <c r="D22" s="324"/>
      <c r="E22" s="375" t="s">
        <v>4719</v>
      </c>
      <c r="F22" s="376"/>
      <c r="G22" s="322"/>
      <c r="H22" s="3"/>
      <c r="I22" s="3"/>
    </row>
    <row r="23" spans="3:9" ht="25.5">
      <c r="C23" s="323"/>
      <c r="D23" s="324"/>
      <c r="E23" s="324"/>
      <c r="F23" s="327" t="s">
        <v>4720</v>
      </c>
      <c r="G23" s="328"/>
      <c r="H23" s="3"/>
      <c r="I23" s="3"/>
    </row>
    <row r="24" spans="3:9" ht="25.5">
      <c r="C24" s="323"/>
      <c r="D24" s="324"/>
      <c r="E24" s="324"/>
      <c r="F24" s="321" t="s">
        <v>4275</v>
      </c>
      <c r="G24" s="329">
        <f>ROUND(-SUMIF(Mov!$U:$U,F24,Mov!$J:$J),0)</f>
        <v>35250627</v>
      </c>
      <c r="H24" s="3"/>
      <c r="I24" s="3"/>
    </row>
    <row r="25" spans="3:9" ht="25.5">
      <c r="C25" s="323"/>
      <c r="D25" s="324"/>
      <c r="E25" s="324"/>
      <c r="F25" s="327" t="s">
        <v>4279</v>
      </c>
      <c r="G25" s="328">
        <f>ROUND(-SUMIF(Mov!$U:$U,F25,Mov!$J:$J),0)</f>
        <v>29646871</v>
      </c>
      <c r="H25" s="3"/>
      <c r="I25" s="3"/>
    </row>
    <row r="26" spans="3:9" ht="25.5">
      <c r="C26" s="323"/>
      <c r="D26" s="324"/>
      <c r="E26" s="324"/>
      <c r="F26" s="321" t="s">
        <v>4349</v>
      </c>
      <c r="G26" s="329">
        <f>ROUND(-SUMIF(Mov!$U:$U,F26,Mov!$J:$J),0)</f>
        <v>1564821</v>
      </c>
      <c r="H26" s="3"/>
      <c r="I26" s="3"/>
    </row>
    <row r="27" spans="3:9" ht="25.5">
      <c r="C27" s="323"/>
      <c r="D27" s="324"/>
      <c r="E27" s="324"/>
      <c r="F27" s="327" t="s">
        <v>4376</v>
      </c>
      <c r="G27" s="328"/>
      <c r="H27" s="3"/>
      <c r="I27" s="3"/>
    </row>
    <row r="28" spans="3:9" ht="25.5">
      <c r="C28" s="323"/>
      <c r="D28" s="324"/>
      <c r="E28" s="324"/>
      <c r="F28" s="321" t="s">
        <v>4721</v>
      </c>
      <c r="G28" s="329"/>
      <c r="H28" s="3"/>
      <c r="I28" s="3"/>
    </row>
    <row r="29" spans="3:9" ht="25.5">
      <c r="C29" s="323"/>
      <c r="D29" s="324"/>
      <c r="E29" s="330"/>
      <c r="F29" s="327" t="s">
        <v>4722</v>
      </c>
      <c r="G29" s="326">
        <f>SUM(G23:G28)+G21</f>
        <v>125982917</v>
      </c>
      <c r="H29" s="3"/>
      <c r="I29" s="3"/>
    </row>
    <row r="30" spans="3:9" ht="24" customHeight="1">
      <c r="C30" s="323"/>
      <c r="D30" s="324"/>
      <c r="E30" s="375" t="s">
        <v>4723</v>
      </c>
      <c r="F30" s="376"/>
      <c r="G30" s="332"/>
      <c r="H30" s="3"/>
      <c r="I30" s="3"/>
    </row>
    <row r="31" spans="3:9" ht="25.5">
      <c r="C31" s="323"/>
      <c r="D31" s="324"/>
      <c r="E31" s="324"/>
      <c r="F31" s="327" t="s">
        <v>4269</v>
      </c>
      <c r="G31" s="328"/>
      <c r="H31" s="3"/>
      <c r="I31" s="3"/>
    </row>
    <row r="32" spans="3:9" ht="25.5">
      <c r="C32" s="323"/>
      <c r="D32" s="324"/>
      <c r="E32" s="324"/>
      <c r="F32" s="321" t="s">
        <v>4268</v>
      </c>
      <c r="G32" s="329"/>
      <c r="H32" s="3"/>
      <c r="I32" s="3"/>
    </row>
    <row r="33" spans="3:9" ht="25.5">
      <c r="C33" s="323"/>
      <c r="D33" s="324"/>
      <c r="E33" s="324"/>
      <c r="F33" s="327" t="s">
        <v>4724</v>
      </c>
      <c r="G33" s="328"/>
      <c r="H33" s="3"/>
      <c r="I33" s="3"/>
    </row>
    <row r="34" spans="3:9" ht="25.5">
      <c r="C34" s="323"/>
      <c r="D34" s="324"/>
      <c r="E34" s="324"/>
      <c r="F34" s="321" t="s">
        <v>4725</v>
      </c>
      <c r="G34" s="329"/>
      <c r="H34" s="3"/>
      <c r="I34" s="3"/>
    </row>
    <row r="35" spans="3:9" ht="25.5">
      <c r="C35" s="323"/>
      <c r="D35" s="324"/>
      <c r="E35" s="324"/>
      <c r="F35" s="327" t="s">
        <v>4726</v>
      </c>
      <c r="G35" s="328"/>
      <c r="H35" s="3"/>
      <c r="I35" s="3"/>
    </row>
    <row r="36" spans="3:9" ht="25.5">
      <c r="C36" s="323"/>
      <c r="D36" s="324"/>
      <c r="E36" s="324"/>
      <c r="F36" s="321" t="s">
        <v>4727</v>
      </c>
      <c r="G36" s="329"/>
      <c r="H36" s="3"/>
      <c r="I36" s="3"/>
    </row>
    <row r="37" spans="3:9" ht="25.5">
      <c r="C37" s="323"/>
      <c r="D37" s="324"/>
      <c r="E37" s="324"/>
      <c r="F37" s="327" t="s">
        <v>4309</v>
      </c>
      <c r="G37" s="328"/>
      <c r="H37" s="3"/>
      <c r="I37" s="3"/>
    </row>
    <row r="38" spans="3:9">
      <c r="C38" s="323"/>
      <c r="D38" s="324"/>
      <c r="E38" s="324"/>
      <c r="F38" s="321" t="s">
        <v>4308</v>
      </c>
      <c r="G38" s="329">
        <f>ROUND(SUMIF(Mov!$U:$U,F38,Mov!$J:$J),0)</f>
        <v>0</v>
      </c>
      <c r="H38" s="3"/>
      <c r="I38" s="3"/>
    </row>
    <row r="39" spans="3:9">
      <c r="C39" s="323"/>
      <c r="D39" s="324"/>
      <c r="E39" s="324"/>
      <c r="F39" s="327" t="s">
        <v>4728</v>
      </c>
      <c r="G39" s="328"/>
      <c r="H39" s="3"/>
      <c r="I39" s="3"/>
    </row>
    <row r="40" spans="3:9">
      <c r="C40" s="323"/>
      <c r="D40" s="324"/>
      <c r="E40" s="324"/>
      <c r="F40" s="321" t="s">
        <v>4729</v>
      </c>
      <c r="G40" s="329"/>
      <c r="H40" s="3"/>
      <c r="I40" s="3"/>
    </row>
    <row r="41" spans="3:9">
      <c r="C41" s="323"/>
      <c r="D41" s="324"/>
      <c r="E41" s="324"/>
      <c r="F41" s="327" t="s">
        <v>4730</v>
      </c>
      <c r="G41" s="328"/>
      <c r="H41" s="3"/>
      <c r="I41" s="3"/>
    </row>
    <row r="42" spans="3:9">
      <c r="C42" s="323"/>
      <c r="D42" s="324"/>
      <c r="E42" s="324"/>
      <c r="F42" s="321" t="s">
        <v>4731</v>
      </c>
      <c r="G42" s="329"/>
      <c r="H42" s="3"/>
      <c r="I42" s="3"/>
    </row>
    <row r="43" spans="3:9">
      <c r="C43" s="323"/>
      <c r="D43" s="324"/>
      <c r="E43" s="324"/>
      <c r="F43" s="327" t="s">
        <v>4732</v>
      </c>
      <c r="G43" s="328"/>
      <c r="H43" s="3"/>
      <c r="I43" s="3"/>
    </row>
    <row r="44" spans="3:9" ht="25.5">
      <c r="C44" s="323"/>
      <c r="D44" s="324"/>
      <c r="E44" s="324"/>
      <c r="F44" s="321" t="s">
        <v>4733</v>
      </c>
      <c r="G44" s="329"/>
      <c r="H44" s="3"/>
      <c r="I44" s="3"/>
    </row>
    <row r="45" spans="3:9" ht="25.5">
      <c r="C45" s="323"/>
      <c r="D45" s="324"/>
      <c r="E45" s="324"/>
      <c r="F45" s="327" t="s">
        <v>4734</v>
      </c>
      <c r="G45" s="328"/>
      <c r="H45" s="3"/>
      <c r="I45" s="3"/>
    </row>
    <row r="46" spans="3:9">
      <c r="C46" s="323"/>
      <c r="D46" s="324"/>
      <c r="E46" s="324"/>
      <c r="F46" s="321" t="s">
        <v>4735</v>
      </c>
      <c r="G46" s="329"/>
      <c r="H46" s="3"/>
      <c r="I46" s="3"/>
    </row>
    <row r="47" spans="3:9">
      <c r="C47" s="323"/>
      <c r="D47" s="324"/>
      <c r="E47" s="324"/>
      <c r="F47" s="327" t="s">
        <v>4736</v>
      </c>
      <c r="G47" s="328"/>
      <c r="H47" s="3"/>
      <c r="I47" s="3"/>
    </row>
    <row r="48" spans="3:9" ht="25.5">
      <c r="C48" s="323"/>
      <c r="D48" s="324"/>
      <c r="E48" s="324"/>
      <c r="F48" s="321" t="s">
        <v>4737</v>
      </c>
      <c r="G48" s="329"/>
      <c r="H48" s="3"/>
      <c r="I48" s="3"/>
    </row>
    <row r="49" spans="3:9" ht="25.5">
      <c r="C49" s="323"/>
      <c r="D49" s="324"/>
      <c r="E49" s="330"/>
      <c r="F49" s="327" t="s">
        <v>4738</v>
      </c>
      <c r="G49" s="326">
        <f>G31-G32+G33-G34+G35-G36+G37-G38+G39-G40+G41-G42+G43-G44+SUM(G45:G48)</f>
        <v>0</v>
      </c>
      <c r="H49" s="3"/>
      <c r="I49" s="3"/>
    </row>
    <row r="50" spans="3:9" ht="29.25" customHeight="1">
      <c r="C50" s="323"/>
      <c r="D50" s="324"/>
      <c r="E50" s="375" t="s">
        <v>4739</v>
      </c>
      <c r="F50" s="376"/>
      <c r="G50" s="332"/>
      <c r="H50" s="3"/>
      <c r="I50" s="3"/>
    </row>
    <row r="51" spans="3:9" ht="38.25">
      <c r="C51" s="323"/>
      <c r="D51" s="324"/>
      <c r="E51" s="324"/>
      <c r="F51" s="327" t="s">
        <v>4740</v>
      </c>
      <c r="G51" s="328"/>
      <c r="H51" s="3"/>
      <c r="I51" s="3"/>
    </row>
    <row r="52" spans="3:9" ht="25.5">
      <c r="C52" s="323"/>
      <c r="D52" s="324"/>
      <c r="E52" s="324"/>
      <c r="F52" s="321" t="s">
        <v>4741</v>
      </c>
      <c r="G52" s="329"/>
      <c r="H52" s="3"/>
      <c r="I52" s="3"/>
    </row>
    <row r="53" spans="3:9" ht="25.5">
      <c r="C53" s="323"/>
      <c r="D53" s="324"/>
      <c r="E53" s="324"/>
      <c r="F53" s="327" t="s">
        <v>4381</v>
      </c>
      <c r="G53" s="328">
        <f>ROUND(-SUMIF(Mov!$U:$U,F53,Mov!$J:$J),0)</f>
        <v>200600000</v>
      </c>
      <c r="H53" s="3"/>
      <c r="I53" s="3"/>
    </row>
    <row r="54" spans="3:9">
      <c r="C54" s="323"/>
      <c r="D54" s="324"/>
      <c r="E54" s="324"/>
      <c r="F54" s="321" t="s">
        <v>4380</v>
      </c>
      <c r="G54" s="329">
        <f>ROUND(SUMIF(Mov!$U:$U,F54,Mov!$J:$J),0)</f>
        <v>100000000</v>
      </c>
      <c r="H54" s="3"/>
      <c r="I54" s="3"/>
    </row>
    <row r="55" spans="3:9">
      <c r="C55" s="323"/>
      <c r="D55" s="324"/>
      <c r="E55" s="324"/>
      <c r="F55" s="327" t="s">
        <v>4742</v>
      </c>
      <c r="G55" s="328"/>
      <c r="H55" s="3"/>
      <c r="I55" s="3"/>
    </row>
    <row r="56" spans="3:9">
      <c r="C56" s="323"/>
      <c r="D56" s="324"/>
      <c r="E56" s="324"/>
      <c r="F56" s="321" t="s">
        <v>4743</v>
      </c>
      <c r="G56" s="329"/>
      <c r="H56" s="3"/>
      <c r="I56" s="3"/>
    </row>
    <row r="57" spans="3:9">
      <c r="C57" s="323"/>
      <c r="D57" s="324"/>
      <c r="E57" s="324"/>
      <c r="F57" s="327" t="s">
        <v>4744</v>
      </c>
      <c r="G57" s="328"/>
      <c r="H57" s="3"/>
      <c r="I57" s="3"/>
    </row>
    <row r="58" spans="3:9">
      <c r="C58" s="323"/>
      <c r="D58" s="324"/>
      <c r="E58" s="324"/>
      <c r="F58" s="321" t="s">
        <v>4342</v>
      </c>
      <c r="G58" s="328">
        <f>ROUND(-SUMIF(Mov!$U:$U,F58,Mov!$J:$J),0)</f>
        <v>0</v>
      </c>
      <c r="H58" s="3"/>
      <c r="I58" s="3"/>
    </row>
    <row r="59" spans="3:9">
      <c r="C59" s="323"/>
      <c r="D59" s="324"/>
      <c r="E59" s="324"/>
      <c r="F59" s="327" t="s">
        <v>4341</v>
      </c>
      <c r="G59" s="328">
        <f>ROUND(SUMIF(Mov!$U:$U,F59,Mov!$J:$J),0)</f>
        <v>267213680</v>
      </c>
      <c r="H59" s="3"/>
      <c r="I59" s="3"/>
    </row>
    <row r="60" spans="3:9">
      <c r="C60" s="323"/>
      <c r="D60" s="324"/>
      <c r="E60" s="324"/>
      <c r="F60" s="321" t="s">
        <v>4745</v>
      </c>
      <c r="G60" s="329"/>
      <c r="H60" s="3"/>
      <c r="I60" s="3"/>
    </row>
    <row r="61" spans="3:9">
      <c r="C61" s="323"/>
      <c r="D61" s="324"/>
      <c r="E61" s="324"/>
      <c r="F61" s="327" t="s">
        <v>4732</v>
      </c>
      <c r="G61" s="328"/>
      <c r="H61" s="3"/>
      <c r="I61" s="3"/>
    </row>
    <row r="62" spans="3:9">
      <c r="C62" s="323"/>
      <c r="D62" s="324"/>
      <c r="E62" s="324"/>
      <c r="F62" s="321" t="s">
        <v>4746</v>
      </c>
      <c r="G62" s="329"/>
      <c r="H62" s="3"/>
      <c r="I62" s="3"/>
    </row>
    <row r="63" spans="3:9">
      <c r="C63" s="323"/>
      <c r="D63" s="324"/>
      <c r="E63" s="324"/>
      <c r="F63" s="327" t="s">
        <v>4747</v>
      </c>
      <c r="G63" s="328"/>
      <c r="H63" s="3"/>
      <c r="I63" s="3"/>
    </row>
    <row r="64" spans="3:9" ht="25.5">
      <c r="C64" s="323"/>
      <c r="D64" s="324"/>
      <c r="E64" s="324"/>
      <c r="F64" s="321" t="s">
        <v>4748</v>
      </c>
      <c r="G64" s="329"/>
      <c r="H64" s="3"/>
      <c r="I64" s="3"/>
    </row>
    <row r="65" spans="2:10" ht="25.5">
      <c r="C65" s="323"/>
      <c r="D65" s="324"/>
      <c r="E65" s="324"/>
      <c r="F65" s="327" t="s">
        <v>4749</v>
      </c>
      <c r="G65" s="326">
        <f>G51-G52+G53-G54-G55+G56-G57+G58-G59-G60+G61-G62-G63+G64</f>
        <v>-166613680</v>
      </c>
      <c r="H65" s="3"/>
      <c r="I65" s="3"/>
    </row>
    <row r="66" spans="2:10" ht="25.5">
      <c r="C66" s="323"/>
      <c r="D66" s="324"/>
      <c r="E66" s="330"/>
      <c r="F66" s="321" t="s">
        <v>4750</v>
      </c>
      <c r="G66" s="333">
        <f>G65+G8+G29+G49</f>
        <v>9132637</v>
      </c>
      <c r="H66" s="3">
        <f>Bce!H3-Bce!I3</f>
        <v>9132636.5</v>
      </c>
      <c r="I66" s="3">
        <f>G66-H66</f>
        <v>0.5</v>
      </c>
    </row>
    <row r="67" spans="2:10">
      <c r="C67" s="323"/>
      <c r="D67" s="324"/>
      <c r="E67" s="385" t="s">
        <v>4751</v>
      </c>
      <c r="F67" s="384"/>
      <c r="G67" s="332"/>
      <c r="H67" s="3"/>
      <c r="I67" s="3"/>
    </row>
    <row r="68" spans="2:10" ht="25.5">
      <c r="C68" s="323"/>
      <c r="D68" s="324"/>
      <c r="E68" s="325"/>
      <c r="F68" s="321" t="s">
        <v>4752</v>
      </c>
      <c r="G68" s="329"/>
      <c r="H68" s="3"/>
      <c r="I68" s="3"/>
    </row>
    <row r="69" spans="2:10">
      <c r="C69" s="323"/>
      <c r="D69" s="324"/>
      <c r="E69" s="383" t="s">
        <v>4753</v>
      </c>
      <c r="F69" s="384"/>
      <c r="G69" s="326">
        <f>G66+G68</f>
        <v>9132637</v>
      </c>
      <c r="H69" s="3"/>
      <c r="I69" s="3"/>
    </row>
    <row r="70" spans="2:10">
      <c r="C70" s="323"/>
      <c r="D70" s="324"/>
      <c r="E70" s="386" t="s">
        <v>4754</v>
      </c>
      <c r="F70" s="376"/>
      <c r="G70" s="333">
        <f>ROUND(H79,0)</f>
        <v>39647235</v>
      </c>
      <c r="H70" s="3"/>
      <c r="I70" s="3"/>
    </row>
    <row r="71" spans="2:10">
      <c r="C71" s="325"/>
      <c r="D71" s="330"/>
      <c r="E71" s="383" t="s">
        <v>4755</v>
      </c>
      <c r="F71" s="384"/>
      <c r="G71" s="334">
        <f>ROUND(I79,0)</f>
        <v>48779871</v>
      </c>
      <c r="H71" s="3">
        <f>+G71-G70</f>
        <v>9132636</v>
      </c>
      <c r="I71" s="3"/>
    </row>
    <row r="72" spans="2:10">
      <c r="G72" s="3"/>
      <c r="H72" s="3"/>
      <c r="I72" s="3"/>
    </row>
    <row r="73" spans="2:10">
      <c r="F73" t="s">
        <v>4259</v>
      </c>
      <c r="H73" s="3">
        <f>ROUND(SUMIF(Mov!$U:$U,F73,Mov!$J:$J),0)</f>
        <v>9132637</v>
      </c>
      <c r="I73" s="2">
        <f>ROUND(G69-H73,0)</f>
        <v>0</v>
      </c>
    </row>
    <row r="74" spans="2:10">
      <c r="H74" s="3"/>
      <c r="I74" s="3"/>
    </row>
    <row r="75" spans="2:10">
      <c r="G75" s="3"/>
      <c r="H75" s="3"/>
      <c r="I75" s="3"/>
    </row>
    <row r="76" spans="2:10">
      <c r="G76" s="335" t="s">
        <v>4756</v>
      </c>
      <c r="H76" s="335" t="s">
        <v>4757</v>
      </c>
      <c r="I76" s="335" t="s">
        <v>4758</v>
      </c>
      <c r="J76" s="161" t="s">
        <v>4759</v>
      </c>
    </row>
    <row r="77" spans="2:10">
      <c r="B77">
        <v>110505</v>
      </c>
      <c r="F77" t="s">
        <v>4260</v>
      </c>
      <c r="G77" s="3">
        <f>SUMIF(Bce!A:A,B77,Bce!H:H)-SUMIF(Bce!A:A,B77,Bce!I:I)</f>
        <v>-38</v>
      </c>
      <c r="H77" s="3">
        <f>SUMIF(Bce!A:A,B77,Bce!G:G)</f>
        <v>38</v>
      </c>
      <c r="I77" s="3">
        <f>SUMIF(Bce!A:A,B77,Bce!J:J)</f>
        <v>0</v>
      </c>
      <c r="J77" s="3">
        <f>ROUND(G77-(I77-H77),2)</f>
        <v>0</v>
      </c>
    </row>
    <row r="78" spans="2:10">
      <c r="B78">
        <v>112005</v>
      </c>
      <c r="F78" t="s">
        <v>1580</v>
      </c>
      <c r="G78" s="3">
        <f>SUMIF(Bce!A:A,B78,Bce!H:H)-SUMIF(Bce!A:A,B78,Bce!I:I)</f>
        <v>9132674.5</v>
      </c>
      <c r="H78" s="3">
        <f>SUMIF(Bce!A:A,B78,Bce!G:G)</f>
        <v>39647196.509999998</v>
      </c>
      <c r="I78" s="3">
        <f>SUMIF(Bce!A:A,B78,Bce!J:J)</f>
        <v>48779871.009999998</v>
      </c>
      <c r="J78" s="3">
        <f t="shared" ref="J78" si="0">ROUND(G78-(I78-H78),2)</f>
        <v>0</v>
      </c>
    </row>
    <row r="79" spans="2:10" ht="15.75" thickBot="1">
      <c r="G79" s="336">
        <f>SUM(G77:G78)</f>
        <v>9132636.5</v>
      </c>
      <c r="H79" s="336">
        <f>SUM(H77:H78)</f>
        <v>39647234.509999998</v>
      </c>
      <c r="I79" s="336">
        <f>SUM(I77:I78)</f>
        <v>48779871.009999998</v>
      </c>
      <c r="J79" s="337">
        <f>SUM(J77:J78)</f>
        <v>0</v>
      </c>
    </row>
    <row r="80" spans="2:10">
      <c r="G80" s="2">
        <f>ROUND(H73-G79,2)</f>
        <v>0.5</v>
      </c>
      <c r="H80" s="3"/>
      <c r="I80" s="3"/>
    </row>
    <row r="81" spans="7:9">
      <c r="G81" s="3"/>
      <c r="H81" s="3"/>
      <c r="I81" s="3"/>
    </row>
    <row r="82" spans="7:9">
      <c r="G82" s="3"/>
      <c r="H82" s="3"/>
      <c r="I82" s="3"/>
    </row>
    <row r="83" spans="7:9">
      <c r="G83" s="3"/>
      <c r="H83" s="3"/>
      <c r="I83" s="3"/>
    </row>
    <row r="84" spans="7:9">
      <c r="G84" s="3"/>
      <c r="H84" s="3"/>
      <c r="I84" s="3"/>
    </row>
    <row r="85" spans="7:9">
      <c r="G85" s="3"/>
      <c r="H85" s="3"/>
      <c r="I85" s="3"/>
    </row>
    <row r="86" spans="7:9">
      <c r="G86" s="3"/>
      <c r="H86" s="3"/>
      <c r="I86" s="3"/>
    </row>
    <row r="88" spans="7:9">
      <c r="G88" s="3"/>
      <c r="H88" s="3"/>
      <c r="I88" s="3"/>
    </row>
  </sheetData>
  <mergeCells count="11">
    <mergeCell ref="E50:F50"/>
    <mergeCell ref="E67:F67"/>
    <mergeCell ref="E69:F69"/>
    <mergeCell ref="E70:F70"/>
    <mergeCell ref="E71:F71"/>
    <mergeCell ref="E30:F30"/>
    <mergeCell ref="C6:F6"/>
    <mergeCell ref="D7:F7"/>
    <mergeCell ref="E8:F8"/>
    <mergeCell ref="E9:F9"/>
    <mergeCell ref="E22:F22"/>
  </mergeCells>
  <conditionalFormatting sqref="G80">
    <cfRule type="cellIs" dxfId="15" priority="7" operator="notEqual">
      <formula>0</formula>
    </cfRule>
    <cfRule type="cellIs" dxfId="14" priority="8" operator="equal">
      <formula>0</formula>
    </cfRule>
  </conditionalFormatting>
  <conditionalFormatting sqref="I73">
    <cfRule type="cellIs" dxfId="13" priority="3" operator="notEqual">
      <formula>0</formula>
    </cfRule>
    <cfRule type="cellIs" dxfId="12" priority="4" operator="equal">
      <formula>0</formula>
    </cfRule>
  </conditionalFormatting>
  <conditionalFormatting sqref="J77:J79">
    <cfRule type="cellIs" dxfId="11" priority="5" operator="notEqual">
      <formula>0</formula>
    </cfRule>
    <cfRule type="cellIs" dxfId="10" priority="6" operator="equal">
      <formula>0</formula>
    </cfRule>
  </conditionalFormatting>
  <dataValidations count="2">
    <dataValidation type="whole" allowBlank="1" showInputMessage="1" showErrorMessage="1" sqref="G13 G16:G17 G32 G10 G48 G64 G19 G40 G42 G44 G23:G28 G36 G34 G38" xr:uid="{AD3CA8D6-D724-4BA9-84F4-033DAFE90135}">
      <formula1>-99999999999999900</formula1>
      <formula2>99999999999999900</formula2>
    </dataValidation>
    <dataValidation type="whole" operator="greaterThanOrEqual" allowBlank="1" showInputMessage="1" showErrorMessage="1" errorTitle="Valores positivos" error="Esta celda solo acepta valores iguales o superiores a cero." sqref="G14:G15 G20 G68 G11:G12 G18 G37 G45:G47 G41 G43 G39 G35 G31 G70 G33 G51:G63" xr:uid="{284A15A5-C7D7-4396-9112-BD417292EC84}">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8C0DF-8040-48E1-94F8-F71D16C2942A}">
  <sheetPr>
    <tabColor rgb="FF00B050"/>
  </sheetPr>
  <dimension ref="A2:Y80"/>
  <sheetViews>
    <sheetView workbookViewId="0">
      <pane xSplit="4" ySplit="6" topLeftCell="E27" activePane="bottomRight" state="frozen"/>
      <selection pane="topRight" activeCell="C91" sqref="C91"/>
      <selection pane="bottomLeft" activeCell="C91" sqref="C91"/>
      <selection pane="bottomRight"/>
    </sheetView>
  </sheetViews>
  <sheetFormatPr baseColWidth="10" defaultColWidth="11.42578125" defaultRowHeight="15"/>
  <cols>
    <col min="1" max="1" width="3.7109375" customWidth="1"/>
    <col min="2" max="2" width="3.140625" bestFit="1" customWidth="1"/>
    <col min="3" max="3" width="3.140625" customWidth="1"/>
    <col min="4" max="4" width="50.7109375" customWidth="1"/>
    <col min="5" max="5" width="3.7109375" customWidth="1"/>
    <col min="6" max="6" width="17.28515625" bestFit="1" customWidth="1"/>
    <col min="7" max="7" width="3.7109375" customWidth="1"/>
    <col min="8" max="8" width="15.28515625" bestFit="1" customWidth="1"/>
    <col min="9" max="12" width="13.42578125" customWidth="1"/>
    <col min="14" max="14" width="29.7109375" customWidth="1"/>
  </cols>
  <sheetData>
    <row r="2" spans="2:15">
      <c r="D2" s="161" t="s">
        <v>4760</v>
      </c>
      <c r="E2" s="161"/>
      <c r="G2" s="161"/>
    </row>
    <row r="3" spans="2:15">
      <c r="D3" s="161" t="s">
        <v>4761</v>
      </c>
      <c r="E3" s="161"/>
      <c r="G3" s="161"/>
      <c r="N3" s="64"/>
      <c r="O3" s="3"/>
    </row>
    <row r="4" spans="2:15">
      <c r="D4" s="76" t="s">
        <v>4762</v>
      </c>
      <c r="E4" s="79"/>
      <c r="G4" s="79"/>
      <c r="N4" s="64"/>
      <c r="O4" s="3"/>
    </row>
    <row r="5" spans="2:15">
      <c r="D5" s="111" t="s">
        <v>4651</v>
      </c>
      <c r="E5" s="111"/>
      <c r="G5" s="111"/>
      <c r="N5" s="64"/>
      <c r="O5" s="3"/>
    </row>
    <row r="6" spans="2:15">
      <c r="F6" s="338">
        <f>ESF!F6</f>
        <v>2023</v>
      </c>
      <c r="H6" s="338">
        <f>ESF!H6</f>
        <v>2022</v>
      </c>
      <c r="N6" s="64"/>
      <c r="O6" s="3"/>
    </row>
    <row r="7" spans="2:15" ht="5.0999999999999996" customHeight="1">
      <c r="F7" s="3"/>
      <c r="H7" s="3"/>
      <c r="I7" s="3"/>
      <c r="J7" s="3"/>
      <c r="K7" s="3"/>
      <c r="L7" s="3"/>
      <c r="N7" s="64"/>
      <c r="O7" s="3"/>
    </row>
    <row r="8" spans="2:15">
      <c r="C8" s="64" t="s">
        <v>4763</v>
      </c>
      <c r="E8" s="64"/>
      <c r="F8" s="65">
        <f>EFC_SS!G8</f>
        <v>49763400</v>
      </c>
      <c r="G8" s="64"/>
      <c r="H8" s="65">
        <v>-71627509</v>
      </c>
      <c r="I8" s="65"/>
      <c r="J8" s="65"/>
      <c r="K8" s="65"/>
      <c r="L8" s="65"/>
      <c r="N8" s="64"/>
      <c r="O8" s="3"/>
    </row>
    <row r="9" spans="2:15">
      <c r="E9" s="64"/>
      <c r="F9" s="3"/>
      <c r="G9" s="64"/>
      <c r="H9" s="3"/>
      <c r="I9" s="65"/>
      <c r="J9" s="65"/>
      <c r="K9" s="65"/>
      <c r="L9" s="65"/>
      <c r="N9" s="64"/>
      <c r="O9" s="3"/>
    </row>
    <row r="10" spans="2:15">
      <c r="C10" t="s">
        <v>4764</v>
      </c>
      <c r="E10" s="64"/>
      <c r="F10" s="3"/>
      <c r="G10" s="64"/>
      <c r="H10" s="3"/>
      <c r="I10" s="65"/>
      <c r="J10" s="65"/>
      <c r="K10" s="65"/>
      <c r="L10" s="65"/>
      <c r="N10" s="64"/>
      <c r="O10" s="3"/>
    </row>
    <row r="11" spans="2:15">
      <c r="B11" s="164" t="s">
        <v>4765</v>
      </c>
      <c r="D11" t="s">
        <v>4691</v>
      </c>
      <c r="E11" s="64"/>
      <c r="F11" s="3">
        <f>EFC_SS!G11</f>
        <v>21126660</v>
      </c>
      <c r="G11" s="64"/>
      <c r="H11" s="3">
        <v>19354676</v>
      </c>
      <c r="I11" s="65"/>
      <c r="J11" s="65"/>
      <c r="K11" s="65"/>
      <c r="L11" s="65"/>
      <c r="N11" s="64"/>
      <c r="O11" s="3"/>
    </row>
    <row r="12" spans="2:15" hidden="1">
      <c r="B12" s="164" t="s">
        <v>4765</v>
      </c>
      <c r="D12" t="s">
        <v>4692</v>
      </c>
      <c r="E12" s="64"/>
      <c r="F12" s="3">
        <f>+EFC_SS!G12</f>
        <v>0</v>
      </c>
      <c r="G12" s="64"/>
      <c r="H12" s="3">
        <v>0</v>
      </c>
      <c r="I12" s="65"/>
      <c r="J12" s="65"/>
      <c r="K12" s="65"/>
      <c r="L12" s="65"/>
      <c r="N12" s="64"/>
      <c r="O12" s="3"/>
    </row>
    <row r="13" spans="2:15">
      <c r="B13" s="164" t="s">
        <v>4765</v>
      </c>
      <c r="D13" t="s">
        <v>4766</v>
      </c>
      <c r="E13" s="64"/>
      <c r="F13" s="3">
        <f>EFC_SS!G20</f>
        <v>38393938</v>
      </c>
      <c r="G13" s="64"/>
      <c r="H13" s="3">
        <v>-26429000</v>
      </c>
      <c r="I13" s="65"/>
      <c r="J13" s="65"/>
      <c r="K13" s="65"/>
      <c r="L13" s="65"/>
      <c r="N13" s="64"/>
      <c r="O13" s="3"/>
    </row>
    <row r="14" spans="2:15" hidden="1">
      <c r="B14" s="164" t="s">
        <v>4767</v>
      </c>
      <c r="D14" t="s">
        <v>4768</v>
      </c>
      <c r="E14" s="64"/>
      <c r="F14" s="3">
        <f>-EFC_SS!G18</f>
        <v>0</v>
      </c>
      <c r="G14" s="64"/>
      <c r="H14" s="3">
        <v>0</v>
      </c>
      <c r="I14" s="65"/>
      <c r="J14" s="65"/>
      <c r="K14" s="65"/>
      <c r="L14" s="65"/>
      <c r="N14" s="64"/>
      <c r="O14" s="3"/>
    </row>
    <row r="15" spans="2:15">
      <c r="D15" s="64" t="s">
        <v>4769</v>
      </c>
      <c r="E15" s="64"/>
      <c r="F15" s="339">
        <f>SUM(F10:F14)</f>
        <v>59520598</v>
      </c>
      <c r="G15" s="64"/>
      <c r="H15" s="339">
        <f>SUM(H10:H14)</f>
        <v>-7074324</v>
      </c>
      <c r="I15" s="65"/>
      <c r="J15" s="65"/>
      <c r="K15" s="65"/>
      <c r="L15" s="65"/>
      <c r="N15" s="64"/>
      <c r="O15" s="3"/>
    </row>
    <row r="16" spans="2:15" ht="5.0999999999999996" customHeight="1">
      <c r="F16" s="3"/>
      <c r="H16" s="3"/>
      <c r="I16" s="3"/>
      <c r="J16" s="3"/>
      <c r="K16" s="3"/>
      <c r="L16" s="3"/>
      <c r="N16" s="64"/>
      <c r="O16" s="3"/>
    </row>
    <row r="17" spans="1:22">
      <c r="C17" s="163" t="s">
        <v>4770</v>
      </c>
      <c r="E17" s="163"/>
      <c r="F17" s="3"/>
      <c r="G17" s="163"/>
      <c r="H17" s="3"/>
      <c r="I17" s="3"/>
      <c r="J17" s="3"/>
      <c r="K17" s="3"/>
      <c r="L17" s="3"/>
      <c r="N17" s="64"/>
      <c r="O17" s="3"/>
    </row>
    <row r="18" spans="1:22">
      <c r="B18" s="164"/>
      <c r="C18" s="164"/>
      <c r="D18" s="165" t="s">
        <v>4771</v>
      </c>
      <c r="E18" s="165"/>
      <c r="F18" s="3"/>
      <c r="G18" s="165"/>
      <c r="H18" s="3"/>
      <c r="I18" s="3"/>
      <c r="J18" s="3"/>
      <c r="K18" s="3"/>
      <c r="L18" s="3"/>
      <c r="M18" s="3"/>
      <c r="N18" s="64"/>
      <c r="O18" s="3"/>
      <c r="P18" s="3"/>
      <c r="Q18" s="3"/>
      <c r="R18" s="3"/>
      <c r="S18" s="3"/>
      <c r="T18" s="3"/>
      <c r="U18" s="3"/>
      <c r="V18" s="3"/>
    </row>
    <row r="19" spans="1:22" hidden="1">
      <c r="B19" s="164" t="s">
        <v>4765</v>
      </c>
      <c r="C19" s="164"/>
      <c r="D19" s="165" t="s">
        <v>4772</v>
      </c>
      <c r="E19" s="165"/>
      <c r="F19" s="3"/>
      <c r="G19" s="165"/>
      <c r="H19" s="3"/>
      <c r="I19" s="3"/>
      <c r="J19" s="3"/>
      <c r="K19" s="3"/>
      <c r="L19" s="3"/>
      <c r="M19" s="3"/>
      <c r="N19" s="64"/>
      <c r="O19" s="3"/>
      <c r="P19" s="3"/>
      <c r="Q19" s="3"/>
      <c r="R19" s="3"/>
      <c r="S19" s="3"/>
      <c r="T19" s="3"/>
      <c r="U19" s="3"/>
      <c r="V19" s="3"/>
    </row>
    <row r="20" spans="1:22">
      <c r="A20" s="165"/>
      <c r="B20" s="164" t="s">
        <v>4765</v>
      </c>
      <c r="C20" s="164"/>
      <c r="D20" s="165" t="s">
        <v>4773</v>
      </c>
      <c r="E20" s="165"/>
      <c r="F20" s="3">
        <f>EFC_SS!G24</f>
        <v>35250627</v>
      </c>
      <c r="G20" s="165"/>
      <c r="H20" s="3">
        <v>-35250627</v>
      </c>
      <c r="I20" s="3"/>
      <c r="J20" s="3"/>
      <c r="K20" s="3"/>
      <c r="L20" s="3"/>
      <c r="M20" s="3"/>
      <c r="N20" s="64"/>
      <c r="O20" s="3"/>
      <c r="P20" s="3"/>
      <c r="Q20" s="3"/>
      <c r="R20" s="3"/>
      <c r="S20" s="3"/>
      <c r="T20" s="3"/>
      <c r="U20" s="3"/>
      <c r="V20" s="3"/>
    </row>
    <row r="21" spans="1:22">
      <c r="A21" s="2"/>
      <c r="B21" s="164" t="s">
        <v>4765</v>
      </c>
      <c r="C21" s="164"/>
      <c r="D21" s="165" t="s">
        <v>4774</v>
      </c>
      <c r="E21" s="165"/>
      <c r="F21" s="3">
        <f>EFC_SS!G25</f>
        <v>29646871</v>
      </c>
      <c r="G21" s="165"/>
      <c r="H21" s="3">
        <v>-2922871</v>
      </c>
      <c r="I21" s="3"/>
      <c r="J21" s="3"/>
      <c r="K21" s="3"/>
      <c r="L21" s="3"/>
      <c r="M21" s="3"/>
      <c r="N21" s="64"/>
      <c r="O21" s="3"/>
      <c r="P21" s="3"/>
      <c r="Q21" s="3"/>
      <c r="R21" s="3"/>
      <c r="S21" s="3"/>
      <c r="T21" s="3"/>
      <c r="U21" s="3"/>
      <c r="V21" s="3"/>
    </row>
    <row r="22" spans="1:22">
      <c r="A22" s="2"/>
      <c r="B22" s="164" t="s">
        <v>4765</v>
      </c>
      <c r="C22" s="164"/>
      <c r="D22" s="165" t="s">
        <v>4775</v>
      </c>
      <c r="E22" s="165"/>
      <c r="F22" s="3">
        <f>EFC_SS!G26-0.51</f>
        <v>1564820.49</v>
      </c>
      <c r="G22" s="165"/>
      <c r="H22" s="3">
        <f>-2079115+0.84</f>
        <v>-2079114.16</v>
      </c>
      <c r="I22" s="3"/>
      <c r="J22" s="3"/>
      <c r="K22" s="3"/>
      <c r="L22" s="3"/>
      <c r="M22" s="3"/>
      <c r="N22" s="64"/>
      <c r="O22" s="3"/>
      <c r="P22" s="3"/>
      <c r="Q22" s="3"/>
      <c r="R22" s="3"/>
      <c r="S22" s="3"/>
      <c r="T22" s="3"/>
      <c r="U22" s="3"/>
      <c r="V22" s="3"/>
    </row>
    <row r="23" spans="1:22" hidden="1">
      <c r="B23" s="164" t="s">
        <v>4765</v>
      </c>
      <c r="C23" s="164"/>
      <c r="D23" s="165" t="s">
        <v>4776</v>
      </c>
      <c r="E23" s="165"/>
      <c r="F23" s="3"/>
      <c r="G23" s="165"/>
      <c r="H23" s="3"/>
      <c r="I23" s="3"/>
      <c r="J23" s="3"/>
      <c r="K23" s="3"/>
      <c r="L23" s="3"/>
      <c r="M23" s="3"/>
      <c r="N23" s="64"/>
      <c r="O23" s="3"/>
      <c r="P23" s="3"/>
      <c r="Q23" s="3"/>
      <c r="R23" s="3"/>
      <c r="S23" s="3"/>
      <c r="T23" s="3"/>
      <c r="U23" s="3"/>
      <c r="V23" s="3"/>
    </row>
    <row r="24" spans="1:22" hidden="1">
      <c r="B24" s="164" t="s">
        <v>4765</v>
      </c>
      <c r="C24" s="164"/>
      <c r="D24" s="165" t="s">
        <v>4777</v>
      </c>
      <c r="E24" s="165"/>
      <c r="F24" s="3">
        <f>EFC_SS!G27</f>
        <v>0</v>
      </c>
      <c r="G24" s="165"/>
      <c r="H24" s="3">
        <v>-0.19</v>
      </c>
      <c r="I24" s="3"/>
      <c r="J24" s="3"/>
      <c r="K24" s="3"/>
      <c r="L24" s="3"/>
      <c r="M24" s="3"/>
      <c r="N24" s="64"/>
      <c r="O24" s="3"/>
      <c r="P24" s="3"/>
      <c r="Q24" s="3"/>
      <c r="R24" s="3"/>
      <c r="S24" s="3"/>
      <c r="T24" s="3"/>
      <c r="U24" s="3"/>
      <c r="V24" s="3"/>
    </row>
    <row r="25" spans="1:22">
      <c r="D25" s="64" t="s">
        <v>4778</v>
      </c>
      <c r="E25" s="64"/>
      <c r="F25" s="339">
        <f>SUM(F18:F24)+F15</f>
        <v>125982916.49000001</v>
      </c>
      <c r="G25" s="64"/>
      <c r="H25" s="339">
        <f>SUM(H18:H24)+H15</f>
        <v>-47326936.349999994</v>
      </c>
      <c r="I25" s="65"/>
      <c r="J25" s="65"/>
      <c r="K25" s="65"/>
      <c r="L25" s="65"/>
      <c r="M25" s="3"/>
      <c r="N25" s="64"/>
      <c r="O25" s="3"/>
      <c r="P25" s="3"/>
      <c r="Q25" s="3"/>
      <c r="R25" s="3"/>
      <c r="S25" s="3"/>
      <c r="T25" s="3"/>
      <c r="U25" s="3"/>
      <c r="V25" s="3"/>
    </row>
    <row r="26" spans="1:22">
      <c r="F26" s="3"/>
      <c r="H26" s="3"/>
      <c r="I26" s="3"/>
      <c r="J26" s="3"/>
      <c r="K26" s="3"/>
      <c r="L26" s="3"/>
      <c r="M26" s="3"/>
      <c r="N26" s="3"/>
      <c r="O26" s="3"/>
      <c r="P26" s="3"/>
      <c r="Q26" s="3"/>
      <c r="R26" s="3"/>
      <c r="S26" s="3"/>
      <c r="T26" s="3"/>
      <c r="U26" s="3"/>
      <c r="V26" s="3"/>
    </row>
    <row r="27" spans="1:22">
      <c r="C27" s="163" t="s">
        <v>4779</v>
      </c>
      <c r="E27" s="163"/>
      <c r="F27" s="3"/>
      <c r="G27" s="163"/>
      <c r="H27" s="3"/>
      <c r="I27" s="3"/>
      <c r="J27" s="3"/>
      <c r="K27" s="3"/>
      <c r="L27" s="3"/>
      <c r="M27" s="3"/>
      <c r="N27" s="3"/>
      <c r="O27" s="3"/>
      <c r="P27" s="3"/>
      <c r="Q27" s="3"/>
      <c r="R27" s="3"/>
      <c r="S27" s="3"/>
      <c r="T27" s="3"/>
      <c r="U27" s="3"/>
      <c r="V27" s="3"/>
    </row>
    <row r="28" spans="1:22" hidden="1">
      <c r="B28" s="164" t="s">
        <v>4767</v>
      </c>
      <c r="C28" s="164"/>
      <c r="D28" t="s">
        <v>4780</v>
      </c>
      <c r="F28" s="3">
        <f>-EFC_SS!G32</f>
        <v>0</v>
      </c>
      <c r="H28" s="3">
        <v>0</v>
      </c>
      <c r="I28" s="3"/>
      <c r="J28" s="3"/>
      <c r="K28" s="3"/>
      <c r="L28" s="3"/>
      <c r="M28" s="3"/>
      <c r="N28" s="3"/>
      <c r="O28" s="3"/>
      <c r="P28" s="3"/>
      <c r="Q28" s="3"/>
      <c r="R28" s="3"/>
      <c r="S28" s="3"/>
      <c r="T28" s="3"/>
      <c r="U28" s="3"/>
      <c r="V28" s="3"/>
    </row>
    <row r="29" spans="1:22" hidden="1">
      <c r="B29" s="164" t="s">
        <v>4765</v>
      </c>
      <c r="C29" s="164"/>
      <c r="D29" t="s">
        <v>4781</v>
      </c>
      <c r="F29" s="3"/>
      <c r="H29" s="3">
        <v>0</v>
      </c>
      <c r="I29" s="3"/>
      <c r="J29" s="3"/>
      <c r="K29" s="3"/>
      <c r="L29" s="3"/>
      <c r="M29" s="3"/>
      <c r="N29" s="3"/>
      <c r="O29" s="3"/>
      <c r="P29" s="3"/>
      <c r="Q29" s="3"/>
      <c r="R29" s="3"/>
      <c r="S29" s="3"/>
      <c r="T29" s="3"/>
      <c r="U29" s="3"/>
      <c r="V29" s="3"/>
    </row>
    <row r="30" spans="1:22">
      <c r="B30" s="164" t="s">
        <v>4767</v>
      </c>
      <c r="C30" s="164"/>
      <c r="D30" t="s">
        <v>4782</v>
      </c>
      <c r="F30" s="3">
        <f>-EFC_SS!G38</f>
        <v>0</v>
      </c>
      <c r="H30" s="3">
        <v>-56917676</v>
      </c>
      <c r="I30" s="3"/>
      <c r="J30" s="3"/>
      <c r="K30" s="3"/>
      <c r="L30" s="3"/>
      <c r="M30" s="3"/>
      <c r="N30" s="3"/>
      <c r="O30" s="3"/>
      <c r="P30" s="3"/>
      <c r="Q30" s="3"/>
      <c r="R30" s="3"/>
      <c r="S30" s="3"/>
      <c r="T30" s="3"/>
      <c r="U30" s="3"/>
      <c r="V30" s="3"/>
    </row>
    <row r="31" spans="1:22" hidden="1">
      <c r="B31" s="164" t="s">
        <v>4767</v>
      </c>
      <c r="C31" s="164"/>
      <c r="D31" t="s">
        <v>4783</v>
      </c>
      <c r="F31" s="3">
        <f>-EFC_SS!G40</f>
        <v>0</v>
      </c>
      <c r="H31" s="3">
        <v>0</v>
      </c>
      <c r="I31" s="3"/>
      <c r="J31" s="3"/>
      <c r="K31" s="3"/>
      <c r="L31" s="3"/>
      <c r="M31" s="3"/>
      <c r="N31" s="3"/>
      <c r="O31" s="3"/>
      <c r="P31" s="3"/>
      <c r="Q31" s="3"/>
      <c r="R31" s="3"/>
      <c r="S31" s="3"/>
      <c r="T31" s="3"/>
      <c r="U31" s="3"/>
      <c r="V31" s="3"/>
    </row>
    <row r="32" spans="1:22" ht="5.0999999999999996" customHeight="1">
      <c r="B32" s="164"/>
      <c r="C32" s="164"/>
      <c r="F32" s="166"/>
      <c r="H32" s="166"/>
      <c r="I32" s="3"/>
      <c r="J32" s="3"/>
      <c r="K32" s="3"/>
      <c r="L32" s="3"/>
      <c r="M32" s="3"/>
      <c r="N32" s="3"/>
      <c r="O32" s="3"/>
      <c r="P32" s="3"/>
      <c r="Q32" s="3"/>
      <c r="R32" s="3"/>
      <c r="S32" s="3"/>
      <c r="T32" s="3"/>
      <c r="U32" s="3"/>
      <c r="V32" s="3"/>
    </row>
    <row r="33" spans="1:22">
      <c r="D33" s="64" t="s">
        <v>4784</v>
      </c>
      <c r="E33" s="64"/>
      <c r="F33" s="339">
        <f>SUM(F28:F32)</f>
        <v>0</v>
      </c>
      <c r="G33" s="64"/>
      <c r="H33" s="339">
        <f>SUM(H28:H32)</f>
        <v>-56917676</v>
      </c>
      <c r="I33" s="65"/>
      <c r="J33" s="65"/>
      <c r="K33" s="65"/>
      <c r="L33" s="65"/>
      <c r="M33" s="3"/>
      <c r="N33" s="3"/>
      <c r="O33" s="3"/>
      <c r="P33" s="3"/>
      <c r="Q33" s="3"/>
      <c r="R33" s="3"/>
      <c r="S33" s="3"/>
      <c r="T33" s="3"/>
      <c r="U33" s="3"/>
      <c r="V33" s="3"/>
    </row>
    <row r="34" spans="1:22">
      <c r="F34" s="3"/>
      <c r="H34" s="3"/>
      <c r="I34" s="3"/>
      <c r="J34" s="3"/>
      <c r="K34" s="3"/>
      <c r="L34" s="3"/>
      <c r="M34" s="3"/>
      <c r="N34" s="3"/>
      <c r="O34" s="3"/>
      <c r="P34" s="3"/>
      <c r="Q34" s="3"/>
      <c r="R34" s="3"/>
      <c r="S34" s="3"/>
      <c r="T34" s="3"/>
      <c r="U34" s="3"/>
      <c r="V34" s="3"/>
    </row>
    <row r="35" spans="1:22">
      <c r="C35" s="163" t="s">
        <v>4785</v>
      </c>
      <c r="E35" s="163"/>
      <c r="F35" s="3"/>
      <c r="G35" s="163"/>
      <c r="H35" s="3"/>
      <c r="I35" s="3"/>
      <c r="J35" s="3"/>
      <c r="K35" s="3"/>
      <c r="L35" s="3"/>
      <c r="M35" s="3"/>
      <c r="N35" s="3"/>
      <c r="O35" s="3"/>
      <c r="P35" s="3"/>
      <c r="Q35" s="3"/>
      <c r="R35" s="3"/>
      <c r="S35" s="3"/>
      <c r="T35" s="3"/>
      <c r="U35" s="3"/>
      <c r="V35" s="3"/>
    </row>
    <row r="36" spans="1:22">
      <c r="B36" s="164" t="s">
        <v>4765</v>
      </c>
      <c r="D36" s="165" t="s">
        <v>4786</v>
      </c>
      <c r="E36" s="163"/>
      <c r="F36" s="3">
        <f>EFC_SS!G53</f>
        <v>200600000</v>
      </c>
      <c r="G36" s="163"/>
      <c r="H36" s="3">
        <v>0</v>
      </c>
      <c r="I36" s="3"/>
      <c r="J36" s="3"/>
      <c r="K36" s="3"/>
      <c r="L36" s="3"/>
      <c r="M36" s="3"/>
      <c r="N36" s="3"/>
      <c r="O36" s="3"/>
      <c r="P36" s="3"/>
      <c r="Q36" s="3"/>
      <c r="R36" s="3"/>
      <c r="S36" s="3"/>
      <c r="T36" s="3"/>
      <c r="U36" s="3"/>
      <c r="V36" s="3"/>
    </row>
    <row r="37" spans="1:22">
      <c r="B37" s="164"/>
      <c r="D37" s="165" t="s">
        <v>4787</v>
      </c>
      <c r="E37" s="163"/>
      <c r="F37" s="3">
        <f>-EFC_SS!G54</f>
        <v>-100000000</v>
      </c>
      <c r="G37" s="163"/>
      <c r="H37" s="3">
        <v>0</v>
      </c>
      <c r="I37" s="3"/>
      <c r="J37" s="3"/>
      <c r="K37" s="3"/>
      <c r="L37" s="3"/>
      <c r="M37" s="3"/>
      <c r="N37" s="3"/>
      <c r="O37" s="3"/>
      <c r="P37" s="3"/>
      <c r="Q37" s="3"/>
      <c r="R37" s="3"/>
      <c r="S37" s="3"/>
      <c r="T37" s="3"/>
      <c r="U37" s="3"/>
      <c r="V37" s="3"/>
    </row>
    <row r="38" spans="1:22">
      <c r="B38" s="164" t="s">
        <v>4767</v>
      </c>
      <c r="D38" s="165" t="s">
        <v>4788</v>
      </c>
      <c r="E38" s="163"/>
      <c r="F38" s="3">
        <f>-EFC_SS!G59+EFC_SS!G58</f>
        <v>-267213680</v>
      </c>
      <c r="G38" s="163"/>
      <c r="H38" s="3">
        <v>177285400</v>
      </c>
      <c r="I38" s="3"/>
      <c r="J38" s="3"/>
      <c r="K38" s="3"/>
      <c r="L38" s="3"/>
      <c r="M38" s="3"/>
      <c r="N38" s="3"/>
      <c r="O38" s="3"/>
      <c r="P38" s="3"/>
      <c r="Q38" s="3"/>
      <c r="R38" s="3"/>
      <c r="S38" s="3"/>
      <c r="T38" s="3"/>
      <c r="U38" s="3"/>
      <c r="V38" s="3"/>
    </row>
    <row r="39" spans="1:22" hidden="1">
      <c r="A39" s="2"/>
      <c r="B39" s="164" t="s">
        <v>4765</v>
      </c>
      <c r="C39" s="164"/>
      <c r="D39" s="165" t="s">
        <v>4789</v>
      </c>
      <c r="E39" s="165"/>
      <c r="F39" s="3">
        <v>0</v>
      </c>
      <c r="G39" s="165"/>
      <c r="H39" s="3">
        <v>0</v>
      </c>
      <c r="I39" s="3"/>
      <c r="J39" s="3"/>
      <c r="K39" s="3"/>
      <c r="L39" s="3"/>
      <c r="M39" s="3"/>
      <c r="N39" s="64"/>
      <c r="O39" s="3"/>
      <c r="P39" s="3"/>
      <c r="Q39" s="3"/>
      <c r="R39" s="3"/>
      <c r="S39" s="3"/>
      <c r="T39" s="3"/>
      <c r="U39" s="3"/>
      <c r="V39" s="3"/>
    </row>
    <row r="40" spans="1:22" hidden="1">
      <c r="B40" s="164" t="s">
        <v>4765</v>
      </c>
      <c r="C40" s="164"/>
      <c r="D40" t="s">
        <v>4790</v>
      </c>
      <c r="F40" s="3"/>
      <c r="H40" s="3"/>
      <c r="I40" s="3"/>
      <c r="J40" s="3"/>
      <c r="K40" s="3"/>
      <c r="L40" s="3"/>
      <c r="M40" s="3"/>
      <c r="N40" s="3"/>
      <c r="O40" s="3"/>
      <c r="P40" s="3"/>
      <c r="Q40" s="3"/>
      <c r="R40" s="3"/>
      <c r="S40" s="3"/>
      <c r="T40" s="3"/>
      <c r="U40" s="3"/>
      <c r="V40" s="3"/>
    </row>
    <row r="41" spans="1:22" hidden="1">
      <c r="B41" s="164" t="s">
        <v>4765</v>
      </c>
      <c r="C41" s="164"/>
      <c r="D41" t="s">
        <v>4791</v>
      </c>
      <c r="F41" s="3"/>
      <c r="H41" s="3"/>
      <c r="I41" s="3"/>
      <c r="J41" s="3"/>
      <c r="K41" s="3"/>
      <c r="L41" s="3"/>
      <c r="M41" s="3"/>
      <c r="N41" s="3"/>
      <c r="O41" s="3"/>
      <c r="P41" s="3"/>
      <c r="Q41" s="3"/>
      <c r="R41" s="3"/>
      <c r="S41" s="3"/>
      <c r="T41" s="3"/>
      <c r="U41" s="3"/>
      <c r="V41" s="3"/>
    </row>
    <row r="42" spans="1:22" hidden="1">
      <c r="B42" s="164" t="s">
        <v>4765</v>
      </c>
      <c r="C42" s="164"/>
      <c r="D42" t="s">
        <v>4792</v>
      </c>
      <c r="F42" s="3"/>
      <c r="H42" s="3"/>
      <c r="I42" s="3"/>
      <c r="J42" s="3"/>
      <c r="K42" s="3"/>
      <c r="L42" s="3"/>
      <c r="M42" s="3"/>
      <c r="N42" s="3"/>
      <c r="O42" s="3"/>
      <c r="P42" s="3"/>
      <c r="Q42" s="3"/>
      <c r="R42" s="3"/>
      <c r="S42" s="3"/>
      <c r="T42" s="3"/>
      <c r="U42" s="3"/>
      <c r="V42" s="3"/>
    </row>
    <row r="43" spans="1:22" hidden="1">
      <c r="B43" s="164" t="s">
        <v>4765</v>
      </c>
      <c r="C43" s="164"/>
      <c r="D43" t="s">
        <v>4793</v>
      </c>
      <c r="F43" s="3"/>
      <c r="H43" s="3"/>
      <c r="I43" s="3"/>
      <c r="J43" s="3"/>
      <c r="K43" s="3"/>
      <c r="L43" s="3"/>
      <c r="M43" s="3"/>
      <c r="N43" s="3"/>
      <c r="O43" s="3"/>
      <c r="P43" s="3"/>
      <c r="Q43" s="3"/>
      <c r="R43" s="3"/>
      <c r="S43" s="3"/>
      <c r="T43" s="3"/>
      <c r="U43" s="3"/>
      <c r="V43" s="3"/>
    </row>
    <row r="44" spans="1:22" hidden="1">
      <c r="B44" s="164" t="s">
        <v>4767</v>
      </c>
      <c r="C44" s="164"/>
      <c r="D44" t="s">
        <v>4794</v>
      </c>
      <c r="F44" s="3"/>
      <c r="H44" s="3"/>
      <c r="I44" s="3"/>
      <c r="J44" s="3"/>
      <c r="K44" s="3"/>
      <c r="L44" s="3"/>
      <c r="M44" s="3"/>
      <c r="N44" s="3"/>
      <c r="O44" s="3"/>
      <c r="P44" s="3"/>
      <c r="Q44" s="3"/>
      <c r="R44" s="3"/>
      <c r="S44" s="3"/>
      <c r="T44" s="3"/>
      <c r="U44" s="3"/>
      <c r="V44" s="3"/>
    </row>
    <row r="45" spans="1:22" hidden="1">
      <c r="B45" s="164" t="s">
        <v>4767</v>
      </c>
      <c r="C45" s="164"/>
      <c r="D45" t="s">
        <v>4795</v>
      </c>
      <c r="F45" s="3"/>
      <c r="H45" s="3"/>
      <c r="I45" s="3"/>
      <c r="J45" s="3"/>
      <c r="K45" s="3"/>
      <c r="L45" s="3"/>
      <c r="M45" s="3"/>
      <c r="N45" s="3"/>
      <c r="O45" s="3"/>
      <c r="P45" s="3"/>
      <c r="Q45" s="3"/>
      <c r="R45" s="3"/>
      <c r="S45" s="3"/>
      <c r="T45" s="3"/>
      <c r="U45" s="3"/>
      <c r="V45" s="3"/>
    </row>
    <row r="46" spans="1:22" hidden="1">
      <c r="B46" s="164" t="s">
        <v>4767</v>
      </c>
      <c r="C46" s="164"/>
      <c r="D46" t="s">
        <v>4796</v>
      </c>
      <c r="F46" s="3"/>
      <c r="H46" s="3"/>
      <c r="I46" s="3"/>
      <c r="J46" s="3"/>
      <c r="K46" s="3"/>
      <c r="L46" s="3"/>
      <c r="M46" s="3"/>
      <c r="N46" s="3"/>
      <c r="O46" s="3"/>
      <c r="P46" s="3"/>
      <c r="Q46" s="3"/>
      <c r="R46" s="3"/>
      <c r="S46" s="3"/>
      <c r="T46" s="3"/>
      <c r="U46" s="3"/>
      <c r="V46" s="3"/>
    </row>
    <row r="47" spans="1:22">
      <c r="D47" s="64" t="s">
        <v>4797</v>
      </c>
      <c r="E47" s="64"/>
      <c r="F47" s="339">
        <f>SUM(F36:F46)</f>
        <v>-166613680</v>
      </c>
      <c r="G47" s="64"/>
      <c r="H47" s="339">
        <f>SUM(H36:H46)</f>
        <v>177285400</v>
      </c>
      <c r="I47" s="65"/>
      <c r="J47" s="65"/>
      <c r="K47" s="65"/>
      <c r="L47" s="65"/>
      <c r="M47" s="3"/>
      <c r="N47" s="3"/>
      <c r="O47" s="3"/>
      <c r="P47" s="3"/>
      <c r="Q47" s="3"/>
      <c r="R47" s="3"/>
      <c r="S47" s="3"/>
      <c r="T47" s="3"/>
      <c r="U47" s="3"/>
      <c r="V47" s="3"/>
    </row>
    <row r="48" spans="1:22">
      <c r="F48" s="3"/>
      <c r="H48" s="3"/>
      <c r="I48" s="3"/>
      <c r="J48" s="3"/>
      <c r="K48" s="3"/>
      <c r="L48" s="3"/>
      <c r="M48" s="3"/>
      <c r="N48" s="3"/>
      <c r="O48" s="3"/>
      <c r="P48" s="3"/>
      <c r="Q48" s="3"/>
      <c r="R48" s="3"/>
      <c r="S48" s="3"/>
      <c r="T48" s="3"/>
      <c r="U48" s="3"/>
      <c r="V48" s="3"/>
    </row>
    <row r="49" spans="3:25">
      <c r="F49" s="3"/>
      <c r="H49" s="3"/>
      <c r="I49" s="3"/>
      <c r="J49" s="3"/>
      <c r="K49" s="3"/>
      <c r="L49" s="3"/>
      <c r="M49" s="3"/>
      <c r="N49" s="3"/>
      <c r="O49" s="3"/>
      <c r="P49" s="3"/>
      <c r="Q49" s="3"/>
      <c r="R49" s="3"/>
      <c r="S49" s="3"/>
      <c r="T49" s="3"/>
      <c r="U49" s="3"/>
      <c r="V49" s="3"/>
    </row>
    <row r="50" spans="3:25">
      <c r="C50" s="64" t="s">
        <v>4798</v>
      </c>
      <c r="E50" s="64"/>
      <c r="F50" s="65">
        <f>F8+F25+F33+F47</f>
        <v>9132636.4900000095</v>
      </c>
      <c r="G50" s="64"/>
      <c r="H50" s="65">
        <f>H8+H25+H33+H47</f>
        <v>1413278.650000006</v>
      </c>
      <c r="I50" s="65"/>
      <c r="J50" s="65"/>
      <c r="K50" s="65"/>
      <c r="L50" s="65"/>
      <c r="M50" s="3"/>
      <c r="N50" s="3"/>
      <c r="O50" s="3"/>
      <c r="P50" s="3"/>
      <c r="Q50" s="3"/>
      <c r="R50" s="3"/>
      <c r="S50" s="3"/>
      <c r="T50" s="3"/>
      <c r="U50" s="3"/>
      <c r="V50" s="3"/>
    </row>
    <row r="51" spans="3:25">
      <c r="C51" s="64" t="s">
        <v>4799</v>
      </c>
      <c r="F51" s="3">
        <f>Bce!G3</f>
        <v>39647234.509999998</v>
      </c>
      <c r="H51" s="3">
        <v>38233955.859999999</v>
      </c>
      <c r="I51" s="3"/>
      <c r="J51" s="3"/>
      <c r="K51" s="3"/>
      <c r="L51" s="3"/>
      <c r="M51" s="3"/>
      <c r="N51" s="3"/>
      <c r="O51" s="3"/>
      <c r="P51" s="3"/>
      <c r="Q51" s="3"/>
      <c r="R51" s="3"/>
      <c r="S51" s="3"/>
      <c r="T51" s="3"/>
      <c r="U51" s="3"/>
      <c r="V51" s="3"/>
    </row>
    <row r="52" spans="3:25" ht="15.75" thickBot="1">
      <c r="C52" s="64" t="s">
        <v>4800</v>
      </c>
      <c r="F52" s="340">
        <f>F50+F51</f>
        <v>48779871.000000007</v>
      </c>
      <c r="H52" s="340">
        <f>H50+H51</f>
        <v>39647234.510000005</v>
      </c>
      <c r="I52" s="3"/>
      <c r="J52" s="3"/>
      <c r="K52" s="3"/>
      <c r="L52" s="3"/>
      <c r="M52" s="3"/>
      <c r="N52" s="3"/>
      <c r="O52" s="3"/>
      <c r="P52" s="3"/>
      <c r="Q52" s="3"/>
      <c r="R52" s="3"/>
      <c r="S52" s="3"/>
      <c r="T52" s="3"/>
      <c r="U52" s="3"/>
      <c r="V52" s="3"/>
    </row>
    <row r="53" spans="3:25" ht="15.75" thickTop="1">
      <c r="F53" s="3"/>
      <c r="H53" s="3"/>
      <c r="I53" s="3"/>
      <c r="J53" s="3"/>
      <c r="K53" s="3"/>
      <c r="L53" s="3"/>
      <c r="M53" s="3"/>
      <c r="N53" s="3"/>
      <c r="O53" s="3"/>
      <c r="P53" s="3"/>
      <c r="Q53" s="3"/>
      <c r="R53" s="3"/>
      <c r="S53" s="3"/>
      <c r="T53" s="3"/>
      <c r="U53" s="3"/>
      <c r="V53" s="3"/>
    </row>
    <row r="54" spans="3:25">
      <c r="F54" s="3"/>
      <c r="H54" s="3"/>
      <c r="I54" s="3"/>
      <c r="J54" s="3"/>
      <c r="K54" s="3"/>
      <c r="L54" s="3"/>
      <c r="M54" s="3"/>
      <c r="N54" s="3"/>
      <c r="O54" s="3"/>
      <c r="P54" s="3"/>
      <c r="Q54" s="3"/>
      <c r="R54" s="3"/>
      <c r="S54" s="3"/>
      <c r="T54" s="3"/>
      <c r="U54" s="3"/>
      <c r="V54" s="3"/>
    </row>
    <row r="55" spans="3:25">
      <c r="F55" s="3"/>
      <c r="H55" s="3"/>
      <c r="I55" s="3"/>
      <c r="J55" s="3"/>
      <c r="K55" s="3"/>
      <c r="L55" s="3"/>
      <c r="M55" s="3"/>
      <c r="N55" s="3"/>
      <c r="O55" s="3"/>
      <c r="P55" s="3"/>
      <c r="Q55" s="3"/>
      <c r="R55" s="3"/>
      <c r="S55" s="3"/>
      <c r="T55" s="3"/>
      <c r="U55" s="3"/>
      <c r="V55" s="3"/>
    </row>
    <row r="56" spans="3:25">
      <c r="D56" s="64"/>
      <c r="E56" s="64"/>
      <c r="G56" s="64"/>
      <c r="I56" s="3"/>
      <c r="J56" s="3"/>
      <c r="K56" s="3"/>
      <c r="L56" s="3"/>
      <c r="M56" s="3"/>
      <c r="N56" s="3"/>
      <c r="O56" s="3"/>
      <c r="P56" s="3"/>
      <c r="Q56" s="3"/>
      <c r="R56" s="3"/>
      <c r="S56" s="3"/>
      <c r="T56" s="3"/>
      <c r="U56" s="3"/>
      <c r="V56" s="3"/>
    </row>
    <row r="57" spans="3:25">
      <c r="D57" s="64"/>
      <c r="E57" s="64"/>
      <c r="G57" s="64"/>
      <c r="I57" s="3"/>
      <c r="J57" s="3"/>
      <c r="K57" s="3"/>
      <c r="L57" s="3"/>
      <c r="M57" s="3"/>
      <c r="N57" s="3"/>
      <c r="O57" s="3"/>
      <c r="P57" s="3"/>
      <c r="Q57" s="3"/>
      <c r="R57" s="3"/>
      <c r="S57" s="3"/>
      <c r="T57" s="3"/>
      <c r="U57" s="3"/>
      <c r="V57" s="3"/>
    </row>
    <row r="58" spans="3:25">
      <c r="D58" s="64"/>
      <c r="E58" s="64"/>
      <c r="G58" s="64"/>
      <c r="I58" s="3"/>
      <c r="J58" s="3"/>
      <c r="K58" s="3"/>
      <c r="L58" s="3"/>
      <c r="M58" s="3"/>
      <c r="N58" s="3"/>
      <c r="O58" s="3"/>
      <c r="P58" s="3"/>
      <c r="Q58" s="3"/>
      <c r="R58" s="3"/>
      <c r="S58" s="3"/>
      <c r="T58" s="3"/>
      <c r="U58" s="3"/>
      <c r="V58" s="3"/>
    </row>
    <row r="59" spans="3:25">
      <c r="D59" s="64"/>
      <c r="E59" s="64"/>
      <c r="F59" s="3"/>
      <c r="G59" s="64"/>
      <c r="H59" s="3"/>
      <c r="I59" s="3"/>
      <c r="J59" s="3"/>
      <c r="K59" s="3"/>
      <c r="L59" s="3"/>
      <c r="M59" s="3"/>
      <c r="N59" s="3"/>
      <c r="O59" s="3"/>
      <c r="P59" s="3"/>
      <c r="Q59" s="3"/>
      <c r="R59" s="3"/>
      <c r="S59" s="3"/>
      <c r="T59" s="3"/>
      <c r="U59" s="3"/>
      <c r="V59" s="3"/>
    </row>
    <row r="60" spans="3:25">
      <c r="D60" s="64"/>
      <c r="E60" s="64"/>
      <c r="F60" s="3"/>
      <c r="G60" s="64"/>
      <c r="H60" s="3"/>
      <c r="I60" s="3"/>
      <c r="J60" s="3"/>
      <c r="K60" s="3"/>
      <c r="L60" s="3"/>
      <c r="M60" s="3"/>
      <c r="N60" s="3"/>
      <c r="O60" s="3"/>
      <c r="P60" s="3"/>
      <c r="Q60" s="3"/>
      <c r="R60" s="3"/>
      <c r="S60" s="3"/>
      <c r="T60" s="3"/>
      <c r="U60" s="3"/>
      <c r="V60" s="3"/>
    </row>
    <row r="61" spans="3:25">
      <c r="D61" s="64"/>
      <c r="E61" s="64"/>
      <c r="F61" s="3"/>
      <c r="G61" s="64"/>
      <c r="H61" s="3"/>
      <c r="I61" s="3"/>
      <c r="J61" s="3"/>
      <c r="K61" s="3"/>
      <c r="L61" s="3"/>
      <c r="M61" s="3"/>
      <c r="N61" s="3"/>
      <c r="O61" s="3"/>
      <c r="P61" s="3"/>
      <c r="Q61" s="3"/>
      <c r="R61" s="3"/>
      <c r="S61" s="3"/>
      <c r="T61" s="3"/>
      <c r="U61" s="3"/>
      <c r="V61" s="3"/>
    </row>
    <row r="62" spans="3:25">
      <c r="D62" t="s">
        <v>4801</v>
      </c>
      <c r="F62" s="3">
        <f>EFC_SS!G71</f>
        <v>48779871</v>
      </c>
      <c r="H62" s="3">
        <f>EFC_SS!H79</f>
        <v>39647234.509999998</v>
      </c>
      <c r="I62" s="3"/>
      <c r="J62" s="3"/>
      <c r="K62" s="3"/>
      <c r="L62" s="3"/>
      <c r="M62" s="3"/>
      <c r="N62" s="3"/>
      <c r="O62" s="3"/>
      <c r="P62" s="3"/>
      <c r="Q62" s="3"/>
      <c r="R62" s="3"/>
      <c r="S62" s="3"/>
      <c r="T62" s="3"/>
      <c r="U62" s="3"/>
      <c r="V62" s="3"/>
      <c r="W62" s="3"/>
      <c r="X62" s="3"/>
      <c r="Y62" s="3"/>
    </row>
    <row r="63" spans="3:25">
      <c r="D63" t="s">
        <v>4759</v>
      </c>
      <c r="F63" s="2">
        <f>F52-F62</f>
        <v>0</v>
      </c>
      <c r="H63" s="2">
        <f>H52-H62</f>
        <v>0</v>
      </c>
      <c r="I63" s="3"/>
      <c r="J63" s="3"/>
      <c r="K63" s="3"/>
      <c r="L63" s="3"/>
      <c r="M63" s="3"/>
      <c r="N63" s="3"/>
      <c r="O63" s="3"/>
      <c r="P63" s="3"/>
      <c r="Q63" s="3"/>
      <c r="R63" s="3"/>
      <c r="S63" s="3"/>
      <c r="T63" s="3"/>
      <c r="U63" s="3"/>
      <c r="V63" s="3"/>
      <c r="W63" s="3"/>
      <c r="X63" s="3"/>
      <c r="Y63" s="3"/>
    </row>
    <row r="64" spans="3:25">
      <c r="I64" s="3"/>
      <c r="J64" s="3"/>
      <c r="K64" s="3"/>
      <c r="L64" s="3"/>
      <c r="M64" s="3"/>
      <c r="N64" s="3"/>
      <c r="O64" s="3"/>
      <c r="P64" s="3"/>
      <c r="Q64" s="3"/>
      <c r="R64" s="3"/>
      <c r="S64" s="3"/>
      <c r="T64" s="3"/>
      <c r="U64" s="3"/>
      <c r="V64" s="3"/>
    </row>
    <row r="65" spans="13:22">
      <c r="M65" s="3"/>
      <c r="N65" s="3"/>
      <c r="O65" s="3"/>
      <c r="P65" s="3"/>
      <c r="Q65" s="3"/>
      <c r="R65" s="3"/>
      <c r="S65" s="3"/>
      <c r="T65" s="3"/>
      <c r="U65" s="3"/>
      <c r="V65" s="3"/>
    </row>
    <row r="66" spans="13:22">
      <c r="M66" s="3"/>
      <c r="N66" s="3"/>
      <c r="O66" s="3"/>
      <c r="P66" s="3"/>
      <c r="Q66" s="3"/>
      <c r="R66" s="3"/>
      <c r="S66" s="3"/>
      <c r="T66" s="3"/>
      <c r="U66" s="3"/>
      <c r="V66" s="3"/>
    </row>
    <row r="67" spans="13:22">
      <c r="M67" s="3"/>
      <c r="N67" s="3"/>
      <c r="O67" s="3"/>
      <c r="P67" s="3"/>
      <c r="Q67" s="3"/>
      <c r="R67" s="3"/>
      <c r="S67" s="3"/>
      <c r="T67" s="3"/>
      <c r="U67" s="3"/>
      <c r="V67" s="3"/>
    </row>
    <row r="68" spans="13:22">
      <c r="M68" s="3"/>
      <c r="N68" s="3"/>
      <c r="O68" s="3"/>
      <c r="P68" s="3"/>
      <c r="Q68" s="3"/>
      <c r="R68" s="3"/>
      <c r="S68" s="3"/>
      <c r="T68" s="3"/>
      <c r="U68" s="3"/>
      <c r="V68" s="3"/>
    </row>
    <row r="69" spans="13:22">
      <c r="M69" s="3"/>
      <c r="N69" s="3"/>
      <c r="O69" s="3"/>
      <c r="P69" s="3"/>
      <c r="Q69" s="3"/>
      <c r="R69" s="3"/>
      <c r="S69" s="3"/>
      <c r="T69" s="3"/>
      <c r="U69" s="3"/>
      <c r="V69" s="3"/>
    </row>
    <row r="70" spans="13:22">
      <c r="M70" s="3"/>
      <c r="N70" s="3"/>
      <c r="O70" s="3"/>
      <c r="P70" s="3"/>
      <c r="Q70" s="3"/>
      <c r="R70" s="3"/>
      <c r="S70" s="3"/>
      <c r="T70" s="3"/>
      <c r="U70" s="3"/>
      <c r="V70" s="3"/>
    </row>
    <row r="71" spans="13:22">
      <c r="M71" s="3"/>
      <c r="N71" s="3"/>
      <c r="O71" s="3"/>
      <c r="P71" s="3"/>
      <c r="Q71" s="3"/>
      <c r="R71" s="3"/>
      <c r="S71" s="3"/>
      <c r="T71" s="3"/>
      <c r="U71" s="3"/>
      <c r="V71" s="3"/>
    </row>
    <row r="72" spans="13:22">
      <c r="M72" s="3"/>
      <c r="N72" s="3"/>
      <c r="O72" s="3"/>
      <c r="P72" s="3"/>
      <c r="Q72" s="3"/>
      <c r="R72" s="3"/>
      <c r="S72" s="3"/>
      <c r="T72" s="3"/>
      <c r="U72" s="3"/>
      <c r="V72" s="3"/>
    </row>
    <row r="73" spans="13:22">
      <c r="M73" s="3"/>
      <c r="N73" s="3"/>
      <c r="O73" s="3"/>
      <c r="P73" s="3"/>
      <c r="Q73" s="3"/>
      <c r="R73" s="3"/>
      <c r="S73" s="3"/>
      <c r="T73" s="3"/>
      <c r="U73" s="3"/>
      <c r="V73" s="3"/>
    </row>
    <row r="74" spans="13:22">
      <c r="M74" s="3"/>
      <c r="N74" s="3"/>
      <c r="O74" s="3"/>
      <c r="P74" s="3"/>
      <c r="Q74" s="3"/>
      <c r="R74" s="3"/>
      <c r="S74" s="3"/>
      <c r="T74" s="3"/>
      <c r="U74" s="3"/>
      <c r="V74" s="3"/>
    </row>
    <row r="75" spans="13:22">
      <c r="M75" s="3"/>
      <c r="N75" s="3"/>
      <c r="O75" s="3"/>
      <c r="P75" s="3"/>
      <c r="Q75" s="3"/>
      <c r="R75" s="3"/>
      <c r="S75" s="3"/>
      <c r="T75" s="3"/>
      <c r="U75" s="3"/>
      <c r="V75" s="3"/>
    </row>
    <row r="76" spans="13:22">
      <c r="M76" s="3"/>
      <c r="N76" s="3"/>
      <c r="O76" s="3"/>
      <c r="P76" s="3"/>
      <c r="Q76" s="3"/>
      <c r="R76" s="3"/>
      <c r="S76" s="3"/>
      <c r="T76" s="3"/>
      <c r="U76" s="3"/>
      <c r="V76" s="3"/>
    </row>
    <row r="77" spans="13:22">
      <c r="M77" s="3"/>
      <c r="N77" s="3"/>
      <c r="O77" s="3"/>
      <c r="P77" s="3"/>
      <c r="Q77" s="3"/>
      <c r="R77" s="3"/>
      <c r="S77" s="3"/>
      <c r="T77" s="3"/>
      <c r="U77" s="3"/>
      <c r="V77" s="3"/>
    </row>
    <row r="78" spans="13:22">
      <c r="M78" s="3"/>
      <c r="N78" s="3"/>
      <c r="O78" s="3"/>
      <c r="P78" s="3"/>
      <c r="Q78" s="3"/>
      <c r="R78" s="3"/>
      <c r="S78" s="3"/>
      <c r="T78" s="3"/>
      <c r="U78" s="3"/>
      <c r="V78" s="3"/>
    </row>
    <row r="79" spans="13:22">
      <c r="M79" s="3"/>
      <c r="N79" s="3"/>
      <c r="O79" s="3"/>
      <c r="P79" s="3"/>
      <c r="Q79" s="3"/>
      <c r="R79" s="3"/>
      <c r="S79" s="3"/>
      <c r="T79" s="3"/>
      <c r="U79" s="3"/>
      <c r="V79" s="3"/>
    </row>
    <row r="80" spans="13:22">
      <c r="M80" s="3"/>
      <c r="N80" s="3"/>
      <c r="O80" s="3"/>
      <c r="P80" s="3"/>
      <c r="Q80" s="3"/>
      <c r="R80" s="3"/>
      <c r="S80" s="3"/>
      <c r="T80" s="3"/>
      <c r="U80" s="3"/>
      <c r="V80" s="3"/>
    </row>
  </sheetData>
  <conditionalFormatting sqref="F63">
    <cfRule type="cellIs" dxfId="9" priority="3" operator="notEqual">
      <formula>0</formula>
    </cfRule>
    <cfRule type="cellIs" dxfId="8" priority="4" operator="equal">
      <formula>0</formula>
    </cfRule>
  </conditionalFormatting>
  <conditionalFormatting sqref="H63">
    <cfRule type="cellIs" dxfId="7" priority="1" operator="notEqual">
      <formula>0</formula>
    </cfRule>
    <cfRule type="cellIs" dxfId="6" priority="2" operator="equal">
      <formula>0</formula>
    </cfRule>
  </conditionalFormatting>
  <printOptions horizontalCentered="1"/>
  <pageMargins left="0.39370078740157483" right="0.39370078740157483" top="0.78740157480314965" bottom="0.78740157480314965" header="0.39370078740157483" footer="0.39370078740157483"/>
  <pageSetup scale="80"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5D3C4-7BF7-469B-B0B0-AA2F0DEB5193}">
  <sheetPr>
    <tabColor theme="4" tint="0.39997558519241921"/>
  </sheetPr>
  <dimension ref="A2:IZ265"/>
  <sheetViews>
    <sheetView view="pageBreakPreview" zoomScaleNormal="70" zoomScaleSheetLayoutView="100" workbookViewId="0">
      <selection activeCell="P9" sqref="P9"/>
    </sheetView>
  </sheetViews>
  <sheetFormatPr baseColWidth="10" defaultColWidth="11.28515625" defaultRowHeight="15.75" customHeight="1"/>
  <cols>
    <col min="1" max="1" width="3.7109375" style="160" customWidth="1"/>
    <col min="2" max="2" width="35.140625" style="129" customWidth="1"/>
    <col min="3" max="3" width="5.7109375" style="129" customWidth="1"/>
    <col min="4" max="7" width="14.7109375" style="159" customWidth="1"/>
    <col min="8" max="9" width="3.7109375" style="159" customWidth="1"/>
    <col min="10" max="10" width="15.28515625" style="159" bestFit="1" customWidth="1"/>
    <col min="11" max="11" width="16.5703125" style="159" bestFit="1" customWidth="1"/>
    <col min="12" max="12" width="14.7109375" style="159" bestFit="1" customWidth="1"/>
    <col min="13" max="13" width="11.28515625" style="159" customWidth="1"/>
    <col min="14" max="14" width="15.85546875" style="159" bestFit="1" customWidth="1"/>
    <col min="15" max="16384" width="11.28515625" style="159"/>
  </cols>
  <sheetData>
    <row r="2" spans="1:8" s="129" customFormat="1" ht="15.75" customHeight="1">
      <c r="A2" s="125"/>
      <c r="B2" s="126" t="s">
        <v>4648</v>
      </c>
      <c r="C2" s="127"/>
      <c r="D2" s="128"/>
      <c r="E2" s="128"/>
      <c r="F2" s="128"/>
      <c r="G2" s="128"/>
      <c r="H2" s="128"/>
    </row>
    <row r="3" spans="1:8" s="129" customFormat="1" ht="15.75" customHeight="1">
      <c r="A3" s="125"/>
      <c r="B3" s="130" t="s">
        <v>4802</v>
      </c>
      <c r="C3" s="126"/>
      <c r="D3" s="128"/>
      <c r="E3" s="128"/>
      <c r="F3" s="128"/>
      <c r="G3" s="128"/>
      <c r="H3" s="128"/>
    </row>
    <row r="4" spans="1:8" s="129" customFormat="1" ht="15.75" customHeight="1">
      <c r="A4" s="125"/>
      <c r="B4" s="130" t="s">
        <v>4803</v>
      </c>
      <c r="C4" s="126"/>
      <c r="D4" s="128"/>
      <c r="E4" s="128"/>
      <c r="F4" s="128"/>
      <c r="G4" s="128"/>
      <c r="H4" s="128"/>
    </row>
    <row r="5" spans="1:8" s="129" customFormat="1" ht="15.75" customHeight="1">
      <c r="A5" s="125"/>
      <c r="B5" s="131" t="s">
        <v>4804</v>
      </c>
      <c r="C5" s="132"/>
      <c r="D5" s="133"/>
      <c r="E5" s="133"/>
      <c r="F5" s="133"/>
      <c r="G5" s="133"/>
      <c r="H5" s="128"/>
    </row>
    <row r="6" spans="1:8" s="129" customFormat="1" ht="15.75" customHeight="1">
      <c r="A6" s="125"/>
      <c r="B6" s="134"/>
      <c r="C6" s="134"/>
      <c r="D6" s="128"/>
      <c r="E6" s="128"/>
      <c r="F6" s="128"/>
      <c r="G6" s="128"/>
      <c r="H6" s="128"/>
    </row>
    <row r="7" spans="1:8" s="129" customFormat="1" ht="15.75" customHeight="1">
      <c r="A7" s="125"/>
      <c r="B7" s="128"/>
      <c r="C7" s="128"/>
      <c r="D7" s="135"/>
      <c r="E7" s="135"/>
      <c r="F7" s="135"/>
      <c r="G7" s="135"/>
      <c r="H7" s="128"/>
    </row>
    <row r="8" spans="1:8" s="139" customFormat="1" ht="33.75">
      <c r="A8" s="136"/>
      <c r="B8" s="128"/>
      <c r="C8" s="137" t="s">
        <v>4805</v>
      </c>
      <c r="D8" s="137" t="s">
        <v>849</v>
      </c>
      <c r="E8" s="137" t="s">
        <v>964</v>
      </c>
      <c r="F8" s="137" t="s">
        <v>976</v>
      </c>
      <c r="G8" s="138" t="s">
        <v>4806</v>
      </c>
      <c r="H8" s="128"/>
    </row>
    <row r="9" spans="1:8" s="139" customFormat="1" ht="15.75" customHeight="1">
      <c r="A9" s="136"/>
      <c r="B9" s="128"/>
      <c r="C9" s="128"/>
      <c r="D9" s="140"/>
      <c r="E9" s="140"/>
      <c r="F9" s="140"/>
      <c r="G9" s="140"/>
      <c r="H9" s="128"/>
    </row>
    <row r="10" spans="1:8" s="139" customFormat="1" ht="15.75" customHeight="1">
      <c r="A10" s="141"/>
      <c r="B10" s="142" t="s">
        <v>4807</v>
      </c>
      <c r="C10" s="142"/>
      <c r="D10" s="345">
        <v>0</v>
      </c>
      <c r="E10" s="345">
        <v>0</v>
      </c>
      <c r="F10" s="345">
        <v>0</v>
      </c>
      <c r="G10" s="345">
        <f>SUM(D10:F10)</f>
        <v>0</v>
      </c>
      <c r="H10" s="128"/>
    </row>
    <row r="11" spans="1:8" s="139" customFormat="1" ht="15">
      <c r="A11" s="141"/>
      <c r="B11" s="142"/>
      <c r="C11" s="142"/>
      <c r="D11" s="143"/>
      <c r="E11" s="143"/>
      <c r="F11" s="143"/>
      <c r="G11" s="143"/>
      <c r="H11" s="128"/>
    </row>
    <row r="12" spans="1:8" s="139" customFormat="1" ht="15">
      <c r="A12" s="141"/>
      <c r="B12" s="144" t="s">
        <v>4379</v>
      </c>
      <c r="C12" s="144"/>
      <c r="D12" s="145">
        <v>400000</v>
      </c>
      <c r="E12" s="145"/>
      <c r="F12" s="145"/>
      <c r="G12" s="145">
        <f>SUM(D12:F12)</f>
        <v>400000</v>
      </c>
      <c r="H12" s="128"/>
    </row>
    <row r="13" spans="1:8" s="139" customFormat="1" ht="15">
      <c r="A13" s="136"/>
      <c r="B13" s="144" t="s">
        <v>4808</v>
      </c>
      <c r="C13" s="144"/>
      <c r="D13" s="145"/>
      <c r="E13" s="145"/>
      <c r="F13" s="145"/>
      <c r="G13" s="145">
        <f>SUM(D13:F13)</f>
        <v>0</v>
      </c>
      <c r="H13" s="128"/>
    </row>
    <row r="14" spans="1:8" s="139" customFormat="1" ht="15">
      <c r="A14" s="136"/>
      <c r="B14" s="144" t="s">
        <v>4809</v>
      </c>
      <c r="C14" s="144"/>
      <c r="D14" s="145"/>
      <c r="E14" s="145"/>
      <c r="F14" s="145"/>
      <c r="G14" s="145">
        <f>SUM(D14:F14)</f>
        <v>0</v>
      </c>
      <c r="H14" s="128"/>
    </row>
    <row r="15" spans="1:8" s="139" customFormat="1" ht="15.75" customHeight="1">
      <c r="A15" s="136"/>
      <c r="B15" s="144"/>
      <c r="C15" s="144"/>
      <c r="D15" s="145"/>
      <c r="E15" s="145"/>
      <c r="F15" s="145"/>
      <c r="G15" s="145"/>
      <c r="H15" s="128"/>
    </row>
    <row r="16" spans="1:8" s="139" customFormat="1" ht="15.75" customHeight="1" thickBot="1">
      <c r="A16" s="141"/>
      <c r="B16" s="142" t="s">
        <v>4810</v>
      </c>
      <c r="C16" s="142"/>
      <c r="D16" s="146">
        <f>SUM(D10:D15)</f>
        <v>400000</v>
      </c>
      <c r="E16" s="146">
        <f>SUM(E10:E15)</f>
        <v>0</v>
      </c>
      <c r="F16" s="146">
        <f>SUM(F10:F15)</f>
        <v>0</v>
      </c>
      <c r="G16" s="146">
        <f>SUM(G10:G15)</f>
        <v>400000</v>
      </c>
      <c r="H16" s="128"/>
    </row>
    <row r="17" spans="1:11" s="139" customFormat="1" thickTop="1">
      <c r="A17" s="141"/>
      <c r="B17" s="142"/>
      <c r="C17" s="142"/>
      <c r="D17" s="143"/>
      <c r="E17" s="143"/>
      <c r="F17" s="143"/>
      <c r="G17" s="143"/>
      <c r="H17" s="128"/>
    </row>
    <row r="18" spans="1:11" s="139" customFormat="1" ht="15">
      <c r="A18" s="141"/>
      <c r="B18" s="144" t="s">
        <v>4379</v>
      </c>
      <c r="C18" s="144"/>
      <c r="D18" s="145"/>
      <c r="E18" s="145"/>
      <c r="F18" s="145"/>
      <c r="G18" s="145">
        <f>SUM(D18:F18)</f>
        <v>0</v>
      </c>
      <c r="H18" s="128"/>
    </row>
    <row r="19" spans="1:11" s="139" customFormat="1" ht="15">
      <c r="A19" s="136"/>
      <c r="B19" s="144" t="s">
        <v>4808</v>
      </c>
      <c r="C19" s="144"/>
      <c r="D19" s="145"/>
      <c r="E19" s="145"/>
      <c r="F19" s="145">
        <v>-49023399.139999986</v>
      </c>
      <c r="G19" s="145">
        <f>SUM(D19:F19)</f>
        <v>-49023399.139999986</v>
      </c>
      <c r="H19" s="128"/>
    </row>
    <row r="20" spans="1:11" s="139" customFormat="1" ht="15">
      <c r="A20" s="136"/>
      <c r="B20" s="144" t="s">
        <v>4809</v>
      </c>
      <c r="C20" s="144"/>
      <c r="D20" s="145"/>
      <c r="E20" s="145">
        <v>-71627508.550000086</v>
      </c>
      <c r="F20" s="145"/>
      <c r="G20" s="145">
        <f>SUM(D20:F20)</f>
        <v>-71627508.550000086</v>
      </c>
      <c r="H20" s="128"/>
      <c r="J20" s="344"/>
      <c r="K20" s="344"/>
    </row>
    <row r="21" spans="1:11" s="139" customFormat="1" ht="4.9000000000000004" customHeight="1">
      <c r="A21" s="136"/>
      <c r="B21" s="144"/>
      <c r="C21" s="144"/>
      <c r="D21" s="145"/>
      <c r="E21" s="145"/>
      <c r="F21" s="145"/>
      <c r="G21" s="145"/>
      <c r="H21" s="128"/>
    </row>
    <row r="22" spans="1:11" s="139" customFormat="1" ht="15.75" customHeight="1" thickBot="1">
      <c r="A22" s="141"/>
      <c r="B22" s="142" t="s">
        <v>4811</v>
      </c>
      <c r="C22" s="142"/>
      <c r="D22" s="146">
        <f>SUM(D16:D21)</f>
        <v>400000</v>
      </c>
      <c r="E22" s="146">
        <f>SUM(E16:E21)</f>
        <v>-71627508.550000086</v>
      </c>
      <c r="F22" s="146">
        <f>SUM(F16:F21)</f>
        <v>-49023399.139999986</v>
      </c>
      <c r="G22" s="146">
        <f>SUM(G16:G21)</f>
        <v>-120250907.69000007</v>
      </c>
      <c r="H22" s="128"/>
    </row>
    <row r="23" spans="1:11" s="139" customFormat="1" thickTop="1">
      <c r="A23" s="141"/>
      <c r="B23" s="142"/>
      <c r="C23" s="142"/>
      <c r="D23" s="143"/>
      <c r="E23" s="143"/>
      <c r="F23" s="143"/>
      <c r="G23" s="143"/>
      <c r="H23" s="128"/>
    </row>
    <row r="24" spans="1:11" s="139" customFormat="1" ht="15">
      <c r="A24" s="141"/>
      <c r="B24" s="144" t="s">
        <v>4379</v>
      </c>
      <c r="C24" s="144"/>
      <c r="D24" s="145">
        <f>101000000-400000</f>
        <v>100600000</v>
      </c>
      <c r="E24" s="145"/>
      <c r="F24" s="145"/>
      <c r="G24" s="145">
        <f>SUM(D24:F24)</f>
        <v>100600000</v>
      </c>
      <c r="H24" s="128"/>
    </row>
    <row r="25" spans="1:11" s="139" customFormat="1" ht="15">
      <c r="A25" s="136"/>
      <c r="B25" s="144" t="s">
        <v>4808</v>
      </c>
      <c r="C25" s="144"/>
      <c r="D25" s="145"/>
      <c r="E25" s="145">
        <f>-E20</f>
        <v>71627508.550000086</v>
      </c>
      <c r="F25" s="145">
        <v>-71627508.550000086</v>
      </c>
      <c r="G25" s="145">
        <f>SUM(D25:F25)</f>
        <v>0</v>
      </c>
      <c r="H25" s="128"/>
    </row>
    <row r="26" spans="1:11" s="139" customFormat="1" ht="15">
      <c r="A26" s="136"/>
      <c r="B26" s="144" t="s">
        <v>4809</v>
      </c>
      <c r="C26" s="144"/>
      <c r="D26" s="145"/>
      <c r="E26" s="145">
        <f>ERI!F39</f>
        <v>49763400.079999924</v>
      </c>
      <c r="F26" s="145"/>
      <c r="G26" s="145">
        <f>SUM(D26:F26)</f>
        <v>49763400.079999924</v>
      </c>
      <c r="H26" s="128"/>
      <c r="J26" s="344" t="s">
        <v>4759</v>
      </c>
      <c r="K26" s="344" t="s">
        <v>4474</v>
      </c>
    </row>
    <row r="27" spans="1:11" s="139" customFormat="1" ht="4.9000000000000004" customHeight="1">
      <c r="A27" s="136"/>
      <c r="B27" s="144"/>
      <c r="C27" s="144"/>
      <c r="D27" s="145"/>
      <c r="E27" s="145"/>
      <c r="F27" s="145"/>
      <c r="G27" s="145"/>
      <c r="H27" s="128"/>
    </row>
    <row r="28" spans="1:11" s="139" customFormat="1" ht="15.75" customHeight="1" thickBot="1">
      <c r="A28" s="141"/>
      <c r="B28" s="142" t="s">
        <v>4812</v>
      </c>
      <c r="C28" s="142"/>
      <c r="D28" s="146">
        <f>SUM(D22:D27)</f>
        <v>101000000</v>
      </c>
      <c r="E28" s="146">
        <f>SUM(E22:E27)</f>
        <v>49763400.079999924</v>
      </c>
      <c r="F28" s="146">
        <f>SUM(F22:F27)</f>
        <v>-120650907.69000007</v>
      </c>
      <c r="G28" s="146">
        <f>SUM(G22:G27)</f>
        <v>30112492.389999852</v>
      </c>
      <c r="H28" s="128"/>
      <c r="J28" s="139">
        <f>ESF!F51</f>
        <v>30112492.389999926</v>
      </c>
      <c r="K28" s="139">
        <f>G28-J28</f>
        <v>-7.4505805969238281E-8</v>
      </c>
    </row>
    <row r="29" spans="1:11" s="139" customFormat="1" ht="15.75" customHeight="1" thickTop="1">
      <c r="A29" s="141"/>
      <c r="B29" s="144"/>
      <c r="C29" s="144"/>
      <c r="D29" s="145"/>
      <c r="E29" s="145"/>
      <c r="F29" s="145"/>
      <c r="G29" s="145"/>
      <c r="H29" s="128"/>
    </row>
    <row r="30" spans="1:11" s="139" customFormat="1" ht="15.75" customHeight="1">
      <c r="A30" s="141"/>
      <c r="B30" s="147"/>
      <c r="C30" s="147"/>
      <c r="D30" s="145"/>
      <c r="E30" s="145"/>
      <c r="F30" s="145"/>
      <c r="G30" s="145"/>
      <c r="H30" s="128"/>
    </row>
    <row r="31" spans="1:11" s="139" customFormat="1" ht="15.75" customHeight="1">
      <c r="A31" s="141"/>
      <c r="B31" s="147"/>
      <c r="C31" s="147"/>
      <c r="D31" s="145"/>
      <c r="E31" s="145"/>
      <c r="F31" s="145"/>
      <c r="G31" s="145"/>
      <c r="H31" s="128"/>
    </row>
    <row r="32" spans="1:11" s="139" customFormat="1" ht="15.75" customHeight="1">
      <c r="A32" s="141"/>
      <c r="B32" s="147"/>
      <c r="C32" s="147"/>
      <c r="D32" s="145"/>
      <c r="E32" s="145"/>
      <c r="F32" s="145"/>
      <c r="G32" s="145"/>
      <c r="H32" s="128"/>
    </row>
    <row r="33" spans="1:260" s="139" customFormat="1" ht="15.75" customHeight="1">
      <c r="A33" s="141"/>
      <c r="B33" s="147"/>
      <c r="C33" s="147"/>
      <c r="D33" s="148"/>
      <c r="E33" s="148"/>
      <c r="F33" s="148"/>
      <c r="G33" s="148"/>
      <c r="H33" s="128"/>
    </row>
    <row r="34" spans="1:260" s="139" customFormat="1" ht="15.75" customHeight="1">
      <c r="A34" s="141"/>
      <c r="B34" s="147"/>
      <c r="C34" s="147"/>
      <c r="D34" s="148"/>
      <c r="E34" s="148"/>
      <c r="F34" s="148"/>
      <c r="G34" s="148"/>
      <c r="H34" s="128"/>
    </row>
    <row r="35" spans="1:260" s="139" customFormat="1" ht="15.75" customHeight="1">
      <c r="A35" s="141"/>
      <c r="B35" s="147"/>
      <c r="C35" s="147"/>
      <c r="D35" s="148"/>
      <c r="E35" s="148"/>
      <c r="F35" s="148"/>
      <c r="G35" s="148"/>
      <c r="H35" s="128"/>
    </row>
    <row r="36" spans="1:260" s="139" customFormat="1" ht="15.75" customHeight="1">
      <c r="A36" s="141"/>
      <c r="B36" s="147"/>
      <c r="C36" s="147"/>
      <c r="D36" s="148"/>
      <c r="E36" s="148"/>
      <c r="F36" s="148"/>
      <c r="G36" s="148"/>
      <c r="H36" s="128"/>
    </row>
    <row r="37" spans="1:260" s="139" customFormat="1" ht="15.75" customHeight="1">
      <c r="A37" s="141"/>
      <c r="B37" s="149"/>
      <c r="C37" s="149"/>
      <c r="D37" s="148"/>
      <c r="E37" s="148"/>
      <c r="F37" s="148"/>
      <c r="G37" s="148"/>
      <c r="H37" s="128"/>
    </row>
    <row r="38" spans="1:260" s="139" customFormat="1" ht="15.75" customHeight="1">
      <c r="A38" s="141"/>
      <c r="B38" s="149"/>
      <c r="C38" s="149"/>
      <c r="D38" s="148"/>
      <c r="E38" s="148"/>
      <c r="F38" s="148"/>
      <c r="G38" s="148"/>
      <c r="H38" s="128"/>
    </row>
    <row r="39" spans="1:260" s="139" customFormat="1" ht="15.75" customHeight="1" thickBot="1">
      <c r="A39" s="141"/>
      <c r="B39" s="149"/>
      <c r="C39" s="149"/>
      <c r="D39" s="148"/>
      <c r="E39" s="148"/>
      <c r="F39" s="148"/>
      <c r="G39" s="148"/>
      <c r="H39" s="128"/>
    </row>
    <row r="40" spans="1:260" s="139" customFormat="1" ht="15.75" customHeight="1" thickTop="1">
      <c r="A40" s="136"/>
      <c r="B40" s="150"/>
      <c r="C40" s="150"/>
      <c r="D40" s="148"/>
      <c r="E40" s="148"/>
      <c r="F40" s="151"/>
      <c r="G40" s="151"/>
      <c r="H40" s="128"/>
      <c r="IZ40" s="152"/>
    </row>
    <row r="41" spans="1:260" s="139" customFormat="1" ht="15.75" customHeight="1">
      <c r="A41" s="136"/>
      <c r="B41" s="153" t="s">
        <v>4813</v>
      </c>
      <c r="C41" s="154"/>
      <c r="D41" s="148"/>
      <c r="E41" s="148"/>
      <c r="F41" s="154"/>
      <c r="G41" s="154"/>
      <c r="H41" s="128"/>
    </row>
    <row r="42" spans="1:260" s="139" customFormat="1" ht="15.75" customHeight="1">
      <c r="A42" s="136"/>
      <c r="B42" s="128"/>
      <c r="C42" s="128"/>
      <c r="D42" s="148"/>
      <c r="E42" s="148"/>
      <c r="F42" s="149"/>
      <c r="G42" s="149"/>
      <c r="H42" s="128"/>
      <c r="M42" s="155"/>
    </row>
    <row r="43" spans="1:260" s="139" customFormat="1" ht="15.75" customHeight="1">
      <c r="A43" s="136"/>
      <c r="B43" s="129"/>
      <c r="C43" s="129"/>
      <c r="D43" s="148"/>
      <c r="E43" s="148"/>
      <c r="H43" s="128"/>
      <c r="M43" s="155"/>
    </row>
    <row r="44" spans="1:260" s="139" customFormat="1" ht="15.75" customHeight="1">
      <c r="A44" s="136"/>
      <c r="B44" s="129"/>
      <c r="C44" s="129"/>
      <c r="M44" s="155"/>
    </row>
    <row r="45" spans="1:260" s="139" customFormat="1" ht="15.75" customHeight="1">
      <c r="A45" s="136"/>
      <c r="B45" s="129"/>
      <c r="C45" s="129"/>
      <c r="M45" s="155"/>
    </row>
    <row r="46" spans="1:260" s="139" customFormat="1" ht="15.75" customHeight="1">
      <c r="A46" s="136"/>
      <c r="B46" s="129"/>
      <c r="C46" s="129"/>
      <c r="M46" s="155"/>
    </row>
    <row r="47" spans="1:260" s="139" customFormat="1" ht="15.75" customHeight="1">
      <c r="A47" s="136"/>
      <c r="B47" s="129"/>
      <c r="C47" s="129"/>
      <c r="M47" s="155"/>
    </row>
    <row r="48" spans="1:260" s="139" customFormat="1" ht="15.75" customHeight="1">
      <c r="A48" s="136"/>
      <c r="B48" s="129"/>
      <c r="C48" s="129"/>
      <c r="M48" s="155"/>
    </row>
    <row r="49" spans="1:13" s="139" customFormat="1" ht="15.75" customHeight="1">
      <c r="A49" s="136"/>
      <c r="B49" s="129"/>
      <c r="C49" s="129"/>
      <c r="M49" s="155"/>
    </row>
    <row r="50" spans="1:13" s="139" customFormat="1" ht="60" customHeight="1">
      <c r="A50" s="136"/>
      <c r="B50" s="387" t="s">
        <v>4814</v>
      </c>
      <c r="C50" s="387"/>
      <c r="D50" s="387"/>
      <c r="E50" s="387"/>
      <c r="F50" s="387"/>
      <c r="G50" s="387"/>
      <c r="H50" s="387"/>
      <c r="M50" s="155"/>
    </row>
    <row r="51" spans="1:13" s="139" customFormat="1" ht="15.75" customHeight="1">
      <c r="A51" s="136"/>
      <c r="B51" s="129"/>
      <c r="C51" s="129"/>
      <c r="M51" s="155"/>
    </row>
    <row r="52" spans="1:13" s="139" customFormat="1" ht="15.75" customHeight="1">
      <c r="A52" s="136"/>
      <c r="B52" s="129"/>
      <c r="C52" s="129"/>
      <c r="M52" s="155"/>
    </row>
    <row r="53" spans="1:13" s="139" customFormat="1" ht="66" customHeight="1">
      <c r="A53" s="156"/>
      <c r="B53" s="157"/>
      <c r="C53" s="157"/>
      <c r="D53" s="157"/>
      <c r="E53" s="157"/>
      <c r="F53" s="157"/>
      <c r="G53" s="157"/>
      <c r="H53" s="157"/>
      <c r="M53" s="155"/>
    </row>
    <row r="54" spans="1:13" s="139" customFormat="1" ht="15.75" customHeight="1">
      <c r="A54" s="158"/>
      <c r="B54" s="129"/>
      <c r="C54" s="129"/>
      <c r="M54" s="155"/>
    </row>
    <row r="55" spans="1:13" s="139" customFormat="1" ht="15.75" customHeight="1">
      <c r="A55" s="136"/>
      <c r="B55" s="129"/>
      <c r="C55" s="129"/>
      <c r="M55" s="155"/>
    </row>
    <row r="56" spans="1:13" s="139" customFormat="1" ht="15.75" customHeight="1">
      <c r="A56" s="136"/>
      <c r="B56" s="129"/>
      <c r="C56" s="129"/>
      <c r="M56" s="155"/>
    </row>
    <row r="57" spans="1:13" s="139" customFormat="1" ht="15.75" customHeight="1">
      <c r="A57" s="136"/>
      <c r="B57" s="129"/>
      <c r="C57" s="129"/>
      <c r="M57" s="155"/>
    </row>
    <row r="58" spans="1:13" s="139" customFormat="1" ht="15.75" customHeight="1">
      <c r="A58" s="136"/>
      <c r="B58" s="129"/>
      <c r="C58" s="129"/>
      <c r="M58" s="155"/>
    </row>
    <row r="59" spans="1:13" s="139" customFormat="1" ht="15.75" customHeight="1">
      <c r="A59" s="136"/>
      <c r="B59" s="129"/>
      <c r="C59" s="129"/>
      <c r="M59" s="155"/>
    </row>
    <row r="60" spans="1:13" s="139" customFormat="1" ht="15.75" customHeight="1">
      <c r="A60" s="136"/>
      <c r="B60" s="129"/>
      <c r="C60" s="129"/>
      <c r="M60" s="155"/>
    </row>
    <row r="61" spans="1:13" s="139" customFormat="1" ht="15.75" customHeight="1">
      <c r="A61" s="136"/>
      <c r="B61" s="129"/>
      <c r="C61" s="129"/>
      <c r="M61" s="155"/>
    </row>
    <row r="62" spans="1:13" s="139" customFormat="1" ht="15.75" customHeight="1">
      <c r="A62" s="136"/>
      <c r="B62" s="129"/>
      <c r="C62" s="129"/>
      <c r="M62" s="155"/>
    </row>
    <row r="63" spans="1:13" s="139" customFormat="1" ht="15.75" customHeight="1">
      <c r="A63" s="136"/>
      <c r="B63" s="129"/>
      <c r="C63" s="129"/>
      <c r="M63" s="155"/>
    </row>
    <row r="64" spans="1:13" s="139" customFormat="1" ht="15.75" customHeight="1">
      <c r="A64" s="136"/>
      <c r="B64" s="129"/>
      <c r="C64" s="129"/>
      <c r="M64" s="155"/>
    </row>
    <row r="65" spans="1:13" s="139" customFormat="1" ht="15.75" customHeight="1">
      <c r="A65" s="136"/>
      <c r="B65" s="129"/>
      <c r="C65" s="129"/>
      <c r="M65" s="155"/>
    </row>
    <row r="66" spans="1:13" s="139" customFormat="1" ht="15.75" customHeight="1">
      <c r="A66" s="136"/>
      <c r="B66" s="129"/>
      <c r="C66" s="129"/>
      <c r="M66" s="155"/>
    </row>
    <row r="67" spans="1:13" s="139" customFormat="1" ht="15.75" customHeight="1">
      <c r="A67" s="136"/>
      <c r="B67" s="129"/>
      <c r="C67" s="129"/>
      <c r="M67" s="155"/>
    </row>
    <row r="68" spans="1:13" s="139" customFormat="1" ht="15.75" customHeight="1">
      <c r="A68" s="136"/>
      <c r="B68" s="129"/>
      <c r="C68" s="129"/>
      <c r="M68" s="155"/>
    </row>
    <row r="69" spans="1:13" s="139" customFormat="1" ht="15.75" customHeight="1">
      <c r="A69" s="136"/>
      <c r="B69" s="129"/>
      <c r="C69" s="129"/>
      <c r="M69" s="155"/>
    </row>
    <row r="70" spans="1:13" s="139" customFormat="1" ht="15.75" customHeight="1">
      <c r="A70" s="136"/>
      <c r="B70" s="129"/>
      <c r="C70" s="129"/>
      <c r="M70" s="155"/>
    </row>
    <row r="71" spans="1:13" s="139" customFormat="1" ht="15.75" customHeight="1">
      <c r="A71" s="136"/>
      <c r="B71" s="129"/>
      <c r="C71" s="129"/>
      <c r="M71" s="155"/>
    </row>
    <row r="72" spans="1:13" s="139" customFormat="1" ht="15.75" customHeight="1">
      <c r="A72" s="136"/>
      <c r="B72" s="129"/>
      <c r="C72" s="129"/>
      <c r="M72" s="155"/>
    </row>
    <row r="73" spans="1:13" s="139" customFormat="1" ht="15.75" customHeight="1">
      <c r="A73" s="136"/>
      <c r="B73" s="129"/>
      <c r="C73" s="129"/>
      <c r="M73" s="155"/>
    </row>
    <row r="74" spans="1:13" s="139" customFormat="1" ht="15.75" customHeight="1">
      <c r="A74" s="136"/>
      <c r="B74" s="129"/>
      <c r="C74" s="129"/>
      <c r="M74" s="155"/>
    </row>
    <row r="75" spans="1:13" s="139" customFormat="1" ht="15.75" customHeight="1">
      <c r="A75" s="136"/>
      <c r="B75" s="129"/>
      <c r="C75" s="129"/>
      <c r="M75" s="155"/>
    </row>
    <row r="76" spans="1:13" s="139" customFormat="1" ht="15.75" customHeight="1">
      <c r="A76" s="136"/>
      <c r="B76" s="129"/>
      <c r="C76" s="129"/>
      <c r="M76" s="155"/>
    </row>
    <row r="77" spans="1:13" s="139" customFormat="1" ht="15.75" customHeight="1">
      <c r="A77" s="136"/>
      <c r="B77" s="129"/>
      <c r="C77" s="129"/>
      <c r="M77" s="155"/>
    </row>
    <row r="78" spans="1:13" s="139" customFormat="1" ht="15.75" customHeight="1">
      <c r="A78" s="136"/>
      <c r="B78" s="129"/>
      <c r="C78" s="129"/>
      <c r="M78" s="155"/>
    </row>
    <row r="79" spans="1:13" s="139" customFormat="1" ht="15.75" customHeight="1">
      <c r="A79" s="136"/>
      <c r="B79" s="129"/>
      <c r="C79" s="129"/>
      <c r="M79" s="155"/>
    </row>
    <row r="80" spans="1:13" s="139" customFormat="1" ht="15.75" customHeight="1">
      <c r="A80" s="136"/>
      <c r="B80" s="129"/>
      <c r="C80" s="129"/>
      <c r="M80" s="155"/>
    </row>
    <row r="81" spans="1:13" s="139" customFormat="1" ht="15.75" customHeight="1">
      <c r="A81" s="136"/>
      <c r="B81" s="129"/>
      <c r="C81" s="129"/>
      <c r="M81" s="155"/>
    </row>
    <row r="82" spans="1:13" s="139" customFormat="1" ht="15.75" customHeight="1">
      <c r="A82" s="136"/>
      <c r="B82" s="129"/>
      <c r="C82" s="129"/>
      <c r="M82" s="155"/>
    </row>
    <row r="83" spans="1:13" s="139" customFormat="1" ht="15.75" customHeight="1">
      <c r="A83" s="136"/>
      <c r="B83" s="129"/>
      <c r="C83" s="129"/>
      <c r="M83" s="155"/>
    </row>
    <row r="84" spans="1:13" s="139" customFormat="1" ht="15.75" customHeight="1">
      <c r="A84" s="136"/>
      <c r="B84" s="129"/>
      <c r="C84" s="129"/>
    </row>
    <row r="85" spans="1:13" s="139" customFormat="1" ht="15.75" customHeight="1">
      <c r="A85" s="136"/>
      <c r="B85" s="129"/>
      <c r="C85" s="129"/>
    </row>
    <row r="86" spans="1:13" s="139" customFormat="1" ht="15.75" customHeight="1">
      <c r="A86" s="136"/>
      <c r="B86" s="129"/>
      <c r="C86" s="129"/>
    </row>
    <row r="87" spans="1:13" s="139" customFormat="1" ht="15.75" customHeight="1">
      <c r="A87" s="136"/>
      <c r="B87" s="129"/>
      <c r="C87" s="129"/>
    </row>
    <row r="88" spans="1:13" s="139" customFormat="1" ht="15.75" customHeight="1">
      <c r="A88" s="136"/>
      <c r="B88" s="129"/>
      <c r="C88" s="129"/>
    </row>
    <row r="89" spans="1:13" s="139" customFormat="1" ht="15.75" customHeight="1">
      <c r="A89" s="136"/>
      <c r="B89" s="129"/>
      <c r="C89" s="129"/>
    </row>
    <row r="90" spans="1:13" s="139" customFormat="1" ht="15.75" customHeight="1">
      <c r="A90" s="136"/>
      <c r="B90" s="129"/>
      <c r="C90" s="129"/>
    </row>
    <row r="91" spans="1:13" s="139" customFormat="1" ht="15.75" customHeight="1">
      <c r="A91" s="136"/>
      <c r="B91" s="129"/>
      <c r="C91" s="129"/>
    </row>
    <row r="92" spans="1:13" s="139" customFormat="1" ht="15.75" customHeight="1">
      <c r="A92" s="136"/>
      <c r="B92" s="129"/>
      <c r="C92" s="129"/>
    </row>
    <row r="93" spans="1:13" s="139" customFormat="1" ht="15.75" customHeight="1">
      <c r="A93" s="136"/>
      <c r="B93" s="129"/>
      <c r="C93" s="129"/>
    </row>
    <row r="94" spans="1:13" s="139" customFormat="1" ht="15.75" customHeight="1">
      <c r="A94" s="136"/>
      <c r="B94" s="129"/>
      <c r="C94" s="129"/>
    </row>
    <row r="95" spans="1:13" s="139" customFormat="1" ht="15.75" customHeight="1">
      <c r="A95" s="136"/>
      <c r="B95" s="129"/>
      <c r="C95" s="129"/>
    </row>
    <row r="96" spans="1:13" s="139" customFormat="1" ht="15.75" customHeight="1">
      <c r="A96" s="136"/>
      <c r="B96" s="129"/>
      <c r="C96" s="129"/>
    </row>
    <row r="97" spans="1:3" s="139" customFormat="1" ht="15.75" customHeight="1">
      <c r="A97" s="136"/>
      <c r="B97" s="129"/>
      <c r="C97" s="129"/>
    </row>
    <row r="98" spans="1:3" s="139" customFormat="1" ht="15.75" customHeight="1">
      <c r="A98" s="136"/>
      <c r="B98" s="129"/>
      <c r="C98" s="129"/>
    </row>
    <row r="99" spans="1:3" s="139" customFormat="1" ht="15.75" customHeight="1">
      <c r="A99" s="136"/>
      <c r="B99" s="129"/>
      <c r="C99" s="129"/>
    </row>
    <row r="100" spans="1:3" s="139" customFormat="1" ht="15.75" customHeight="1">
      <c r="A100" s="136"/>
      <c r="B100" s="129"/>
      <c r="C100" s="129"/>
    </row>
    <row r="101" spans="1:3" s="139" customFormat="1" ht="15.75" customHeight="1">
      <c r="A101" s="136"/>
      <c r="B101" s="129"/>
      <c r="C101" s="129"/>
    </row>
    <row r="102" spans="1:3" s="139" customFormat="1" ht="15.75" customHeight="1">
      <c r="A102" s="136"/>
      <c r="B102" s="129"/>
      <c r="C102" s="129"/>
    </row>
    <row r="103" spans="1:3" s="139" customFormat="1" ht="15.75" customHeight="1">
      <c r="A103" s="136"/>
      <c r="B103" s="129"/>
      <c r="C103" s="129"/>
    </row>
    <row r="104" spans="1:3" s="139" customFormat="1" ht="15.75" customHeight="1">
      <c r="A104" s="136"/>
      <c r="B104" s="129"/>
      <c r="C104" s="129"/>
    </row>
    <row r="105" spans="1:3" s="139" customFormat="1" ht="15.75" customHeight="1">
      <c r="A105" s="136"/>
      <c r="B105" s="129"/>
      <c r="C105" s="129"/>
    </row>
    <row r="106" spans="1:3" s="139" customFormat="1" ht="15.75" customHeight="1">
      <c r="A106" s="136"/>
      <c r="B106" s="129"/>
      <c r="C106" s="129"/>
    </row>
    <row r="107" spans="1:3" s="139" customFormat="1" ht="15.75" customHeight="1">
      <c r="A107" s="136"/>
      <c r="B107" s="129"/>
      <c r="C107" s="129"/>
    </row>
    <row r="108" spans="1:3" s="139" customFormat="1" ht="15.75" customHeight="1">
      <c r="A108" s="136"/>
      <c r="B108" s="129"/>
      <c r="C108" s="129"/>
    </row>
    <row r="109" spans="1:3" s="139" customFormat="1" ht="15.75" customHeight="1">
      <c r="A109" s="136"/>
      <c r="B109" s="129"/>
      <c r="C109" s="129"/>
    </row>
    <row r="110" spans="1:3" s="139" customFormat="1" ht="15.75" customHeight="1">
      <c r="A110" s="136"/>
      <c r="B110" s="129"/>
      <c r="C110" s="129"/>
    </row>
    <row r="111" spans="1:3" s="139" customFormat="1" ht="15.75" customHeight="1">
      <c r="A111" s="136"/>
      <c r="B111" s="129"/>
      <c r="C111" s="129"/>
    </row>
    <row r="112" spans="1:3" s="139" customFormat="1" ht="15.75" customHeight="1">
      <c r="A112" s="136"/>
      <c r="B112" s="129"/>
      <c r="C112" s="129"/>
    </row>
    <row r="113" spans="1:3" s="139" customFormat="1" ht="15.75" customHeight="1">
      <c r="A113" s="136"/>
      <c r="B113" s="129"/>
      <c r="C113" s="129"/>
    </row>
    <row r="114" spans="1:3" s="139" customFormat="1" ht="15.75" customHeight="1">
      <c r="A114" s="136"/>
      <c r="B114" s="129"/>
      <c r="C114" s="129"/>
    </row>
    <row r="115" spans="1:3" s="139" customFormat="1" ht="15.75" customHeight="1">
      <c r="A115" s="136"/>
      <c r="B115" s="129"/>
      <c r="C115" s="129"/>
    </row>
    <row r="116" spans="1:3" s="139" customFormat="1" ht="15.75" customHeight="1">
      <c r="A116" s="136"/>
      <c r="B116" s="129"/>
      <c r="C116" s="129"/>
    </row>
    <row r="117" spans="1:3" s="139" customFormat="1" ht="15.75" customHeight="1">
      <c r="A117" s="136"/>
      <c r="B117" s="129"/>
      <c r="C117" s="129"/>
    </row>
    <row r="118" spans="1:3" s="139" customFormat="1" ht="15.75" customHeight="1">
      <c r="A118" s="136"/>
      <c r="B118" s="129"/>
      <c r="C118" s="129"/>
    </row>
    <row r="119" spans="1:3" s="139" customFormat="1" ht="15.75" customHeight="1">
      <c r="A119" s="136"/>
      <c r="B119" s="129"/>
      <c r="C119" s="129"/>
    </row>
    <row r="120" spans="1:3" s="139" customFormat="1" ht="15.75" customHeight="1">
      <c r="A120" s="136"/>
      <c r="B120" s="129"/>
      <c r="C120" s="129"/>
    </row>
    <row r="121" spans="1:3" s="139" customFormat="1" ht="15.75" customHeight="1">
      <c r="A121" s="136"/>
      <c r="B121" s="129"/>
      <c r="C121" s="129"/>
    </row>
    <row r="122" spans="1:3" s="139" customFormat="1" ht="15.75" customHeight="1">
      <c r="A122" s="136"/>
      <c r="B122" s="129"/>
      <c r="C122" s="129"/>
    </row>
    <row r="123" spans="1:3" s="139" customFormat="1" ht="15.75" customHeight="1">
      <c r="A123" s="136"/>
      <c r="B123" s="129"/>
      <c r="C123" s="129"/>
    </row>
    <row r="124" spans="1:3" s="139" customFormat="1" ht="15.75" customHeight="1">
      <c r="A124" s="136"/>
      <c r="B124" s="129"/>
      <c r="C124" s="129"/>
    </row>
    <row r="125" spans="1:3" s="139" customFormat="1" ht="15.75" customHeight="1">
      <c r="A125" s="136"/>
      <c r="B125" s="129"/>
      <c r="C125" s="129"/>
    </row>
    <row r="126" spans="1:3" s="139" customFormat="1" ht="15.75" customHeight="1">
      <c r="A126" s="136"/>
      <c r="B126" s="129"/>
      <c r="C126" s="129"/>
    </row>
    <row r="127" spans="1:3" s="139" customFormat="1" ht="15.75" customHeight="1">
      <c r="A127" s="136"/>
      <c r="B127" s="129"/>
      <c r="C127" s="129"/>
    </row>
    <row r="128" spans="1:3" s="139" customFormat="1" ht="15.75" customHeight="1">
      <c r="A128" s="136"/>
      <c r="B128" s="129"/>
      <c r="C128" s="129"/>
    </row>
    <row r="129" spans="1:3" s="139" customFormat="1" ht="15.75" customHeight="1">
      <c r="A129" s="136"/>
      <c r="B129" s="129"/>
      <c r="C129" s="129"/>
    </row>
    <row r="130" spans="1:3" s="139" customFormat="1" ht="15.75" customHeight="1">
      <c r="A130" s="136"/>
      <c r="B130" s="129"/>
      <c r="C130" s="129"/>
    </row>
    <row r="131" spans="1:3" s="139" customFormat="1" ht="15.75" customHeight="1">
      <c r="A131" s="136"/>
      <c r="B131" s="129"/>
      <c r="C131" s="129"/>
    </row>
    <row r="132" spans="1:3" s="139" customFormat="1" ht="15.75" customHeight="1">
      <c r="A132" s="136"/>
      <c r="B132" s="129"/>
      <c r="C132" s="129"/>
    </row>
    <row r="133" spans="1:3" s="139" customFormat="1" ht="15.75" customHeight="1">
      <c r="A133" s="136"/>
      <c r="B133" s="129"/>
      <c r="C133" s="129"/>
    </row>
    <row r="134" spans="1:3" s="139" customFormat="1" ht="15.75" customHeight="1">
      <c r="A134" s="136"/>
      <c r="B134" s="129"/>
      <c r="C134" s="129"/>
    </row>
    <row r="135" spans="1:3" s="139" customFormat="1" ht="15.75" customHeight="1">
      <c r="A135" s="136"/>
      <c r="B135" s="129"/>
      <c r="C135" s="129"/>
    </row>
    <row r="136" spans="1:3" s="139" customFormat="1" ht="15.75" customHeight="1">
      <c r="A136" s="136"/>
      <c r="B136" s="129"/>
      <c r="C136" s="129"/>
    </row>
    <row r="137" spans="1:3" s="139" customFormat="1" ht="15.75" customHeight="1">
      <c r="A137" s="136"/>
      <c r="B137" s="129"/>
      <c r="C137" s="129"/>
    </row>
    <row r="138" spans="1:3" s="139" customFormat="1" ht="15.75" customHeight="1">
      <c r="A138" s="136"/>
      <c r="B138" s="129"/>
      <c r="C138" s="129"/>
    </row>
    <row r="139" spans="1:3" s="139" customFormat="1" ht="15.75" customHeight="1">
      <c r="A139" s="136"/>
      <c r="B139" s="129"/>
      <c r="C139" s="129"/>
    </row>
    <row r="140" spans="1:3" s="139" customFormat="1" ht="15.75" customHeight="1">
      <c r="A140" s="136"/>
      <c r="B140" s="129"/>
      <c r="C140" s="129"/>
    </row>
    <row r="141" spans="1:3" s="139" customFormat="1" ht="15.75" customHeight="1">
      <c r="A141" s="136"/>
      <c r="B141" s="129"/>
      <c r="C141" s="129"/>
    </row>
    <row r="142" spans="1:3" s="139" customFormat="1" ht="15.75" customHeight="1">
      <c r="A142" s="136"/>
      <c r="B142" s="129"/>
      <c r="C142" s="129"/>
    </row>
    <row r="143" spans="1:3" s="139" customFormat="1" ht="15.75" customHeight="1">
      <c r="A143" s="136"/>
      <c r="B143" s="129"/>
      <c r="C143" s="129"/>
    </row>
    <row r="144" spans="1:3" s="139" customFormat="1" ht="15.75" customHeight="1">
      <c r="A144" s="136"/>
      <c r="B144" s="129"/>
      <c r="C144" s="129"/>
    </row>
    <row r="145" spans="1:3" s="139" customFormat="1" ht="15.75" customHeight="1">
      <c r="A145" s="136"/>
      <c r="B145" s="129"/>
      <c r="C145" s="129"/>
    </row>
    <row r="146" spans="1:3" s="139" customFormat="1" ht="15.75" customHeight="1">
      <c r="A146" s="136"/>
      <c r="B146" s="129"/>
      <c r="C146" s="129"/>
    </row>
    <row r="147" spans="1:3" s="139" customFormat="1" ht="15.75" customHeight="1">
      <c r="A147" s="136"/>
      <c r="B147" s="129"/>
      <c r="C147" s="129"/>
    </row>
    <row r="148" spans="1:3" s="139" customFormat="1" ht="15.75" customHeight="1">
      <c r="A148" s="136"/>
      <c r="B148" s="129"/>
      <c r="C148" s="129"/>
    </row>
    <row r="149" spans="1:3" s="139" customFormat="1" ht="15.75" customHeight="1">
      <c r="A149" s="136"/>
      <c r="B149" s="129"/>
      <c r="C149" s="129"/>
    </row>
    <row r="150" spans="1:3" s="139" customFormat="1" ht="15.75" customHeight="1">
      <c r="A150" s="136"/>
      <c r="B150" s="129"/>
      <c r="C150" s="129"/>
    </row>
    <row r="151" spans="1:3" s="139" customFormat="1" ht="15.75" customHeight="1">
      <c r="A151" s="136"/>
      <c r="B151" s="129"/>
      <c r="C151" s="129"/>
    </row>
    <row r="152" spans="1:3" s="139" customFormat="1" ht="15.75" customHeight="1">
      <c r="A152" s="136"/>
      <c r="B152" s="129"/>
      <c r="C152" s="129"/>
    </row>
    <row r="153" spans="1:3" s="139" customFormat="1" ht="15.75" customHeight="1">
      <c r="A153" s="136"/>
      <c r="B153" s="129"/>
      <c r="C153" s="129"/>
    </row>
    <row r="154" spans="1:3" s="139" customFormat="1" ht="15.75" customHeight="1">
      <c r="A154" s="136"/>
      <c r="B154" s="129"/>
      <c r="C154" s="129"/>
    </row>
    <row r="155" spans="1:3" s="139" customFormat="1" ht="15.75" customHeight="1">
      <c r="A155" s="136"/>
      <c r="B155" s="129"/>
      <c r="C155" s="129"/>
    </row>
    <row r="156" spans="1:3" s="139" customFormat="1" ht="15.75" customHeight="1">
      <c r="A156" s="136"/>
      <c r="B156" s="129"/>
      <c r="C156" s="129"/>
    </row>
    <row r="157" spans="1:3" s="139" customFormat="1" ht="15.75" customHeight="1">
      <c r="A157" s="136"/>
      <c r="B157" s="129"/>
      <c r="C157" s="129"/>
    </row>
    <row r="158" spans="1:3" s="139" customFormat="1" ht="15.75" customHeight="1">
      <c r="A158" s="136"/>
      <c r="B158" s="129"/>
      <c r="C158" s="129"/>
    </row>
    <row r="159" spans="1:3" s="139" customFormat="1" ht="15.75" customHeight="1">
      <c r="A159" s="136"/>
      <c r="B159" s="129"/>
      <c r="C159" s="129"/>
    </row>
    <row r="160" spans="1:3" s="139" customFormat="1" ht="15.75" customHeight="1">
      <c r="A160" s="136"/>
      <c r="B160" s="129"/>
      <c r="C160" s="129"/>
    </row>
    <row r="161" spans="1:3" s="139" customFormat="1" ht="15.75" customHeight="1">
      <c r="A161" s="136"/>
      <c r="B161" s="129"/>
      <c r="C161" s="129"/>
    </row>
    <row r="162" spans="1:3" s="139" customFormat="1" ht="15.75" customHeight="1">
      <c r="A162" s="136"/>
      <c r="B162" s="129"/>
      <c r="C162" s="129"/>
    </row>
    <row r="163" spans="1:3" s="139" customFormat="1" ht="15.75" customHeight="1">
      <c r="A163" s="136"/>
      <c r="B163" s="129"/>
      <c r="C163" s="129"/>
    </row>
    <row r="164" spans="1:3" s="139" customFormat="1" ht="15.75" customHeight="1">
      <c r="A164" s="136"/>
      <c r="B164" s="129"/>
      <c r="C164" s="129"/>
    </row>
    <row r="165" spans="1:3" s="139" customFormat="1" ht="15.75" customHeight="1">
      <c r="A165" s="136"/>
      <c r="B165" s="129"/>
      <c r="C165" s="129"/>
    </row>
    <row r="166" spans="1:3" s="139" customFormat="1" ht="15.75" customHeight="1">
      <c r="A166" s="136"/>
      <c r="B166" s="129"/>
      <c r="C166" s="129"/>
    </row>
    <row r="167" spans="1:3" s="139" customFormat="1" ht="15.75" customHeight="1">
      <c r="A167" s="136"/>
      <c r="B167" s="129"/>
      <c r="C167" s="129"/>
    </row>
    <row r="168" spans="1:3" s="139" customFormat="1" ht="15.75" customHeight="1">
      <c r="A168" s="136"/>
      <c r="B168" s="129"/>
      <c r="C168" s="129"/>
    </row>
    <row r="169" spans="1:3" s="139" customFormat="1" ht="15.75" customHeight="1">
      <c r="A169" s="136"/>
      <c r="B169" s="129"/>
      <c r="C169" s="129"/>
    </row>
    <row r="170" spans="1:3" s="139" customFormat="1" ht="15.75" customHeight="1">
      <c r="A170" s="136"/>
      <c r="B170" s="129"/>
      <c r="C170" s="129"/>
    </row>
    <row r="171" spans="1:3" s="139" customFormat="1" ht="15.75" customHeight="1">
      <c r="A171" s="136"/>
      <c r="B171" s="129"/>
      <c r="C171" s="129"/>
    </row>
    <row r="172" spans="1:3" s="139" customFormat="1" ht="15.75" customHeight="1">
      <c r="A172" s="136"/>
      <c r="B172" s="129"/>
      <c r="C172" s="129"/>
    </row>
    <row r="173" spans="1:3" s="139" customFormat="1" ht="15.75" customHeight="1">
      <c r="A173" s="136"/>
      <c r="B173" s="129"/>
      <c r="C173" s="129"/>
    </row>
    <row r="174" spans="1:3" s="139" customFormat="1" ht="15.75" customHeight="1">
      <c r="A174" s="136"/>
      <c r="B174" s="129"/>
      <c r="C174" s="129"/>
    </row>
    <row r="175" spans="1:3" s="139" customFormat="1" ht="15.75" customHeight="1">
      <c r="A175" s="136"/>
      <c r="B175" s="129"/>
      <c r="C175" s="129"/>
    </row>
    <row r="176" spans="1:3" s="139" customFormat="1" ht="15.75" customHeight="1">
      <c r="A176" s="136"/>
      <c r="B176" s="129"/>
      <c r="C176" s="129"/>
    </row>
    <row r="177" spans="1:3" s="139" customFormat="1" ht="15.75" customHeight="1">
      <c r="A177" s="136"/>
      <c r="B177" s="129"/>
      <c r="C177" s="129"/>
    </row>
    <row r="178" spans="1:3" s="139" customFormat="1" ht="15.75" customHeight="1">
      <c r="A178" s="136"/>
      <c r="B178" s="129"/>
      <c r="C178" s="129"/>
    </row>
    <row r="179" spans="1:3" s="139" customFormat="1" ht="15.75" customHeight="1">
      <c r="A179" s="136"/>
      <c r="B179" s="129"/>
      <c r="C179" s="129"/>
    </row>
    <row r="180" spans="1:3" s="139" customFormat="1" ht="15.75" customHeight="1">
      <c r="A180" s="136"/>
      <c r="B180" s="129"/>
      <c r="C180" s="129"/>
    </row>
    <row r="181" spans="1:3" s="139" customFormat="1" ht="15.75" customHeight="1">
      <c r="A181" s="136"/>
      <c r="B181" s="129"/>
      <c r="C181" s="129"/>
    </row>
    <row r="182" spans="1:3" s="139" customFormat="1" ht="15.75" customHeight="1">
      <c r="A182" s="136"/>
      <c r="B182" s="129"/>
      <c r="C182" s="129"/>
    </row>
    <row r="183" spans="1:3" s="139" customFormat="1" ht="15.75" customHeight="1">
      <c r="A183" s="136"/>
      <c r="B183" s="129"/>
      <c r="C183" s="129"/>
    </row>
    <row r="184" spans="1:3" s="139" customFormat="1" ht="15.75" customHeight="1">
      <c r="A184" s="136"/>
      <c r="B184" s="129"/>
      <c r="C184" s="129"/>
    </row>
    <row r="185" spans="1:3" s="139" customFormat="1" ht="15.75" customHeight="1">
      <c r="A185" s="136"/>
      <c r="B185" s="129"/>
      <c r="C185" s="129"/>
    </row>
    <row r="186" spans="1:3" s="139" customFormat="1" ht="15.75" customHeight="1">
      <c r="A186" s="136"/>
      <c r="B186" s="129"/>
      <c r="C186" s="129"/>
    </row>
    <row r="187" spans="1:3" s="139" customFormat="1" ht="15.75" customHeight="1">
      <c r="A187" s="136"/>
      <c r="B187" s="129"/>
      <c r="C187" s="129"/>
    </row>
    <row r="188" spans="1:3" s="139" customFormat="1" ht="15.75" customHeight="1">
      <c r="A188" s="136"/>
      <c r="B188" s="129"/>
      <c r="C188" s="129"/>
    </row>
    <row r="189" spans="1:3" s="139" customFormat="1" ht="15.75" customHeight="1">
      <c r="A189" s="136"/>
      <c r="B189" s="129"/>
      <c r="C189" s="129"/>
    </row>
    <row r="190" spans="1:3" s="139" customFormat="1" ht="15.75" customHeight="1">
      <c r="A190" s="136"/>
      <c r="B190" s="129"/>
      <c r="C190" s="129"/>
    </row>
    <row r="191" spans="1:3" s="139" customFormat="1" ht="15.75" customHeight="1">
      <c r="A191" s="136"/>
      <c r="B191" s="129"/>
      <c r="C191" s="129"/>
    </row>
    <row r="192" spans="1:3" s="139" customFormat="1" ht="15.75" customHeight="1">
      <c r="A192" s="136"/>
      <c r="B192" s="129"/>
      <c r="C192" s="129"/>
    </row>
    <row r="193" spans="1:3" s="139" customFormat="1" ht="15.75" customHeight="1">
      <c r="A193" s="136"/>
      <c r="B193" s="129"/>
      <c r="C193" s="129"/>
    </row>
    <row r="194" spans="1:3" s="139" customFormat="1" ht="15.75" customHeight="1">
      <c r="A194" s="136"/>
      <c r="B194" s="129"/>
      <c r="C194" s="129"/>
    </row>
    <row r="195" spans="1:3" s="139" customFormat="1" ht="15.75" customHeight="1">
      <c r="A195" s="136"/>
      <c r="B195" s="129"/>
      <c r="C195" s="129"/>
    </row>
    <row r="196" spans="1:3" s="139" customFormat="1" ht="15.75" customHeight="1">
      <c r="A196" s="136"/>
      <c r="B196" s="129"/>
      <c r="C196" s="129"/>
    </row>
    <row r="197" spans="1:3" s="139" customFormat="1" ht="15.75" customHeight="1">
      <c r="A197" s="136"/>
      <c r="B197" s="129"/>
      <c r="C197" s="129"/>
    </row>
    <row r="198" spans="1:3" s="139" customFormat="1" ht="15.75" customHeight="1">
      <c r="A198" s="136"/>
      <c r="B198" s="129"/>
      <c r="C198" s="129"/>
    </row>
    <row r="199" spans="1:3" s="139" customFormat="1" ht="15.75" customHeight="1">
      <c r="A199" s="136"/>
      <c r="B199" s="129"/>
      <c r="C199" s="129"/>
    </row>
    <row r="200" spans="1:3" s="139" customFormat="1" ht="15.75" customHeight="1">
      <c r="A200" s="136"/>
      <c r="B200" s="129"/>
      <c r="C200" s="129"/>
    </row>
    <row r="201" spans="1:3" s="139" customFormat="1" ht="15.75" customHeight="1">
      <c r="A201" s="136"/>
      <c r="B201" s="129"/>
      <c r="C201" s="129"/>
    </row>
    <row r="202" spans="1:3" s="139" customFormat="1" ht="15.75" customHeight="1">
      <c r="A202" s="136"/>
      <c r="B202" s="129"/>
      <c r="C202" s="129"/>
    </row>
    <row r="203" spans="1:3" s="139" customFormat="1" ht="15.75" customHeight="1">
      <c r="A203" s="136"/>
      <c r="B203" s="129"/>
      <c r="C203" s="129"/>
    </row>
    <row r="204" spans="1:3" s="139" customFormat="1" ht="15.75" customHeight="1">
      <c r="A204" s="136"/>
      <c r="B204" s="129"/>
      <c r="C204" s="129"/>
    </row>
    <row r="205" spans="1:3" s="139" customFormat="1" ht="15.75" customHeight="1">
      <c r="A205" s="136"/>
      <c r="B205" s="129"/>
      <c r="C205" s="129"/>
    </row>
    <row r="206" spans="1:3" s="139" customFormat="1" ht="15.75" customHeight="1">
      <c r="A206" s="136"/>
      <c r="B206" s="129"/>
      <c r="C206" s="129"/>
    </row>
    <row r="207" spans="1:3" s="139" customFormat="1" ht="15.75" customHeight="1">
      <c r="A207" s="136"/>
      <c r="B207" s="129"/>
      <c r="C207" s="129"/>
    </row>
    <row r="208" spans="1:3" s="139" customFormat="1" ht="15.75" customHeight="1">
      <c r="A208" s="136"/>
      <c r="B208" s="129"/>
      <c r="C208" s="129"/>
    </row>
    <row r="209" spans="1:3" s="139" customFormat="1" ht="15.75" customHeight="1">
      <c r="A209" s="136"/>
      <c r="B209" s="129"/>
      <c r="C209" s="129"/>
    </row>
    <row r="210" spans="1:3" s="139" customFormat="1" ht="15.75" customHeight="1">
      <c r="A210" s="136"/>
      <c r="B210" s="129"/>
      <c r="C210" s="129"/>
    </row>
    <row r="211" spans="1:3" s="139" customFormat="1" ht="15.75" customHeight="1">
      <c r="A211" s="136"/>
      <c r="B211" s="129"/>
      <c r="C211" s="129"/>
    </row>
    <row r="212" spans="1:3" s="139" customFormat="1" ht="15.75" customHeight="1">
      <c r="A212" s="136"/>
      <c r="B212" s="129"/>
      <c r="C212" s="129"/>
    </row>
    <row r="213" spans="1:3" s="139" customFormat="1" ht="15.75" customHeight="1">
      <c r="A213" s="136"/>
      <c r="B213" s="129"/>
      <c r="C213" s="129"/>
    </row>
    <row r="214" spans="1:3" s="139" customFormat="1" ht="15.75" customHeight="1">
      <c r="A214" s="136"/>
      <c r="B214" s="129"/>
      <c r="C214" s="129"/>
    </row>
    <row r="215" spans="1:3" s="139" customFormat="1" ht="15.75" customHeight="1">
      <c r="A215" s="136"/>
      <c r="B215" s="129"/>
      <c r="C215" s="129"/>
    </row>
    <row r="216" spans="1:3" s="139" customFormat="1" ht="15.75" customHeight="1">
      <c r="A216" s="136"/>
      <c r="B216" s="129"/>
      <c r="C216" s="129"/>
    </row>
    <row r="217" spans="1:3" s="139" customFormat="1" ht="15.75" customHeight="1">
      <c r="A217" s="136"/>
      <c r="B217" s="129"/>
      <c r="C217" s="129"/>
    </row>
    <row r="218" spans="1:3" s="139" customFormat="1" ht="15.75" customHeight="1">
      <c r="A218" s="136"/>
      <c r="B218" s="129"/>
      <c r="C218" s="129"/>
    </row>
    <row r="219" spans="1:3" s="139" customFormat="1" ht="15.75" customHeight="1">
      <c r="A219" s="136"/>
      <c r="B219" s="129"/>
      <c r="C219" s="129"/>
    </row>
    <row r="220" spans="1:3" s="139" customFormat="1" ht="15.75" customHeight="1">
      <c r="A220" s="136"/>
      <c r="B220" s="129"/>
      <c r="C220" s="129"/>
    </row>
    <row r="221" spans="1:3" s="139" customFormat="1" ht="15.75" customHeight="1">
      <c r="A221" s="136"/>
      <c r="B221" s="129"/>
      <c r="C221" s="129"/>
    </row>
    <row r="222" spans="1:3" s="139" customFormat="1" ht="15.75" customHeight="1">
      <c r="A222" s="136"/>
      <c r="B222" s="129"/>
      <c r="C222" s="129"/>
    </row>
    <row r="223" spans="1:3" s="139" customFormat="1" ht="15.75" customHeight="1">
      <c r="A223" s="136"/>
      <c r="B223" s="129"/>
      <c r="C223" s="129"/>
    </row>
    <row r="224" spans="1:3" s="139" customFormat="1" ht="15.75" customHeight="1">
      <c r="A224" s="136"/>
      <c r="B224" s="129"/>
      <c r="C224" s="129"/>
    </row>
    <row r="225" spans="1:3" s="139" customFormat="1" ht="15.75" customHeight="1">
      <c r="A225" s="136"/>
      <c r="B225" s="129"/>
      <c r="C225" s="129"/>
    </row>
    <row r="226" spans="1:3" s="139" customFormat="1" ht="15.75" customHeight="1">
      <c r="A226" s="136"/>
      <c r="B226" s="129"/>
      <c r="C226" s="129"/>
    </row>
    <row r="227" spans="1:3" s="139" customFormat="1" ht="15.75" customHeight="1">
      <c r="A227" s="136"/>
      <c r="B227" s="129"/>
      <c r="C227" s="129"/>
    </row>
    <row r="228" spans="1:3" s="139" customFormat="1" ht="15.75" customHeight="1">
      <c r="A228" s="136"/>
      <c r="B228" s="129"/>
      <c r="C228" s="129"/>
    </row>
    <row r="229" spans="1:3" s="139" customFormat="1" ht="15.75" customHeight="1">
      <c r="A229" s="136"/>
      <c r="B229" s="129"/>
      <c r="C229" s="129"/>
    </row>
    <row r="230" spans="1:3" s="139" customFormat="1" ht="15.75" customHeight="1">
      <c r="A230" s="136"/>
      <c r="B230" s="129"/>
      <c r="C230" s="129"/>
    </row>
    <row r="231" spans="1:3" s="139" customFormat="1" ht="15.75" customHeight="1">
      <c r="A231" s="136"/>
      <c r="B231" s="129"/>
      <c r="C231" s="129"/>
    </row>
    <row r="232" spans="1:3" s="139" customFormat="1" ht="15.75" customHeight="1">
      <c r="A232" s="136"/>
      <c r="B232" s="129"/>
      <c r="C232" s="129"/>
    </row>
    <row r="233" spans="1:3" s="139" customFormat="1" ht="15.75" customHeight="1">
      <c r="A233" s="136"/>
      <c r="B233" s="129"/>
      <c r="C233" s="129"/>
    </row>
    <row r="234" spans="1:3" s="139" customFormat="1" ht="15.75" customHeight="1">
      <c r="A234" s="136"/>
      <c r="B234" s="129"/>
      <c r="C234" s="129"/>
    </row>
    <row r="235" spans="1:3" s="139" customFormat="1" ht="15.75" customHeight="1">
      <c r="A235" s="136"/>
      <c r="B235" s="129"/>
      <c r="C235" s="129"/>
    </row>
    <row r="236" spans="1:3" s="139" customFormat="1" ht="15.75" customHeight="1">
      <c r="A236" s="136"/>
      <c r="B236" s="129"/>
      <c r="C236" s="129"/>
    </row>
    <row r="237" spans="1:3" s="139" customFormat="1" ht="15.75" customHeight="1">
      <c r="A237" s="136"/>
      <c r="B237" s="129"/>
      <c r="C237" s="129"/>
    </row>
    <row r="238" spans="1:3" s="139" customFormat="1" ht="15.75" customHeight="1">
      <c r="A238" s="136"/>
      <c r="B238" s="129"/>
      <c r="C238" s="129"/>
    </row>
    <row r="239" spans="1:3" s="139" customFormat="1" ht="15.75" customHeight="1">
      <c r="A239" s="136"/>
      <c r="B239" s="129"/>
      <c r="C239" s="129"/>
    </row>
    <row r="240" spans="1:3" s="139" customFormat="1" ht="15.75" customHeight="1">
      <c r="A240" s="136"/>
      <c r="B240" s="129"/>
      <c r="C240" s="129"/>
    </row>
    <row r="241" spans="1:3" s="139" customFormat="1" ht="15.75" customHeight="1">
      <c r="A241" s="136"/>
      <c r="B241" s="129"/>
      <c r="C241" s="129"/>
    </row>
    <row r="242" spans="1:3" s="139" customFormat="1" ht="15.75" customHeight="1">
      <c r="A242" s="136"/>
      <c r="B242" s="129"/>
      <c r="C242" s="129"/>
    </row>
    <row r="243" spans="1:3" s="139" customFormat="1" ht="15.75" customHeight="1">
      <c r="A243" s="136"/>
      <c r="B243" s="129"/>
      <c r="C243" s="129"/>
    </row>
    <row r="244" spans="1:3" s="139" customFormat="1" ht="15.75" customHeight="1">
      <c r="A244" s="136"/>
      <c r="B244" s="129"/>
      <c r="C244" s="129"/>
    </row>
    <row r="245" spans="1:3" s="139" customFormat="1" ht="15.75" customHeight="1">
      <c r="A245" s="136"/>
      <c r="B245" s="129"/>
      <c r="C245" s="129"/>
    </row>
    <row r="246" spans="1:3" s="139" customFormat="1" ht="15.75" customHeight="1">
      <c r="A246" s="136"/>
      <c r="B246" s="129"/>
      <c r="C246" s="129"/>
    </row>
    <row r="247" spans="1:3" s="139" customFormat="1" ht="15.75" customHeight="1">
      <c r="A247" s="136"/>
      <c r="B247" s="129"/>
      <c r="C247" s="129"/>
    </row>
    <row r="248" spans="1:3" s="139" customFormat="1" ht="15.75" customHeight="1">
      <c r="A248" s="136"/>
      <c r="B248" s="129"/>
      <c r="C248" s="129"/>
    </row>
    <row r="249" spans="1:3" s="139" customFormat="1" ht="15.75" customHeight="1">
      <c r="A249" s="136"/>
      <c r="B249" s="129"/>
      <c r="C249" s="129"/>
    </row>
    <row r="250" spans="1:3" s="139" customFormat="1" ht="15.75" customHeight="1">
      <c r="A250" s="136"/>
      <c r="B250" s="129"/>
      <c r="C250" s="129"/>
    </row>
    <row r="251" spans="1:3" s="139" customFormat="1" ht="15.75" customHeight="1">
      <c r="A251" s="136"/>
      <c r="B251" s="129"/>
      <c r="C251" s="129"/>
    </row>
    <row r="252" spans="1:3" s="139" customFormat="1" ht="15.75" customHeight="1">
      <c r="A252" s="136"/>
      <c r="B252" s="129"/>
      <c r="C252" s="129"/>
    </row>
    <row r="253" spans="1:3" s="139" customFormat="1" ht="15.75" customHeight="1">
      <c r="A253" s="136"/>
      <c r="B253" s="129"/>
      <c r="C253" s="129"/>
    </row>
    <row r="254" spans="1:3" s="139" customFormat="1" ht="15.75" customHeight="1">
      <c r="A254" s="136"/>
      <c r="B254" s="129"/>
      <c r="C254" s="129"/>
    </row>
    <row r="255" spans="1:3" s="139" customFormat="1" ht="15.75" customHeight="1">
      <c r="A255" s="136"/>
      <c r="B255" s="129"/>
      <c r="C255" s="129"/>
    </row>
    <row r="256" spans="1:3" s="139" customFormat="1" ht="15.75" customHeight="1">
      <c r="A256" s="136"/>
      <c r="B256" s="129"/>
      <c r="C256" s="129"/>
    </row>
    <row r="257" spans="1:8" s="139" customFormat="1" ht="15.75" customHeight="1">
      <c r="A257" s="136"/>
      <c r="B257" s="129"/>
      <c r="C257" s="129"/>
    </row>
    <row r="258" spans="1:8" s="139" customFormat="1" ht="15.75" customHeight="1">
      <c r="A258" s="136"/>
      <c r="B258" s="129"/>
      <c r="C258" s="129"/>
    </row>
    <row r="259" spans="1:8" s="139" customFormat="1" ht="15.75" customHeight="1">
      <c r="A259" s="136"/>
      <c r="B259" s="129"/>
      <c r="C259" s="129"/>
    </row>
    <row r="260" spans="1:8" s="139" customFormat="1" ht="15.75" customHeight="1">
      <c r="A260" s="136"/>
      <c r="B260" s="129"/>
      <c r="C260" s="129"/>
    </row>
    <row r="261" spans="1:8" s="139" customFormat="1" ht="15.75" customHeight="1">
      <c r="A261" s="136"/>
      <c r="B261" s="129"/>
      <c r="C261" s="129"/>
    </row>
    <row r="262" spans="1:8" s="139" customFormat="1" ht="15.75" customHeight="1">
      <c r="A262" s="136"/>
      <c r="B262" s="129"/>
      <c r="C262" s="129"/>
    </row>
    <row r="263" spans="1:8" s="139" customFormat="1" ht="15.75" customHeight="1">
      <c r="A263" s="136"/>
      <c r="B263" s="129"/>
      <c r="C263" s="129"/>
    </row>
    <row r="264" spans="1:8" s="139" customFormat="1" ht="15.75" customHeight="1">
      <c r="A264" s="136"/>
      <c r="B264" s="129"/>
      <c r="C264" s="129"/>
    </row>
    <row r="265" spans="1:8" s="139" customFormat="1" ht="15.75" customHeight="1">
      <c r="A265" s="136"/>
      <c r="B265" s="129"/>
      <c r="C265" s="129"/>
      <c r="D265" s="159"/>
      <c r="E265" s="159"/>
      <c r="F265" s="159"/>
      <c r="G265" s="159"/>
      <c r="H265" s="159"/>
    </row>
  </sheetData>
  <mergeCells count="1">
    <mergeCell ref="B50:H50"/>
  </mergeCells>
  <printOptions horizontalCentered="1"/>
  <pageMargins left="0.39370078740157483" right="0.39370078740157483" top="0.78740157480314965" bottom="0.78740157480314965" header="0.39370078740157483" footer="0.39370078740157483"/>
  <pageSetup scale="65" orientation="portrait" r:id="rId1"/>
  <colBreaks count="1" manualBreakCount="1">
    <brk id="8"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DEF5A-F3A5-45FF-BF4F-7D3902B3306F}">
  <sheetPr>
    <tabColor rgb="FFFFC000"/>
  </sheetPr>
  <dimension ref="B2:H290"/>
  <sheetViews>
    <sheetView workbookViewId="0">
      <selection activeCell="E41" sqref="E41"/>
    </sheetView>
  </sheetViews>
  <sheetFormatPr baseColWidth="10" defaultColWidth="11.42578125" defaultRowHeight="15"/>
  <cols>
    <col min="1" max="1" width="1.7109375" customWidth="1"/>
    <col min="2" max="2" width="47.140625" style="88" bestFit="1" customWidth="1"/>
    <col min="3" max="4" width="16.7109375" style="88" customWidth="1"/>
    <col min="6" max="6" width="15.28515625" bestFit="1" customWidth="1"/>
    <col min="7" max="7" width="14.7109375" bestFit="1" customWidth="1"/>
  </cols>
  <sheetData>
    <row r="2" spans="2:7">
      <c r="B2" s="79" t="s">
        <v>4655</v>
      </c>
      <c r="C2" s="76">
        <v>2023</v>
      </c>
      <c r="D2" s="114"/>
    </row>
    <row r="3" spans="2:7">
      <c r="B3" s="79" t="s">
        <v>4658</v>
      </c>
      <c r="C3" s="78"/>
      <c r="D3" s="114"/>
      <c r="F3" s="224" t="s">
        <v>4815</v>
      </c>
      <c r="G3" s="224" t="s">
        <v>4816</v>
      </c>
    </row>
    <row r="4" spans="2:7">
      <c r="B4" s="81" t="s">
        <v>4258</v>
      </c>
      <c r="C4" s="279">
        <f>SUMIF(Valida!E:E,B4,Valida!J:J)</f>
        <v>48779871.009999998</v>
      </c>
      <c r="D4" s="114"/>
      <c r="G4" s="224" t="s">
        <v>4817</v>
      </c>
    </row>
    <row r="5" spans="2:7">
      <c r="B5" s="84" t="s">
        <v>4278</v>
      </c>
      <c r="C5" s="279">
        <f>SUMIF(Bce!A:A,131015,Bce!J:J)</f>
        <v>0</v>
      </c>
      <c r="D5" s="114"/>
      <c r="G5" s="114">
        <v>42431506</v>
      </c>
    </row>
    <row r="6" spans="2:7">
      <c r="B6" s="84" t="s">
        <v>4299</v>
      </c>
      <c r="C6" s="279">
        <f>Valida!J32</f>
        <v>27462000</v>
      </c>
      <c r="D6" s="114"/>
      <c r="G6" s="282">
        <f>+G5*35%</f>
        <v>14851027.1</v>
      </c>
    </row>
    <row r="7" spans="2:7">
      <c r="B7" s="84" t="s">
        <v>4281</v>
      </c>
      <c r="C7" s="279">
        <f>SUMIF(Valida!E:E,B7,Valida!J:J)</f>
        <v>0</v>
      </c>
      <c r="D7" s="114"/>
      <c r="G7" s="114"/>
    </row>
    <row r="8" spans="2:7">
      <c r="B8" s="84" t="s">
        <v>4666</v>
      </c>
      <c r="C8" s="114">
        <f>SUMIF(Valida!E:E,B8,Valida!J:J)</f>
        <v>63201770</v>
      </c>
      <c r="D8" s="114"/>
      <c r="F8" s="164" t="s">
        <v>4818</v>
      </c>
      <c r="G8" s="282">
        <v>30000000</v>
      </c>
    </row>
    <row r="9" spans="2:7" ht="15.75" thickBot="1">
      <c r="B9" s="89" t="s">
        <v>4668</v>
      </c>
      <c r="C9" s="90">
        <f>SUM(C4:C8)</f>
        <v>139443641.00999999</v>
      </c>
      <c r="D9" s="114"/>
      <c r="G9" s="114"/>
    </row>
    <row r="10" spans="2:7" ht="15.75" thickTop="1">
      <c r="C10" s="82"/>
      <c r="D10" s="114"/>
      <c r="G10" s="114"/>
    </row>
    <row r="11" spans="2:7">
      <c r="B11" s="78" t="s">
        <v>4669</v>
      </c>
      <c r="C11" s="91"/>
      <c r="D11" s="114"/>
      <c r="F11" s="2"/>
      <c r="G11" s="114"/>
    </row>
    <row r="12" spans="2:7">
      <c r="B12" s="33" t="s">
        <v>4339</v>
      </c>
      <c r="C12" s="114">
        <f>-SUMIF(Valida!D:D,B12,Valida!J:J)</f>
        <v>125491720</v>
      </c>
      <c r="D12" s="114"/>
    </row>
    <row r="13" spans="2:7">
      <c r="B13" s="33" t="s">
        <v>4347</v>
      </c>
      <c r="C13" s="114">
        <f>-Valida!J84</f>
        <v>623437</v>
      </c>
      <c r="D13" s="114"/>
    </row>
    <row r="14" spans="2:7" ht="4.9000000000000004" customHeight="1">
      <c r="B14" s="280"/>
      <c r="C14" s="281"/>
      <c r="D14" s="114"/>
    </row>
    <row r="15" spans="2:7">
      <c r="B15" s="84" t="s">
        <v>4367</v>
      </c>
      <c r="C15" s="114">
        <f>-SUMIF(Valida!E:E,B15,Valida!J:J)</f>
        <v>8065942</v>
      </c>
      <c r="D15" s="114"/>
    </row>
    <row r="16" spans="2:7">
      <c r="B16" s="84" t="s">
        <v>4352</v>
      </c>
      <c r="C16" s="114">
        <f>-SUMIF(Valida!E:E,B16,Valida!J:J)</f>
        <v>1062000</v>
      </c>
      <c r="D16" s="114"/>
    </row>
    <row r="17" spans="2:6" ht="4.9000000000000004" customHeight="1">
      <c r="B17" s="280"/>
      <c r="C17" s="281"/>
      <c r="D17" s="114"/>
    </row>
    <row r="18" spans="2:6">
      <c r="B18" s="84" t="s">
        <v>4819</v>
      </c>
      <c r="C18" s="114">
        <f>SUM(C30:C32)</f>
        <v>30112492.389999926</v>
      </c>
      <c r="D18" s="114"/>
    </row>
    <row r="19" spans="2:6" ht="4.9000000000000004" customHeight="1">
      <c r="B19" s="280"/>
      <c r="C19" s="281"/>
      <c r="D19" s="114"/>
    </row>
    <row r="20" spans="2:6">
      <c r="B20" s="84" t="s">
        <v>4362</v>
      </c>
      <c r="C20" s="114">
        <f>-SUMIF(Valida!E:E,B20,Valida!J:J)</f>
        <v>0</v>
      </c>
      <c r="D20" s="114"/>
    </row>
    <row r="21" spans="2:6">
      <c r="B21" s="84" t="s">
        <v>4330</v>
      </c>
      <c r="C21" s="114">
        <f>-SUMIF(Valida!E:E,B21,Valida!J:J)</f>
        <v>-14281000</v>
      </c>
      <c r="D21" s="114"/>
    </row>
    <row r="22" spans="2:6">
      <c r="B22" s="84" t="s">
        <v>4295</v>
      </c>
      <c r="C22" s="114">
        <f>-(Valida!J30+Valida!J31)</f>
        <v>0</v>
      </c>
      <c r="D22" s="114"/>
      <c r="E22" s="3"/>
      <c r="F22" s="3"/>
    </row>
    <row r="23" spans="2:6" ht="5.0999999999999996" customHeight="1">
      <c r="B23" s="84"/>
      <c r="C23" s="82"/>
      <c r="D23" s="114"/>
    </row>
    <row r="24" spans="2:6">
      <c r="B24" s="346" t="s">
        <v>4674</v>
      </c>
      <c r="C24" s="347">
        <f>SUM(C12:C23)</f>
        <v>151074591.38999993</v>
      </c>
      <c r="D24" s="114"/>
    </row>
    <row r="25" spans="2:6">
      <c r="D25" s="114"/>
    </row>
    <row r="26" spans="2:6" ht="5.0999999999999996" customHeight="1">
      <c r="D26" s="114"/>
    </row>
    <row r="27" spans="2:6">
      <c r="C27" s="278">
        <f>C9-C24</f>
        <v>-11630950.379999936</v>
      </c>
      <c r="D27" s="114"/>
    </row>
    <row r="28" spans="2:6">
      <c r="C28" s="100"/>
      <c r="D28" s="114"/>
    </row>
    <row r="29" spans="2:6">
      <c r="B29" s="78" t="s">
        <v>4676</v>
      </c>
      <c r="D29" s="114"/>
    </row>
    <row r="30" spans="2:6">
      <c r="B30" s="81" t="s">
        <v>4379</v>
      </c>
      <c r="C30" s="114">
        <f>-SUMIF(Valida!E:E,B30,Valida!J:J)</f>
        <v>101000000</v>
      </c>
      <c r="D30" s="114"/>
    </row>
    <row r="31" spans="2:6">
      <c r="B31" s="81" t="s">
        <v>4386</v>
      </c>
      <c r="C31" s="114">
        <f>-SUMIF(Valida!E:E,B31,Valida!J:J)</f>
        <v>-120650907.69</v>
      </c>
      <c r="D31" s="114"/>
    </row>
    <row r="32" spans="2:6">
      <c r="B32" s="81" t="s">
        <v>4678</v>
      </c>
      <c r="C32" s="82">
        <f>ERI!F35</f>
        <v>49763400.079999924</v>
      </c>
      <c r="D32" s="114"/>
    </row>
    <row r="33" spans="2:8" ht="4.9000000000000004" customHeight="1">
      <c r="B33" s="81"/>
      <c r="C33" s="82"/>
      <c r="D33" s="114"/>
    </row>
    <row r="34" spans="2:8">
      <c r="B34" s="348" t="s">
        <v>4679</v>
      </c>
      <c r="C34" s="347">
        <f>SUM(C30:C32)</f>
        <v>30112492.389999926</v>
      </c>
      <c r="D34" s="114"/>
    </row>
    <row r="35" spans="2:8">
      <c r="C35" s="100"/>
      <c r="D35" s="114"/>
      <c r="G35" s="283" t="s">
        <v>4820</v>
      </c>
      <c r="H35" s="283" t="s">
        <v>4821</v>
      </c>
    </row>
    <row r="36" spans="2:8">
      <c r="C36" s="100"/>
      <c r="D36" s="114"/>
      <c r="G36" t="s">
        <v>4822</v>
      </c>
      <c r="H36" s="114">
        <f>2975000*2</f>
        <v>5950000</v>
      </c>
    </row>
    <row r="37" spans="2:8">
      <c r="B37" s="102" t="s">
        <v>4823</v>
      </c>
      <c r="C37" s="100"/>
      <c r="D37" s="114"/>
      <c r="G37" t="s">
        <v>4824</v>
      </c>
      <c r="H37" s="114">
        <v>14902820</v>
      </c>
    </row>
    <row r="38" spans="2:8">
      <c r="B38" s="284" t="s">
        <v>4825</v>
      </c>
      <c r="C38" s="100"/>
      <c r="D38" s="114"/>
      <c r="G38" t="s">
        <v>4826</v>
      </c>
      <c r="H38" s="114">
        <v>50000</v>
      </c>
    </row>
    <row r="39" spans="2:8">
      <c r="C39" s="100"/>
      <c r="D39" s="114"/>
      <c r="G39" t="s">
        <v>4827</v>
      </c>
      <c r="H39" s="114">
        <v>1500000</v>
      </c>
    </row>
    <row r="40" spans="2:8">
      <c r="C40" s="100"/>
      <c r="D40" s="114"/>
      <c r="G40" t="s">
        <v>4828</v>
      </c>
      <c r="H40" s="114">
        <v>1000000</v>
      </c>
    </row>
    <row r="41" spans="2:8">
      <c r="B41" s="102" t="s">
        <v>4829</v>
      </c>
      <c r="C41" s="100"/>
      <c r="D41" s="114"/>
      <c r="H41" s="282">
        <f>SUM(H36:H40)</f>
        <v>23402820</v>
      </c>
    </row>
    <row r="42" spans="2:8">
      <c r="B42" s="284" t="s">
        <v>4830</v>
      </c>
      <c r="C42" s="100"/>
      <c r="D42" s="114"/>
      <c r="H42" s="114">
        <f>+H41*35%</f>
        <v>8190986.9999999991</v>
      </c>
    </row>
    <row r="43" spans="2:8">
      <c r="C43" s="100"/>
      <c r="D43" s="114"/>
    </row>
    <row r="44" spans="2:8">
      <c r="B44" s="102" t="s">
        <v>4831</v>
      </c>
      <c r="C44" s="100"/>
      <c r="D44" s="114"/>
    </row>
    <row r="45" spans="2:8">
      <c r="B45" s="284" t="s">
        <v>4832</v>
      </c>
      <c r="C45" s="100"/>
      <c r="D45" s="114"/>
    </row>
    <row r="46" spans="2:8">
      <c r="C46" s="100"/>
      <c r="D46" s="114"/>
    </row>
    <row r="47" spans="2:8">
      <c r="B47" s="102" t="s">
        <v>4833</v>
      </c>
      <c r="C47" s="100" t="s">
        <v>4834</v>
      </c>
      <c r="D47" s="114"/>
    </row>
    <row r="48" spans="2:8">
      <c r="B48" s="284" t="s">
        <v>4835</v>
      </c>
      <c r="C48" s="100"/>
      <c r="D48" s="100"/>
    </row>
    <row r="49" spans="2:4" ht="63.75">
      <c r="B49" s="285" t="s">
        <v>4836</v>
      </c>
      <c r="C49" s="100" t="s">
        <v>4834</v>
      </c>
      <c r="D49" s="100"/>
    </row>
    <row r="50" spans="2:4" ht="25.5">
      <c r="B50" s="285" t="s">
        <v>4837</v>
      </c>
      <c r="C50" s="100" t="s">
        <v>4838</v>
      </c>
      <c r="D50" s="100"/>
    </row>
    <row r="51" spans="2:4">
      <c r="B51" s="88" t="s">
        <v>4839</v>
      </c>
      <c r="C51" s="100" t="s">
        <v>4840</v>
      </c>
      <c r="D51" s="100"/>
    </row>
    <row r="52" spans="2:4" ht="63.75">
      <c r="B52" s="285" t="s">
        <v>4841</v>
      </c>
      <c r="C52" s="285" t="s">
        <v>4842</v>
      </c>
      <c r="D52" s="100"/>
    </row>
    <row r="53" spans="2:4">
      <c r="C53" s="100"/>
      <c r="D53" s="100"/>
    </row>
    <row r="54" spans="2:4">
      <c r="C54" s="100"/>
      <c r="D54" s="100"/>
    </row>
    <row r="55" spans="2:4">
      <c r="C55" s="100"/>
      <c r="D55" s="100"/>
    </row>
    <row r="56" spans="2:4">
      <c r="C56" s="100"/>
      <c r="D56" s="100"/>
    </row>
    <row r="57" spans="2:4">
      <c r="C57" s="100"/>
      <c r="D57" s="100"/>
    </row>
    <row r="58" spans="2:4">
      <c r="C58" s="100"/>
      <c r="D58" s="100"/>
    </row>
    <row r="59" spans="2:4">
      <c r="C59" s="100"/>
      <c r="D59" s="100"/>
    </row>
    <row r="60" spans="2:4">
      <c r="C60" s="100"/>
      <c r="D60" s="100"/>
    </row>
    <row r="61" spans="2:4">
      <c r="C61" s="100"/>
      <c r="D61" s="100"/>
    </row>
    <row r="62" spans="2:4">
      <c r="C62" s="100"/>
      <c r="D62" s="100"/>
    </row>
    <row r="63" spans="2:4">
      <c r="C63" s="100"/>
      <c r="D63" s="100"/>
    </row>
    <row r="64" spans="2:4">
      <c r="C64" s="100"/>
      <c r="D64" s="100"/>
    </row>
    <row r="65" spans="3:4">
      <c r="C65" s="100"/>
      <c r="D65" s="100"/>
    </row>
    <row r="66" spans="3:4">
      <c r="C66" s="100"/>
      <c r="D66" s="100"/>
    </row>
    <row r="67" spans="3:4">
      <c r="C67" s="100"/>
      <c r="D67" s="100"/>
    </row>
    <row r="68" spans="3:4">
      <c r="C68" s="100"/>
      <c r="D68" s="100"/>
    </row>
    <row r="69" spans="3:4">
      <c r="C69" s="100"/>
      <c r="D69" s="100"/>
    </row>
    <row r="70" spans="3:4">
      <c r="C70" s="100"/>
      <c r="D70" s="100"/>
    </row>
    <row r="71" spans="3:4">
      <c r="C71" s="100"/>
      <c r="D71" s="100"/>
    </row>
    <row r="72" spans="3:4">
      <c r="C72" s="100"/>
      <c r="D72" s="100"/>
    </row>
    <row r="73" spans="3:4">
      <c r="C73" s="100"/>
      <c r="D73" s="100"/>
    </row>
    <row r="74" spans="3:4">
      <c r="C74" s="100"/>
      <c r="D74" s="100"/>
    </row>
    <row r="75" spans="3:4">
      <c r="C75" s="100"/>
      <c r="D75" s="100"/>
    </row>
    <row r="76" spans="3:4">
      <c r="C76" s="100"/>
      <c r="D76" s="100"/>
    </row>
    <row r="77" spans="3:4">
      <c r="C77" s="100"/>
      <c r="D77" s="100"/>
    </row>
    <row r="78" spans="3:4">
      <c r="C78" s="100"/>
      <c r="D78" s="100"/>
    </row>
    <row r="79" spans="3:4">
      <c r="C79" s="100"/>
      <c r="D79" s="100"/>
    </row>
    <row r="80" spans="3:4">
      <c r="C80" s="100"/>
      <c r="D80" s="100"/>
    </row>
    <row r="81" spans="3:4">
      <c r="C81" s="100"/>
      <c r="D81" s="100"/>
    </row>
    <row r="82" spans="3:4">
      <c r="C82" s="100"/>
      <c r="D82" s="100"/>
    </row>
    <row r="83" spans="3:4">
      <c r="C83" s="100"/>
      <c r="D83" s="100"/>
    </row>
    <row r="84" spans="3:4">
      <c r="C84" s="100"/>
      <c r="D84" s="100"/>
    </row>
    <row r="85" spans="3:4">
      <c r="C85" s="100"/>
      <c r="D85" s="100"/>
    </row>
    <row r="86" spans="3:4">
      <c r="C86" s="100"/>
      <c r="D86" s="100"/>
    </row>
    <row r="87" spans="3:4">
      <c r="C87" s="100"/>
      <c r="D87" s="100"/>
    </row>
    <row r="88" spans="3:4">
      <c r="C88" s="100"/>
      <c r="D88" s="100"/>
    </row>
    <row r="89" spans="3:4">
      <c r="C89" s="100"/>
      <c r="D89" s="100"/>
    </row>
    <row r="90" spans="3:4">
      <c r="C90" s="100"/>
      <c r="D90" s="100"/>
    </row>
    <row r="91" spans="3:4">
      <c r="C91" s="100"/>
      <c r="D91" s="100"/>
    </row>
    <row r="92" spans="3:4">
      <c r="C92" s="100"/>
      <c r="D92" s="100"/>
    </row>
    <row r="93" spans="3:4">
      <c r="C93" s="100"/>
      <c r="D93" s="100"/>
    </row>
    <row r="94" spans="3:4">
      <c r="C94" s="100"/>
      <c r="D94" s="100"/>
    </row>
    <row r="95" spans="3:4">
      <c r="C95" s="100"/>
      <c r="D95" s="100"/>
    </row>
    <row r="96" spans="3:4">
      <c r="C96" s="100"/>
      <c r="D96" s="100"/>
    </row>
    <row r="97" spans="3:4">
      <c r="C97" s="100"/>
      <c r="D97" s="100"/>
    </row>
    <row r="98" spans="3:4">
      <c r="C98" s="100"/>
      <c r="D98" s="100"/>
    </row>
    <row r="99" spans="3:4">
      <c r="C99" s="100"/>
      <c r="D99" s="100"/>
    </row>
    <row r="100" spans="3:4">
      <c r="C100" s="100"/>
      <c r="D100" s="100"/>
    </row>
    <row r="101" spans="3:4">
      <c r="C101" s="100"/>
      <c r="D101" s="100"/>
    </row>
    <row r="102" spans="3:4">
      <c r="C102" s="100"/>
      <c r="D102" s="100"/>
    </row>
    <row r="103" spans="3:4">
      <c r="C103" s="100"/>
      <c r="D103" s="100"/>
    </row>
    <row r="104" spans="3:4">
      <c r="C104" s="100"/>
      <c r="D104" s="100"/>
    </row>
    <row r="105" spans="3:4">
      <c r="C105" s="100"/>
      <c r="D105" s="100"/>
    </row>
    <row r="106" spans="3:4">
      <c r="C106" s="100"/>
      <c r="D106" s="100"/>
    </row>
    <row r="107" spans="3:4">
      <c r="C107" s="100"/>
      <c r="D107" s="100"/>
    </row>
    <row r="108" spans="3:4">
      <c r="C108" s="100"/>
      <c r="D108" s="100"/>
    </row>
    <row r="109" spans="3:4">
      <c r="C109" s="100"/>
      <c r="D109" s="100"/>
    </row>
    <row r="110" spans="3:4">
      <c r="C110" s="100"/>
      <c r="D110" s="100"/>
    </row>
    <row r="111" spans="3:4">
      <c r="C111" s="100"/>
      <c r="D111" s="100"/>
    </row>
    <row r="112" spans="3:4">
      <c r="C112" s="100"/>
      <c r="D112" s="100"/>
    </row>
    <row r="113" spans="3:4">
      <c r="C113" s="100"/>
      <c r="D113" s="100"/>
    </row>
    <row r="114" spans="3:4">
      <c r="C114" s="100"/>
      <c r="D114" s="100"/>
    </row>
    <row r="115" spans="3:4">
      <c r="C115" s="100"/>
      <c r="D115" s="100"/>
    </row>
    <row r="116" spans="3:4">
      <c r="C116" s="100"/>
      <c r="D116" s="100"/>
    </row>
    <row r="117" spans="3:4">
      <c r="C117" s="100"/>
      <c r="D117" s="100"/>
    </row>
    <row r="118" spans="3:4">
      <c r="C118" s="100"/>
      <c r="D118" s="100"/>
    </row>
    <row r="119" spans="3:4">
      <c r="C119" s="100"/>
      <c r="D119" s="100"/>
    </row>
    <row r="120" spans="3:4">
      <c r="C120" s="100"/>
      <c r="D120" s="100"/>
    </row>
    <row r="121" spans="3:4">
      <c r="C121" s="100"/>
      <c r="D121" s="100"/>
    </row>
    <row r="122" spans="3:4">
      <c r="C122" s="100"/>
      <c r="D122" s="100"/>
    </row>
    <row r="123" spans="3:4">
      <c r="C123" s="100"/>
      <c r="D123" s="100"/>
    </row>
    <row r="124" spans="3:4">
      <c r="C124" s="100"/>
      <c r="D124" s="100"/>
    </row>
    <row r="125" spans="3:4">
      <c r="C125" s="100"/>
      <c r="D125" s="100"/>
    </row>
    <row r="126" spans="3:4">
      <c r="C126" s="100"/>
      <c r="D126" s="100"/>
    </row>
    <row r="127" spans="3:4">
      <c r="C127" s="100"/>
      <c r="D127" s="100"/>
    </row>
    <row r="128" spans="3:4">
      <c r="C128" s="100"/>
      <c r="D128" s="100"/>
    </row>
    <row r="129" spans="3:4">
      <c r="C129" s="100"/>
      <c r="D129" s="100"/>
    </row>
    <row r="130" spans="3:4">
      <c r="C130" s="100"/>
      <c r="D130" s="100"/>
    </row>
    <row r="131" spans="3:4">
      <c r="C131" s="100"/>
      <c r="D131" s="100"/>
    </row>
    <row r="132" spans="3:4">
      <c r="C132" s="100"/>
      <c r="D132" s="100"/>
    </row>
    <row r="133" spans="3:4">
      <c r="C133" s="100"/>
      <c r="D133" s="100"/>
    </row>
    <row r="134" spans="3:4">
      <c r="C134" s="100"/>
      <c r="D134" s="100"/>
    </row>
    <row r="135" spans="3:4">
      <c r="C135" s="100"/>
      <c r="D135" s="100"/>
    </row>
    <row r="136" spans="3:4">
      <c r="C136" s="100"/>
      <c r="D136" s="100"/>
    </row>
    <row r="137" spans="3:4">
      <c r="C137" s="100"/>
      <c r="D137" s="100"/>
    </row>
    <row r="138" spans="3:4">
      <c r="C138" s="100"/>
      <c r="D138" s="100"/>
    </row>
    <row r="139" spans="3:4">
      <c r="C139" s="100"/>
      <c r="D139" s="100"/>
    </row>
    <row r="140" spans="3:4">
      <c r="C140" s="100"/>
      <c r="D140" s="100"/>
    </row>
    <row r="141" spans="3:4">
      <c r="C141" s="100"/>
      <c r="D141" s="100"/>
    </row>
    <row r="142" spans="3:4">
      <c r="C142" s="100"/>
      <c r="D142" s="100"/>
    </row>
    <row r="143" spans="3:4">
      <c r="C143" s="100"/>
      <c r="D143" s="100"/>
    </row>
    <row r="144" spans="3:4">
      <c r="C144" s="100"/>
      <c r="D144" s="100"/>
    </row>
    <row r="145" spans="3:4">
      <c r="C145" s="100"/>
      <c r="D145" s="100"/>
    </row>
    <row r="146" spans="3:4">
      <c r="C146" s="100"/>
      <c r="D146" s="100"/>
    </row>
    <row r="147" spans="3:4">
      <c r="C147" s="100"/>
      <c r="D147" s="100"/>
    </row>
    <row r="148" spans="3:4">
      <c r="C148" s="100"/>
      <c r="D148" s="100"/>
    </row>
    <row r="149" spans="3:4">
      <c r="C149" s="100"/>
      <c r="D149" s="100"/>
    </row>
    <row r="150" spans="3:4">
      <c r="C150" s="100"/>
      <c r="D150" s="100"/>
    </row>
    <row r="151" spans="3:4">
      <c r="C151" s="100"/>
      <c r="D151" s="100"/>
    </row>
    <row r="152" spans="3:4">
      <c r="C152" s="100"/>
      <c r="D152" s="100"/>
    </row>
    <row r="153" spans="3:4">
      <c r="C153" s="100"/>
      <c r="D153" s="100"/>
    </row>
    <row r="154" spans="3:4">
      <c r="C154" s="100"/>
      <c r="D154" s="100"/>
    </row>
    <row r="155" spans="3:4">
      <c r="C155" s="100"/>
      <c r="D155" s="100"/>
    </row>
    <row r="156" spans="3:4">
      <c r="C156" s="100"/>
      <c r="D156" s="100"/>
    </row>
    <row r="157" spans="3:4">
      <c r="C157" s="100"/>
      <c r="D157" s="100"/>
    </row>
    <row r="158" spans="3:4">
      <c r="C158" s="100"/>
      <c r="D158" s="100"/>
    </row>
    <row r="159" spans="3:4">
      <c r="C159" s="100"/>
      <c r="D159" s="100"/>
    </row>
    <row r="160" spans="3:4">
      <c r="C160" s="100"/>
      <c r="D160" s="100"/>
    </row>
    <row r="161" spans="3:4">
      <c r="C161" s="100"/>
      <c r="D161" s="100"/>
    </row>
    <row r="162" spans="3:4">
      <c r="C162" s="100"/>
      <c r="D162" s="100"/>
    </row>
    <row r="163" spans="3:4">
      <c r="C163" s="100"/>
      <c r="D163" s="100"/>
    </row>
    <row r="164" spans="3:4">
      <c r="C164" s="100"/>
      <c r="D164" s="100"/>
    </row>
    <row r="165" spans="3:4">
      <c r="C165" s="100"/>
      <c r="D165" s="100"/>
    </row>
    <row r="166" spans="3:4">
      <c r="C166" s="100"/>
      <c r="D166" s="100"/>
    </row>
    <row r="167" spans="3:4">
      <c r="C167" s="100"/>
      <c r="D167" s="100"/>
    </row>
    <row r="168" spans="3:4">
      <c r="C168" s="100"/>
      <c r="D168" s="100"/>
    </row>
    <row r="169" spans="3:4">
      <c r="C169" s="100"/>
      <c r="D169" s="100"/>
    </row>
    <row r="170" spans="3:4">
      <c r="C170" s="100"/>
      <c r="D170" s="100"/>
    </row>
    <row r="171" spans="3:4">
      <c r="C171" s="100"/>
      <c r="D171" s="100"/>
    </row>
    <row r="172" spans="3:4">
      <c r="C172" s="100"/>
      <c r="D172" s="100"/>
    </row>
    <row r="173" spans="3:4">
      <c r="C173" s="100"/>
      <c r="D173" s="100"/>
    </row>
    <row r="174" spans="3:4">
      <c r="C174" s="100"/>
      <c r="D174" s="100"/>
    </row>
    <row r="175" spans="3:4">
      <c r="C175" s="100"/>
      <c r="D175" s="100"/>
    </row>
    <row r="176" spans="3:4">
      <c r="C176" s="100"/>
      <c r="D176" s="100"/>
    </row>
    <row r="177" spans="3:4">
      <c r="C177" s="100"/>
      <c r="D177" s="100"/>
    </row>
    <row r="178" spans="3:4">
      <c r="C178" s="100"/>
      <c r="D178" s="100"/>
    </row>
    <row r="179" spans="3:4">
      <c r="C179" s="100"/>
      <c r="D179" s="100"/>
    </row>
    <row r="180" spans="3:4">
      <c r="C180" s="100"/>
      <c r="D180" s="100"/>
    </row>
    <row r="181" spans="3:4">
      <c r="C181" s="100"/>
      <c r="D181" s="100"/>
    </row>
    <row r="182" spans="3:4">
      <c r="C182" s="100"/>
      <c r="D182" s="100"/>
    </row>
    <row r="183" spans="3:4">
      <c r="C183" s="100"/>
      <c r="D183" s="100"/>
    </row>
    <row r="184" spans="3:4">
      <c r="C184" s="100"/>
      <c r="D184" s="100"/>
    </row>
    <row r="185" spans="3:4">
      <c r="C185" s="100"/>
      <c r="D185" s="100"/>
    </row>
    <row r="186" spans="3:4">
      <c r="C186" s="100"/>
      <c r="D186" s="100"/>
    </row>
    <row r="187" spans="3:4">
      <c r="C187" s="100"/>
      <c r="D187" s="100"/>
    </row>
    <row r="188" spans="3:4">
      <c r="C188" s="100"/>
      <c r="D188" s="100"/>
    </row>
    <row r="189" spans="3:4">
      <c r="C189" s="100"/>
      <c r="D189" s="100"/>
    </row>
    <row r="190" spans="3:4">
      <c r="C190" s="100"/>
      <c r="D190" s="100"/>
    </row>
    <row r="191" spans="3:4">
      <c r="C191" s="100"/>
      <c r="D191" s="100"/>
    </row>
    <row r="192" spans="3:4">
      <c r="C192" s="100"/>
      <c r="D192" s="100"/>
    </row>
    <row r="193" spans="3:4">
      <c r="C193" s="100"/>
      <c r="D193" s="100"/>
    </row>
    <row r="194" spans="3:4">
      <c r="C194" s="100"/>
      <c r="D194" s="100"/>
    </row>
    <row r="195" spans="3:4">
      <c r="C195" s="100"/>
      <c r="D195" s="100"/>
    </row>
    <row r="196" spans="3:4">
      <c r="C196" s="100"/>
      <c r="D196" s="100"/>
    </row>
    <row r="197" spans="3:4">
      <c r="C197" s="100"/>
      <c r="D197" s="100"/>
    </row>
    <row r="198" spans="3:4">
      <c r="C198" s="100"/>
      <c r="D198" s="100"/>
    </row>
    <row r="199" spans="3:4">
      <c r="C199" s="100"/>
      <c r="D199" s="100"/>
    </row>
    <row r="200" spans="3:4">
      <c r="C200" s="100"/>
      <c r="D200" s="100"/>
    </row>
    <row r="201" spans="3:4">
      <c r="C201" s="100"/>
      <c r="D201" s="100"/>
    </row>
    <row r="202" spans="3:4">
      <c r="C202" s="100"/>
      <c r="D202" s="100"/>
    </row>
    <row r="203" spans="3:4">
      <c r="C203" s="100"/>
      <c r="D203" s="100"/>
    </row>
    <row r="204" spans="3:4">
      <c r="C204" s="100"/>
      <c r="D204" s="100"/>
    </row>
    <row r="205" spans="3:4">
      <c r="C205" s="100"/>
      <c r="D205" s="100"/>
    </row>
    <row r="206" spans="3:4">
      <c r="C206" s="100"/>
      <c r="D206" s="100"/>
    </row>
    <row r="207" spans="3:4">
      <c r="C207" s="100"/>
      <c r="D207" s="100"/>
    </row>
    <row r="208" spans="3:4">
      <c r="C208" s="100"/>
      <c r="D208" s="100"/>
    </row>
    <row r="209" spans="3:4">
      <c r="C209" s="100"/>
      <c r="D209" s="100"/>
    </row>
    <row r="210" spans="3:4">
      <c r="C210" s="100"/>
      <c r="D210" s="100"/>
    </row>
    <row r="211" spans="3:4">
      <c r="C211" s="100"/>
      <c r="D211" s="100"/>
    </row>
    <row r="212" spans="3:4">
      <c r="C212" s="100"/>
      <c r="D212" s="100"/>
    </row>
    <row r="213" spans="3:4">
      <c r="C213" s="100"/>
      <c r="D213" s="100"/>
    </row>
    <row r="214" spans="3:4">
      <c r="C214" s="100"/>
      <c r="D214" s="100"/>
    </row>
    <row r="215" spans="3:4">
      <c r="C215" s="100"/>
      <c r="D215" s="100"/>
    </row>
    <row r="216" spans="3:4">
      <c r="C216" s="100"/>
      <c r="D216" s="100"/>
    </row>
    <row r="217" spans="3:4">
      <c r="C217" s="100"/>
      <c r="D217" s="100"/>
    </row>
    <row r="218" spans="3:4">
      <c r="C218" s="100"/>
      <c r="D218" s="100"/>
    </row>
    <row r="219" spans="3:4">
      <c r="C219" s="100"/>
      <c r="D219" s="100"/>
    </row>
    <row r="220" spans="3:4">
      <c r="C220" s="100"/>
      <c r="D220" s="100"/>
    </row>
    <row r="221" spans="3:4">
      <c r="C221" s="100"/>
      <c r="D221" s="100"/>
    </row>
    <row r="222" spans="3:4">
      <c r="C222" s="100"/>
      <c r="D222" s="100"/>
    </row>
    <row r="223" spans="3:4">
      <c r="C223" s="100"/>
      <c r="D223" s="100"/>
    </row>
    <row r="224" spans="3:4">
      <c r="C224" s="100"/>
      <c r="D224" s="100"/>
    </row>
    <row r="225" spans="3:4">
      <c r="C225" s="100"/>
      <c r="D225" s="100"/>
    </row>
    <row r="226" spans="3:4">
      <c r="C226" s="100"/>
      <c r="D226" s="100"/>
    </row>
    <row r="227" spans="3:4">
      <c r="C227" s="100"/>
      <c r="D227" s="100"/>
    </row>
    <row r="228" spans="3:4">
      <c r="C228" s="100"/>
      <c r="D228" s="100"/>
    </row>
    <row r="229" spans="3:4">
      <c r="C229" s="100"/>
      <c r="D229" s="100"/>
    </row>
    <row r="230" spans="3:4">
      <c r="C230" s="100"/>
      <c r="D230" s="100"/>
    </row>
    <row r="231" spans="3:4">
      <c r="C231" s="100"/>
      <c r="D231" s="100"/>
    </row>
    <row r="232" spans="3:4">
      <c r="C232" s="100"/>
      <c r="D232" s="100"/>
    </row>
    <row r="233" spans="3:4">
      <c r="C233" s="100"/>
      <c r="D233" s="100"/>
    </row>
    <row r="234" spans="3:4">
      <c r="C234" s="100"/>
      <c r="D234" s="100"/>
    </row>
    <row r="235" spans="3:4">
      <c r="C235" s="100"/>
      <c r="D235" s="100"/>
    </row>
    <row r="236" spans="3:4">
      <c r="C236" s="100"/>
      <c r="D236" s="100"/>
    </row>
    <row r="237" spans="3:4">
      <c r="C237" s="100"/>
      <c r="D237" s="100"/>
    </row>
    <row r="238" spans="3:4">
      <c r="C238" s="100"/>
      <c r="D238" s="100"/>
    </row>
    <row r="239" spans="3:4">
      <c r="C239" s="100"/>
      <c r="D239" s="100"/>
    </row>
    <row r="240" spans="3:4">
      <c r="C240" s="100"/>
      <c r="D240" s="100"/>
    </row>
    <row r="241" spans="3:4">
      <c r="C241" s="100"/>
      <c r="D241" s="100"/>
    </row>
    <row r="242" spans="3:4">
      <c r="C242" s="100"/>
      <c r="D242" s="100"/>
    </row>
    <row r="243" spans="3:4">
      <c r="C243" s="100"/>
      <c r="D243" s="100"/>
    </row>
    <row r="244" spans="3:4">
      <c r="C244" s="100"/>
      <c r="D244" s="100"/>
    </row>
    <row r="245" spans="3:4">
      <c r="C245" s="100"/>
      <c r="D245" s="100"/>
    </row>
    <row r="246" spans="3:4">
      <c r="C246" s="100"/>
      <c r="D246" s="100"/>
    </row>
    <row r="247" spans="3:4">
      <c r="C247" s="100"/>
      <c r="D247" s="100"/>
    </row>
    <row r="248" spans="3:4">
      <c r="C248" s="100"/>
      <c r="D248" s="100"/>
    </row>
    <row r="249" spans="3:4">
      <c r="C249" s="100"/>
      <c r="D249" s="100"/>
    </row>
    <row r="250" spans="3:4">
      <c r="C250" s="100"/>
      <c r="D250" s="100"/>
    </row>
    <row r="251" spans="3:4">
      <c r="C251" s="100"/>
      <c r="D251" s="100"/>
    </row>
    <row r="252" spans="3:4">
      <c r="C252" s="100"/>
      <c r="D252" s="100"/>
    </row>
    <row r="253" spans="3:4">
      <c r="C253" s="100"/>
      <c r="D253" s="100"/>
    </row>
    <row r="254" spans="3:4">
      <c r="C254" s="100"/>
      <c r="D254" s="100"/>
    </row>
    <row r="255" spans="3:4">
      <c r="C255" s="100"/>
      <c r="D255" s="100"/>
    </row>
    <row r="256" spans="3:4">
      <c r="C256" s="100"/>
      <c r="D256" s="100"/>
    </row>
    <row r="257" spans="3:4">
      <c r="C257" s="100"/>
      <c r="D257" s="100"/>
    </row>
    <row r="258" spans="3:4">
      <c r="C258" s="100"/>
      <c r="D258" s="100"/>
    </row>
    <row r="259" spans="3:4">
      <c r="C259" s="100"/>
      <c r="D259" s="100"/>
    </row>
    <row r="260" spans="3:4">
      <c r="C260" s="100"/>
      <c r="D260" s="100"/>
    </row>
    <row r="261" spans="3:4">
      <c r="C261" s="100"/>
      <c r="D261" s="100"/>
    </row>
    <row r="262" spans="3:4">
      <c r="C262" s="100"/>
      <c r="D262" s="100"/>
    </row>
    <row r="263" spans="3:4">
      <c r="C263" s="100"/>
      <c r="D263" s="100"/>
    </row>
    <row r="264" spans="3:4">
      <c r="C264" s="100"/>
      <c r="D264" s="100"/>
    </row>
    <row r="265" spans="3:4">
      <c r="C265" s="100"/>
      <c r="D265" s="100"/>
    </row>
    <row r="266" spans="3:4">
      <c r="C266" s="100"/>
      <c r="D266" s="100"/>
    </row>
    <row r="267" spans="3:4">
      <c r="C267" s="100"/>
      <c r="D267" s="100"/>
    </row>
    <row r="268" spans="3:4">
      <c r="C268" s="100"/>
      <c r="D268" s="100"/>
    </row>
    <row r="269" spans="3:4">
      <c r="C269" s="100"/>
      <c r="D269" s="100"/>
    </row>
    <row r="270" spans="3:4">
      <c r="C270" s="100"/>
      <c r="D270" s="100"/>
    </row>
    <row r="271" spans="3:4">
      <c r="C271" s="100"/>
      <c r="D271" s="100"/>
    </row>
    <row r="272" spans="3:4">
      <c r="C272" s="100"/>
      <c r="D272" s="100"/>
    </row>
    <row r="273" spans="3:4">
      <c r="C273" s="100"/>
      <c r="D273" s="100"/>
    </row>
    <row r="274" spans="3:4">
      <c r="C274" s="100"/>
      <c r="D274" s="100"/>
    </row>
    <row r="275" spans="3:4">
      <c r="C275" s="100"/>
      <c r="D275" s="100"/>
    </row>
    <row r="276" spans="3:4">
      <c r="C276" s="100"/>
      <c r="D276" s="100"/>
    </row>
    <row r="277" spans="3:4">
      <c r="C277" s="100"/>
      <c r="D277" s="100"/>
    </row>
    <row r="278" spans="3:4">
      <c r="C278" s="100"/>
      <c r="D278" s="100"/>
    </row>
    <row r="279" spans="3:4">
      <c r="C279" s="100"/>
      <c r="D279" s="100"/>
    </row>
    <row r="280" spans="3:4">
      <c r="C280" s="100"/>
      <c r="D280" s="100"/>
    </row>
    <row r="281" spans="3:4">
      <c r="C281" s="100"/>
      <c r="D281" s="100"/>
    </row>
    <row r="282" spans="3:4">
      <c r="C282" s="100"/>
      <c r="D282" s="100"/>
    </row>
    <row r="283" spans="3:4">
      <c r="C283" s="100"/>
      <c r="D283" s="100"/>
    </row>
    <row r="284" spans="3:4">
      <c r="C284" s="100"/>
      <c r="D284" s="100"/>
    </row>
    <row r="285" spans="3:4">
      <c r="C285" s="100"/>
      <c r="D285" s="100"/>
    </row>
    <row r="286" spans="3:4">
      <c r="C286" s="100"/>
      <c r="D286" s="100"/>
    </row>
    <row r="287" spans="3:4">
      <c r="C287" s="100"/>
      <c r="D287" s="100"/>
    </row>
    <row r="288" spans="3:4">
      <c r="C288" s="100"/>
      <c r="D288" s="100"/>
    </row>
    <row r="289" spans="3:4">
      <c r="C289" s="100"/>
      <c r="D289" s="100"/>
    </row>
    <row r="290" spans="3:4">
      <c r="C290" s="100"/>
      <c r="D290" s="100"/>
    </row>
  </sheetData>
  <dataValidations disablePrompts="1" count="1">
    <dataValidation type="list" allowBlank="1" showInputMessage="1" showErrorMessage="1" sqref="B30:B33" xr:uid="{C7E983BD-8660-45D8-A3E3-7662B32572E7}">
      <formula1>$B$1:$B$27</formula1>
    </dataValidation>
  </dataValidations>
  <hyperlinks>
    <hyperlink ref="B38" r:id="rId1" xr:uid="{8FFF3BE3-173F-40BA-BBA3-6105CAE91561}"/>
    <hyperlink ref="B42" r:id="rId2" xr:uid="{17F5C2FD-02C6-4C4C-8BC7-BE346BF0E5EE}"/>
    <hyperlink ref="B45" r:id="rId3" xr:uid="{CEF6C54D-F422-4820-92B5-4FE35031F496}"/>
    <hyperlink ref="B48" r:id="rId4" xr:uid="{4DDCA885-6E06-4CBA-B8AC-DCF4A656B0F0}"/>
  </hyperlinks>
  <printOptions horizontalCentered="1"/>
  <pageMargins left="0.39370078740157483" right="0.39370078740157483" top="0.59055118110236227" bottom="0.39370078740157483" header="0.39370078740157483" footer="0.39370078740157483"/>
  <pageSetup scale="85"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0CB9C-1176-4DF8-8AD0-A256F594FD02}">
  <sheetPr>
    <tabColor rgb="FF00FF00"/>
  </sheetPr>
  <dimension ref="A1:K95"/>
  <sheetViews>
    <sheetView showGridLines="0" workbookViewId="0">
      <pane ySplit="7" topLeftCell="A28" activePane="bottomLeft" state="frozen"/>
      <selection activeCell="P189" sqref="P189"/>
      <selection pane="bottomLeft" activeCell="D39" sqref="D39"/>
    </sheetView>
  </sheetViews>
  <sheetFormatPr baseColWidth="10" defaultColWidth="11.42578125" defaultRowHeight="12.75"/>
  <cols>
    <col min="1" max="1" width="4.7109375" style="18" bestFit="1" customWidth="1"/>
    <col min="2" max="2" width="33.28515625" style="18" bestFit="1" customWidth="1"/>
    <col min="3" max="3" width="37.85546875" style="18" bestFit="1" customWidth="1"/>
    <col min="4" max="5" width="20.5703125" style="18" customWidth="1"/>
    <col min="6" max="6" width="20.5703125" style="18" bestFit="1" customWidth="1"/>
    <col min="7" max="7" width="12.7109375" style="18" customWidth="1"/>
    <col min="8" max="8" width="17.140625" style="18" bestFit="1" customWidth="1"/>
    <col min="9" max="9" width="14.42578125" style="18" bestFit="1" customWidth="1"/>
    <col min="10" max="10" width="16.85546875" style="18" bestFit="1" customWidth="1"/>
    <col min="11" max="11" width="15.42578125" style="18" bestFit="1" customWidth="1"/>
    <col min="12" max="16384" width="11.42578125" style="18"/>
  </cols>
  <sheetData>
    <row r="1" spans="1:8">
      <c r="C1" s="20">
        <v>1000</v>
      </c>
      <c r="D1" s="19">
        <f>D87</f>
        <v>-2790.94</v>
      </c>
      <c r="E1" s="19">
        <f>E87</f>
        <v>0</v>
      </c>
      <c r="F1" s="19">
        <f>F87</f>
        <v>-2790.94</v>
      </c>
    </row>
    <row r="2" spans="1:8">
      <c r="C2" s="20" t="s">
        <v>4648</v>
      </c>
    </row>
    <row r="3" spans="1:8">
      <c r="B3" s="17"/>
      <c r="C3" s="17" t="s">
        <v>4843</v>
      </c>
    </row>
    <row r="4" spans="1:8">
      <c r="B4" s="51"/>
      <c r="C4" s="51" t="s">
        <v>4844</v>
      </c>
    </row>
    <row r="5" spans="1:8">
      <c r="B5" s="51"/>
      <c r="C5" s="51" t="s">
        <v>4508</v>
      </c>
      <c r="D5" s="20"/>
      <c r="E5" s="20"/>
      <c r="F5" s="20"/>
    </row>
    <row r="7" spans="1:8">
      <c r="A7" s="349" t="s">
        <v>4845</v>
      </c>
      <c r="B7" s="349" t="s">
        <v>4846</v>
      </c>
      <c r="C7" s="349" t="s">
        <v>4239</v>
      </c>
      <c r="D7" s="349" t="s">
        <v>4847</v>
      </c>
      <c r="E7" s="349" t="s">
        <v>4848</v>
      </c>
      <c r="F7" s="349" t="s">
        <v>4849</v>
      </c>
      <c r="G7" s="21"/>
      <c r="H7" s="21"/>
    </row>
    <row r="8" spans="1:8">
      <c r="A8" s="18" t="s">
        <v>9</v>
      </c>
      <c r="B8" s="350" t="s">
        <v>4850</v>
      </c>
      <c r="C8" s="350"/>
      <c r="D8" s="351"/>
      <c r="E8" s="351"/>
      <c r="F8" s="351"/>
      <c r="G8" s="21"/>
      <c r="H8" s="21"/>
    </row>
    <row r="9" spans="1:8">
      <c r="A9" s="18" t="s">
        <v>9</v>
      </c>
      <c r="B9" s="22" t="s">
        <v>4850</v>
      </c>
      <c r="C9" s="23" t="s">
        <v>4851</v>
      </c>
      <c r="D9" s="52">
        <f>SUMIF(Valida!C:C,C9,Valida!J:J)/1000</f>
        <v>0</v>
      </c>
      <c r="E9" s="52"/>
      <c r="F9" s="52">
        <f>D9+E9</f>
        <v>0</v>
      </c>
      <c r="G9" s="21"/>
      <c r="H9" s="21"/>
    </row>
    <row r="10" spans="1:8">
      <c r="A10" s="18" t="s">
        <v>9</v>
      </c>
      <c r="B10" s="23" t="s">
        <v>4850</v>
      </c>
      <c r="C10" s="23" t="s">
        <v>4325</v>
      </c>
      <c r="D10" s="52">
        <f>SUMIF(Valida!C:C,C10,Valida!J:J)/1000</f>
        <v>0</v>
      </c>
      <c r="E10" s="52"/>
      <c r="F10" s="52">
        <f>D10+E10</f>
        <v>0</v>
      </c>
      <c r="G10" s="21"/>
      <c r="H10" s="21"/>
    </row>
    <row r="11" spans="1:8">
      <c r="A11" s="18" t="s">
        <v>9</v>
      </c>
      <c r="B11" s="23" t="s">
        <v>4850</v>
      </c>
      <c r="C11" s="23" t="s">
        <v>4335</v>
      </c>
      <c r="D11" s="52">
        <f>SUMIF(Valida!C:C,C11,Valida!J:J)/1000</f>
        <v>0</v>
      </c>
      <c r="E11" s="52"/>
      <c r="F11" s="52">
        <f>D11+E11</f>
        <v>0</v>
      </c>
      <c r="G11" s="21"/>
      <c r="H11" s="21"/>
    </row>
    <row r="12" spans="1:8">
      <c r="A12" s="18" t="s">
        <v>9</v>
      </c>
      <c r="B12" s="352" t="s">
        <v>4852</v>
      </c>
      <c r="C12" s="352" t="s">
        <v>4852</v>
      </c>
      <c r="D12" s="353">
        <f>SUM(D8:D11)</f>
        <v>0</v>
      </c>
      <c r="E12" s="353">
        <f>SUM(E8:E11)</f>
        <v>0</v>
      </c>
      <c r="F12" s="353">
        <f>SUM(F8:F11)</f>
        <v>0</v>
      </c>
      <c r="G12" s="21"/>
      <c r="H12" s="21"/>
    </row>
    <row r="13" spans="1:8">
      <c r="A13" s="18" t="s">
        <v>9</v>
      </c>
      <c r="B13" s="22" t="s">
        <v>4853</v>
      </c>
      <c r="C13" s="23"/>
      <c r="D13" s="25"/>
      <c r="E13" s="25"/>
      <c r="F13" s="25"/>
      <c r="G13" s="21"/>
      <c r="H13" s="21"/>
    </row>
    <row r="14" spans="1:8">
      <c r="A14" s="18" t="s">
        <v>9</v>
      </c>
      <c r="B14" s="22" t="s">
        <v>4853</v>
      </c>
      <c r="C14" s="23" t="s">
        <v>4559</v>
      </c>
      <c r="D14" s="52">
        <f>SUMIF(Valida!C:C,C14,Valida!J:J)/1000</f>
        <v>0</v>
      </c>
      <c r="E14" s="52"/>
      <c r="F14" s="52">
        <f t="shared" ref="F14:F19" si="0">D14+E14</f>
        <v>0</v>
      </c>
      <c r="G14" s="21"/>
      <c r="H14" s="21"/>
    </row>
    <row r="15" spans="1:8">
      <c r="A15" s="18" t="s">
        <v>9</v>
      </c>
      <c r="B15" s="22" t="s">
        <v>4853</v>
      </c>
      <c r="C15" s="23" t="s">
        <v>4854</v>
      </c>
      <c r="D15" s="52">
        <f>SUMIF(Valida!C:C,C15,Valida!J:J)/1000</f>
        <v>0</v>
      </c>
      <c r="E15" s="52"/>
      <c r="F15" s="52">
        <f t="shared" si="0"/>
        <v>0</v>
      </c>
      <c r="G15" s="21"/>
      <c r="H15" s="21"/>
    </row>
    <row r="16" spans="1:8">
      <c r="A16" s="18" t="s">
        <v>9</v>
      </c>
      <c r="B16" s="22" t="s">
        <v>4853</v>
      </c>
      <c r="C16" s="23" t="s">
        <v>4556</v>
      </c>
      <c r="D16" s="52">
        <f>SUMIF(Valida!C:C,C16,Valida!J:J)/1000</f>
        <v>0</v>
      </c>
      <c r="E16" s="52"/>
      <c r="F16" s="52">
        <f t="shared" si="0"/>
        <v>0</v>
      </c>
      <c r="G16" s="21"/>
      <c r="H16" s="21"/>
    </row>
    <row r="17" spans="1:8">
      <c r="A17" s="18" t="s">
        <v>9</v>
      </c>
      <c r="B17" s="22" t="s">
        <v>4853</v>
      </c>
      <c r="C17" s="23" t="s">
        <v>4855</v>
      </c>
      <c r="D17" s="52">
        <f>SUMIF(Valida!C:C,C17,Valida!J:J)/1000</f>
        <v>0</v>
      </c>
      <c r="E17" s="52"/>
      <c r="F17" s="52">
        <f t="shared" si="0"/>
        <v>0</v>
      </c>
      <c r="G17" s="21"/>
      <c r="H17" s="21"/>
    </row>
    <row r="18" spans="1:8">
      <c r="A18" s="18" t="s">
        <v>9</v>
      </c>
      <c r="B18" s="22" t="s">
        <v>4853</v>
      </c>
      <c r="C18" s="23" t="s">
        <v>4856</v>
      </c>
      <c r="D18" s="52">
        <f>SUMIF(Valida!C:C,C18,Valida!J:J)/1000</f>
        <v>0</v>
      </c>
      <c r="E18" s="52"/>
      <c r="F18" s="52">
        <f t="shared" si="0"/>
        <v>0</v>
      </c>
      <c r="G18" s="21"/>
      <c r="H18" s="21"/>
    </row>
    <row r="19" spans="1:8">
      <c r="A19" s="18" t="s">
        <v>9</v>
      </c>
      <c r="B19" s="22" t="s">
        <v>4853</v>
      </c>
      <c r="C19" s="23" t="s">
        <v>4857</v>
      </c>
      <c r="D19" s="52">
        <f>SUMIF(Valida!C:C,C19,Valida!J:J)/1000</f>
        <v>0</v>
      </c>
      <c r="E19" s="52"/>
      <c r="F19" s="52">
        <f t="shared" si="0"/>
        <v>0</v>
      </c>
      <c r="G19" s="21"/>
      <c r="H19" s="21"/>
    </row>
    <row r="20" spans="1:8" ht="5.0999999999999996" customHeight="1">
      <c r="A20" s="18" t="s">
        <v>9</v>
      </c>
      <c r="B20" s="26"/>
      <c r="C20" s="26"/>
      <c r="D20" s="26"/>
      <c r="E20" s="26"/>
      <c r="F20" s="26"/>
      <c r="G20" s="21"/>
      <c r="H20" s="21"/>
    </row>
    <row r="21" spans="1:8">
      <c r="A21" s="18" t="s">
        <v>8</v>
      </c>
      <c r="B21" s="22" t="s">
        <v>4853</v>
      </c>
      <c r="C21" s="23" t="s">
        <v>4311</v>
      </c>
      <c r="D21" s="177">
        <f>SUMIF(Valida!C:C,C21,Valida!J:J)/1000</f>
        <v>105633.276</v>
      </c>
      <c r="E21" s="52"/>
      <c r="F21" s="52">
        <f>D21+E21</f>
        <v>105633.276</v>
      </c>
      <c r="G21" s="21"/>
      <c r="H21" s="21"/>
    </row>
    <row r="22" spans="1:8">
      <c r="A22" s="18" t="s">
        <v>8</v>
      </c>
      <c r="B22" s="22" t="s">
        <v>4853</v>
      </c>
      <c r="C22" s="23" t="s">
        <v>4318</v>
      </c>
      <c r="D22" s="177">
        <f>SUMIF(Valida!C:C,C22,Valida!J:J)/1000</f>
        <v>-42431.506000000001</v>
      </c>
      <c r="E22" s="52"/>
      <c r="F22" s="52">
        <f>D22+E22</f>
        <v>-42431.506000000001</v>
      </c>
      <c r="G22" s="21"/>
      <c r="H22" s="21"/>
    </row>
    <row r="23" spans="1:8" ht="5.0999999999999996" customHeight="1">
      <c r="A23" s="18" t="s">
        <v>8</v>
      </c>
      <c r="B23" s="26"/>
      <c r="C23" s="26"/>
      <c r="D23" s="26"/>
      <c r="E23" s="26"/>
      <c r="F23" s="26"/>
      <c r="G23" s="21"/>
      <c r="H23" s="21"/>
    </row>
    <row r="24" spans="1:8">
      <c r="A24" s="18" t="s">
        <v>9</v>
      </c>
      <c r="B24" s="22" t="s">
        <v>4853</v>
      </c>
      <c r="C24" s="23" t="s">
        <v>4313</v>
      </c>
      <c r="D24" s="52">
        <f>SUMIF(Valida!C:C,C24,Valida!J:J)/1000</f>
        <v>0</v>
      </c>
      <c r="E24" s="52"/>
      <c r="F24" s="52">
        <f>D24+E24</f>
        <v>0</v>
      </c>
      <c r="G24" s="21"/>
      <c r="H24" s="21"/>
    </row>
    <row r="25" spans="1:8">
      <c r="A25" s="18" t="s">
        <v>9</v>
      </c>
      <c r="B25" s="22" t="s">
        <v>4853</v>
      </c>
      <c r="C25" s="23" t="s">
        <v>4858</v>
      </c>
      <c r="D25" s="52">
        <f>SUMIF(Valida!C:C,C25,Valida!J:J)/1000</f>
        <v>0</v>
      </c>
      <c r="E25" s="52"/>
      <c r="F25" s="52">
        <f>D25+E25</f>
        <v>0</v>
      </c>
      <c r="G25" s="21"/>
      <c r="H25" s="21"/>
    </row>
    <row r="26" spans="1:8" ht="5.0999999999999996" customHeight="1">
      <c r="A26" s="18" t="s">
        <v>9</v>
      </c>
      <c r="B26" s="27"/>
      <c r="C26" s="27"/>
      <c r="D26" s="27"/>
      <c r="E26" s="27"/>
      <c r="F26" s="27"/>
      <c r="G26" s="21"/>
      <c r="H26" s="21"/>
    </row>
    <row r="27" spans="1:8">
      <c r="A27" s="18" t="s">
        <v>9</v>
      </c>
      <c r="B27" s="22" t="s">
        <v>4853</v>
      </c>
      <c r="C27" s="23" t="s">
        <v>4305</v>
      </c>
      <c r="D27" s="52">
        <f>SUMIF(Valida!C:C,C27,Valida!J:J)/1000</f>
        <v>0</v>
      </c>
      <c r="E27" s="52"/>
      <c r="F27" s="52">
        <f>D27+E27</f>
        <v>0</v>
      </c>
      <c r="G27" s="21"/>
      <c r="H27" s="21"/>
    </row>
    <row r="28" spans="1:8">
      <c r="A28" s="18" t="s">
        <v>9</v>
      </c>
      <c r="B28" s="22" t="s">
        <v>4853</v>
      </c>
      <c r="C28" s="23" t="s">
        <v>4314</v>
      </c>
      <c r="D28" s="52">
        <f>SUMIF(Valida!C:C,C28,Valida!J:J)/1000</f>
        <v>0</v>
      </c>
      <c r="E28" s="52"/>
      <c r="F28" s="52">
        <f>D28+E28</f>
        <v>0</v>
      </c>
      <c r="G28" s="21"/>
      <c r="H28" s="21"/>
    </row>
    <row r="29" spans="1:8">
      <c r="A29" s="18" t="s">
        <v>8</v>
      </c>
      <c r="B29" s="352" t="s">
        <v>4859</v>
      </c>
      <c r="C29" s="352" t="s">
        <v>4859</v>
      </c>
      <c r="D29" s="354">
        <f>SUM(D13:D28)</f>
        <v>63201.77</v>
      </c>
      <c r="E29" s="355">
        <f>SUM(E13:E28)</f>
        <v>0</v>
      </c>
      <c r="F29" s="355">
        <f>SUM(F13:F28)</f>
        <v>63201.77</v>
      </c>
      <c r="G29" s="21"/>
      <c r="H29" s="21"/>
    </row>
    <row r="30" spans="1:8">
      <c r="A30" s="18" t="s">
        <v>9</v>
      </c>
      <c r="B30" s="350" t="s">
        <v>4860</v>
      </c>
      <c r="C30" s="350"/>
      <c r="D30" s="178"/>
      <c r="E30" s="24"/>
      <c r="F30" s="24"/>
      <c r="G30" s="21"/>
      <c r="H30" s="21"/>
    </row>
    <row r="31" spans="1:8">
      <c r="A31" s="18" t="s">
        <v>9</v>
      </c>
      <c r="B31" s="22" t="s">
        <v>4860</v>
      </c>
      <c r="C31" s="23" t="s">
        <v>4861</v>
      </c>
      <c r="D31" s="177">
        <f>SUMIF(Valida!C:C,C31,Valida!J:J)/1000</f>
        <v>0</v>
      </c>
      <c r="E31" s="52"/>
      <c r="F31" s="52">
        <f>D31+E31</f>
        <v>0</v>
      </c>
      <c r="G31" s="21"/>
      <c r="H31" s="21"/>
    </row>
    <row r="32" spans="1:8">
      <c r="A32" s="18" t="s">
        <v>9</v>
      </c>
      <c r="B32" s="22" t="s">
        <v>4860</v>
      </c>
      <c r="C32" s="23" t="s">
        <v>4862</v>
      </c>
      <c r="D32" s="177">
        <f>SUMIF(Valida!C:C,C32,Valida!J:J)/1000</f>
        <v>0</v>
      </c>
      <c r="E32" s="52"/>
      <c r="F32" s="52">
        <f>D32+E32</f>
        <v>0</v>
      </c>
      <c r="G32" s="21"/>
      <c r="H32" s="21"/>
    </row>
    <row r="33" spans="1:9">
      <c r="A33" s="18" t="s">
        <v>9</v>
      </c>
      <c r="B33" s="23" t="s">
        <v>4860</v>
      </c>
      <c r="C33" s="23" t="s">
        <v>4863</v>
      </c>
      <c r="D33" s="177">
        <f>SUMIF(Valida!C:C,C33,Valida!J:J)/1000</f>
        <v>0</v>
      </c>
      <c r="E33" s="52"/>
      <c r="F33" s="52">
        <f>D33+E33</f>
        <v>0</v>
      </c>
      <c r="G33" s="21"/>
      <c r="H33" s="21"/>
    </row>
    <row r="34" spans="1:9">
      <c r="A34" s="18" t="s">
        <v>9</v>
      </c>
      <c r="B34" s="352" t="s">
        <v>4864</v>
      </c>
      <c r="C34" s="352" t="s">
        <v>4864</v>
      </c>
      <c r="D34" s="356">
        <f>SUM(D30:D33)</f>
        <v>0</v>
      </c>
      <c r="E34" s="353">
        <f>SUM(E30:E33)</f>
        <v>0</v>
      </c>
      <c r="F34" s="353">
        <f>SUM(F30:F33)</f>
        <v>0</v>
      </c>
      <c r="G34" s="21"/>
      <c r="H34" s="21"/>
    </row>
    <row r="35" spans="1:9">
      <c r="A35" s="18" t="s">
        <v>8</v>
      </c>
      <c r="B35" s="352" t="s">
        <v>4865</v>
      </c>
      <c r="C35" s="352" t="s">
        <v>4865</v>
      </c>
      <c r="D35" s="357">
        <f>+D12+D29+D34</f>
        <v>63201.77</v>
      </c>
      <c r="E35" s="358">
        <f>+E12+E29+E34</f>
        <v>0</v>
      </c>
      <c r="F35" s="358">
        <f>+F12+F29+F34</f>
        <v>63201.77</v>
      </c>
      <c r="G35" s="21"/>
      <c r="H35" s="21"/>
    </row>
    <row r="36" spans="1:9">
      <c r="A36" s="18" t="s">
        <v>8</v>
      </c>
      <c r="B36" s="22" t="s">
        <v>4866</v>
      </c>
      <c r="C36" s="23"/>
      <c r="D36" s="178"/>
      <c r="E36" s="24"/>
      <c r="F36" s="24"/>
      <c r="G36" s="21"/>
      <c r="H36" s="21"/>
    </row>
    <row r="37" spans="1:9">
      <c r="A37" s="18" t="s">
        <v>8</v>
      </c>
      <c r="B37" s="23" t="s">
        <v>4866</v>
      </c>
      <c r="C37" s="23" t="s">
        <v>4272</v>
      </c>
      <c r="D37" s="177">
        <f>SUMIF(Valida!C:C,C37,Valida!J:J)/1000</f>
        <v>0</v>
      </c>
      <c r="E37" s="52"/>
      <c r="F37" s="233">
        <f t="shared" ref="F37:F47" si="1">D37+E37</f>
        <v>0</v>
      </c>
      <c r="G37" s="21"/>
      <c r="H37" s="21"/>
    </row>
    <row r="38" spans="1:9">
      <c r="A38" s="18" t="s">
        <v>8</v>
      </c>
      <c r="B38" s="23" t="s">
        <v>4866</v>
      </c>
      <c r="C38" s="23" t="s">
        <v>4277</v>
      </c>
      <c r="D38" s="177">
        <f>SUMIF(Valida!C:C,C38,Valida!J:J)/1000</f>
        <v>0</v>
      </c>
      <c r="E38" s="52"/>
      <c r="F38" s="233">
        <f t="shared" si="1"/>
        <v>0</v>
      </c>
      <c r="G38" s="21"/>
      <c r="H38" s="21"/>
    </row>
    <row r="39" spans="1:9">
      <c r="A39" s="18" t="s">
        <v>8</v>
      </c>
      <c r="B39" s="23" t="s">
        <v>4866</v>
      </c>
      <c r="C39" s="23" t="s">
        <v>4299</v>
      </c>
      <c r="D39" s="177">
        <f>SUMIF(Valida!C:C,C39,Valida!J:J)/1000</f>
        <v>27462</v>
      </c>
      <c r="E39" s="52"/>
      <c r="F39" s="233">
        <f t="shared" si="1"/>
        <v>27462</v>
      </c>
      <c r="G39" s="21"/>
      <c r="H39" s="21"/>
    </row>
    <row r="40" spans="1:9">
      <c r="A40" s="18" t="s">
        <v>8</v>
      </c>
      <c r="B40" s="23" t="s">
        <v>4866</v>
      </c>
      <c r="C40" s="23" t="s">
        <v>5627</v>
      </c>
      <c r="D40" s="177">
        <f>SUMIF(Valida!C:C,C40,Valida!J:J)/1000</f>
        <v>11731</v>
      </c>
      <c r="E40" s="52"/>
      <c r="F40" s="233">
        <f t="shared" ref="F40" si="2">D40+E40</f>
        <v>11731</v>
      </c>
      <c r="G40" s="21"/>
      <c r="H40" s="21"/>
    </row>
    <row r="41" spans="1:9">
      <c r="A41" s="18" t="s">
        <v>9</v>
      </c>
      <c r="B41" s="23" t="s">
        <v>4866</v>
      </c>
      <c r="C41" s="23" t="s">
        <v>4867</v>
      </c>
      <c r="D41" s="177">
        <f>SUMIF(Valida!C:C,C41,Valida!J:J)/1000</f>
        <v>0</v>
      </c>
      <c r="E41" s="52"/>
      <c r="F41" s="52">
        <f t="shared" si="1"/>
        <v>0</v>
      </c>
      <c r="G41" s="21"/>
      <c r="H41" s="21"/>
    </row>
    <row r="42" spans="1:9">
      <c r="A42" s="18" t="s">
        <v>8</v>
      </c>
      <c r="B42" s="23" t="s">
        <v>4866</v>
      </c>
      <c r="C42" s="23" t="s">
        <v>4282</v>
      </c>
      <c r="D42" s="177">
        <f>SUMIF(Valida!C:C,C42,Valida!J:J)/1000</f>
        <v>0</v>
      </c>
      <c r="E42" s="52"/>
      <c r="F42" s="52">
        <f t="shared" si="1"/>
        <v>0</v>
      </c>
      <c r="G42" s="21"/>
      <c r="H42" s="21"/>
    </row>
    <row r="43" spans="1:9">
      <c r="A43" s="18" t="s">
        <v>9</v>
      </c>
      <c r="B43" s="23" t="s">
        <v>4866</v>
      </c>
      <c r="C43" s="23" t="s">
        <v>4868</v>
      </c>
      <c r="D43" s="177">
        <f>SUMIF(Valida!C:C,C43,Valida!J:J)/1000</f>
        <v>0</v>
      </c>
      <c r="E43" s="52"/>
      <c r="F43" s="52">
        <f t="shared" si="1"/>
        <v>0</v>
      </c>
      <c r="G43" s="21"/>
      <c r="H43" s="21"/>
    </row>
    <row r="44" spans="1:9">
      <c r="A44" s="18" t="s">
        <v>9</v>
      </c>
      <c r="B44" s="23" t="s">
        <v>4866</v>
      </c>
      <c r="C44" s="23" t="s">
        <v>4869</v>
      </c>
      <c r="D44" s="177">
        <f>SUMIF(Valida!C:C,C44,Valida!J:J)/1000</f>
        <v>0</v>
      </c>
      <c r="E44" s="52"/>
      <c r="F44" s="52">
        <f t="shared" si="1"/>
        <v>0</v>
      </c>
      <c r="G44" s="21"/>
      <c r="H44" s="21"/>
    </row>
    <row r="45" spans="1:9">
      <c r="A45" s="18" t="s">
        <v>8</v>
      </c>
      <c r="B45" s="23" t="s">
        <v>4866</v>
      </c>
      <c r="C45" s="23" t="s">
        <v>4280</v>
      </c>
      <c r="D45" s="177">
        <f>SUMIF(Valida!C:C,C45,Valida!J:J)/1000</f>
        <v>0</v>
      </c>
      <c r="E45" s="52"/>
      <c r="F45" s="52">
        <f t="shared" si="1"/>
        <v>0</v>
      </c>
      <c r="G45" s="21"/>
      <c r="H45" s="21"/>
    </row>
    <row r="46" spans="1:9">
      <c r="A46" s="18" t="s">
        <v>8</v>
      </c>
      <c r="B46" s="23" t="s">
        <v>4866</v>
      </c>
      <c r="C46" s="23" t="s">
        <v>4295</v>
      </c>
      <c r="D46" s="177">
        <f>SUMIF(Valida!C:C,C46,Valida!J:J)/1000</f>
        <v>0</v>
      </c>
      <c r="E46" s="52"/>
      <c r="F46" s="52">
        <f t="shared" ref="F46" si="3">D46+E46</f>
        <v>0</v>
      </c>
      <c r="G46" s="21"/>
      <c r="H46" s="21"/>
    </row>
    <row r="47" spans="1:9">
      <c r="A47" s="18" t="s">
        <v>9</v>
      </c>
      <c r="B47" s="23" t="s">
        <v>4866</v>
      </c>
      <c r="C47" s="28" t="s">
        <v>4870</v>
      </c>
      <c r="D47" s="177">
        <f>SUMIF(Valida!C:C,C47,Valida!J:J)/1000</f>
        <v>0</v>
      </c>
      <c r="E47" s="52"/>
      <c r="F47" s="52">
        <f t="shared" si="1"/>
        <v>0</v>
      </c>
      <c r="G47" s="21"/>
      <c r="H47" s="21"/>
    </row>
    <row r="48" spans="1:9">
      <c r="A48" s="18" t="s">
        <v>8</v>
      </c>
      <c r="B48" s="352" t="s">
        <v>4871</v>
      </c>
      <c r="C48" s="352" t="s">
        <v>4871</v>
      </c>
      <c r="D48" s="357">
        <f>SUM(D37:D47)</f>
        <v>39193</v>
      </c>
      <c r="E48" s="358">
        <f>SUM(E37:E47)</f>
        <v>0</v>
      </c>
      <c r="F48" s="358">
        <f>SUM(F37:F47)</f>
        <v>39193</v>
      </c>
      <c r="G48" s="21"/>
      <c r="H48" s="21"/>
      <c r="I48" s="21"/>
    </row>
    <row r="49" spans="1:10">
      <c r="A49" s="18" t="s">
        <v>8</v>
      </c>
      <c r="B49" s="23" t="s">
        <v>4872</v>
      </c>
      <c r="C49" s="23" t="s">
        <v>4320</v>
      </c>
      <c r="D49" s="177">
        <f>SUMIF(Valida!C:C,C49,Valida!J:J)/1000</f>
        <v>0</v>
      </c>
      <c r="E49" s="52"/>
      <c r="F49" s="52">
        <f>D49+E49</f>
        <v>0</v>
      </c>
      <c r="G49" s="21"/>
      <c r="H49" s="21"/>
    </row>
    <row r="50" spans="1:10">
      <c r="A50" s="18" t="s">
        <v>8</v>
      </c>
      <c r="B50" s="23" t="s">
        <v>4872</v>
      </c>
      <c r="C50" s="23" t="s">
        <v>4333</v>
      </c>
      <c r="D50" s="177">
        <f>SUMIF(Valida!C:C,C50,Valida!J:J)/1000</f>
        <v>0</v>
      </c>
      <c r="E50" s="52"/>
      <c r="F50" s="52">
        <f>D50+E50</f>
        <v>0</v>
      </c>
      <c r="G50" s="21"/>
      <c r="H50" s="21"/>
    </row>
    <row r="51" spans="1:10">
      <c r="A51" s="18" t="s">
        <v>8</v>
      </c>
      <c r="B51" s="23" t="s">
        <v>4872</v>
      </c>
      <c r="C51" s="23" t="s">
        <v>4328</v>
      </c>
      <c r="D51" s="177">
        <f>SUMIF(Valida!C:C,C51,Valida!J:J)/1000</f>
        <v>14281</v>
      </c>
      <c r="E51" s="52"/>
      <c r="F51" s="52">
        <f>D51+E51</f>
        <v>14281</v>
      </c>
      <c r="G51" s="21"/>
      <c r="H51" s="21"/>
    </row>
    <row r="52" spans="1:10">
      <c r="A52" s="18" t="s">
        <v>8</v>
      </c>
      <c r="B52" s="352" t="s">
        <v>4873</v>
      </c>
      <c r="C52" s="352" t="s">
        <v>4873</v>
      </c>
      <c r="D52" s="357">
        <f>SUM(D49:D51)</f>
        <v>14281</v>
      </c>
      <c r="E52" s="358">
        <f>SUM(E49:E51)</f>
        <v>0</v>
      </c>
      <c r="F52" s="358">
        <f>SUM(F49:F51)</f>
        <v>14281</v>
      </c>
      <c r="G52" s="21"/>
      <c r="H52" s="21"/>
    </row>
    <row r="53" spans="1:10">
      <c r="A53" s="18" t="s">
        <v>8</v>
      </c>
      <c r="B53" s="23" t="s">
        <v>4874</v>
      </c>
      <c r="C53" s="23" t="s">
        <v>4262</v>
      </c>
      <c r="D53" s="177">
        <f>SUMIF(Valida!C:C,C53,Valida!J:J)/1000</f>
        <v>48779.871009999995</v>
      </c>
      <c r="E53" s="52"/>
      <c r="F53" s="52">
        <f>D53+E53</f>
        <v>48779.871009999995</v>
      </c>
      <c r="G53" s="21"/>
      <c r="H53" s="21"/>
    </row>
    <row r="54" spans="1:10">
      <c r="A54" s="18" t="s">
        <v>8</v>
      </c>
      <c r="B54" s="23" t="s">
        <v>4874</v>
      </c>
      <c r="C54" s="23" t="s">
        <v>4256</v>
      </c>
      <c r="D54" s="177">
        <f>SUMIF(Valida!C:C,C54,Valida!J:J)/1000</f>
        <v>0</v>
      </c>
      <c r="E54" s="52"/>
      <c r="F54" s="52">
        <f>D54+E54</f>
        <v>0</v>
      </c>
      <c r="G54" s="21"/>
      <c r="H54" s="21"/>
    </row>
    <row r="55" spans="1:10">
      <c r="A55" s="18" t="s">
        <v>8</v>
      </c>
      <c r="B55" s="23" t="s">
        <v>4874</v>
      </c>
      <c r="C55" s="23" t="s">
        <v>4261</v>
      </c>
      <c r="D55" s="177">
        <f>SUMIF(Valida!C:C,C55,Valida!J:J)/1000</f>
        <v>0</v>
      </c>
      <c r="E55" s="52"/>
      <c r="F55" s="52">
        <f>D55+E55</f>
        <v>0</v>
      </c>
      <c r="G55" s="21"/>
      <c r="H55" s="21"/>
    </row>
    <row r="56" spans="1:10">
      <c r="A56" s="18" t="s">
        <v>8</v>
      </c>
      <c r="B56" s="352" t="s">
        <v>4875</v>
      </c>
      <c r="C56" s="352" t="s">
        <v>4875</v>
      </c>
      <c r="D56" s="358">
        <f>SUM(D53:D55)</f>
        <v>48779.871009999995</v>
      </c>
      <c r="E56" s="358">
        <f>SUM(E53:E55)</f>
        <v>0</v>
      </c>
      <c r="F56" s="358">
        <f>SUM(F53:F55)</f>
        <v>48779.871009999995</v>
      </c>
      <c r="G56" s="21"/>
      <c r="H56" s="21"/>
    </row>
    <row r="57" spans="1:10" ht="5.0999999999999996" customHeight="1">
      <c r="A57" s="18" t="s">
        <v>8</v>
      </c>
      <c r="B57" s="350"/>
      <c r="C57" s="359"/>
      <c r="D57" s="360"/>
      <c r="E57" s="360"/>
      <c r="F57" s="360"/>
      <c r="G57" s="21"/>
      <c r="H57" s="21"/>
    </row>
    <row r="58" spans="1:10" ht="13.5" thickBot="1">
      <c r="A58" s="18" t="s">
        <v>8</v>
      </c>
      <c r="B58" s="30" t="s">
        <v>4876</v>
      </c>
      <c r="C58" s="30" t="s">
        <v>4876</v>
      </c>
      <c r="D58" s="53">
        <f>D56+D48+D52+D35</f>
        <v>165455.64100999999</v>
      </c>
      <c r="E58" s="53">
        <f>E56+E48+E52+E35</f>
        <v>0</v>
      </c>
      <c r="F58" s="53">
        <f>F56+F48+F52+F35</f>
        <v>165455.64100999999</v>
      </c>
      <c r="G58" s="21"/>
      <c r="H58" s="21"/>
      <c r="I58" s="21"/>
    </row>
    <row r="59" spans="1:10" ht="5.0999999999999996" customHeight="1">
      <c r="A59" s="18" t="s">
        <v>8</v>
      </c>
      <c r="B59" s="350"/>
      <c r="C59" s="359"/>
      <c r="D59" s="360"/>
      <c r="E59" s="360"/>
      <c r="F59" s="360"/>
      <c r="G59" s="21"/>
      <c r="H59" s="21"/>
    </row>
    <row r="60" spans="1:10">
      <c r="A60" s="18" t="s">
        <v>8</v>
      </c>
      <c r="B60" s="23" t="s">
        <v>4877</v>
      </c>
      <c r="C60" s="23" t="s">
        <v>4377</v>
      </c>
      <c r="D60" s="52">
        <f>-SUMIF(Valida!C:C,C60,Valida!J:J)/1000</f>
        <v>101000</v>
      </c>
      <c r="E60" s="52"/>
      <c r="F60" s="52">
        <f t="shared" ref="F60:F65" si="4">D60+E60</f>
        <v>101000</v>
      </c>
      <c r="G60" s="21"/>
      <c r="H60" s="21"/>
    </row>
    <row r="61" spans="1:10">
      <c r="A61" s="18" t="s">
        <v>9</v>
      </c>
      <c r="B61" s="23" t="s">
        <v>4877</v>
      </c>
      <c r="C61" s="23" t="s">
        <v>4878</v>
      </c>
      <c r="D61" s="52">
        <f>-SUMIF(Valida!C:C,C61,Valida!J:J)/1000</f>
        <v>0</v>
      </c>
      <c r="E61" s="52"/>
      <c r="F61" s="52">
        <f t="shared" si="4"/>
        <v>0</v>
      </c>
      <c r="G61" s="21"/>
      <c r="H61" s="21"/>
    </row>
    <row r="62" spans="1:10">
      <c r="A62" s="18" t="s">
        <v>8</v>
      </c>
      <c r="B62" s="23" t="s">
        <v>4877</v>
      </c>
      <c r="C62" s="23" t="s">
        <v>4385</v>
      </c>
      <c r="D62" s="52">
        <f>-SUMIF(Valida!C:C,C62,Valida!J:J)/1000</f>
        <v>-120650.90768999999</v>
      </c>
      <c r="E62" s="52"/>
      <c r="F62" s="52">
        <f t="shared" si="4"/>
        <v>-120650.90768999999</v>
      </c>
      <c r="G62" s="21"/>
      <c r="H62" s="21"/>
    </row>
    <row r="63" spans="1:10">
      <c r="A63" s="18" t="s">
        <v>9</v>
      </c>
      <c r="B63" s="23" t="s">
        <v>4877</v>
      </c>
      <c r="C63" s="23" t="s">
        <v>4383</v>
      </c>
      <c r="D63" s="52">
        <f>-SUMIF(Valida!C:C,C63,Valida!J:J)/1000</f>
        <v>0</v>
      </c>
      <c r="E63" s="52"/>
      <c r="F63" s="52">
        <f t="shared" si="4"/>
        <v>0</v>
      </c>
      <c r="G63" s="21"/>
      <c r="H63" s="21"/>
      <c r="I63" s="21"/>
      <c r="J63" s="21"/>
    </row>
    <row r="64" spans="1:10">
      <c r="A64" s="18" t="s">
        <v>8</v>
      </c>
      <c r="B64" s="23" t="s">
        <v>4877</v>
      </c>
      <c r="C64" s="23" t="s">
        <v>4879</v>
      </c>
      <c r="D64" s="52">
        <f>'P&amp;L'!Q160</f>
        <v>52554.338079999783</v>
      </c>
      <c r="E64" s="52"/>
      <c r="F64" s="52">
        <f t="shared" si="4"/>
        <v>52554.338079999783</v>
      </c>
      <c r="G64" s="21"/>
      <c r="H64" s="31"/>
      <c r="I64" s="21"/>
      <c r="J64" s="21"/>
    </row>
    <row r="65" spans="1:11">
      <c r="A65" s="18" t="s">
        <v>9</v>
      </c>
      <c r="B65" s="23" t="s">
        <v>4877</v>
      </c>
      <c r="C65" s="23" t="s">
        <v>4880</v>
      </c>
      <c r="D65" s="52">
        <f>-SUMIF(Valida!C:C,C65,Valida!J:J)/1000</f>
        <v>0</v>
      </c>
      <c r="E65" s="52"/>
      <c r="F65" s="52">
        <f t="shared" si="4"/>
        <v>0</v>
      </c>
      <c r="G65" s="21"/>
      <c r="H65" s="21"/>
      <c r="I65" s="21"/>
      <c r="J65" s="21"/>
    </row>
    <row r="66" spans="1:11">
      <c r="A66" s="18" t="s">
        <v>8</v>
      </c>
      <c r="B66" s="352" t="s">
        <v>4881</v>
      </c>
      <c r="C66" s="352" t="s">
        <v>4881</v>
      </c>
      <c r="D66" s="358">
        <f>SUM(D60:D65)</f>
        <v>32903.43038999979</v>
      </c>
      <c r="E66" s="358">
        <f>SUM(E60:E65)</f>
        <v>0</v>
      </c>
      <c r="F66" s="358">
        <f>SUM(F60:F65)</f>
        <v>32903.43038999979</v>
      </c>
      <c r="G66" s="21"/>
      <c r="H66" s="21"/>
      <c r="I66" s="21"/>
      <c r="J66" s="21"/>
    </row>
    <row r="67" spans="1:11">
      <c r="A67" s="18" t="s">
        <v>8</v>
      </c>
      <c r="B67" s="23" t="s">
        <v>4371</v>
      </c>
      <c r="C67" s="23" t="s">
        <v>4371</v>
      </c>
      <c r="D67" s="52">
        <f>-SUMIF(Valida!C:C,C67,Valida!J:J)/1000</f>
        <v>0</v>
      </c>
      <c r="E67" s="52"/>
      <c r="F67" s="52">
        <f>D67+E67</f>
        <v>0</v>
      </c>
      <c r="G67" s="21"/>
      <c r="H67" s="21"/>
      <c r="I67" s="21"/>
      <c r="J67" s="21"/>
    </row>
    <row r="68" spans="1:11">
      <c r="A68" s="18" t="s">
        <v>8</v>
      </c>
      <c r="B68" s="352" t="s">
        <v>4882</v>
      </c>
      <c r="C68" s="352" t="s">
        <v>4882</v>
      </c>
      <c r="D68" s="361">
        <f>+D67</f>
        <v>0</v>
      </c>
      <c r="E68" s="361">
        <f>+E67</f>
        <v>0</v>
      </c>
      <c r="F68" s="361">
        <f>+F67</f>
        <v>0</v>
      </c>
      <c r="G68" s="21"/>
      <c r="H68" s="21"/>
    </row>
    <row r="69" spans="1:11">
      <c r="A69" s="18" t="s">
        <v>9</v>
      </c>
      <c r="B69" s="23" t="s">
        <v>4883</v>
      </c>
      <c r="C69" s="23" t="s">
        <v>4884</v>
      </c>
      <c r="D69" s="52">
        <f>SUMIF(Valida!C:C,C69,Valida!J:J)/1000</f>
        <v>0</v>
      </c>
      <c r="E69" s="52"/>
      <c r="F69" s="52">
        <f>D69+E69</f>
        <v>0</v>
      </c>
      <c r="G69" s="21"/>
      <c r="H69" s="21"/>
    </row>
    <row r="70" spans="1:11">
      <c r="A70" s="18" t="s">
        <v>9</v>
      </c>
      <c r="B70" s="23" t="s">
        <v>4883</v>
      </c>
      <c r="C70" s="29"/>
      <c r="D70" s="52">
        <f>SUMIF(Valida!C:C,C70,Valida!J:J)/1000</f>
        <v>0</v>
      </c>
      <c r="E70" s="52"/>
      <c r="F70" s="52">
        <f>D70+E70</f>
        <v>0</v>
      </c>
      <c r="G70" s="21"/>
      <c r="H70" s="21"/>
      <c r="K70" s="32"/>
    </row>
    <row r="71" spans="1:11">
      <c r="A71" s="18" t="s">
        <v>9</v>
      </c>
      <c r="B71" s="352" t="s">
        <v>4885</v>
      </c>
      <c r="C71" s="352" t="s">
        <v>4885</v>
      </c>
      <c r="D71" s="361">
        <f>SUM(D69:D70)</f>
        <v>0</v>
      </c>
      <c r="E71" s="361">
        <f>SUM(E69:E70)</f>
        <v>0</v>
      </c>
      <c r="F71" s="361">
        <f>SUM(F69:F70)</f>
        <v>0</v>
      </c>
      <c r="G71" s="21"/>
      <c r="H71" s="21"/>
      <c r="K71" s="19"/>
    </row>
    <row r="72" spans="1:11">
      <c r="A72" s="18" t="s">
        <v>8</v>
      </c>
      <c r="B72" s="23" t="s">
        <v>4886</v>
      </c>
      <c r="C72" s="23" t="s">
        <v>4338</v>
      </c>
      <c r="D72" s="52">
        <f>-SUMIF(Valida!C:C,C72,Valida!J:J)/1000</f>
        <v>125491.72</v>
      </c>
      <c r="E72" s="52"/>
      <c r="F72" s="52">
        <f t="shared" ref="F72:F81" si="5">D72+E72</f>
        <v>125491.72</v>
      </c>
      <c r="G72" s="21"/>
      <c r="H72" s="21"/>
    </row>
    <row r="73" spans="1:11">
      <c r="A73" s="18" t="s">
        <v>9</v>
      </c>
      <c r="B73" s="23" t="s">
        <v>4886</v>
      </c>
      <c r="C73" s="23" t="s">
        <v>4346</v>
      </c>
      <c r="D73" s="52">
        <f>-SUMIF(Valida!C:C,C73,Valida!J:J)/1000</f>
        <v>0</v>
      </c>
      <c r="E73" s="52"/>
      <c r="F73" s="52">
        <f t="shared" si="5"/>
        <v>0</v>
      </c>
      <c r="G73" s="21"/>
      <c r="H73" s="21"/>
      <c r="I73" s="21"/>
    </row>
    <row r="74" spans="1:11">
      <c r="A74" s="18" t="s">
        <v>8</v>
      </c>
      <c r="B74" s="23" t="s">
        <v>4886</v>
      </c>
      <c r="C74" s="23" t="s">
        <v>4351</v>
      </c>
      <c r="D74" s="52">
        <f>-SUMIF(Valida!C:C,C74,Valida!J:J)/1000</f>
        <v>1062</v>
      </c>
      <c r="E74" s="52"/>
      <c r="F74" s="52">
        <f t="shared" si="5"/>
        <v>1062</v>
      </c>
      <c r="G74" s="21"/>
      <c r="H74" s="21"/>
    </row>
    <row r="75" spans="1:11">
      <c r="A75" s="18" t="s">
        <v>8</v>
      </c>
      <c r="B75" s="23" t="s">
        <v>4886</v>
      </c>
      <c r="C75" s="23" t="s">
        <v>4356</v>
      </c>
      <c r="D75" s="52">
        <f>-SUMIF(Valida!C:C,C75,Valida!J:J)/1000</f>
        <v>0</v>
      </c>
      <c r="E75" s="52"/>
      <c r="F75" s="52">
        <f>D75+E75</f>
        <v>0</v>
      </c>
      <c r="G75" s="21"/>
      <c r="H75" s="21"/>
    </row>
    <row r="76" spans="1:11">
      <c r="A76" s="18" t="s">
        <v>9</v>
      </c>
      <c r="B76" s="23" t="s">
        <v>4886</v>
      </c>
      <c r="C76" s="23" t="s">
        <v>4887</v>
      </c>
      <c r="D76" s="52">
        <f>-SUMIF(Valida!C:C,C76,Valida!J:J)/1000</f>
        <v>0</v>
      </c>
      <c r="E76" s="52"/>
      <c r="F76" s="52">
        <f t="shared" si="5"/>
        <v>0</v>
      </c>
      <c r="G76" s="21"/>
      <c r="H76" s="21"/>
    </row>
    <row r="77" spans="1:11">
      <c r="A77" s="18" t="s">
        <v>9</v>
      </c>
      <c r="B77" s="23" t="s">
        <v>4886</v>
      </c>
      <c r="C77" s="23" t="s">
        <v>4888</v>
      </c>
      <c r="D77" s="52">
        <f>-SUMIF(Valida!C:C,C77,Valida!J:J)/1000</f>
        <v>0</v>
      </c>
      <c r="E77" s="52"/>
      <c r="F77" s="52">
        <f t="shared" si="5"/>
        <v>0</v>
      </c>
      <c r="G77" s="21"/>
      <c r="H77" s="21"/>
    </row>
    <row r="78" spans="1:11">
      <c r="A78" s="18" t="s">
        <v>9</v>
      </c>
      <c r="B78" s="23" t="s">
        <v>4886</v>
      </c>
      <c r="C78" s="23" t="s">
        <v>4889</v>
      </c>
      <c r="D78" s="52">
        <f>-SUMIF(Valida!C:C,C78,Valida!J:J)/1000</f>
        <v>0</v>
      </c>
      <c r="E78" s="52"/>
      <c r="F78" s="52">
        <f t="shared" si="5"/>
        <v>0</v>
      </c>
      <c r="G78" s="21"/>
      <c r="H78" s="21"/>
    </row>
    <row r="79" spans="1:11">
      <c r="A79" s="18" t="s">
        <v>8</v>
      </c>
      <c r="B79" s="23" t="s">
        <v>4886</v>
      </c>
      <c r="C79" s="23" t="s">
        <v>4350</v>
      </c>
      <c r="D79" s="52">
        <f>-SUMIF(Valida!C:C,C79,Valida!J:J)/1000</f>
        <v>723.48662000000002</v>
      </c>
      <c r="E79" s="52"/>
      <c r="F79" s="52">
        <f t="shared" si="5"/>
        <v>723.48662000000002</v>
      </c>
      <c r="G79" s="21"/>
      <c r="H79" s="21"/>
    </row>
    <row r="80" spans="1:11">
      <c r="A80" s="18" t="s">
        <v>8</v>
      </c>
      <c r="B80" s="23" t="s">
        <v>4886</v>
      </c>
      <c r="C80" s="33" t="s">
        <v>4375</v>
      </c>
      <c r="D80" s="52">
        <f>-SUMIF(Valida!C:C,C80,Valida!J:J)/1000</f>
        <v>0</v>
      </c>
      <c r="E80" s="52"/>
      <c r="F80" s="52">
        <f t="shared" ref="F80" si="6">D80+E80</f>
        <v>0</v>
      </c>
      <c r="G80" s="21"/>
      <c r="H80" s="21"/>
    </row>
    <row r="81" spans="1:9">
      <c r="A81" s="18" t="s">
        <v>8</v>
      </c>
      <c r="B81" s="23" t="s">
        <v>4886</v>
      </c>
      <c r="C81" s="23" t="s">
        <v>4366</v>
      </c>
      <c r="D81" s="52">
        <f>-SUMIF(Valida!C:C,C81,Valida!J:J)/1000</f>
        <v>8065.942</v>
      </c>
      <c r="E81" s="52"/>
      <c r="F81" s="52">
        <f t="shared" si="5"/>
        <v>8065.942</v>
      </c>
      <c r="G81" s="21"/>
      <c r="H81" s="21"/>
    </row>
    <row r="82" spans="1:9">
      <c r="A82" s="18" t="s">
        <v>8</v>
      </c>
      <c r="B82" s="352" t="s">
        <v>4890</v>
      </c>
      <c r="C82" s="352" t="s">
        <v>4890</v>
      </c>
      <c r="D82" s="358">
        <f>SUM(D72:D81)</f>
        <v>135343.14861999999</v>
      </c>
      <c r="E82" s="358">
        <f>SUM(E72:E81)</f>
        <v>0</v>
      </c>
      <c r="F82" s="358">
        <f>SUM(F72:F81)</f>
        <v>135343.14861999999</v>
      </c>
      <c r="G82" s="21"/>
      <c r="H82" s="21"/>
    </row>
    <row r="83" spans="1:9">
      <c r="A83" s="18" t="s">
        <v>8</v>
      </c>
      <c r="B83" s="352"/>
      <c r="C83" s="352"/>
      <c r="D83" s="361"/>
      <c r="E83" s="361"/>
      <c r="F83" s="361"/>
      <c r="G83" s="21"/>
      <c r="H83" s="21"/>
    </row>
    <row r="84" spans="1:9">
      <c r="A84" s="18" t="s">
        <v>8</v>
      </c>
      <c r="B84" s="352" t="s">
        <v>4891</v>
      </c>
      <c r="C84" s="352" t="s">
        <v>4891</v>
      </c>
      <c r="D84" s="358">
        <f>D82+D71+D68</f>
        <v>135343.14861999999</v>
      </c>
      <c r="E84" s="358">
        <f>E82+E71+E68</f>
        <v>0</v>
      </c>
      <c r="F84" s="358">
        <f>F82+F71+F68</f>
        <v>135343.14861999999</v>
      </c>
      <c r="G84" s="21"/>
      <c r="H84" s="21"/>
      <c r="I84" s="19"/>
    </row>
    <row r="85" spans="1:9">
      <c r="A85" s="18" t="s">
        <v>8</v>
      </c>
      <c r="B85" s="352"/>
      <c r="C85" s="352"/>
      <c r="D85" s="361"/>
      <c r="E85" s="361"/>
      <c r="F85" s="361"/>
      <c r="G85" s="21"/>
      <c r="H85" s="21"/>
    </row>
    <row r="86" spans="1:9">
      <c r="A86" s="18" t="s">
        <v>8</v>
      </c>
      <c r="B86" s="362" t="s">
        <v>4892</v>
      </c>
      <c r="C86" s="362" t="s">
        <v>4892</v>
      </c>
      <c r="D86" s="363">
        <f>D84+D66</f>
        <v>168246.57900999978</v>
      </c>
      <c r="E86" s="363">
        <f>E84+E66</f>
        <v>0</v>
      </c>
      <c r="F86" s="363">
        <f>F84+F66</f>
        <v>168246.57900999978</v>
      </c>
      <c r="G86" s="21"/>
      <c r="H86" s="21"/>
      <c r="I86" s="19"/>
    </row>
    <row r="87" spans="1:9">
      <c r="B87" s="33" t="s">
        <v>4893</v>
      </c>
      <c r="D87" s="19">
        <f>ROUND(D58-D86,2)</f>
        <v>-2790.94</v>
      </c>
      <c r="E87" s="19">
        <f>ROUND(E58-E86,2)</f>
        <v>0</v>
      </c>
      <c r="F87" s="19">
        <f>ROUND(F58-F86,2)</f>
        <v>-2790.94</v>
      </c>
      <c r="G87" s="19"/>
      <c r="H87" s="21"/>
    </row>
    <row r="88" spans="1:9">
      <c r="B88" s="19"/>
      <c r="C88" s="19"/>
      <c r="D88" s="19"/>
      <c r="E88" s="19"/>
      <c r="F88" s="19"/>
      <c r="G88" s="21"/>
      <c r="H88" s="21"/>
    </row>
    <row r="89" spans="1:9">
      <c r="D89" s="276"/>
    </row>
    <row r="90" spans="1:9">
      <c r="D90" s="276"/>
      <c r="G90" s="19"/>
      <c r="H90" s="19"/>
    </row>
    <row r="91" spans="1:9">
      <c r="D91" s="276"/>
    </row>
    <row r="92" spans="1:9">
      <c r="D92" s="276"/>
    </row>
    <row r="93" spans="1:9">
      <c r="D93" s="276"/>
    </row>
    <row r="94" spans="1:9">
      <c r="D94" s="276"/>
    </row>
    <row r="95" spans="1:9">
      <c r="D95" s="276"/>
    </row>
  </sheetData>
  <autoFilter ref="A7:F87" xr:uid="{3060CB9C-1176-4DF8-8AD0-A256F594FD02}"/>
  <conditionalFormatting sqref="D1:F1">
    <cfRule type="cellIs" dxfId="5" priority="3" operator="notEqual">
      <formula>0</formula>
    </cfRule>
    <cfRule type="cellIs" dxfId="4" priority="4" operator="equal">
      <formula>0</formula>
    </cfRule>
  </conditionalFormatting>
  <conditionalFormatting sqref="D87:F87">
    <cfRule type="cellIs" dxfId="3" priority="1" operator="notEqual">
      <formula>0</formula>
    </cfRule>
    <cfRule type="cellIs" dxfId="2" priority="2" operator="equal">
      <formula>0</formula>
    </cfRule>
  </conditionalFormatting>
  <printOptions horizontalCentered="1"/>
  <pageMargins left="0.39370078740157483" right="0.39370078740157483" top="0.78740157480314965" bottom="0.78740157480314965" header="0.39370078740157483" footer="0.39370078740157483"/>
  <pageSetup scale="9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55791-F038-4B19-A91D-4B4768200996}">
  <sheetPr>
    <tabColor rgb="FF00FF00"/>
  </sheetPr>
  <dimension ref="A1:I75"/>
  <sheetViews>
    <sheetView showGridLines="0" workbookViewId="0">
      <pane ySplit="7" topLeftCell="A8" activePane="bottomLeft" state="frozen"/>
      <selection activeCell="P189" sqref="P189"/>
      <selection pane="bottomLeft" activeCell="P189" sqref="P189"/>
    </sheetView>
  </sheetViews>
  <sheetFormatPr baseColWidth="10" defaultColWidth="11.42578125" defaultRowHeight="12.75"/>
  <cols>
    <col min="1" max="1" width="7" style="18" bestFit="1" customWidth="1"/>
    <col min="2" max="2" width="48.28515625" style="18" bestFit="1" customWidth="1"/>
    <col min="3" max="3" width="37.7109375" style="18" customWidth="1"/>
    <col min="4" max="6" width="14.7109375" style="18" customWidth="1"/>
    <col min="7" max="7" width="6.7109375" style="18" customWidth="1"/>
    <col min="8" max="8" width="17.140625" style="18" bestFit="1" customWidth="1"/>
    <col min="9" max="9" width="14.42578125" style="18" bestFit="1" customWidth="1"/>
    <col min="10" max="10" width="16.85546875" style="18" bestFit="1" customWidth="1"/>
    <col min="11" max="11" width="15.42578125" style="18" bestFit="1" customWidth="1"/>
    <col min="12" max="16384" width="11.42578125" style="18"/>
  </cols>
  <sheetData>
    <row r="1" spans="1:8">
      <c r="D1" s="19">
        <f>D71</f>
        <v>2.1827872842550278E-11</v>
      </c>
      <c r="E1" s="19">
        <f t="shared" ref="E1:F1" si="0">E71</f>
        <v>0</v>
      </c>
      <c r="F1" s="19">
        <f t="shared" si="0"/>
        <v>2.1827872842550278E-11</v>
      </c>
    </row>
    <row r="2" spans="1:8">
      <c r="B2" s="20" t="s">
        <v>4648</v>
      </c>
    </row>
    <row r="3" spans="1:8">
      <c r="B3" s="17" t="s">
        <v>4894</v>
      </c>
    </row>
    <row r="4" spans="1:8">
      <c r="B4" s="51" t="s">
        <v>4844</v>
      </c>
    </row>
    <row r="5" spans="1:8">
      <c r="A5" s="67"/>
      <c r="B5" s="68" t="s">
        <v>4508</v>
      </c>
      <c r="C5" s="50"/>
      <c r="D5" s="69"/>
      <c r="E5" s="69"/>
      <c r="F5" s="69"/>
      <c r="G5" s="67"/>
    </row>
    <row r="6" spans="1:8" ht="4.9000000000000004" customHeight="1"/>
    <row r="7" spans="1:8">
      <c r="A7" s="349" t="s">
        <v>4845</v>
      </c>
      <c r="B7" s="349" t="s">
        <v>4895</v>
      </c>
      <c r="C7" s="349" t="s">
        <v>4896</v>
      </c>
      <c r="D7" s="349" t="s">
        <v>4847</v>
      </c>
      <c r="E7" s="349" t="s">
        <v>4848</v>
      </c>
      <c r="F7" s="349" t="s">
        <v>4849</v>
      </c>
      <c r="G7" s="21"/>
      <c r="H7" s="21"/>
    </row>
    <row r="8" spans="1:8">
      <c r="A8" s="18" t="s">
        <v>8</v>
      </c>
      <c r="B8" s="350" t="s">
        <v>4897</v>
      </c>
      <c r="C8" s="350"/>
      <c r="D8" s="351"/>
      <c r="E8" s="351"/>
      <c r="F8" s="351"/>
      <c r="G8" s="21"/>
      <c r="H8" s="21"/>
    </row>
    <row r="9" spans="1:8">
      <c r="A9" s="18" t="s">
        <v>8</v>
      </c>
      <c r="B9" s="23" t="s">
        <v>4851</v>
      </c>
      <c r="C9" s="23" t="s">
        <v>4388</v>
      </c>
      <c r="D9" s="52">
        <f>-SUMIF(Mov!V:V,C9,Mov!J:J)/1000</f>
        <v>49763.400079999978</v>
      </c>
      <c r="E9" s="24"/>
      <c r="F9" s="24">
        <f>D9+E9</f>
        <v>49763.400079999978</v>
      </c>
      <c r="G9" s="21"/>
      <c r="H9" s="21"/>
    </row>
    <row r="10" spans="1:8" ht="5.0999999999999996" customHeight="1">
      <c r="A10" s="18" t="s">
        <v>8</v>
      </c>
      <c r="B10" s="23"/>
      <c r="C10" s="23"/>
      <c r="D10" s="52"/>
      <c r="E10" s="24"/>
      <c r="F10" s="24"/>
      <c r="G10" s="21"/>
      <c r="H10" s="21"/>
    </row>
    <row r="11" spans="1:8">
      <c r="A11" s="18" t="s">
        <v>8</v>
      </c>
      <c r="B11" s="22" t="s">
        <v>4898</v>
      </c>
      <c r="C11" s="23"/>
      <c r="D11" s="52"/>
      <c r="E11" s="24"/>
      <c r="F11" s="24"/>
      <c r="G11" s="21"/>
      <c r="H11" s="21"/>
    </row>
    <row r="12" spans="1:8">
      <c r="A12" s="18" t="s">
        <v>8</v>
      </c>
      <c r="B12" s="23" t="s">
        <v>4315</v>
      </c>
      <c r="C12" s="23" t="s">
        <v>4315</v>
      </c>
      <c r="D12" s="52">
        <f>-SUMIF(Mov!V:V,C12,Mov!J:J)/1000</f>
        <v>21126.66</v>
      </c>
      <c r="E12" s="24"/>
      <c r="F12" s="24">
        <f>D12+E12</f>
        <v>21126.66</v>
      </c>
      <c r="G12" s="21"/>
      <c r="H12" s="21"/>
    </row>
    <row r="13" spans="1:8">
      <c r="A13" s="18" t="s">
        <v>8</v>
      </c>
      <c r="B13" s="23" t="s">
        <v>4336</v>
      </c>
      <c r="C13" s="23" t="s">
        <v>4336</v>
      </c>
      <c r="D13" s="52">
        <f>-SUMIF(Mov!V:V,C13,Mov!J:J)/1000</f>
        <v>0</v>
      </c>
      <c r="E13" s="24"/>
      <c r="F13" s="24">
        <f>D13+E13</f>
        <v>0</v>
      </c>
      <c r="G13" s="21"/>
      <c r="H13" s="21"/>
    </row>
    <row r="14" spans="1:8">
      <c r="A14" s="18" t="s">
        <v>8</v>
      </c>
      <c r="B14" s="23" t="s">
        <v>4329</v>
      </c>
      <c r="C14" s="23" t="s">
        <v>4329</v>
      </c>
      <c r="D14" s="52">
        <f>-SUMIF(Mov!V:V,C14,Mov!J:J)/1000</f>
        <v>38393.938000000002</v>
      </c>
      <c r="E14" s="24"/>
      <c r="F14" s="24">
        <f>D14+E14</f>
        <v>38393.938000000002</v>
      </c>
      <c r="G14" s="21"/>
      <c r="H14" s="21"/>
    </row>
    <row r="15" spans="1:8">
      <c r="A15" s="18" t="s">
        <v>8</v>
      </c>
      <c r="B15" s="23" t="s">
        <v>4899</v>
      </c>
      <c r="C15" s="23" t="s">
        <v>4333</v>
      </c>
      <c r="D15" s="52">
        <f>-SUMIF(Mov!V:V,C15,Mov!J:J)/1000</f>
        <v>0</v>
      </c>
      <c r="E15" s="24"/>
      <c r="F15" s="24">
        <f>D15+E15</f>
        <v>0</v>
      </c>
      <c r="G15" s="21"/>
      <c r="H15" s="21"/>
    </row>
    <row r="16" spans="1:8">
      <c r="A16" s="18" t="s">
        <v>9</v>
      </c>
      <c r="B16" s="23" t="s">
        <v>4900</v>
      </c>
      <c r="C16" s="23" t="s">
        <v>4900</v>
      </c>
      <c r="D16" s="52">
        <f>-SUMIF(Mov!V:V,C16,Mov!J:J)/1000</f>
        <v>0</v>
      </c>
      <c r="E16" s="24"/>
      <c r="F16" s="24"/>
      <c r="G16" s="21"/>
      <c r="H16" s="21"/>
    </row>
    <row r="17" spans="1:8">
      <c r="A17" s="18" t="s">
        <v>9</v>
      </c>
      <c r="B17" s="23" t="s">
        <v>4901</v>
      </c>
      <c r="C17" s="23" t="s">
        <v>4901</v>
      </c>
      <c r="D17" s="52">
        <f>-SUMIF(Mov!V:V,C17,Mov!J:J)/1000</f>
        <v>0</v>
      </c>
      <c r="E17" s="24"/>
      <c r="F17" s="24"/>
      <c r="G17" s="21"/>
      <c r="H17" s="21"/>
    </row>
    <row r="18" spans="1:8">
      <c r="A18" s="18" t="s">
        <v>9</v>
      </c>
      <c r="B18" s="23" t="s">
        <v>4902</v>
      </c>
      <c r="C18" s="23" t="s">
        <v>4903</v>
      </c>
      <c r="D18" s="52">
        <f>-SUMIF(Mov!V:V,C18,Mov!J:J)/1000</f>
        <v>0</v>
      </c>
      <c r="E18" s="24"/>
      <c r="F18" s="24"/>
      <c r="G18" s="21"/>
      <c r="H18" s="21"/>
    </row>
    <row r="19" spans="1:8">
      <c r="A19" s="18" t="s">
        <v>9</v>
      </c>
      <c r="B19" s="23" t="s">
        <v>4904</v>
      </c>
      <c r="C19" s="23" t="s">
        <v>4905</v>
      </c>
      <c r="D19" s="52">
        <f>-SUMIF(Mov!V:V,C19,Mov!J:J)/1000</f>
        <v>0</v>
      </c>
      <c r="E19" s="24"/>
      <c r="F19" s="24"/>
      <c r="G19" s="21"/>
      <c r="H19" s="21"/>
    </row>
    <row r="20" spans="1:8">
      <c r="A20" s="18" t="s">
        <v>9</v>
      </c>
      <c r="B20" s="23" t="s">
        <v>4906</v>
      </c>
      <c r="C20" s="23"/>
      <c r="D20" s="52"/>
      <c r="E20" s="24"/>
      <c r="F20" s="24"/>
      <c r="G20" s="21"/>
      <c r="H20" s="21"/>
    </row>
    <row r="21" spans="1:8" ht="5.0999999999999996" customHeight="1">
      <c r="A21" s="18" t="s">
        <v>8</v>
      </c>
      <c r="B21" s="23"/>
      <c r="C21" s="23"/>
      <c r="D21" s="52"/>
      <c r="E21" s="24"/>
      <c r="F21" s="24"/>
      <c r="G21" s="21"/>
      <c r="H21" s="21"/>
    </row>
    <row r="22" spans="1:8">
      <c r="A22" s="18" t="s">
        <v>8</v>
      </c>
      <c r="B22" s="22" t="s">
        <v>4907</v>
      </c>
      <c r="C22" s="23"/>
      <c r="D22" s="52"/>
      <c r="E22" s="24"/>
      <c r="F22" s="24"/>
      <c r="G22" s="21"/>
      <c r="H22" s="21"/>
    </row>
    <row r="23" spans="1:8">
      <c r="A23" s="18" t="s">
        <v>8</v>
      </c>
      <c r="B23" s="23" t="s">
        <v>4908</v>
      </c>
      <c r="C23" s="23" t="s">
        <v>4273</v>
      </c>
      <c r="D23" s="52">
        <f>-SUMIF(Mov!V:V,C23,Mov!J:J)/1000</f>
        <v>64897.497879999995</v>
      </c>
      <c r="E23" s="24"/>
      <c r="F23" s="24">
        <f>D23+E23</f>
        <v>64897.497879999995</v>
      </c>
      <c r="G23" s="21"/>
      <c r="H23" s="21"/>
    </row>
    <row r="24" spans="1:8">
      <c r="A24" s="18" t="s">
        <v>8</v>
      </c>
      <c r="B24" s="23" t="s">
        <v>4909</v>
      </c>
      <c r="C24" s="23" t="s">
        <v>4910</v>
      </c>
      <c r="D24" s="52">
        <f>-SUMIF(Mov!V:V,C24,Mov!J:J)/1000</f>
        <v>0</v>
      </c>
      <c r="E24" s="24"/>
      <c r="F24" s="24">
        <f>D24+E24</f>
        <v>0</v>
      </c>
      <c r="G24" s="21"/>
      <c r="H24" s="21"/>
    </row>
    <row r="25" spans="1:8">
      <c r="A25" s="18" t="s">
        <v>8</v>
      </c>
      <c r="B25" s="23" t="s">
        <v>4911</v>
      </c>
      <c r="C25" s="18" t="s">
        <v>4320</v>
      </c>
      <c r="D25" s="52">
        <f>-SUMIF(Mov!V:V,C25,Mov!J:J)/1000</f>
        <v>0</v>
      </c>
      <c r="E25" s="24"/>
      <c r="F25" s="24">
        <f>D25+E25</f>
        <v>0</v>
      </c>
      <c r="G25" s="21"/>
      <c r="H25" s="21"/>
    </row>
    <row r="26" spans="1:8">
      <c r="A26" s="18" t="s">
        <v>8</v>
      </c>
      <c r="B26" s="23" t="s">
        <v>4911</v>
      </c>
      <c r="C26" s="18" t="s">
        <v>4296</v>
      </c>
      <c r="D26" s="52">
        <f>-SUMIF(Mov!V:V,C26,Mov!J:J)/1000</f>
        <v>0</v>
      </c>
      <c r="E26" s="24"/>
      <c r="F26" s="24">
        <f>D26+E26</f>
        <v>0</v>
      </c>
      <c r="G26" s="21"/>
      <c r="H26" s="21"/>
    </row>
    <row r="27" spans="1:8">
      <c r="A27" s="18" t="s">
        <v>8</v>
      </c>
      <c r="B27" s="23" t="s">
        <v>4912</v>
      </c>
      <c r="C27" s="23" t="s">
        <v>4347</v>
      </c>
      <c r="D27" s="52">
        <f>-SUMIF(Mov!V:V,C27,Mov!J:J)/1000</f>
        <v>1564.8205400000318</v>
      </c>
      <c r="E27" s="24"/>
      <c r="F27" s="24">
        <f>D27+E27</f>
        <v>1564.8205400000318</v>
      </c>
      <c r="G27" s="21"/>
      <c r="H27" s="21"/>
    </row>
    <row r="28" spans="1:8" ht="5.0999999999999996" customHeight="1">
      <c r="A28" s="18" t="s">
        <v>8</v>
      </c>
      <c r="B28" s="23"/>
      <c r="C28" s="23"/>
      <c r="D28" s="52"/>
      <c r="E28" s="24"/>
      <c r="F28" s="24"/>
      <c r="G28" s="21"/>
      <c r="H28" s="21"/>
    </row>
    <row r="29" spans="1:8">
      <c r="A29" s="18" t="s">
        <v>8</v>
      </c>
      <c r="B29" s="364" t="s">
        <v>4913</v>
      </c>
      <c r="C29" s="364"/>
      <c r="D29" s="353">
        <f>SUM(D8:D28)</f>
        <v>175746.31650000002</v>
      </c>
      <c r="E29" s="353">
        <f>SUM(E8:E28)</f>
        <v>0</v>
      </c>
      <c r="F29" s="353">
        <f>SUM(F8:F28)</f>
        <v>175746.31650000002</v>
      </c>
      <c r="G29" s="21"/>
      <c r="H29" s="21"/>
    </row>
    <row r="30" spans="1:8">
      <c r="A30" s="18" t="s">
        <v>8</v>
      </c>
      <c r="B30" s="23" t="s">
        <v>4608</v>
      </c>
      <c r="C30" s="23"/>
      <c r="D30" s="52">
        <f>-SUMIF(Mov!V:V,C30,Mov!J:J)/1000</f>
        <v>0</v>
      </c>
      <c r="E30" s="24"/>
      <c r="F30" s="24">
        <f>D30+E30</f>
        <v>0</v>
      </c>
      <c r="G30" s="21"/>
      <c r="H30" s="21"/>
    </row>
    <row r="31" spans="1:8">
      <c r="A31" s="18" t="s">
        <v>9</v>
      </c>
      <c r="B31" s="23" t="s">
        <v>4914</v>
      </c>
      <c r="C31" s="23"/>
      <c r="D31" s="52">
        <f>-SUMIF(Mov!V:V,C31,Mov!J:J)/1000</f>
        <v>0</v>
      </c>
      <c r="E31" s="24"/>
      <c r="F31" s="24">
        <f>D31+E31</f>
        <v>0</v>
      </c>
      <c r="G31" s="21"/>
      <c r="H31" s="21"/>
    </row>
    <row r="32" spans="1:8">
      <c r="A32" s="18" t="s">
        <v>8</v>
      </c>
      <c r="B32" s="23" t="s">
        <v>4878</v>
      </c>
      <c r="C32" s="23"/>
      <c r="D32" s="52">
        <f>-SUMIF(Mov!V:V,C32,Mov!J:J)/1000</f>
        <v>0</v>
      </c>
      <c r="E32" s="24"/>
      <c r="F32" s="24">
        <f>D32+E32</f>
        <v>0</v>
      </c>
      <c r="G32" s="21"/>
      <c r="H32" s="21"/>
    </row>
    <row r="33" spans="1:9" ht="5.0999999999999996" customHeight="1">
      <c r="A33" s="18" t="s">
        <v>8</v>
      </c>
      <c r="B33" s="23"/>
      <c r="C33" s="23"/>
      <c r="D33" s="52"/>
      <c r="E33" s="24"/>
      <c r="F33" s="24"/>
      <c r="G33" s="21"/>
      <c r="H33" s="21"/>
    </row>
    <row r="34" spans="1:9" ht="13.5" thickBot="1">
      <c r="A34" s="18" t="s">
        <v>8</v>
      </c>
      <c r="B34" s="57" t="s">
        <v>4915</v>
      </c>
      <c r="C34" s="58"/>
      <c r="D34" s="59">
        <f>SUM(D29:D33)</f>
        <v>175746.31650000002</v>
      </c>
      <c r="E34" s="59">
        <f>SUM(E29:E33)</f>
        <v>0</v>
      </c>
      <c r="F34" s="59">
        <f>SUM(F29:F33)</f>
        <v>175746.31650000002</v>
      </c>
      <c r="G34" s="21"/>
      <c r="H34" s="21"/>
    </row>
    <row r="35" spans="1:9" ht="13.5" thickTop="1">
      <c r="A35" s="18" t="s">
        <v>8</v>
      </c>
      <c r="B35" s="54"/>
      <c r="C35" s="33"/>
      <c r="D35" s="55"/>
      <c r="E35" s="56"/>
      <c r="F35" s="56"/>
      <c r="G35" s="21"/>
      <c r="H35" s="21"/>
    </row>
    <row r="36" spans="1:9">
      <c r="A36" s="18" t="s">
        <v>8</v>
      </c>
      <c r="B36" s="350" t="s">
        <v>4916</v>
      </c>
      <c r="C36" s="359"/>
      <c r="D36" s="351"/>
      <c r="E36" s="351"/>
      <c r="F36" s="351"/>
      <c r="G36" s="21"/>
      <c r="H36" s="21"/>
    </row>
    <row r="37" spans="1:9">
      <c r="A37" s="18" t="s">
        <v>9</v>
      </c>
      <c r="B37" s="23" t="s">
        <v>4917</v>
      </c>
      <c r="C37" s="23" t="s">
        <v>4917</v>
      </c>
      <c r="D37" s="52">
        <f>-SUMIF(Mov!V:V,C37,Mov!J:J)/1000</f>
        <v>0</v>
      </c>
      <c r="E37" s="24"/>
      <c r="F37" s="24">
        <f t="shared" ref="F37:F43" si="1">D37+E37</f>
        <v>0</v>
      </c>
      <c r="G37" s="21"/>
      <c r="H37" s="21"/>
    </row>
    <row r="38" spans="1:9">
      <c r="A38" s="18" t="s">
        <v>8</v>
      </c>
      <c r="B38" s="23" t="s">
        <v>4306</v>
      </c>
      <c r="C38" s="23" t="s">
        <v>4306</v>
      </c>
      <c r="D38" s="52">
        <f>-SUMIF(Mov!V:V,C38,Mov!J:J)/1000</f>
        <v>0</v>
      </c>
      <c r="E38" s="24"/>
      <c r="F38" s="24">
        <f t="shared" si="1"/>
        <v>0</v>
      </c>
      <c r="G38" s="21"/>
      <c r="H38" s="21"/>
    </row>
    <row r="39" spans="1:9">
      <c r="A39" s="18" t="s">
        <v>9</v>
      </c>
      <c r="B39" s="23" t="s">
        <v>4326</v>
      </c>
      <c r="C39" s="23" t="s">
        <v>4326</v>
      </c>
      <c r="D39" s="52">
        <f>-SUMIF(Mov!V:V,C39,Mov!J:J)/1000</f>
        <v>0</v>
      </c>
      <c r="E39" s="24"/>
      <c r="F39" s="24">
        <f t="shared" si="1"/>
        <v>0</v>
      </c>
      <c r="G39" s="21"/>
      <c r="H39" s="21"/>
    </row>
    <row r="40" spans="1:9">
      <c r="A40" s="18" t="s">
        <v>9</v>
      </c>
      <c r="B40" s="23" t="s">
        <v>4918</v>
      </c>
      <c r="C40" s="23" t="s">
        <v>4918</v>
      </c>
      <c r="D40" s="52">
        <f>-SUMIF(Mov!V:V,C40,Mov!J:J)/1000</f>
        <v>0</v>
      </c>
      <c r="E40" s="24"/>
      <c r="F40" s="24">
        <f t="shared" si="1"/>
        <v>0</v>
      </c>
      <c r="G40" s="21"/>
      <c r="H40" s="21"/>
    </row>
    <row r="41" spans="1:9">
      <c r="A41" s="18" t="s">
        <v>9</v>
      </c>
      <c r="B41" s="23" t="s">
        <v>4919</v>
      </c>
      <c r="C41" s="23" t="s">
        <v>4919</v>
      </c>
      <c r="D41" s="52">
        <f>-SUMIF(Mov!V:V,C41,Mov!J:J)/1000</f>
        <v>0</v>
      </c>
      <c r="E41" s="24"/>
      <c r="F41" s="24">
        <f t="shared" si="1"/>
        <v>0</v>
      </c>
      <c r="G41" s="21"/>
      <c r="H41" s="21"/>
    </row>
    <row r="42" spans="1:9">
      <c r="A42" s="18" t="s">
        <v>9</v>
      </c>
      <c r="B42" s="23" t="s">
        <v>4920</v>
      </c>
      <c r="C42" s="23" t="s">
        <v>4920</v>
      </c>
      <c r="D42" s="52">
        <f>-SUMIF(Mov!V:V,C42,Mov!J:J)/1000</f>
        <v>0</v>
      </c>
      <c r="E42" s="24"/>
      <c r="F42" s="24">
        <f t="shared" si="1"/>
        <v>0</v>
      </c>
      <c r="G42" s="21"/>
      <c r="H42" s="21"/>
    </row>
    <row r="43" spans="1:9">
      <c r="A43" s="18" t="s">
        <v>9</v>
      </c>
      <c r="B43" s="23" t="s">
        <v>4900</v>
      </c>
      <c r="C43" s="23" t="s">
        <v>4900</v>
      </c>
      <c r="D43" s="52">
        <f>-SUMIF(Mov!V:V,C43,Mov!J:J)/1000</f>
        <v>0</v>
      </c>
      <c r="E43" s="24"/>
      <c r="F43" s="24">
        <f t="shared" si="1"/>
        <v>0</v>
      </c>
      <c r="G43" s="21"/>
      <c r="H43" s="21"/>
    </row>
    <row r="44" spans="1:9" ht="5.0999999999999996" customHeight="1">
      <c r="A44" s="18" t="s">
        <v>8</v>
      </c>
      <c r="B44" s="23"/>
      <c r="C44" s="28"/>
      <c r="D44" s="52"/>
      <c r="E44" s="24"/>
      <c r="F44" s="24"/>
      <c r="G44" s="21"/>
      <c r="H44" s="21"/>
    </row>
    <row r="45" spans="1:9" ht="13.5" thickBot="1">
      <c r="A45" s="18" t="s">
        <v>8</v>
      </c>
      <c r="B45" s="57" t="s">
        <v>4921</v>
      </c>
      <c r="C45" s="58"/>
      <c r="D45" s="62">
        <f>SUM(D37:D44)</f>
        <v>0</v>
      </c>
      <c r="E45" s="63">
        <f>SUM(E37:E44)</f>
        <v>0</v>
      </c>
      <c r="F45" s="63">
        <f>SUM(F37:F44)</f>
        <v>0</v>
      </c>
      <c r="G45" s="21"/>
      <c r="H45" s="21"/>
    </row>
    <row r="46" spans="1:9" ht="13.5" thickTop="1">
      <c r="A46" s="18" t="s">
        <v>8</v>
      </c>
      <c r="B46" s="54"/>
      <c r="C46" s="33"/>
      <c r="D46" s="60"/>
      <c r="E46" s="61"/>
      <c r="F46" s="61"/>
      <c r="G46" s="21"/>
      <c r="H46" s="21"/>
    </row>
    <row r="47" spans="1:9">
      <c r="A47" s="18" t="s">
        <v>8</v>
      </c>
      <c r="B47" s="350" t="s">
        <v>4922</v>
      </c>
      <c r="C47" s="359"/>
      <c r="D47" s="365"/>
      <c r="E47" s="351"/>
      <c r="F47" s="351">
        <f t="shared" ref="F47:F53" si="2">D47+E47</f>
        <v>0</v>
      </c>
      <c r="G47" s="21"/>
      <c r="H47" s="21"/>
    </row>
    <row r="48" spans="1:9">
      <c r="A48" s="18" t="s">
        <v>9</v>
      </c>
      <c r="B48" s="23" t="s">
        <v>4923</v>
      </c>
      <c r="C48" s="23" t="s">
        <v>4378</v>
      </c>
      <c r="D48" s="52">
        <f>-SUMIF(Mov!V:V,C48,Mov!J:J)/1000</f>
        <v>100600</v>
      </c>
      <c r="E48" s="24"/>
      <c r="F48" s="24">
        <f t="shared" si="2"/>
        <v>100600</v>
      </c>
      <c r="G48" s="21"/>
      <c r="H48" s="21"/>
      <c r="I48" s="21"/>
    </row>
    <row r="49" spans="1:9">
      <c r="A49" s="18" t="s">
        <v>8</v>
      </c>
      <c r="B49" s="23" t="s">
        <v>4924</v>
      </c>
      <c r="C49" s="23" t="s">
        <v>4339</v>
      </c>
      <c r="D49" s="52">
        <f>-SUMIF(Mov!V:V,C49,Mov!J:J)/1000</f>
        <v>-267213.68</v>
      </c>
      <c r="E49" s="24"/>
      <c r="F49" s="24">
        <f t="shared" si="2"/>
        <v>-267213.68</v>
      </c>
      <c r="G49" s="21"/>
      <c r="H49" s="70"/>
    </row>
    <row r="50" spans="1:9">
      <c r="A50" s="18" t="s">
        <v>9</v>
      </c>
      <c r="B50" s="23" t="s">
        <v>4925</v>
      </c>
      <c r="C50" s="23" t="s">
        <v>4926</v>
      </c>
      <c r="D50" s="52">
        <f>-SUMIF(Mov!V:V,C50,Mov!J:J)/1000</f>
        <v>0</v>
      </c>
      <c r="E50" s="24"/>
      <c r="F50" s="24"/>
      <c r="G50" s="21"/>
      <c r="H50" s="21"/>
    </row>
    <row r="51" spans="1:9">
      <c r="A51" s="18" t="s">
        <v>9</v>
      </c>
      <c r="B51" s="23" t="s">
        <v>4927</v>
      </c>
      <c r="C51" s="23" t="s">
        <v>4927</v>
      </c>
      <c r="D51" s="52">
        <f>-SUMIF(Mov!V:V,C51,Mov!J:J)/1000</f>
        <v>0</v>
      </c>
      <c r="E51" s="24"/>
      <c r="F51" s="24">
        <f t="shared" si="2"/>
        <v>0</v>
      </c>
      <c r="G51" s="21"/>
      <c r="H51" s="21"/>
    </row>
    <row r="52" spans="1:9">
      <c r="A52" s="18" t="s">
        <v>9</v>
      </c>
      <c r="B52" s="23" t="s">
        <v>4928</v>
      </c>
      <c r="C52" s="23" t="s">
        <v>4929</v>
      </c>
      <c r="D52" s="52">
        <f>-SUMIF(Mov!V:V,C52,Mov!J:J)/1000</f>
        <v>0</v>
      </c>
      <c r="E52" s="24"/>
      <c r="F52" s="24"/>
      <c r="G52" s="21"/>
      <c r="H52" s="21"/>
    </row>
    <row r="53" spans="1:9" ht="5.0999999999999996" customHeight="1">
      <c r="A53" s="18" t="s">
        <v>8</v>
      </c>
      <c r="B53" s="23"/>
      <c r="C53" s="23"/>
      <c r="D53" s="52"/>
      <c r="E53" s="24"/>
      <c r="F53" s="24">
        <f t="shared" si="2"/>
        <v>0</v>
      </c>
      <c r="G53" s="21"/>
      <c r="H53" s="21"/>
    </row>
    <row r="54" spans="1:9" ht="13.5" thickBot="1">
      <c r="A54" s="18" t="s">
        <v>8</v>
      </c>
      <c r="B54" s="57" t="s">
        <v>4930</v>
      </c>
      <c r="C54" s="58"/>
      <c r="D54" s="62">
        <f>SUM(D47:D53)</f>
        <v>-166613.68</v>
      </c>
      <c r="E54" s="63">
        <f>SUM(E47:E53)</f>
        <v>0</v>
      </c>
      <c r="F54" s="63">
        <f>SUM(F47:F53)</f>
        <v>-166613.68</v>
      </c>
      <c r="G54" s="21"/>
      <c r="H54" s="21"/>
    </row>
    <row r="55" spans="1:9" ht="13.5" thickTop="1">
      <c r="B55" s="54"/>
      <c r="C55" s="33"/>
      <c r="D55" s="60"/>
      <c r="E55" s="61"/>
      <c r="F55" s="61"/>
      <c r="G55" s="21"/>
      <c r="H55" s="21"/>
      <c r="I55" s="19"/>
    </row>
    <row r="56" spans="1:9">
      <c r="B56" s="33" t="s">
        <v>4931</v>
      </c>
      <c r="C56" s="33"/>
      <c r="D56" s="71">
        <f>D34+D45+D54</f>
        <v>9132.6365000000224</v>
      </c>
      <c r="E56" s="72">
        <f>E34+E45+E54</f>
        <v>0</v>
      </c>
      <c r="F56" s="72">
        <f>D56+E56</f>
        <v>9132.6365000000224</v>
      </c>
      <c r="G56" s="21"/>
      <c r="H56" s="21"/>
      <c r="I56" s="21"/>
    </row>
    <row r="57" spans="1:9" ht="4.9000000000000004" customHeight="1">
      <c r="B57" s="33"/>
      <c r="C57" s="33"/>
      <c r="D57" s="71"/>
      <c r="E57" s="72"/>
      <c r="F57" s="72"/>
      <c r="G57" s="21"/>
      <c r="H57" s="21"/>
      <c r="I57" s="21"/>
    </row>
    <row r="58" spans="1:9">
      <c r="A58" s="204"/>
      <c r="B58" s="205"/>
      <c r="C58" s="205"/>
      <c r="D58" s="206"/>
      <c r="E58" s="207"/>
      <c r="F58" s="207"/>
      <c r="G58" s="21"/>
      <c r="H58" s="21"/>
      <c r="I58" s="21"/>
    </row>
    <row r="59" spans="1:9">
      <c r="B59" s="33"/>
      <c r="C59" s="33"/>
      <c r="D59" s="71"/>
      <c r="E59" s="72"/>
      <c r="F59" s="72"/>
      <c r="G59" s="21"/>
      <c r="H59" s="21"/>
      <c r="I59" s="21"/>
    </row>
    <row r="60" spans="1:9">
      <c r="A60" s="18">
        <v>110505</v>
      </c>
      <c r="B60" s="33" t="s">
        <v>4932</v>
      </c>
      <c r="C60" s="33"/>
      <c r="D60" s="71">
        <f>SUMIF(Bce!$A:$A,A60,Bce!$G:$G)/1000</f>
        <v>3.7999999999999999E-2</v>
      </c>
      <c r="E60" s="72"/>
      <c r="F60" s="72">
        <f>D60</f>
        <v>3.7999999999999999E-2</v>
      </c>
      <c r="G60" s="21"/>
      <c r="H60" s="21"/>
      <c r="I60" s="21"/>
    </row>
    <row r="61" spans="1:9">
      <c r="A61" s="18">
        <v>112005</v>
      </c>
      <c r="B61" s="33" t="s">
        <v>4933</v>
      </c>
      <c r="C61" s="33"/>
      <c r="D61" s="71">
        <f>SUMIF(Bce!$A:$A,A61,Bce!$G:$G)/1000</f>
        <v>39647.196509999994</v>
      </c>
      <c r="E61" s="72"/>
      <c r="F61" s="72">
        <f>D61</f>
        <v>39647.196509999994</v>
      </c>
      <c r="G61" s="21"/>
      <c r="H61" s="21"/>
      <c r="I61" s="21"/>
    </row>
    <row r="62" spans="1:9">
      <c r="B62" s="33" t="s">
        <v>4934</v>
      </c>
      <c r="C62" s="33"/>
      <c r="D62" s="203">
        <f>SUM(D60:D61)</f>
        <v>39647.234509999995</v>
      </c>
      <c r="E62" s="72">
        <v>0</v>
      </c>
      <c r="F62" s="211">
        <f>D62+E62</f>
        <v>39647.234509999995</v>
      </c>
      <c r="G62" s="21"/>
      <c r="H62" s="21"/>
      <c r="I62" s="21"/>
    </row>
    <row r="63" spans="1:9">
      <c r="B63" s="33"/>
      <c r="C63" s="33"/>
      <c r="D63" s="71"/>
      <c r="E63" s="72"/>
      <c r="F63" s="72"/>
      <c r="G63" s="21"/>
      <c r="H63" s="21"/>
      <c r="I63" s="21"/>
    </row>
    <row r="64" spans="1:9">
      <c r="B64" s="33"/>
      <c r="C64" s="33"/>
      <c r="D64" s="71"/>
      <c r="E64" s="72"/>
      <c r="F64" s="72"/>
      <c r="G64" s="21"/>
      <c r="H64" s="21"/>
      <c r="I64" s="21"/>
    </row>
    <row r="65" spans="1:9">
      <c r="B65" s="33" t="s">
        <v>4932</v>
      </c>
      <c r="C65" s="33"/>
      <c r="D65" s="71">
        <f>SUMIF(Bce!$A:$A,A60,Bce!$J:$J)/1000</f>
        <v>0</v>
      </c>
      <c r="E65" s="72"/>
      <c r="F65" s="72">
        <f>D65</f>
        <v>0</v>
      </c>
      <c r="G65" s="21"/>
      <c r="H65" s="21"/>
      <c r="I65" s="21"/>
    </row>
    <row r="66" spans="1:9">
      <c r="B66" s="33" t="s">
        <v>4933</v>
      </c>
      <c r="C66" s="33"/>
      <c r="D66" s="71">
        <f>SUMIF(Bce!$A:$A,A61,Bce!$J:$J)/1000</f>
        <v>48779.871009999995</v>
      </c>
      <c r="E66" s="72"/>
      <c r="F66" s="72">
        <f>D66</f>
        <v>48779.871009999995</v>
      </c>
      <c r="G66" s="21"/>
      <c r="H66" s="21"/>
      <c r="I66" s="21"/>
    </row>
    <row r="67" spans="1:9">
      <c r="B67" s="33" t="s">
        <v>4935</v>
      </c>
      <c r="C67" s="181" t="s">
        <v>4257</v>
      </c>
      <c r="D67" s="203">
        <f>SUM(D65:D66)</f>
        <v>48779.871009999995</v>
      </c>
      <c r="E67" s="72"/>
      <c r="F67" s="211">
        <f>D67+E67</f>
        <v>48779.871009999995</v>
      </c>
      <c r="G67" s="21"/>
      <c r="H67" s="21"/>
      <c r="I67" s="21"/>
    </row>
    <row r="68" spans="1:9">
      <c r="B68" s="33"/>
      <c r="C68" s="33"/>
      <c r="D68" s="71"/>
      <c r="E68" s="72"/>
      <c r="F68" s="72"/>
      <c r="G68" s="21"/>
      <c r="H68" s="21"/>
      <c r="I68" s="21"/>
    </row>
    <row r="69" spans="1:9" ht="13.5" thickBot="1">
      <c r="B69" s="209" t="s">
        <v>4936</v>
      </c>
      <c r="C69" s="209"/>
      <c r="D69" s="210">
        <f>D67-D62</f>
        <v>9132.6365000000005</v>
      </c>
      <c r="E69" s="72">
        <f>+E56+E62-E67</f>
        <v>0</v>
      </c>
      <c r="F69" s="210">
        <f>F67-F62</f>
        <v>9132.6365000000005</v>
      </c>
      <c r="G69" s="21"/>
      <c r="H69" s="21"/>
      <c r="I69" s="21"/>
    </row>
    <row r="70" spans="1:9">
      <c r="C70" s="21"/>
      <c r="D70" s="21"/>
      <c r="E70" s="21"/>
      <c r="F70" s="21"/>
      <c r="G70" s="21"/>
    </row>
    <row r="71" spans="1:9">
      <c r="B71" s="18" t="s">
        <v>4759</v>
      </c>
      <c r="C71" s="21"/>
      <c r="D71" s="71">
        <f>D56-D69</f>
        <v>2.1827872842550278E-11</v>
      </c>
      <c r="E71" s="21"/>
      <c r="F71" s="71">
        <f>F56-F69</f>
        <v>2.1827872842550278E-11</v>
      </c>
      <c r="G71" s="21"/>
    </row>
    <row r="72" spans="1:9">
      <c r="A72" s="204"/>
      <c r="B72" s="204"/>
      <c r="C72" s="208"/>
      <c r="D72" s="208"/>
      <c r="E72" s="208"/>
      <c r="F72" s="208"/>
      <c r="G72" s="21"/>
    </row>
    <row r="73" spans="1:9">
      <c r="C73" s="21"/>
      <c r="D73" s="21"/>
      <c r="E73" s="21"/>
      <c r="F73" s="21"/>
      <c r="G73" s="21"/>
    </row>
    <row r="74" spans="1:9">
      <c r="C74" s="21"/>
      <c r="D74" s="21"/>
      <c r="E74" s="21"/>
      <c r="F74" s="21"/>
      <c r="G74" s="21"/>
    </row>
    <row r="75" spans="1:9">
      <c r="C75" s="21"/>
      <c r="D75" s="21"/>
      <c r="E75" s="21"/>
      <c r="F75" s="21"/>
      <c r="G75" s="21"/>
    </row>
  </sheetData>
  <autoFilter ref="A7:F67" xr:uid="{3060CB9C-1176-4DF8-8AD0-A256F594FD02}"/>
  <conditionalFormatting sqref="D1:F1">
    <cfRule type="cellIs" dxfId="1" priority="3" operator="notEqual">
      <formula>0</formula>
    </cfRule>
    <cfRule type="cellIs" dxfId="0" priority="4" operator="equal">
      <formula>0</formula>
    </cfRule>
  </conditionalFormatting>
  <pageMargins left="0.70866141732283472" right="0.70866141732283472" top="0.74803149606299213" bottom="0.74803149606299213" header="0.31496062992125984" footer="0.31496062992125984"/>
  <pageSetup scale="95"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8339B-8D5A-4EED-98C3-07E5158083F9}">
  <sheetPr>
    <tabColor rgb="FF00FF00"/>
  </sheetPr>
  <dimension ref="A1:U193"/>
  <sheetViews>
    <sheetView workbookViewId="0">
      <pane xSplit="3" ySplit="5" topLeftCell="D103" activePane="bottomRight" state="frozen"/>
      <selection pane="topRight" activeCell="D4" sqref="D4"/>
      <selection pane="bottomLeft" activeCell="D4" sqref="D4"/>
      <selection pane="bottomRight" activeCell="L20" sqref="L20"/>
    </sheetView>
  </sheetViews>
  <sheetFormatPr baseColWidth="10" defaultColWidth="11.42578125" defaultRowHeight="15" outlineLevelRow="1" outlineLevelCol="1"/>
  <cols>
    <col min="2" max="2" width="30.7109375" customWidth="1"/>
    <col min="3" max="3" width="36.85546875" customWidth="1"/>
    <col min="4" max="5" width="12.7109375" customWidth="1" outlineLevel="1"/>
    <col min="6" max="6" width="9.42578125" bestFit="1" customWidth="1" outlineLevel="1"/>
    <col min="7" max="7" width="12.42578125" bestFit="1" customWidth="1" outlineLevel="1"/>
    <col min="8" max="8" width="11" bestFit="1" customWidth="1" outlineLevel="1"/>
    <col min="9" max="15" width="9.42578125" customWidth="1" outlineLevel="1"/>
    <col min="16" max="16" width="10.7109375" bestFit="1" customWidth="1"/>
    <col min="17" max="17" width="1.7109375" customWidth="1"/>
    <col min="18" max="18" width="12.7109375" customWidth="1"/>
  </cols>
  <sheetData>
    <row r="1" spans="1:21">
      <c r="C1" s="17" t="s">
        <v>4506</v>
      </c>
    </row>
    <row r="2" spans="1:21">
      <c r="C2" s="17" t="s">
        <v>4507</v>
      </c>
      <c r="D2" s="5"/>
      <c r="E2" s="5"/>
      <c r="F2" s="5"/>
      <c r="G2" s="5"/>
      <c r="H2" s="5"/>
      <c r="I2" s="228"/>
      <c r="J2" s="5"/>
      <c r="K2" s="5"/>
      <c r="L2" s="5"/>
      <c r="M2" s="5"/>
      <c r="N2" s="5"/>
      <c r="O2" s="5"/>
      <c r="Q2" s="2"/>
      <c r="S2" s="5"/>
    </row>
    <row r="3" spans="1:21">
      <c r="C3" s="51" t="s">
        <v>4844</v>
      </c>
      <c r="D3" s="49">
        <v>1</v>
      </c>
      <c r="E3" s="49">
        <v>2</v>
      </c>
      <c r="F3" s="49">
        <v>3</v>
      </c>
      <c r="G3" s="49">
        <v>4</v>
      </c>
      <c r="H3" s="49">
        <v>5</v>
      </c>
      <c r="I3" s="49">
        <v>6</v>
      </c>
      <c r="J3" s="49">
        <v>7</v>
      </c>
      <c r="K3" s="49">
        <v>8</v>
      </c>
      <c r="L3" s="49">
        <v>9</v>
      </c>
      <c r="M3" s="49">
        <v>10</v>
      </c>
      <c r="N3" s="49">
        <v>11</v>
      </c>
      <c r="O3" s="49">
        <v>12</v>
      </c>
      <c r="Q3" s="7"/>
      <c r="R3" s="6">
        <v>12</v>
      </c>
      <c r="S3" s="49">
        <v>12</v>
      </c>
    </row>
    <row r="4" spans="1:21">
      <c r="C4" s="51" t="s">
        <v>4508</v>
      </c>
      <c r="D4" s="8" t="s">
        <v>4511</v>
      </c>
      <c r="E4" s="8" t="s">
        <v>4512</v>
      </c>
      <c r="F4" s="8" t="s">
        <v>4513</v>
      </c>
      <c r="G4" s="8" t="s">
        <v>4514</v>
      </c>
      <c r="H4" s="8" t="s">
        <v>4515</v>
      </c>
      <c r="I4" s="8" t="s">
        <v>4516</v>
      </c>
      <c r="J4" s="8" t="s">
        <v>4517</v>
      </c>
      <c r="K4" s="8" t="s">
        <v>4518</v>
      </c>
      <c r="L4" s="8" t="s">
        <v>4519</v>
      </c>
      <c r="M4" s="8" t="s">
        <v>4520</v>
      </c>
      <c r="N4" s="8" t="s">
        <v>4521</v>
      </c>
      <c r="O4" s="8" t="s">
        <v>4522</v>
      </c>
      <c r="P4" s="8" t="s">
        <v>4523</v>
      </c>
      <c r="Q4" s="7"/>
      <c r="R4" s="9" t="s">
        <v>4524</v>
      </c>
      <c r="S4" s="8" t="s">
        <v>4522</v>
      </c>
    </row>
    <row r="5" spans="1:21">
      <c r="A5" t="s">
        <v>4239</v>
      </c>
      <c r="B5" t="s">
        <v>4510</v>
      </c>
      <c r="D5" s="5">
        <v>2022</v>
      </c>
      <c r="E5" s="5">
        <v>2022</v>
      </c>
      <c r="F5" s="5">
        <v>2022</v>
      </c>
      <c r="G5" s="5">
        <v>2022</v>
      </c>
      <c r="H5" s="5">
        <v>2022</v>
      </c>
      <c r="I5" s="5">
        <v>2022</v>
      </c>
      <c r="J5" s="5">
        <v>2022</v>
      </c>
      <c r="K5" s="5">
        <v>2022</v>
      </c>
      <c r="L5" s="5">
        <v>2022</v>
      </c>
      <c r="M5" s="5">
        <v>2022</v>
      </c>
      <c r="N5" s="5">
        <v>2022</v>
      </c>
      <c r="O5" s="5">
        <v>2022</v>
      </c>
      <c r="P5" s="5">
        <v>2022</v>
      </c>
      <c r="Q5" s="7"/>
      <c r="R5" s="9" t="s">
        <v>4523</v>
      </c>
      <c r="S5" s="5">
        <v>2021</v>
      </c>
    </row>
    <row r="6" spans="1:21" ht="5.0999999999999996" customHeight="1">
      <c r="Q6" s="7"/>
    </row>
    <row r="7" spans="1:21">
      <c r="B7" s="10" t="s">
        <v>4525</v>
      </c>
      <c r="C7" s="10" t="s">
        <v>4525</v>
      </c>
      <c r="D7" s="3"/>
      <c r="E7" s="3"/>
      <c r="F7" s="3"/>
      <c r="Q7" s="7"/>
    </row>
    <row r="8" spans="1:21" outlineLevel="1">
      <c r="A8">
        <v>41559505</v>
      </c>
      <c r="B8" t="s">
        <v>132</v>
      </c>
      <c r="D8" s="3">
        <f>-SUMIFS(Mov!$J:$J,Mov!$E:$E,$A8,Mov!$K:$K,D$3)/1000</f>
        <v>45531.065799999997</v>
      </c>
      <c r="E8" s="3">
        <f>-SUMIFS(Mov!$J:$J,Mov!$E:$E,$A8,Mov!$K:$K,E$3)/1000</f>
        <v>56702.164479999999</v>
      </c>
      <c r="F8" s="3">
        <f>-SUMIFS(Mov!$J:$J,Mov!$E:$E,$A8,Mov!$K:$K,F$3)/1000</f>
        <v>30504.270960000002</v>
      </c>
      <c r="G8" s="3">
        <f>-SUMIFS(Mov!$J:$J,Mov!$E:$E,$A8,Mov!$K:$K,G$3)/1000</f>
        <v>72397.9476</v>
      </c>
      <c r="H8" s="3">
        <f>-SUMIFS(Mov!$J:$J,Mov!$E:$E,$A8,Mov!$K:$K,H$3)/1000</f>
        <v>53703.18</v>
      </c>
      <c r="I8" s="3">
        <f>7*3850*2400/1000</f>
        <v>64680</v>
      </c>
      <c r="J8" s="3">
        <f>I8</f>
        <v>64680</v>
      </c>
      <c r="K8" s="3">
        <f t="shared" ref="K8:O8" si="0">J8</f>
        <v>64680</v>
      </c>
      <c r="L8" s="3">
        <f t="shared" si="0"/>
        <v>64680</v>
      </c>
      <c r="M8" s="3">
        <f t="shared" si="0"/>
        <v>64680</v>
      </c>
      <c r="N8" s="3">
        <f t="shared" si="0"/>
        <v>64680</v>
      </c>
      <c r="O8" s="3">
        <f t="shared" si="0"/>
        <v>64680</v>
      </c>
      <c r="P8" s="3">
        <f>SUM(D8:O8)</f>
        <v>711598.6288399999</v>
      </c>
      <c r="Q8" s="7"/>
      <c r="R8" s="4">
        <f ca="1">SUM(OFFSET(D8,0,0,1,R$3))</f>
        <v>711598.6288399999</v>
      </c>
      <c r="S8" s="3">
        <v>0</v>
      </c>
    </row>
    <row r="9" spans="1:21" outlineLevel="1">
      <c r="A9">
        <v>41559506</v>
      </c>
      <c r="B9" t="s">
        <v>4526</v>
      </c>
      <c r="D9" s="3">
        <f>-SUMIFS(Mov!$J:$J,Mov!$E:$E,$A9,Mov!$K:$K,D$3)/1000</f>
        <v>0</v>
      </c>
      <c r="E9" s="3">
        <f>-SUMIFS(Mov!$J:$J,Mov!$E:$E,$A9,Mov!$K:$K,E$3)/1000</f>
        <v>0</v>
      </c>
      <c r="F9" s="3">
        <f>-SUMIFS(Mov!$J:$J,Mov!$E:$E,$A9,Mov!$K:$K,F$3)/1000</f>
        <v>0</v>
      </c>
      <c r="G9" s="3">
        <f>-SUMIFS(Mov!$J:$J,Mov!$E:$E,$A9,Mov!$K:$K,G$3)/1000</f>
        <v>0</v>
      </c>
      <c r="H9" s="3">
        <f>-SUMIFS(Mov!$J:$J,Mov!$E:$E,$A9,Mov!$K:$K,H$3)/1000</f>
        <v>0</v>
      </c>
      <c r="I9" s="3">
        <f>-SUMIFS(Mov!$J:$J,Mov!$E:$E,$A9,Mov!$K:$K,I$3)/1000</f>
        <v>0</v>
      </c>
      <c r="J9" s="3">
        <f>-SUMIFS(Mov!$J:$J,Mov!$E:$E,$A9,Mov!$K:$K,J$3)/1000</f>
        <v>0</v>
      </c>
      <c r="K9" s="3">
        <f>-SUMIFS(Mov!$J:$J,Mov!$E:$E,$A9,Mov!$K:$K,K$3)/1000</f>
        <v>0</v>
      </c>
      <c r="L9" s="3">
        <f>-SUMIFS(Mov!$J:$J,Mov!$E:$E,$A9,Mov!$K:$K,L$3)/1000</f>
        <v>0</v>
      </c>
      <c r="M9" s="3">
        <f>-SUMIFS(Mov!$J:$J,Mov!$E:$E,$A9,Mov!$K:$K,M$3)/1000</f>
        <v>0</v>
      </c>
      <c r="N9" s="3">
        <f>-SUMIFS(Mov!$J:$J,Mov!$E:$E,$A9,Mov!$K:$K,N$3)/1000</f>
        <v>70104.960000000006</v>
      </c>
      <c r="O9" s="3">
        <f>-SUMIFS(Mov!$J:$J,Mov!$E:$E,$A9,Mov!$K:$K,O$3)/1000</f>
        <v>-70104.960000000006</v>
      </c>
      <c r="P9" s="3">
        <f>SUM(D9:O9)</f>
        <v>0</v>
      </c>
      <c r="Q9" s="7"/>
      <c r="R9" s="4">
        <f ca="1">SUM(OFFSET(D9,0,0,1,R$3))</f>
        <v>0</v>
      </c>
      <c r="S9" s="3">
        <v>0</v>
      </c>
    </row>
    <row r="10" spans="1:21" outlineLevel="1">
      <c r="A10">
        <v>414590</v>
      </c>
      <c r="D10" s="3">
        <f>-SUMIFS(Mov!$J:$J,Mov!$E:$E,$A10,Mov!$K:$K,D$3)/1000</f>
        <v>0</v>
      </c>
      <c r="E10" s="3">
        <f>-SUMIFS(Mov!$J:$J,Mov!$E:$E,$A10,Mov!$K:$K,E$3)/1000</f>
        <v>0</v>
      </c>
      <c r="F10" s="3">
        <f>-SUMIFS(Mov!$J:$J,Mov!$E:$E,$A10,Mov!$K:$K,F$3)/1000</f>
        <v>0</v>
      </c>
      <c r="G10" s="3">
        <f>-SUMIFS(Mov!$J:$J,Mov!$E:$E,$A10,Mov!$K:$K,G$3)/1000</f>
        <v>0</v>
      </c>
      <c r="H10" s="3">
        <f>-SUMIFS(Mov!$J:$J,Mov!$E:$E,$A10,Mov!$K:$K,H$3)/1000</f>
        <v>0</v>
      </c>
      <c r="I10" s="3">
        <f>-SUMIFS(Mov!$J:$J,Mov!$E:$E,$A10,Mov!$K:$K,I$3)/1000</f>
        <v>0</v>
      </c>
      <c r="J10" s="3">
        <f>-SUMIFS(Mov!$J:$J,Mov!$E:$E,$A10,Mov!$K:$K,J$3)/1000</f>
        <v>0</v>
      </c>
      <c r="K10" s="3">
        <f>-SUMIFS(Mov!$J:$J,Mov!$E:$E,$A10,Mov!$K:$K,K$3)/1000</f>
        <v>0</v>
      </c>
      <c r="L10" s="3">
        <f>-SUMIFS(Mov!$J:$J,Mov!$E:$E,$A10,Mov!$K:$K,L$3)/1000</f>
        <v>0</v>
      </c>
      <c r="M10" s="3">
        <f>-SUMIFS(Mov!$J:$J,Mov!$E:$E,$A10,Mov!$K:$K,M$3)/1000</f>
        <v>0</v>
      </c>
      <c r="N10" s="3">
        <f>-SUMIFS(Mov!$J:$J,Mov!$E:$E,$A10,Mov!$K:$K,N$3)/1000</f>
        <v>0</v>
      </c>
      <c r="O10" s="3">
        <f>-SUMIFS(Mov!$J:$J,Mov!$E:$E,$A10,Mov!$K:$K,O$3)/1000</f>
        <v>0</v>
      </c>
      <c r="P10" s="3">
        <f>SUM(D10:O10)</f>
        <v>0</v>
      </c>
      <c r="Q10" s="7"/>
      <c r="R10" s="4">
        <f ca="1">SUM(OFFSET(D10,0,0,1,R$3))</f>
        <v>0</v>
      </c>
      <c r="S10" s="3">
        <v>0</v>
      </c>
    </row>
    <row r="11" spans="1:21" outlineLevel="1">
      <c r="A11">
        <v>414590</v>
      </c>
      <c r="D11" s="3">
        <f>-SUMIFS(Mov!$J:$J,Mov!$E:$E,$A11,Mov!$K:$K,D$3)/1000</f>
        <v>0</v>
      </c>
      <c r="E11" s="3">
        <f>-SUMIFS(Mov!$J:$J,Mov!$E:$E,$A11,Mov!$K:$K,E$3)/1000</f>
        <v>0</v>
      </c>
      <c r="F11" s="3">
        <f>-SUMIFS(Mov!$J:$J,Mov!$E:$E,$A11,Mov!$K:$K,F$3)/1000</f>
        <v>0</v>
      </c>
      <c r="G11" s="3">
        <f>-SUMIFS(Mov!$J:$J,Mov!$E:$E,$A11,Mov!$K:$K,G$3)/1000</f>
        <v>0</v>
      </c>
      <c r="H11" s="3">
        <f>-SUMIFS(Mov!$J:$J,Mov!$E:$E,$A11,Mov!$K:$K,H$3)/1000</f>
        <v>0</v>
      </c>
      <c r="I11" s="3">
        <f>-SUMIFS(Mov!$J:$J,Mov!$E:$E,$A11,Mov!$K:$K,I$3)/1000</f>
        <v>0</v>
      </c>
      <c r="J11" s="3">
        <f>-SUMIFS(Mov!$J:$J,Mov!$E:$E,$A11,Mov!$K:$K,J$3)/1000</f>
        <v>0</v>
      </c>
      <c r="K11" s="3">
        <f>-SUMIFS(Mov!$J:$J,Mov!$E:$E,$A11,Mov!$K:$K,K$3)/1000</f>
        <v>0</v>
      </c>
      <c r="L11" s="3">
        <f>-SUMIFS(Mov!$J:$J,Mov!$E:$E,$A11,Mov!$K:$K,L$3)/1000</f>
        <v>0</v>
      </c>
      <c r="M11" s="3">
        <f>-SUMIFS(Mov!$J:$J,Mov!$E:$E,$A11,Mov!$K:$K,M$3)/1000</f>
        <v>0</v>
      </c>
      <c r="N11" s="3">
        <f>-SUMIFS(Mov!$J:$J,Mov!$E:$E,$A11,Mov!$K:$K,N$3)/1000</f>
        <v>0</v>
      </c>
      <c r="O11" s="3">
        <f>-SUMIFS(Mov!$J:$J,Mov!$E:$E,$A11,Mov!$K:$K,O$3)/1000</f>
        <v>0</v>
      </c>
      <c r="P11" s="3">
        <f>SUM(D11:O11)</f>
        <v>0</v>
      </c>
      <c r="Q11" s="7"/>
      <c r="R11" s="4">
        <f ca="1">SUM(OFFSET(D11,0,0,1,R$3))</f>
        <v>0</v>
      </c>
      <c r="S11" s="3">
        <v>0</v>
      </c>
    </row>
    <row r="12" spans="1:21">
      <c r="B12" t="s">
        <v>4527</v>
      </c>
      <c r="D12" s="167">
        <f t="shared" ref="D12:P12" si="1">SUM(D8:D11)</f>
        <v>45531.065799999997</v>
      </c>
      <c r="E12" s="167">
        <f t="shared" si="1"/>
        <v>56702.164479999999</v>
      </c>
      <c r="F12" s="167">
        <f t="shared" si="1"/>
        <v>30504.270960000002</v>
      </c>
      <c r="G12" s="167">
        <f t="shared" si="1"/>
        <v>72397.9476</v>
      </c>
      <c r="H12" s="167">
        <f t="shared" si="1"/>
        <v>53703.18</v>
      </c>
      <c r="I12" s="167">
        <f t="shared" si="1"/>
        <v>64680</v>
      </c>
      <c r="J12" s="167">
        <f t="shared" si="1"/>
        <v>64680</v>
      </c>
      <c r="K12" s="167">
        <f t="shared" si="1"/>
        <v>64680</v>
      </c>
      <c r="L12" s="167">
        <f t="shared" si="1"/>
        <v>64680</v>
      </c>
      <c r="M12" s="167">
        <f t="shared" si="1"/>
        <v>64680</v>
      </c>
      <c r="N12" s="167">
        <f t="shared" si="1"/>
        <v>134784.96000000002</v>
      </c>
      <c r="O12" s="167">
        <f t="shared" si="1"/>
        <v>-5424.9600000000064</v>
      </c>
      <c r="P12" s="167">
        <f t="shared" si="1"/>
        <v>711598.6288399999</v>
      </c>
      <c r="Q12" s="7"/>
      <c r="R12" s="4">
        <f ca="1">SUM(R8:R11)</f>
        <v>711598.6288399999</v>
      </c>
      <c r="S12" s="167">
        <f t="shared" ref="S12" si="2">SUM(S8:S11)</f>
        <v>0</v>
      </c>
    </row>
    <row r="13" spans="1:21">
      <c r="D13" s="3"/>
      <c r="E13" s="3"/>
      <c r="F13" s="3"/>
      <c r="G13" s="3"/>
      <c r="H13" s="3"/>
      <c r="I13" s="3"/>
      <c r="J13" s="3"/>
      <c r="K13" s="3"/>
      <c r="L13" s="3"/>
      <c r="M13" s="3"/>
      <c r="N13" s="3"/>
      <c r="O13" s="3"/>
      <c r="P13" s="3"/>
      <c r="Q13" s="7"/>
      <c r="R13" s="3"/>
      <c r="S13" s="3"/>
    </row>
    <row r="14" spans="1:21" outlineLevel="1">
      <c r="A14">
        <v>510506</v>
      </c>
      <c r="B14" t="s">
        <v>1076</v>
      </c>
      <c r="C14" t="s">
        <v>4528</v>
      </c>
      <c r="D14" s="3">
        <f>SUMIFS(Mov!$J:$J,Mov!$E:$E,$A14,Mov!$K:$K,D$3)/1000</f>
        <v>6636</v>
      </c>
      <c r="E14" s="3">
        <f>SUMIFS(Mov!$J:$J,Mov!$E:$E,$A14,Mov!$K:$K,E$3)/1000</f>
        <v>7510.7669999999998</v>
      </c>
      <c r="F14" s="3">
        <f>SUMIFS(Mov!$J:$J,Mov!$E:$E,$A14,Mov!$K:$K,F$3)/1000</f>
        <v>8729.991</v>
      </c>
      <c r="G14" s="3">
        <f>SUMIFS(Mov!$J:$J,Mov!$E:$E,$A14,Mov!$K:$K,G$3)/1000</f>
        <v>7634.5420000000004</v>
      </c>
      <c r="H14" s="3">
        <f>SUMIFS(Mov!$J:$J,Mov!$E:$E,$A14,Mov!$K:$K,H$3)/1000</f>
        <v>7514.5829999999996</v>
      </c>
      <c r="I14" s="3">
        <f>H14</f>
        <v>7514.5829999999996</v>
      </c>
      <c r="J14" s="3">
        <f t="shared" ref="J14:O14" si="3">I14</f>
        <v>7514.5829999999996</v>
      </c>
      <c r="K14" s="3">
        <f t="shared" si="3"/>
        <v>7514.5829999999996</v>
      </c>
      <c r="L14" s="3">
        <f t="shared" si="3"/>
        <v>7514.5829999999996</v>
      </c>
      <c r="M14" s="3">
        <f t="shared" si="3"/>
        <v>7514.5829999999996</v>
      </c>
      <c r="N14" s="3">
        <f t="shared" si="3"/>
        <v>7514.5829999999996</v>
      </c>
      <c r="O14" s="3">
        <f t="shared" si="3"/>
        <v>7514.5829999999996</v>
      </c>
      <c r="P14" s="3">
        <f t="shared" ref="P14:P19" si="4">SUM(D14:O14)</f>
        <v>90627.963999999993</v>
      </c>
      <c r="Q14" s="3"/>
      <c r="R14">
        <f t="shared" ref="R14:R19" ca="1" si="5">SUM(OFFSET(D14,0,0,1,R$3))</f>
        <v>90627.963999999993</v>
      </c>
      <c r="S14" s="3">
        <v>8178</v>
      </c>
    </row>
    <row r="15" spans="1:21" outlineLevel="1">
      <c r="A15">
        <v>51956001</v>
      </c>
      <c r="B15" t="s">
        <v>1436</v>
      </c>
      <c r="C15" t="s">
        <v>4528</v>
      </c>
      <c r="D15" s="3">
        <f>SUMIFS(Mov!$J:$J,Mov!$E:$E,$A15,Mov!$K:$K,D$3)/1000</f>
        <v>0</v>
      </c>
      <c r="E15" s="3">
        <f>SUMIFS(Mov!$J:$J,Mov!$E:$E,$A15,Mov!$K:$K,E$3)/1000</f>
        <v>0</v>
      </c>
      <c r="F15" s="3">
        <f>SUMIFS(Mov!$J:$J,Mov!$E:$E,$A15,Mov!$K:$K,F$3)/1000</f>
        <v>0</v>
      </c>
      <c r="G15" s="3">
        <f>SUMIFS(Mov!$J:$J,Mov!$E:$E,$A15,Mov!$K:$K,G$3)/1000</f>
        <v>0</v>
      </c>
      <c r="H15" s="3">
        <f>SUMIFS(Mov!$J:$J,Mov!$E:$E,$A15,Mov!$K:$K,H$3)/1000</f>
        <v>0</v>
      </c>
      <c r="I15" s="3">
        <f t="shared" ref="I15:O16" si="6">H15</f>
        <v>0</v>
      </c>
      <c r="J15" s="3">
        <f t="shared" si="6"/>
        <v>0</v>
      </c>
      <c r="K15" s="3">
        <f t="shared" si="6"/>
        <v>0</v>
      </c>
      <c r="L15" s="3">
        <f t="shared" si="6"/>
        <v>0</v>
      </c>
      <c r="M15" s="3">
        <f t="shared" si="6"/>
        <v>0</v>
      </c>
      <c r="N15" s="3">
        <f t="shared" si="6"/>
        <v>0</v>
      </c>
      <c r="O15" s="3">
        <f t="shared" si="6"/>
        <v>0</v>
      </c>
      <c r="P15" s="3">
        <f t="shared" si="4"/>
        <v>0</v>
      </c>
      <c r="Q15" s="3"/>
      <c r="R15">
        <f t="shared" ca="1" si="5"/>
        <v>0</v>
      </c>
      <c r="S15" s="3">
        <v>350</v>
      </c>
      <c r="U15" s="224"/>
    </row>
    <row r="16" spans="1:21" outlineLevel="1">
      <c r="A16">
        <v>510527</v>
      </c>
      <c r="B16" t="s">
        <v>1089</v>
      </c>
      <c r="C16" t="s">
        <v>4529</v>
      </c>
      <c r="D16" s="3">
        <f>SUMIFS(Mov!$J:$J,Mov!$E:$E,$A16,Mov!$K:$K,D$3)/1000</f>
        <v>703.03</v>
      </c>
      <c r="E16" s="3">
        <f>SUMIFS(Mov!$J:$J,Mov!$E:$E,$A16,Mov!$K:$K,E$3)/1000</f>
        <v>754.58500000000004</v>
      </c>
      <c r="F16" s="3">
        <f>SUMIFS(Mov!$J:$J,Mov!$E:$E,$A16,Mov!$K:$K,F$3)/1000</f>
        <v>829.57500000000005</v>
      </c>
      <c r="G16" s="3">
        <f>SUMIFS(Mov!$J:$J,Mov!$E:$E,$A16,Mov!$K:$K,G$3)/1000</f>
        <v>768.64599999999996</v>
      </c>
      <c r="H16" s="3">
        <f>SUMIFS(Mov!$J:$J,Mov!$E:$E,$A16,Mov!$K:$K,H$3)/1000</f>
        <v>726.46400000000006</v>
      </c>
      <c r="I16" s="3">
        <f t="shared" si="6"/>
        <v>726.46400000000006</v>
      </c>
      <c r="J16" s="3">
        <f t="shared" si="6"/>
        <v>726.46400000000006</v>
      </c>
      <c r="K16" s="3">
        <f t="shared" si="6"/>
        <v>726.46400000000006</v>
      </c>
      <c r="L16" s="3">
        <f t="shared" si="6"/>
        <v>726.46400000000006</v>
      </c>
      <c r="M16" s="3">
        <f t="shared" si="6"/>
        <v>726.46400000000006</v>
      </c>
      <c r="N16" s="3">
        <f t="shared" si="6"/>
        <v>726.46400000000006</v>
      </c>
      <c r="O16" s="3">
        <f t="shared" si="6"/>
        <v>726.46400000000006</v>
      </c>
      <c r="P16" s="3">
        <f t="shared" si="4"/>
        <v>8867.5480000000007</v>
      </c>
      <c r="Q16" s="3"/>
      <c r="R16">
        <f t="shared" ca="1" si="5"/>
        <v>8867.5480000000007</v>
      </c>
      <c r="S16" s="3">
        <v>404.52499999999998</v>
      </c>
    </row>
    <row r="17" spans="1:19" hidden="1" outlineLevel="1">
      <c r="A17">
        <v>510548</v>
      </c>
      <c r="B17" t="s">
        <v>802</v>
      </c>
      <c r="C17" t="s">
        <v>4530</v>
      </c>
      <c r="D17" s="3">
        <f>SUMIFS(Mov!$J:$J,Mov!$E:$E,$A17,Mov!$K:$K,D$3)/1000</f>
        <v>0</v>
      </c>
      <c r="E17" s="3">
        <f>SUMIFS(Mov!$J:$J,Mov!$E:$E,$A17,Mov!$K:$K,E$3)/1000</f>
        <v>0</v>
      </c>
      <c r="F17" s="3">
        <f>SUMIFS(Mov!$J:$J,Mov!$E:$E,$A17,Mov!$K:$K,F$3)/1000</f>
        <v>0</v>
      </c>
      <c r="G17" s="3">
        <f>SUMIFS(Mov!$J:$J,Mov!$E:$E,$A17,Mov!$K:$K,G$3)/1000</f>
        <v>0</v>
      </c>
      <c r="H17" s="3">
        <f>SUMIFS(Mov!$J:$J,Mov!$E:$E,$A17,Mov!$K:$K,H$3)/1000</f>
        <v>0</v>
      </c>
      <c r="I17" s="3">
        <f>SUMIFS(Mov!$J:$J,Mov!$E:$E,$A17,Mov!$K:$K,I$3)/1000</f>
        <v>0</v>
      </c>
      <c r="J17" s="3">
        <f>SUMIFS(Mov!$J:$J,Mov!$E:$E,$A17,Mov!$K:$K,J$3)/1000</f>
        <v>0</v>
      </c>
      <c r="K17" s="3">
        <f>SUMIFS(Mov!$J:$J,Mov!$E:$E,$A17,Mov!$K:$K,K$3)/1000</f>
        <v>0</v>
      </c>
      <c r="L17" s="3">
        <f>SUMIFS(Mov!$J:$J,Mov!$E:$E,$A17,Mov!$K:$K,L$3)/1000</f>
        <v>0</v>
      </c>
      <c r="M17" s="3">
        <f>SUMIFS(Mov!$J:$J,Mov!$E:$E,$A17,Mov!$K:$K,M$3)/1000</f>
        <v>0</v>
      </c>
      <c r="N17" s="3">
        <f>SUMIFS(Mov!$J:$J,Mov!$E:$E,$A17,Mov!$K:$K,N$3)/1000</f>
        <v>0</v>
      </c>
      <c r="O17" s="3">
        <f>SUMIFS(Mov!$J:$J,Mov!$E:$E,$A17,Mov!$K:$K,O$3)/1000</f>
        <v>0</v>
      </c>
      <c r="P17" s="3">
        <f t="shared" si="4"/>
        <v>0</v>
      </c>
      <c r="Q17" s="3"/>
      <c r="R17">
        <f t="shared" ca="1" si="5"/>
        <v>0</v>
      </c>
      <c r="S17" s="3">
        <v>0</v>
      </c>
    </row>
    <row r="18" spans="1:19" hidden="1" outlineLevel="1">
      <c r="A18">
        <v>510560</v>
      </c>
      <c r="B18" t="s">
        <v>1107</v>
      </c>
      <c r="C18" t="s">
        <v>4531</v>
      </c>
      <c r="D18" s="3">
        <f>SUMIFS(Mov!$J:$J,Mov!$E:$E,$A18,Mov!$K:$K,D$3)/1000</f>
        <v>0</v>
      </c>
      <c r="E18" s="3">
        <f>SUMIFS(Mov!$J:$J,Mov!$E:$E,$A18,Mov!$K:$K,E$3)/1000</f>
        <v>0</v>
      </c>
      <c r="F18" s="3">
        <f>SUMIFS(Mov!$J:$J,Mov!$E:$E,$A18,Mov!$K:$K,F$3)/1000</f>
        <v>0</v>
      </c>
      <c r="G18" s="3">
        <f>SUMIFS(Mov!$J:$J,Mov!$E:$E,$A18,Mov!$K:$K,G$3)/1000</f>
        <v>0</v>
      </c>
      <c r="H18" s="3">
        <f>SUMIFS(Mov!$J:$J,Mov!$E:$E,$A18,Mov!$K:$K,H$3)/1000</f>
        <v>0</v>
      </c>
      <c r="I18" s="3">
        <f>SUMIFS(Mov!$J:$J,Mov!$E:$E,$A18,Mov!$K:$K,I$3)/1000</f>
        <v>0</v>
      </c>
      <c r="J18" s="3">
        <f>SUMIFS(Mov!$J:$J,Mov!$E:$E,$A18,Mov!$K:$K,J$3)/1000</f>
        <v>0</v>
      </c>
      <c r="K18" s="3">
        <f>SUMIFS(Mov!$J:$J,Mov!$E:$E,$A18,Mov!$K:$K,K$3)/1000</f>
        <v>0</v>
      </c>
      <c r="L18" s="3">
        <f>SUMIFS(Mov!$J:$J,Mov!$E:$E,$A18,Mov!$K:$K,L$3)/1000</f>
        <v>0</v>
      </c>
      <c r="M18" s="3">
        <f>SUMIFS(Mov!$J:$J,Mov!$E:$E,$A18,Mov!$K:$K,M$3)/1000</f>
        <v>0</v>
      </c>
      <c r="N18" s="3">
        <f>SUMIFS(Mov!$J:$J,Mov!$E:$E,$A18,Mov!$K:$K,N$3)/1000</f>
        <v>0</v>
      </c>
      <c r="O18" s="3">
        <f>SUMIFS(Mov!$J:$J,Mov!$E:$E,$A18,Mov!$K:$K,O$3)/1000</f>
        <v>6538.8869999999997</v>
      </c>
      <c r="P18" s="3">
        <f t="shared" si="4"/>
        <v>6538.8869999999997</v>
      </c>
      <c r="Q18" s="3"/>
      <c r="R18">
        <f t="shared" ca="1" si="5"/>
        <v>6538.8869999999997</v>
      </c>
      <c r="S18" s="3">
        <v>0</v>
      </c>
    </row>
    <row r="19" spans="1:19" hidden="1" outlineLevel="1">
      <c r="A19">
        <v>513510</v>
      </c>
      <c r="B19" t="s">
        <v>1258</v>
      </c>
      <c r="C19" t="s">
        <v>4532</v>
      </c>
      <c r="D19" s="3">
        <f>SUMIFS(Mov!$J:$J,Mov!$E:$E,$A19,Mov!$K:$K,D$3)/1000</f>
        <v>0</v>
      </c>
      <c r="E19" s="3">
        <f>SUMIFS(Mov!$J:$J,Mov!$E:$E,$A19,Mov!$K:$K,E$3)/1000</f>
        <v>0</v>
      </c>
      <c r="F19" s="3">
        <f>SUMIFS(Mov!$J:$J,Mov!$E:$E,$A19,Mov!$K:$K,F$3)/1000</f>
        <v>0</v>
      </c>
      <c r="G19" s="3">
        <f>SUMIFS(Mov!$J:$J,Mov!$E:$E,$A19,Mov!$K:$K,G$3)/1000</f>
        <v>0</v>
      </c>
      <c r="H19" s="3">
        <f>SUMIFS(Mov!$J:$J,Mov!$E:$E,$A19,Mov!$K:$K,H$3)/1000</f>
        <v>0</v>
      </c>
      <c r="I19" s="3">
        <f>SUMIFS(Mov!$J:$J,Mov!$E:$E,$A19,Mov!$K:$K,I$3)/1000</f>
        <v>0</v>
      </c>
      <c r="J19" s="3">
        <f>SUMIFS(Mov!$J:$J,Mov!$E:$E,$A19,Mov!$K:$K,J$3)/1000</f>
        <v>0</v>
      </c>
      <c r="K19" s="3">
        <f>SUMIFS(Mov!$J:$J,Mov!$E:$E,$A19,Mov!$K:$K,K$3)/1000</f>
        <v>0</v>
      </c>
      <c r="L19" s="3">
        <f>SUMIFS(Mov!$J:$J,Mov!$E:$E,$A19,Mov!$K:$K,L$3)/1000</f>
        <v>0</v>
      </c>
      <c r="M19" s="3">
        <f>SUMIFS(Mov!$J:$J,Mov!$E:$E,$A19,Mov!$K:$K,M$3)/1000</f>
        <v>0</v>
      </c>
      <c r="N19" s="3">
        <f>SUMIFS(Mov!$J:$J,Mov!$E:$E,$A19,Mov!$K:$K,N$3)/1000</f>
        <v>0</v>
      </c>
      <c r="O19" s="3">
        <f>SUMIFS(Mov!$J:$J,Mov!$E:$E,$A19,Mov!$K:$K,O$3)/1000</f>
        <v>0</v>
      </c>
      <c r="P19" s="3">
        <f t="shared" si="4"/>
        <v>0</v>
      </c>
      <c r="Q19" s="3"/>
      <c r="R19">
        <f t="shared" ca="1" si="5"/>
        <v>0</v>
      </c>
      <c r="S19" s="3">
        <v>0</v>
      </c>
    </row>
    <row r="20" spans="1:19">
      <c r="A20" s="11"/>
      <c r="C20" s="64" t="s">
        <v>4533</v>
      </c>
      <c r="D20" s="65">
        <f t="shared" ref="D20:P20" si="7">SUM(D14:D19)</f>
        <v>7339.03</v>
      </c>
      <c r="E20" s="65">
        <f t="shared" si="7"/>
        <v>8265.351999999999</v>
      </c>
      <c r="F20" s="65">
        <f t="shared" si="7"/>
        <v>9559.5660000000007</v>
      </c>
      <c r="G20" s="65">
        <f t="shared" si="7"/>
        <v>8403.1880000000001</v>
      </c>
      <c r="H20" s="65">
        <f t="shared" si="7"/>
        <v>8241.0470000000005</v>
      </c>
      <c r="I20" s="65">
        <f t="shared" si="7"/>
        <v>8241.0470000000005</v>
      </c>
      <c r="J20" s="65">
        <f t="shared" si="7"/>
        <v>8241.0470000000005</v>
      </c>
      <c r="K20" s="65">
        <f t="shared" si="7"/>
        <v>8241.0470000000005</v>
      </c>
      <c r="L20" s="65">
        <f t="shared" si="7"/>
        <v>8241.0470000000005</v>
      </c>
      <c r="M20" s="65">
        <f t="shared" si="7"/>
        <v>8241.0470000000005</v>
      </c>
      <c r="N20" s="65">
        <f t="shared" si="7"/>
        <v>8241.0470000000005</v>
      </c>
      <c r="O20" s="65">
        <f t="shared" si="7"/>
        <v>14779.934000000001</v>
      </c>
      <c r="P20" s="66">
        <f t="shared" si="7"/>
        <v>106034.39899999999</v>
      </c>
      <c r="Q20" s="12"/>
      <c r="R20" s="66">
        <f ca="1">SUM(R14:R19)</f>
        <v>106034.39899999999</v>
      </c>
      <c r="S20" s="65">
        <f t="shared" ref="S20" si="8">SUM(S14:S19)</f>
        <v>8932.5249999999996</v>
      </c>
    </row>
    <row r="21" spans="1:19" outlineLevel="1">
      <c r="A21">
        <v>510530</v>
      </c>
      <c r="B21" t="s">
        <v>813</v>
      </c>
      <c r="C21" t="s">
        <v>4534</v>
      </c>
      <c r="D21" s="3">
        <f>SUMIFS(Mov!$J:$J,Mov!$E:$E,$A21,Mov!$K:$K,D$3)/1000</f>
        <v>614.95399999999995</v>
      </c>
      <c r="E21" s="3">
        <f>SUMIFS(Mov!$J:$J,Mov!$E:$E,$A21,Mov!$K:$K,E$3)/1000</f>
        <v>750.048</v>
      </c>
      <c r="F21" s="3">
        <f>SUMIFS(Mov!$J:$J,Mov!$E:$E,$A21,Mov!$K:$K,F$3)/1000</f>
        <v>801.80899999999997</v>
      </c>
      <c r="G21" s="3">
        <f>SUMIFS(Mov!$J:$J,Mov!$E:$E,$A21,Mov!$K:$K,G$3)/1000</f>
        <v>743.53499999999997</v>
      </c>
      <c r="H21" s="3">
        <f>SUMIFS(Mov!$J:$J,Mov!$E:$E,$A21,Mov!$K:$K,H$3)/1000</f>
        <v>810.15300000000002</v>
      </c>
      <c r="I21" s="3">
        <f t="shared" ref="I21:O28" si="9">H21</f>
        <v>810.15300000000002</v>
      </c>
      <c r="J21" s="3">
        <f t="shared" si="9"/>
        <v>810.15300000000002</v>
      </c>
      <c r="K21" s="3">
        <f t="shared" si="9"/>
        <v>810.15300000000002</v>
      </c>
      <c r="L21" s="3">
        <f t="shared" si="9"/>
        <v>810.15300000000002</v>
      </c>
      <c r="M21" s="3">
        <f t="shared" si="9"/>
        <v>810.15300000000002</v>
      </c>
      <c r="N21" s="3">
        <f t="shared" si="9"/>
        <v>810.15300000000002</v>
      </c>
      <c r="O21" s="3">
        <f t="shared" si="9"/>
        <v>810.15300000000002</v>
      </c>
      <c r="P21" s="12">
        <f t="shared" ref="P21:P28" si="10">SUM(D21:O21)</f>
        <v>9391.5700000000015</v>
      </c>
      <c r="Q21" s="12"/>
      <c r="R21" s="12">
        <f t="shared" ref="R21:R34" ca="1" si="11">SUM(OFFSET(D21,0,0,1,R$3))</f>
        <v>9391.5700000000015</v>
      </c>
      <c r="S21" s="3">
        <v>715.19899999999996</v>
      </c>
    </row>
    <row r="22" spans="1:19" outlineLevel="1">
      <c r="A22">
        <v>510533</v>
      </c>
      <c r="B22" t="s">
        <v>779</v>
      </c>
      <c r="C22" t="s">
        <v>4535</v>
      </c>
      <c r="D22" s="3">
        <f>SUMIFS(Mov!$J:$J,Mov!$E:$E,$A22,Mov!$K:$K,D$3)/1000</f>
        <v>76.346000000000004</v>
      </c>
      <c r="E22" s="3">
        <f>SUMIFS(Mov!$J:$J,Mov!$E:$E,$A22,Mov!$K:$K,E$3)/1000</f>
        <v>90.006</v>
      </c>
      <c r="F22" s="3">
        <f>SUMIFS(Mov!$J:$J,Mov!$E:$E,$A22,Mov!$K:$K,F$3)/1000</f>
        <v>96.254999999999995</v>
      </c>
      <c r="G22" s="3">
        <f>SUMIFS(Mov!$J:$J,Mov!$E:$E,$A22,Mov!$K:$K,G$3)/1000</f>
        <v>89.26</v>
      </c>
      <c r="H22" s="3">
        <f>SUMIFS(Mov!$J:$J,Mov!$E:$E,$A22,Mov!$K:$K,H$3)/1000</f>
        <v>47.054000000000002</v>
      </c>
      <c r="I22" s="3">
        <f t="shared" si="9"/>
        <v>47.054000000000002</v>
      </c>
      <c r="J22" s="3">
        <f t="shared" si="9"/>
        <v>47.054000000000002</v>
      </c>
      <c r="K22" s="3">
        <f t="shared" si="9"/>
        <v>47.054000000000002</v>
      </c>
      <c r="L22" s="3">
        <f t="shared" si="9"/>
        <v>47.054000000000002</v>
      </c>
      <c r="M22" s="3">
        <f t="shared" si="9"/>
        <v>47.054000000000002</v>
      </c>
      <c r="N22" s="3">
        <f t="shared" si="9"/>
        <v>47.054000000000002</v>
      </c>
      <c r="O22" s="3">
        <f t="shared" si="9"/>
        <v>47.054000000000002</v>
      </c>
      <c r="P22" s="12">
        <f t="shared" si="10"/>
        <v>728.29899999999975</v>
      </c>
      <c r="Q22" s="12"/>
      <c r="R22" s="12">
        <f t="shared" ca="1" si="11"/>
        <v>728.29899999999975</v>
      </c>
      <c r="S22" s="3">
        <v>85.826999999999998</v>
      </c>
    </row>
    <row r="23" spans="1:19" outlineLevel="1">
      <c r="A23">
        <v>510536</v>
      </c>
      <c r="B23" t="s">
        <v>783</v>
      </c>
      <c r="C23" t="s">
        <v>4536</v>
      </c>
      <c r="D23" s="3">
        <f>SUMIFS(Mov!$J:$J,Mov!$E:$E,$A23,Mov!$K:$K,D$3)/1000</f>
        <v>636.221</v>
      </c>
      <c r="E23" s="3">
        <f>SUMIFS(Mov!$J:$J,Mov!$E:$E,$A23,Mov!$K:$K,E$3)/1000</f>
        <v>750.048</v>
      </c>
      <c r="F23" s="3">
        <f>SUMIFS(Mov!$J:$J,Mov!$E:$E,$A23,Mov!$K:$K,F$3)/1000</f>
        <v>801.80899999999997</v>
      </c>
      <c r="G23" s="3">
        <f>SUMIFS(Mov!$J:$J,Mov!$E:$E,$A23,Mov!$K:$K,G$3)/1000</f>
        <v>743.53499999999997</v>
      </c>
      <c r="H23" s="3">
        <f>SUMIFS(Mov!$J:$J,Mov!$E:$E,$A23,Mov!$K:$K,H$3)/1000</f>
        <v>808.58399999999995</v>
      </c>
      <c r="I23" s="3">
        <f t="shared" si="9"/>
        <v>808.58399999999995</v>
      </c>
      <c r="J23" s="3">
        <f t="shared" si="9"/>
        <v>808.58399999999995</v>
      </c>
      <c r="K23" s="3">
        <f t="shared" si="9"/>
        <v>808.58399999999995</v>
      </c>
      <c r="L23" s="3">
        <f t="shared" si="9"/>
        <v>808.58399999999995</v>
      </c>
      <c r="M23" s="3">
        <f t="shared" si="9"/>
        <v>808.58399999999995</v>
      </c>
      <c r="N23" s="3">
        <f t="shared" si="9"/>
        <v>808.58399999999995</v>
      </c>
      <c r="O23" s="3">
        <f t="shared" si="9"/>
        <v>808.58399999999995</v>
      </c>
      <c r="P23" s="12">
        <f t="shared" si="10"/>
        <v>9400.2849999999999</v>
      </c>
      <c r="Q23" s="12"/>
      <c r="R23" s="12">
        <f t="shared" ca="1" si="11"/>
        <v>9400.2849999999999</v>
      </c>
      <c r="S23" s="3">
        <v>715.19899999999996</v>
      </c>
    </row>
    <row r="24" spans="1:19" outlineLevel="1">
      <c r="A24">
        <v>510539</v>
      </c>
      <c r="B24" t="s">
        <v>818</v>
      </c>
      <c r="C24" t="s">
        <v>4537</v>
      </c>
      <c r="D24" s="3">
        <f>SUMIFS(Mov!$J:$J,Mov!$E:$E,$A24,Mov!$K:$K,D$3)/1000</f>
        <v>288.81799999999998</v>
      </c>
      <c r="E24" s="3">
        <f>SUMIFS(Mov!$J:$J,Mov!$E:$E,$A24,Mov!$K:$K,E$3)/1000</f>
        <v>343.19299999999998</v>
      </c>
      <c r="F24" s="3">
        <f>SUMIFS(Mov!$J:$J,Mov!$E:$E,$A24,Mov!$K:$K,F$3)/1000</f>
        <v>366.79300000000001</v>
      </c>
      <c r="G24" s="3">
        <f>SUMIFS(Mov!$J:$J,Mov!$E:$E,$A24,Mov!$K:$K,G$3)/1000</f>
        <v>335.01400000000001</v>
      </c>
      <c r="H24" s="3">
        <f>SUMIFS(Mov!$J:$J,Mov!$E:$E,$A24,Mov!$K:$K,H$3)/1000</f>
        <v>375.99700000000001</v>
      </c>
      <c r="I24" s="3">
        <f t="shared" si="9"/>
        <v>375.99700000000001</v>
      </c>
      <c r="J24" s="3">
        <f t="shared" si="9"/>
        <v>375.99700000000001</v>
      </c>
      <c r="K24" s="3">
        <f t="shared" si="9"/>
        <v>375.99700000000001</v>
      </c>
      <c r="L24" s="3">
        <f t="shared" si="9"/>
        <v>375.99700000000001</v>
      </c>
      <c r="M24" s="3">
        <f t="shared" si="9"/>
        <v>375.99700000000001</v>
      </c>
      <c r="N24" s="3">
        <f t="shared" si="9"/>
        <v>375.99700000000001</v>
      </c>
      <c r="O24" s="3">
        <f t="shared" si="9"/>
        <v>375.99700000000001</v>
      </c>
      <c r="P24" s="12">
        <f t="shared" si="10"/>
        <v>4341.793999999999</v>
      </c>
      <c r="Q24" s="12"/>
      <c r="R24" s="12">
        <f t="shared" ca="1" si="11"/>
        <v>4341.793999999999</v>
      </c>
      <c r="S24" s="3">
        <v>341.02300000000002</v>
      </c>
    </row>
    <row r="25" spans="1:19" outlineLevel="1">
      <c r="A25">
        <v>510568</v>
      </c>
      <c r="B25" t="s">
        <v>680</v>
      </c>
      <c r="C25" t="s">
        <v>4538</v>
      </c>
      <c r="D25" s="3">
        <f>SUMIFS(Mov!$J:$J,Mov!$E:$E,$A25,Mov!$K:$K,D$3)/1000</f>
        <v>36.4</v>
      </c>
      <c r="E25" s="3">
        <f>SUMIFS(Mov!$J:$J,Mov!$E:$E,$A25,Mov!$K:$K,E$3)/1000</f>
        <v>43.1</v>
      </c>
      <c r="F25" s="3">
        <f>SUMIFS(Mov!$J:$J,Mov!$E:$E,$A25,Mov!$K:$K,F$3)/1000</f>
        <v>45.914999999999999</v>
      </c>
      <c r="G25" s="3">
        <f>SUMIFS(Mov!$J:$J,Mov!$E:$E,$A25,Mov!$K:$K,G$3)/1000</f>
        <v>42.581000000000003</v>
      </c>
      <c r="H25" s="3">
        <f>SUMIFS(Mov!$J:$J,Mov!$E:$E,$A25,Mov!$K:$K,H$3)/1000</f>
        <v>44.9</v>
      </c>
      <c r="I25" s="3">
        <f t="shared" si="9"/>
        <v>44.9</v>
      </c>
      <c r="J25" s="3">
        <f t="shared" si="9"/>
        <v>44.9</v>
      </c>
      <c r="K25" s="3">
        <f t="shared" si="9"/>
        <v>44.9</v>
      </c>
      <c r="L25" s="3">
        <f t="shared" si="9"/>
        <v>44.9</v>
      </c>
      <c r="M25" s="3">
        <f t="shared" si="9"/>
        <v>44.9</v>
      </c>
      <c r="N25" s="3">
        <f t="shared" si="9"/>
        <v>44.9</v>
      </c>
      <c r="O25" s="3">
        <f t="shared" si="9"/>
        <v>44.9</v>
      </c>
      <c r="P25" s="12">
        <f>SUM(D25:O25)</f>
        <v>527.19599999999991</v>
      </c>
      <c r="Q25" s="12"/>
      <c r="R25" s="12">
        <f t="shared" ca="1" si="11"/>
        <v>527.19599999999991</v>
      </c>
      <c r="S25" s="3">
        <v>42.704000000000001</v>
      </c>
    </row>
    <row r="26" spans="1:19" outlineLevel="1">
      <c r="A26">
        <v>510570</v>
      </c>
      <c r="B26" t="s">
        <v>1116</v>
      </c>
      <c r="C26" t="s">
        <v>4539</v>
      </c>
      <c r="D26" s="3">
        <f>SUMIFS(Mov!$J:$J,Mov!$E:$E,$A26,Mov!$K:$K,D$3)/1000</f>
        <v>865.8</v>
      </c>
      <c r="E26" s="3">
        <f>SUMIFS(Mov!$J:$J,Mov!$E:$E,$A26,Mov!$K:$K,E$3)/1000</f>
        <v>988.6</v>
      </c>
      <c r="F26" s="3">
        <f>SUMIFS(Mov!$J:$J,Mov!$E:$E,$A26,Mov!$K:$K,F$3)/1000</f>
        <v>1065.52</v>
      </c>
      <c r="G26" s="3">
        <f>SUMIFS(Mov!$J:$J,Mov!$E:$E,$A26,Mov!$K:$K,G$3)/1000</f>
        <v>978.88300000000004</v>
      </c>
      <c r="H26" s="3">
        <f>SUMIFS(Mov!$J:$J,Mov!$E:$E,$A26,Mov!$K:$K,H$3)/1000</f>
        <v>1112.3430000000001</v>
      </c>
      <c r="I26" s="3">
        <f t="shared" si="9"/>
        <v>1112.3430000000001</v>
      </c>
      <c r="J26" s="3">
        <f t="shared" si="9"/>
        <v>1112.3430000000001</v>
      </c>
      <c r="K26" s="3">
        <f t="shared" si="9"/>
        <v>1112.3430000000001</v>
      </c>
      <c r="L26" s="3">
        <f t="shared" si="9"/>
        <v>1112.3430000000001</v>
      </c>
      <c r="M26" s="3">
        <f t="shared" si="9"/>
        <v>1112.3430000000001</v>
      </c>
      <c r="N26" s="3">
        <f t="shared" si="9"/>
        <v>1112.3430000000001</v>
      </c>
      <c r="O26" s="3">
        <f t="shared" si="9"/>
        <v>1112.3430000000001</v>
      </c>
      <c r="P26" s="12">
        <f>SUM(D26:O26)</f>
        <v>12797.547000000002</v>
      </c>
      <c r="Q26" s="12"/>
      <c r="R26" s="12">
        <f t="shared" ca="1" si="11"/>
        <v>12797.547000000002</v>
      </c>
      <c r="S26" s="3">
        <v>981.4</v>
      </c>
    </row>
    <row r="27" spans="1:19" outlineLevel="1">
      <c r="A27">
        <v>510569</v>
      </c>
      <c r="B27" t="s">
        <v>4540</v>
      </c>
      <c r="C27" t="s">
        <v>4538</v>
      </c>
      <c r="D27" s="3">
        <f>SUMIFS(Mov!$J:$J,Mov!$E:$E,$A27,Mov!$K:$K,D$3)/1000</f>
        <v>8.6999999999999993</v>
      </c>
      <c r="E27" s="3">
        <f>SUMIFS(Mov!$J:$J,Mov!$E:$E,$A27,Mov!$K:$K,E$3)/1000</f>
        <v>0</v>
      </c>
      <c r="F27" s="3">
        <f>SUMIFS(Mov!$J:$J,Mov!$E:$E,$A27,Mov!$K:$K,F$3)/1000</f>
        <v>0</v>
      </c>
      <c r="G27" s="3">
        <f>SUMIFS(Mov!$J:$J,Mov!$E:$E,$A27,Mov!$K:$K,G$3)/1000</f>
        <v>0</v>
      </c>
      <c r="H27" s="3">
        <f>SUMIFS(Mov!$J:$J,Mov!$E:$E,$A27,Mov!$K:$K,H$3)/1000</f>
        <v>7.5430000000000001</v>
      </c>
      <c r="I27" s="3">
        <f t="shared" si="9"/>
        <v>7.5430000000000001</v>
      </c>
      <c r="J27" s="3">
        <f t="shared" si="9"/>
        <v>7.5430000000000001</v>
      </c>
      <c r="K27" s="3">
        <f t="shared" si="9"/>
        <v>7.5430000000000001</v>
      </c>
      <c r="L27" s="3">
        <f t="shared" si="9"/>
        <v>7.5430000000000001</v>
      </c>
      <c r="M27" s="3">
        <f t="shared" si="9"/>
        <v>7.5430000000000001</v>
      </c>
      <c r="N27" s="3">
        <f t="shared" si="9"/>
        <v>7.5430000000000001</v>
      </c>
      <c r="O27" s="3">
        <f t="shared" si="9"/>
        <v>7.5430000000000001</v>
      </c>
      <c r="P27" s="12">
        <f t="shared" si="10"/>
        <v>69.043999999999997</v>
      </c>
      <c r="Q27" s="12"/>
      <c r="R27" s="12">
        <f t="shared" ca="1" si="11"/>
        <v>69.043999999999997</v>
      </c>
      <c r="S27" s="3">
        <v>128</v>
      </c>
    </row>
    <row r="28" spans="1:19" outlineLevel="1">
      <c r="A28">
        <v>510572</v>
      </c>
      <c r="B28" t="s">
        <v>1118</v>
      </c>
      <c r="C28" t="s">
        <v>4541</v>
      </c>
      <c r="D28" s="3">
        <f>SUMIFS(Mov!$J:$J,Mov!$E:$E,$A28,Mov!$K:$K,D$3)/1000</f>
        <v>144.30000000000001</v>
      </c>
      <c r="E28" s="3">
        <f>SUMIFS(Mov!$J:$J,Mov!$E:$E,$A28,Mov!$K:$K,E$3)/1000</f>
        <v>164.7</v>
      </c>
      <c r="F28" s="3">
        <f>SUMIFS(Mov!$J:$J,Mov!$E:$E,$A28,Mov!$K:$K,F$3)/1000</f>
        <v>174.7</v>
      </c>
      <c r="G28" s="3">
        <f>SUMIFS(Mov!$J:$J,Mov!$E:$E,$A28,Mov!$K:$K,G$3)/1000</f>
        <v>163.114</v>
      </c>
      <c r="H28" s="3">
        <f>SUMIFS(Mov!$J:$J,Mov!$E:$E,$A28,Mov!$K:$K,H$3)/1000</f>
        <v>187.4</v>
      </c>
      <c r="I28" s="3">
        <f t="shared" si="9"/>
        <v>187.4</v>
      </c>
      <c r="J28" s="3">
        <f t="shared" si="9"/>
        <v>187.4</v>
      </c>
      <c r="K28" s="3">
        <f t="shared" si="9"/>
        <v>187.4</v>
      </c>
      <c r="L28" s="3">
        <f t="shared" si="9"/>
        <v>187.4</v>
      </c>
      <c r="M28" s="3">
        <f t="shared" si="9"/>
        <v>187.4</v>
      </c>
      <c r="N28" s="3">
        <f t="shared" si="9"/>
        <v>187.4</v>
      </c>
      <c r="O28" s="3">
        <f t="shared" si="9"/>
        <v>187.4</v>
      </c>
      <c r="P28" s="12">
        <f t="shared" si="10"/>
        <v>2146.0140000000001</v>
      </c>
      <c r="Q28" s="12"/>
      <c r="R28" s="12">
        <f t="shared" ca="1" si="11"/>
        <v>2146.0140000000001</v>
      </c>
      <c r="S28" s="3">
        <v>81.78</v>
      </c>
    </row>
    <row r="29" spans="1:19">
      <c r="C29" s="64" t="s">
        <v>4356</v>
      </c>
      <c r="D29" s="66">
        <f t="shared" ref="D29:O29" si="12">SUM(D21:D28)</f>
        <v>2671.5389999999998</v>
      </c>
      <c r="E29" s="66">
        <f t="shared" si="12"/>
        <v>3129.6949999999997</v>
      </c>
      <c r="F29" s="66">
        <f t="shared" si="12"/>
        <v>3352.8009999999999</v>
      </c>
      <c r="G29" s="66">
        <f t="shared" si="12"/>
        <v>3095.922</v>
      </c>
      <c r="H29" s="66">
        <f t="shared" si="12"/>
        <v>3393.9740000000002</v>
      </c>
      <c r="I29" s="66">
        <f t="shared" si="12"/>
        <v>3393.9740000000002</v>
      </c>
      <c r="J29" s="66">
        <f t="shared" si="12"/>
        <v>3393.9740000000002</v>
      </c>
      <c r="K29" s="66">
        <f t="shared" si="12"/>
        <v>3393.9740000000002</v>
      </c>
      <c r="L29" s="66">
        <f t="shared" si="12"/>
        <v>3393.9740000000002</v>
      </c>
      <c r="M29" s="66">
        <f t="shared" si="12"/>
        <v>3393.9740000000002</v>
      </c>
      <c r="N29" s="66">
        <f t="shared" si="12"/>
        <v>3393.9740000000002</v>
      </c>
      <c r="O29" s="66">
        <f t="shared" si="12"/>
        <v>3393.9740000000002</v>
      </c>
      <c r="P29" s="66">
        <f t="shared" ref="P29:P34" si="13">SUM(D29:O29)</f>
        <v>39401.749000000011</v>
      </c>
      <c r="Q29" s="12"/>
      <c r="R29" s="66">
        <f t="shared" ca="1" si="11"/>
        <v>39401.749000000011</v>
      </c>
      <c r="S29" s="66">
        <f t="shared" ref="S29" si="14">SUM(S21:S28)</f>
        <v>3091.1320000000001</v>
      </c>
    </row>
    <row r="30" spans="1:19" hidden="1" outlineLevel="1">
      <c r="A30">
        <v>510595</v>
      </c>
      <c r="B30" t="s">
        <v>150</v>
      </c>
      <c r="C30" t="s">
        <v>4544</v>
      </c>
      <c r="D30" s="3">
        <f>SUMIFS(Mov!$J:$J,Mov!$E:$E,$A30,Mov!$K:$K,D$3)/1000</f>
        <v>0</v>
      </c>
      <c r="E30" s="3">
        <f>SUMIFS(Mov!$J:$J,Mov!$E:$E,$A30,Mov!$K:$K,E$3)/1000</f>
        <v>0</v>
      </c>
      <c r="F30" s="3">
        <f>SUMIFS(Mov!$J:$J,Mov!$E:$E,$A30,Mov!$K:$K,F$3)/1000</f>
        <v>0</v>
      </c>
      <c r="G30" s="3">
        <f>SUMIFS(Mov!$J:$J,Mov!$E:$E,$A30,Mov!$K:$K,G$3)/1000</f>
        <v>0</v>
      </c>
      <c r="H30" s="3">
        <f>SUMIFS(Mov!$J:$J,Mov!$E:$E,$A30,Mov!$K:$K,H$3)/1000</f>
        <v>0</v>
      </c>
      <c r="I30" s="3">
        <f>SUMIFS(Mov!$J:$J,Mov!$E:$E,$A30,Mov!$K:$K,I$3)/1000</f>
        <v>0</v>
      </c>
      <c r="J30" s="3">
        <f>SUMIFS(Mov!$J:$J,Mov!$E:$E,$A30,Mov!$K:$K,J$3)/1000</f>
        <v>0</v>
      </c>
      <c r="K30" s="3">
        <f>SUMIFS(Mov!$J:$J,Mov!$E:$E,$A30,Mov!$K:$K,K$3)/1000</f>
        <v>0</v>
      </c>
      <c r="L30" s="3">
        <f>SUMIFS(Mov!$J:$J,Mov!$E:$E,$A30,Mov!$K:$K,L$3)/1000</f>
        <v>0</v>
      </c>
      <c r="M30" s="3">
        <f>SUMIFS(Mov!$J:$J,Mov!$E:$E,$A30,Mov!$K:$K,M$3)/1000</f>
        <v>0</v>
      </c>
      <c r="N30" s="3">
        <f>SUMIFS(Mov!$J:$J,Mov!$E:$E,$A30,Mov!$K:$K,N$3)/1000</f>
        <v>0</v>
      </c>
      <c r="O30" s="3">
        <f>SUMIFS(Mov!$J:$J,Mov!$E:$E,$A30,Mov!$K:$K,O$3)/1000</f>
        <v>0</v>
      </c>
      <c r="P30" s="12">
        <f t="shared" si="13"/>
        <v>0</v>
      </c>
      <c r="Q30" s="12"/>
      <c r="R30" s="12">
        <f t="shared" ca="1" si="11"/>
        <v>0</v>
      </c>
      <c r="S30" s="3">
        <v>0</v>
      </c>
    </row>
    <row r="31" spans="1:19" hidden="1" outlineLevel="1">
      <c r="A31">
        <v>51052101</v>
      </c>
      <c r="B31" t="s">
        <v>1085</v>
      </c>
      <c r="C31" t="s">
        <v>4543</v>
      </c>
      <c r="D31" s="3">
        <f>SUMIFS(Mov!$J:$J,Mov!$E:$E,$A31,Mov!$K:$K,D$3)/1000</f>
        <v>0</v>
      </c>
      <c r="E31" s="3">
        <f>SUMIFS(Mov!$J:$J,Mov!$E:$E,$A31,Mov!$K:$K,E$3)/1000</f>
        <v>0</v>
      </c>
      <c r="F31" s="3">
        <f>SUMIFS(Mov!$J:$J,Mov!$E:$E,$A31,Mov!$K:$K,F$3)/1000</f>
        <v>0</v>
      </c>
      <c r="G31" s="3">
        <f>SUMIFS(Mov!$J:$J,Mov!$E:$E,$A31,Mov!$K:$K,G$3)/1000</f>
        <v>0</v>
      </c>
      <c r="H31" s="3">
        <f>SUMIFS(Mov!$J:$J,Mov!$E:$E,$A31,Mov!$K:$K,H$3)/1000</f>
        <v>0</v>
      </c>
      <c r="I31" s="3">
        <f>SUMIFS(Mov!$J:$J,Mov!$E:$E,$A31,Mov!$K:$K,I$3)/1000</f>
        <v>0</v>
      </c>
      <c r="J31" s="3">
        <f>SUMIFS(Mov!$J:$J,Mov!$E:$E,$A31,Mov!$K:$K,J$3)/1000</f>
        <v>0</v>
      </c>
      <c r="K31" s="3">
        <f>SUMIFS(Mov!$J:$J,Mov!$E:$E,$A31,Mov!$K:$K,K$3)/1000</f>
        <v>0</v>
      </c>
      <c r="L31" s="3">
        <f>SUMIFS(Mov!$J:$J,Mov!$E:$E,$A31,Mov!$K:$K,L$3)/1000</f>
        <v>0</v>
      </c>
      <c r="M31" s="3">
        <f>SUMIFS(Mov!$J:$J,Mov!$E:$E,$A31,Mov!$K:$K,M$3)/1000</f>
        <v>0</v>
      </c>
      <c r="N31" s="3">
        <f>SUMIFS(Mov!$J:$J,Mov!$E:$E,$A31,Mov!$K:$K,N$3)/1000</f>
        <v>0</v>
      </c>
      <c r="O31" s="3">
        <f>SUMIFS(Mov!$J:$J,Mov!$E:$E,$A31,Mov!$K:$K,O$3)/1000</f>
        <v>0</v>
      </c>
      <c r="P31" s="12">
        <f t="shared" si="13"/>
        <v>0</v>
      </c>
      <c r="R31">
        <f t="shared" ca="1" si="11"/>
        <v>0</v>
      </c>
      <c r="S31" s="3">
        <v>0</v>
      </c>
    </row>
    <row r="32" spans="1:19" hidden="1" outlineLevel="1">
      <c r="A32">
        <v>51059501</v>
      </c>
      <c r="B32" t="s">
        <v>1130</v>
      </c>
      <c r="C32" t="s">
        <v>4545</v>
      </c>
      <c r="D32" s="3">
        <f>SUMIFS(Mov!$J:$J,Mov!$E:$E,$A32,Mov!$K:$K,D$3)/1000</f>
        <v>0</v>
      </c>
      <c r="E32" s="3">
        <f>SUMIFS(Mov!$J:$J,Mov!$E:$E,$A32,Mov!$K:$K,E$3)/1000</f>
        <v>292.5</v>
      </c>
      <c r="F32" s="3">
        <f>SUMIFS(Mov!$J:$J,Mov!$E:$E,$A32,Mov!$K:$K,F$3)/1000</f>
        <v>0</v>
      </c>
      <c r="G32" s="3">
        <f>SUMIFS(Mov!$J:$J,Mov!$E:$E,$A32,Mov!$K:$K,G$3)/1000</f>
        <v>58.5</v>
      </c>
      <c r="H32" s="3">
        <f>SUMIFS(Mov!$J:$J,Mov!$E:$E,$A32,Mov!$K:$K,H$3)/1000</f>
        <v>58.5</v>
      </c>
      <c r="I32" s="3">
        <f>SUMIFS(Mov!$J:$J,Mov!$E:$E,$A32,Mov!$K:$K,I$3)/1000</f>
        <v>0</v>
      </c>
      <c r="J32" s="3">
        <f>SUMIFS(Mov!$J:$J,Mov!$E:$E,$A32,Mov!$K:$K,J$3)/1000</f>
        <v>0</v>
      </c>
      <c r="K32" s="3">
        <f>SUMIFS(Mov!$J:$J,Mov!$E:$E,$A32,Mov!$K:$K,K$3)/1000</f>
        <v>0</v>
      </c>
      <c r="L32" s="3">
        <f>SUMIFS(Mov!$J:$J,Mov!$E:$E,$A32,Mov!$K:$K,L$3)/1000</f>
        <v>58.5</v>
      </c>
      <c r="M32" s="3">
        <f>SUMIFS(Mov!$J:$J,Mov!$E:$E,$A32,Mov!$K:$K,M$3)/1000</f>
        <v>0</v>
      </c>
      <c r="N32" s="3">
        <f>SUMIFS(Mov!$J:$J,Mov!$E:$E,$A32,Mov!$K:$K,N$3)/1000</f>
        <v>0</v>
      </c>
      <c r="O32" s="3">
        <f>SUMIFS(Mov!$J:$J,Mov!$E:$E,$A32,Mov!$K:$K,O$3)/1000</f>
        <v>387</v>
      </c>
      <c r="P32" s="12">
        <f t="shared" si="13"/>
        <v>855</v>
      </c>
      <c r="Q32" s="12"/>
      <c r="R32" s="12">
        <f t="shared" ref="R32" ca="1" si="15">SUM(OFFSET(D32,0,0,1,R$3))</f>
        <v>855</v>
      </c>
      <c r="S32" s="3">
        <v>49</v>
      </c>
    </row>
    <row r="33" spans="1:21" hidden="1" outlineLevel="1">
      <c r="A33">
        <v>51059510</v>
      </c>
      <c r="B33" t="s">
        <v>4546</v>
      </c>
      <c r="C33" t="s">
        <v>4545</v>
      </c>
      <c r="D33" s="3">
        <f>SUMIFS(Mov!$J:$J,Mov!$E:$E,$A33,Mov!$K:$K,D$3)/1000</f>
        <v>0</v>
      </c>
      <c r="E33" s="3">
        <f>SUMIFS(Mov!$J:$J,Mov!$E:$E,$A33,Mov!$K:$K,E$3)/1000</f>
        <v>0</v>
      </c>
      <c r="F33" s="3">
        <f>SUMIFS(Mov!$J:$J,Mov!$E:$E,$A33,Mov!$K:$K,F$3)/1000</f>
        <v>0</v>
      </c>
      <c r="G33" s="3">
        <f>SUMIFS(Mov!$J:$J,Mov!$E:$E,$A33,Mov!$K:$K,G$3)/1000</f>
        <v>0</v>
      </c>
      <c r="H33" s="3">
        <f>SUMIFS(Mov!$J:$J,Mov!$E:$E,$A33,Mov!$K:$K,H$3)/1000</f>
        <v>0</v>
      </c>
      <c r="I33" s="3">
        <f>SUMIFS(Mov!$J:$J,Mov!$E:$E,$A33,Mov!$K:$K,I$3)/1000</f>
        <v>0</v>
      </c>
      <c r="J33" s="3">
        <f>SUMIFS(Mov!$J:$J,Mov!$E:$E,$A33,Mov!$K:$K,J$3)/1000</f>
        <v>0</v>
      </c>
      <c r="K33" s="3">
        <f>SUMIFS(Mov!$J:$J,Mov!$E:$E,$A33,Mov!$K:$K,K$3)/1000</f>
        <v>9747.8989999999994</v>
      </c>
      <c r="L33" s="3">
        <f>SUMIFS(Mov!$J:$J,Mov!$E:$E,$A33,Mov!$K:$K,L$3)/1000</f>
        <v>1244.3</v>
      </c>
      <c r="M33" s="3">
        <f>SUMIFS(Mov!$J:$J,Mov!$E:$E,$A33,Mov!$K:$K,M$3)/1000</f>
        <v>0</v>
      </c>
      <c r="N33" s="3">
        <f>SUMIFS(Mov!$J:$J,Mov!$E:$E,$A33,Mov!$K:$K,N$3)/1000</f>
        <v>0</v>
      </c>
      <c r="O33" s="3">
        <f>SUMIFS(Mov!$J:$J,Mov!$E:$E,$A33,Mov!$K:$K,O$3)/1000</f>
        <v>0</v>
      </c>
      <c r="P33" s="12">
        <f t="shared" si="13"/>
        <v>10992.198999999999</v>
      </c>
      <c r="Q33" s="12"/>
      <c r="R33" s="12">
        <f t="shared" ca="1" si="11"/>
        <v>10992.198999999999</v>
      </c>
      <c r="S33" s="3">
        <v>0</v>
      </c>
    </row>
    <row r="34" spans="1:21" hidden="1" collapsed="1">
      <c r="C34" s="64" t="s">
        <v>4547</v>
      </c>
      <c r="D34" s="66">
        <f t="shared" ref="D34:O34" si="16">SUM(D30:D33)</f>
        <v>0</v>
      </c>
      <c r="E34" s="66">
        <f t="shared" si="16"/>
        <v>292.5</v>
      </c>
      <c r="F34" s="66">
        <f t="shared" si="16"/>
        <v>0</v>
      </c>
      <c r="G34" s="66">
        <f t="shared" si="16"/>
        <v>58.5</v>
      </c>
      <c r="H34" s="66">
        <f t="shared" si="16"/>
        <v>58.5</v>
      </c>
      <c r="I34" s="66">
        <f t="shared" si="16"/>
        <v>0</v>
      </c>
      <c r="J34" s="66">
        <f t="shared" si="16"/>
        <v>0</v>
      </c>
      <c r="K34" s="66">
        <f t="shared" si="16"/>
        <v>9747.8989999999994</v>
      </c>
      <c r="L34" s="66">
        <f t="shared" si="16"/>
        <v>1302.8</v>
      </c>
      <c r="M34" s="66">
        <f t="shared" si="16"/>
        <v>0</v>
      </c>
      <c r="N34" s="66">
        <f t="shared" si="16"/>
        <v>0</v>
      </c>
      <c r="O34" s="66">
        <f t="shared" si="16"/>
        <v>387</v>
      </c>
      <c r="P34" s="66">
        <f t="shared" si="13"/>
        <v>11847.198999999999</v>
      </c>
      <c r="Q34" s="12"/>
      <c r="R34" s="66">
        <f t="shared" ca="1" si="11"/>
        <v>11847.198999999999</v>
      </c>
      <c r="S34" s="66">
        <f t="shared" ref="S34" si="17">SUM(S30:S33)</f>
        <v>49</v>
      </c>
    </row>
    <row r="35" spans="1:21">
      <c r="B35" s="1" t="s">
        <v>4548</v>
      </c>
      <c r="C35" s="1" t="s">
        <v>4548</v>
      </c>
      <c r="D35" s="13">
        <f t="shared" ref="D35:P35" si="18">D20+D29+D34</f>
        <v>10010.569</v>
      </c>
      <c r="E35" s="13">
        <f t="shared" si="18"/>
        <v>11687.546999999999</v>
      </c>
      <c r="F35" s="13">
        <f t="shared" si="18"/>
        <v>12912.367</v>
      </c>
      <c r="G35" s="13">
        <f t="shared" si="18"/>
        <v>11557.61</v>
      </c>
      <c r="H35" s="13">
        <f t="shared" si="18"/>
        <v>11693.521000000001</v>
      </c>
      <c r="I35" s="13">
        <f t="shared" si="18"/>
        <v>11635.021000000001</v>
      </c>
      <c r="J35" s="13">
        <f t="shared" si="18"/>
        <v>11635.021000000001</v>
      </c>
      <c r="K35" s="13">
        <f t="shared" si="18"/>
        <v>21382.92</v>
      </c>
      <c r="L35" s="13">
        <f t="shared" si="18"/>
        <v>12937.821</v>
      </c>
      <c r="M35" s="13">
        <f t="shared" si="18"/>
        <v>11635.021000000001</v>
      </c>
      <c r="N35" s="13">
        <f t="shared" si="18"/>
        <v>11635.021000000001</v>
      </c>
      <c r="O35" s="13">
        <f t="shared" si="18"/>
        <v>18560.908000000003</v>
      </c>
      <c r="P35" s="13">
        <f t="shared" si="18"/>
        <v>157283.34699999998</v>
      </c>
      <c r="Q35" s="12"/>
      <c r="R35" s="13">
        <f ca="1">R20+R29+R34</f>
        <v>157283.34699999998</v>
      </c>
      <c r="S35" s="13">
        <f t="shared" ref="S35" si="19">S20+S29+S34</f>
        <v>12072.656999999999</v>
      </c>
    </row>
    <row r="36" spans="1:21">
      <c r="D36" s="12"/>
      <c r="E36" s="12"/>
      <c r="F36" s="12"/>
      <c r="G36" s="12"/>
      <c r="H36" s="12"/>
      <c r="I36" s="12"/>
      <c r="J36" s="12"/>
      <c r="K36" s="12"/>
      <c r="L36" s="12"/>
      <c r="M36" s="12"/>
      <c r="N36" s="12"/>
      <c r="O36" s="12"/>
      <c r="P36" s="12"/>
      <c r="Q36" s="12"/>
      <c r="R36" s="12"/>
      <c r="S36" s="12"/>
    </row>
    <row r="37" spans="1:21" hidden="1" outlineLevel="1">
      <c r="A37">
        <v>511010</v>
      </c>
      <c r="B37" t="s">
        <v>1138</v>
      </c>
      <c r="C37" t="s">
        <v>4549</v>
      </c>
      <c r="D37" s="3">
        <f>SUMIFS(Mov!$J:$J,Mov!$E:$E,$A37,Mov!$K:$K,D$3)/1000</f>
        <v>0</v>
      </c>
      <c r="E37" s="3">
        <f>SUMIFS(Mov!$J:$J,Mov!$E:$E,$A37,Mov!$K:$K,E$3)/1000</f>
        <v>0</v>
      </c>
      <c r="F37" s="3">
        <f>SUMIFS(Mov!$J:$J,Mov!$E:$E,$A37,Mov!$K:$K,F$3)/1000</f>
        <v>0</v>
      </c>
      <c r="G37" s="3">
        <f>SUMIFS(Mov!$J:$J,Mov!$E:$E,$A37,Mov!$K:$K,G$3)/1000</f>
        <v>0</v>
      </c>
      <c r="H37" s="3">
        <f>SUMIFS(Mov!$J:$J,Mov!$E:$E,$A37,Mov!$K:$K,H$3)/1000</f>
        <v>0</v>
      </c>
      <c r="I37" s="3">
        <f>SUMIFS(Mov!$J:$J,Mov!$E:$E,$A37,Mov!$K:$K,I$3)/1000</f>
        <v>0</v>
      </c>
      <c r="J37" s="3">
        <f>SUMIFS(Mov!$J:$J,Mov!$E:$E,$A37,Mov!$K:$K,J$3)/1000</f>
        <v>0</v>
      </c>
      <c r="K37" s="3">
        <f>SUMIFS(Mov!$J:$J,Mov!$E:$E,$A37,Mov!$K:$K,K$3)/1000</f>
        <v>0</v>
      </c>
      <c r="L37" s="3">
        <f>SUMIFS(Mov!$J:$J,Mov!$E:$E,$A37,Mov!$K:$K,L$3)/1000</f>
        <v>0</v>
      </c>
      <c r="M37" s="3">
        <f>SUMIFS(Mov!$J:$J,Mov!$E:$E,$A37,Mov!$K:$K,M$3)/1000</f>
        <v>0</v>
      </c>
      <c r="N37" s="3">
        <f>SUMIFS(Mov!$J:$J,Mov!$E:$E,$A37,Mov!$K:$K,N$3)/1000</f>
        <v>0</v>
      </c>
      <c r="O37" s="3">
        <f>SUMIFS(Mov!$J:$J,Mov!$E:$E,$A37,Mov!$K:$K,O$3)/1000</f>
        <v>0</v>
      </c>
      <c r="P37" s="12">
        <f>SUM(D37:O37)</f>
        <v>0</v>
      </c>
      <c r="Q37" s="12"/>
      <c r="R37" s="12">
        <f ca="1">SUM(OFFSET(D37,0,0,1,R$3))</f>
        <v>0</v>
      </c>
      <c r="S37" s="3">
        <v>0</v>
      </c>
    </row>
    <row r="38" spans="1:21" outlineLevel="1">
      <c r="A38">
        <v>51102501</v>
      </c>
      <c r="B38" t="s">
        <v>1147</v>
      </c>
      <c r="C38" t="s">
        <v>4550</v>
      </c>
      <c r="D38" s="3">
        <f>SUMIFS(Mov!$J:$J,Mov!$E:$E,$A38,Mov!$K:$K,D$3)/1000</f>
        <v>0</v>
      </c>
      <c r="E38" s="3">
        <f>SUMIFS(Mov!$J:$J,Mov!$E:$E,$A38,Mov!$K:$K,E$3)/1000</f>
        <v>0</v>
      </c>
      <c r="F38" s="3">
        <f>SUMIFS(Mov!$J:$J,Mov!$E:$E,$A38,Mov!$K:$K,F$3)/1000</f>
        <v>0</v>
      </c>
      <c r="G38" s="3">
        <f>SUMIFS(Mov!$J:$J,Mov!$E:$E,$A38,Mov!$K:$K,G$3)/1000</f>
        <v>0</v>
      </c>
      <c r="H38" s="3">
        <f>SUMIFS(Mov!$J:$J,Mov!$E:$E,$A38,Mov!$K:$K,H$3)/1000</f>
        <v>0</v>
      </c>
      <c r="I38" s="3">
        <f t="shared" ref="I38:O39" si="20">H38</f>
        <v>0</v>
      </c>
      <c r="J38" s="3">
        <f t="shared" si="20"/>
        <v>0</v>
      </c>
      <c r="K38" s="3">
        <f t="shared" si="20"/>
        <v>0</v>
      </c>
      <c r="L38" s="3">
        <f t="shared" si="20"/>
        <v>0</v>
      </c>
      <c r="M38" s="3">
        <f t="shared" si="20"/>
        <v>0</v>
      </c>
      <c r="N38" s="3">
        <f t="shared" si="20"/>
        <v>0</v>
      </c>
      <c r="O38" s="3">
        <f t="shared" si="20"/>
        <v>0</v>
      </c>
      <c r="P38" s="12">
        <f>SUM(D38:O38)</f>
        <v>0</v>
      </c>
      <c r="Q38" s="12"/>
      <c r="R38" s="12">
        <f ca="1">SUM(OFFSET(D38,0,0,1,R$3))</f>
        <v>0</v>
      </c>
      <c r="S38" s="3">
        <v>0</v>
      </c>
    </row>
    <row r="39" spans="1:21" outlineLevel="1">
      <c r="A39">
        <v>51109501</v>
      </c>
      <c r="B39" t="s">
        <v>1154</v>
      </c>
      <c r="C39" t="s">
        <v>4551</v>
      </c>
      <c r="D39" s="3">
        <f>SUMIFS(Mov!$J:$J,Mov!$E:$E,$A39,Mov!$K:$K,D$3)/1000</f>
        <v>0</v>
      </c>
      <c r="E39" s="3">
        <f>SUMIFS(Mov!$J:$J,Mov!$E:$E,$A39,Mov!$K:$K,E$3)/1000</f>
        <v>0</v>
      </c>
      <c r="F39" s="3">
        <f>SUMIFS(Mov!$J:$J,Mov!$E:$E,$A39,Mov!$K:$K,F$3)/1000</f>
        <v>0</v>
      </c>
      <c r="G39" s="3">
        <f>SUMIFS(Mov!$J:$J,Mov!$E:$E,$A39,Mov!$K:$K,G$3)/1000</f>
        <v>0</v>
      </c>
      <c r="H39" s="3">
        <f>SUMIFS(Mov!$J:$J,Mov!$E:$E,$A39,Mov!$K:$K,H$3)/1000</f>
        <v>0</v>
      </c>
      <c r="I39" s="3">
        <v>100</v>
      </c>
      <c r="J39" s="3">
        <f t="shared" si="20"/>
        <v>100</v>
      </c>
      <c r="K39" s="3">
        <f t="shared" si="20"/>
        <v>100</v>
      </c>
      <c r="L39" s="3">
        <f t="shared" si="20"/>
        <v>100</v>
      </c>
      <c r="M39" s="3">
        <f t="shared" si="20"/>
        <v>100</v>
      </c>
      <c r="N39" s="3">
        <f t="shared" si="20"/>
        <v>100</v>
      </c>
      <c r="O39" s="3">
        <f t="shared" si="20"/>
        <v>100</v>
      </c>
      <c r="P39" s="12">
        <f>SUM(D39:O39)</f>
        <v>700</v>
      </c>
      <c r="Q39" s="12"/>
      <c r="R39" s="12">
        <f ca="1">SUM(OFFSET(D39,0,0,1,R$3))</f>
        <v>700</v>
      </c>
      <c r="S39" s="3">
        <v>2255.04</v>
      </c>
    </row>
    <row r="40" spans="1:21" outlineLevel="1">
      <c r="A40">
        <v>51109502</v>
      </c>
      <c r="B40" t="s">
        <v>1734</v>
      </c>
      <c r="C40" t="s">
        <v>4553</v>
      </c>
      <c r="D40" s="3">
        <f>SUMIFS(Mov!$J:$J,Mov!$E:$E,$A40,Mov!$K:$K,D$3)/1000</f>
        <v>0</v>
      </c>
      <c r="E40" s="3">
        <f>SUMIFS(Mov!$J:$J,Mov!$E:$E,$A40,Mov!$K:$K,E$3)/1000</f>
        <v>0</v>
      </c>
      <c r="F40" s="3">
        <f>SUMIFS(Mov!$J:$J,Mov!$E:$E,$A40,Mov!$K:$K,F$3)/1000</f>
        <v>675</v>
      </c>
      <c r="G40" s="3">
        <f>SUMIFS(Mov!$J:$J,Mov!$E:$E,$A40,Mov!$K:$K,G$3)/1000</f>
        <v>0</v>
      </c>
      <c r="H40" s="3">
        <f>SUMIFS(Mov!$J:$J,Mov!$E:$E,$A40,Mov!$K:$K,H$3)/1000</f>
        <v>0</v>
      </c>
      <c r="I40" s="3">
        <f t="shared" ref="I40:O40" si="21">H40</f>
        <v>0</v>
      </c>
      <c r="J40" s="3">
        <f t="shared" si="21"/>
        <v>0</v>
      </c>
      <c r="K40" s="3">
        <f t="shared" si="21"/>
        <v>0</v>
      </c>
      <c r="L40" s="3">
        <f t="shared" si="21"/>
        <v>0</v>
      </c>
      <c r="M40" s="3">
        <f t="shared" si="21"/>
        <v>0</v>
      </c>
      <c r="N40" s="3">
        <f t="shared" si="21"/>
        <v>0</v>
      </c>
      <c r="O40" s="3">
        <f t="shared" si="21"/>
        <v>0</v>
      </c>
      <c r="P40" s="12">
        <f>SUM(D40:O40)</f>
        <v>675</v>
      </c>
      <c r="Q40" s="12"/>
      <c r="R40" s="12">
        <f ca="1">SUM(OFFSET(D40,0,0,1,R$3))</f>
        <v>675</v>
      </c>
      <c r="S40" s="3">
        <v>2255.04</v>
      </c>
    </row>
    <row r="41" spans="1:21" hidden="1" outlineLevel="1">
      <c r="A41">
        <v>51351501</v>
      </c>
      <c r="B41" t="s">
        <v>476</v>
      </c>
      <c r="C41" t="s">
        <v>4554</v>
      </c>
      <c r="D41" s="3">
        <f>SUMIFS(Mov!$J:$J,Mov!$E:$E,$A41,Mov!$K:$K,D$3)/1000</f>
        <v>0</v>
      </c>
      <c r="E41" s="3">
        <f>SUMIFS(Mov!$J:$J,Mov!$E:$E,$A41,Mov!$K:$K,E$3)/1000</f>
        <v>0</v>
      </c>
      <c r="F41" s="3">
        <f>SUMIFS(Mov!$J:$J,Mov!$E:$E,$A41,Mov!$K:$K,F$3)/1000</f>
        <v>0</v>
      </c>
      <c r="G41" s="3">
        <f>SUMIFS(Mov!$J:$J,Mov!$E:$E,$A41,Mov!$K:$K,G$3)/1000</f>
        <v>0</v>
      </c>
      <c r="H41" s="3">
        <f>SUMIFS(Mov!$J:$J,Mov!$E:$E,$A41,Mov!$K:$K,H$3)/1000</f>
        <v>0</v>
      </c>
      <c r="I41" s="3">
        <f>SUMIFS(Mov!$J:$J,Mov!$E:$E,$A41,Mov!$K:$K,I$3)/1000</f>
        <v>0</v>
      </c>
      <c r="J41" s="3">
        <f>SUMIFS(Mov!$J:$J,Mov!$E:$E,$A41,Mov!$K:$K,J$3)/1000</f>
        <v>0</v>
      </c>
      <c r="K41" s="3">
        <f>SUMIFS(Mov!$J:$J,Mov!$E:$E,$A41,Mov!$K:$K,K$3)/1000</f>
        <v>0</v>
      </c>
      <c r="L41" s="3">
        <f>SUMIFS(Mov!$J:$J,Mov!$E:$E,$A41,Mov!$K:$K,L$3)/1000</f>
        <v>0</v>
      </c>
      <c r="M41" s="3">
        <f>SUMIFS(Mov!$J:$J,Mov!$E:$E,$A41,Mov!$K:$K,M$3)/1000</f>
        <v>0</v>
      </c>
      <c r="N41" s="3">
        <f>SUMIFS(Mov!$J:$J,Mov!$E:$E,$A41,Mov!$K:$K,N$3)/1000</f>
        <v>0</v>
      </c>
      <c r="O41" s="3">
        <f>SUMIFS(Mov!$J:$J,Mov!$E:$E,$A41,Mov!$K:$K,O$3)/1000</f>
        <v>0</v>
      </c>
      <c r="P41" s="12">
        <f>SUM(D41:O41)</f>
        <v>0</v>
      </c>
      <c r="Q41" s="12"/>
      <c r="R41" s="12">
        <f ca="1">SUM(OFFSET(D41,0,0,1,R$3))</f>
        <v>0</v>
      </c>
      <c r="S41" s="3">
        <v>0</v>
      </c>
    </row>
    <row r="42" spans="1:21">
      <c r="B42" s="1"/>
      <c r="C42" s="1" t="s">
        <v>4555</v>
      </c>
      <c r="D42" s="13">
        <f t="shared" ref="D42:P42" si="22">SUM(D37:D41)</f>
        <v>0</v>
      </c>
      <c r="E42" s="13">
        <f t="shared" si="22"/>
        <v>0</v>
      </c>
      <c r="F42" s="13">
        <f t="shared" si="22"/>
        <v>675</v>
      </c>
      <c r="G42" s="13">
        <f t="shared" si="22"/>
        <v>0</v>
      </c>
      <c r="H42" s="13">
        <f t="shared" si="22"/>
        <v>0</v>
      </c>
      <c r="I42" s="13">
        <f t="shared" si="22"/>
        <v>100</v>
      </c>
      <c r="J42" s="13">
        <f t="shared" si="22"/>
        <v>100</v>
      </c>
      <c r="K42" s="13">
        <f t="shared" si="22"/>
        <v>100</v>
      </c>
      <c r="L42" s="13">
        <f t="shared" si="22"/>
        <v>100</v>
      </c>
      <c r="M42" s="13">
        <f t="shared" si="22"/>
        <v>100</v>
      </c>
      <c r="N42" s="13">
        <f t="shared" si="22"/>
        <v>100</v>
      </c>
      <c r="O42" s="13">
        <f t="shared" si="22"/>
        <v>100</v>
      </c>
      <c r="P42" s="13">
        <f t="shared" si="22"/>
        <v>1375</v>
      </c>
      <c r="Q42" s="12"/>
      <c r="R42" s="13">
        <f ca="1">SUM(R37:R41)</f>
        <v>1375</v>
      </c>
      <c r="S42" s="13">
        <f t="shared" ref="S42" si="23">SUM(S37:S41)</f>
        <v>4510.08</v>
      </c>
    </row>
    <row r="43" spans="1:21">
      <c r="D43" s="12"/>
      <c r="E43" s="12"/>
      <c r="F43" s="12"/>
      <c r="G43" s="12"/>
      <c r="H43" s="12"/>
      <c r="I43" s="12"/>
      <c r="J43" s="12"/>
      <c r="K43" s="12"/>
      <c r="L43" s="12"/>
      <c r="M43" s="12"/>
      <c r="N43" s="12"/>
      <c r="O43" s="12"/>
      <c r="P43" s="12"/>
      <c r="Q43" s="12"/>
      <c r="R43" s="12"/>
      <c r="S43" s="12"/>
    </row>
    <row r="44" spans="1:21" hidden="1" outlineLevel="1">
      <c r="B44" t="s">
        <v>4556</v>
      </c>
      <c r="C44" t="s">
        <v>4556</v>
      </c>
      <c r="D44" s="3">
        <f>SUMIFS(Mov!$J:$J,Mov!$E:$E,$A44,Mov!$K:$K,D$3)/1000</f>
        <v>0</v>
      </c>
      <c r="E44" s="3">
        <f>SUMIFS(Mov!$J:$J,Mov!$E:$E,$A44,Mov!$K:$K,E$3)/1000</f>
        <v>0</v>
      </c>
      <c r="F44" s="3">
        <f>SUMIFS(Mov!$J:$J,Mov!$E:$E,$A44,Mov!$K:$K,F$3)/1000</f>
        <v>0</v>
      </c>
      <c r="G44" s="3">
        <f>SUMIFS(Mov!$J:$J,Mov!$E:$E,$A44,Mov!$K:$K,G$3)/1000</f>
        <v>0</v>
      </c>
      <c r="H44" s="3">
        <f>SUMIFS(Mov!$J:$J,Mov!$E:$E,$A44,Mov!$K:$K,H$3)/1000</f>
        <v>0</v>
      </c>
      <c r="I44" s="3">
        <f>SUMIFS(Mov!$J:$J,Mov!$E:$E,$A44,Mov!$K:$K,I$3)/1000</f>
        <v>0</v>
      </c>
      <c r="J44" s="3">
        <f>SUMIFS(Mov!$J:$J,Mov!$E:$E,$A44,Mov!$K:$K,J$3)/1000</f>
        <v>0</v>
      </c>
      <c r="K44" s="3">
        <f>SUMIFS(Mov!$J:$J,Mov!$E:$E,$A44,Mov!$K:$K,K$3)/1000</f>
        <v>0</v>
      </c>
      <c r="L44" s="3">
        <f>SUMIFS(Mov!$J:$J,Mov!$E:$E,$A44,Mov!$K:$K,L$3)/1000</f>
        <v>0</v>
      </c>
      <c r="M44" s="3">
        <f>SUMIFS(Mov!$J:$J,Mov!$E:$E,$A44,Mov!$K:$K,M$3)/1000</f>
        <v>0</v>
      </c>
      <c r="N44" s="3">
        <f>SUMIFS(Mov!$J:$J,Mov!$E:$E,$A44,Mov!$K:$K,N$3)/1000</f>
        <v>0</v>
      </c>
      <c r="O44" s="3">
        <f>SUMIFS(Mov!$J:$J,Mov!$E:$E,$A44,Mov!$K:$K,O$3)/1000</f>
        <v>0</v>
      </c>
      <c r="P44" s="12">
        <f t="shared" ref="P44:P49" si="24">SUM(D44:O44)</f>
        <v>0</v>
      </c>
      <c r="Q44" s="12"/>
      <c r="R44" s="12">
        <f t="shared" ref="R44:R49" ca="1" si="25">SUM(OFFSET(D44,0,0,1,R$3))</f>
        <v>0</v>
      </c>
      <c r="S44" s="3">
        <v>0</v>
      </c>
    </row>
    <row r="45" spans="1:21" hidden="1" outlineLevel="1">
      <c r="A45">
        <v>516015</v>
      </c>
      <c r="B45" t="s">
        <v>1193</v>
      </c>
      <c r="C45" t="s">
        <v>4557</v>
      </c>
      <c r="D45" s="3">
        <f>SUMIFS(Mov!$J:$J,Mov!$E:$E,$A45,Mov!$K:$K,D$3)/1000</f>
        <v>0</v>
      </c>
      <c r="E45" s="3">
        <f>SUMIFS(Mov!$J:$J,Mov!$E:$E,$A45,Mov!$K:$K,E$3)/1000</f>
        <v>0</v>
      </c>
      <c r="F45" s="3">
        <f>SUMIFS(Mov!$J:$J,Mov!$E:$E,$A45,Mov!$K:$K,F$3)/1000</f>
        <v>0</v>
      </c>
      <c r="G45" s="3">
        <f>SUMIFS(Mov!$J:$J,Mov!$E:$E,$A45,Mov!$K:$K,G$3)/1000</f>
        <v>0</v>
      </c>
      <c r="H45" s="3">
        <f>SUMIFS(Mov!$J:$J,Mov!$E:$E,$A45,Mov!$K:$K,H$3)/1000</f>
        <v>0</v>
      </c>
      <c r="I45" s="3">
        <f>SUMIFS(Mov!$J:$J,Mov!$E:$E,$A45,Mov!$K:$K,I$3)/1000</f>
        <v>0</v>
      </c>
      <c r="J45" s="3">
        <f>SUMIFS(Mov!$J:$J,Mov!$E:$E,$A45,Mov!$K:$K,J$3)/1000</f>
        <v>0</v>
      </c>
      <c r="K45" s="3">
        <f>SUMIFS(Mov!$J:$J,Mov!$E:$E,$A45,Mov!$K:$K,K$3)/1000</f>
        <v>0</v>
      </c>
      <c r="L45" s="3">
        <f>SUMIFS(Mov!$J:$J,Mov!$E:$E,$A45,Mov!$K:$K,L$3)/1000</f>
        <v>0</v>
      </c>
      <c r="M45" s="3">
        <f>SUMIFS(Mov!$J:$J,Mov!$E:$E,$A45,Mov!$K:$K,M$3)/1000</f>
        <v>0</v>
      </c>
      <c r="N45" s="3">
        <f>SUMIFS(Mov!$J:$J,Mov!$E:$E,$A45,Mov!$K:$K,N$3)/1000</f>
        <v>0</v>
      </c>
      <c r="O45" s="3">
        <f>SUMIFS(Mov!$J:$J,Mov!$E:$E,$A45,Mov!$K:$K,O$3)/1000</f>
        <v>0</v>
      </c>
      <c r="P45" s="12">
        <f t="shared" si="24"/>
        <v>0</v>
      </c>
      <c r="Q45" s="12"/>
      <c r="R45" s="12">
        <f t="shared" ca="1" si="25"/>
        <v>0</v>
      </c>
      <c r="S45" s="3">
        <v>0</v>
      </c>
    </row>
    <row r="46" spans="1:21" hidden="1" outlineLevel="1">
      <c r="A46">
        <v>516015</v>
      </c>
      <c r="B46" t="s">
        <v>1193</v>
      </c>
      <c r="C46" t="s">
        <v>4558</v>
      </c>
      <c r="D46" s="3">
        <f>SUMIFS(Mov!$J:$J,Mov!$E:$E,$A46,Mov!$K:$K,D$3)/1000</f>
        <v>0</v>
      </c>
      <c r="E46" s="3">
        <f>SUMIFS(Mov!$J:$J,Mov!$E:$E,$A46,Mov!$K:$K,E$3)/1000</f>
        <v>0</v>
      </c>
      <c r="F46" s="3">
        <f>SUMIFS(Mov!$J:$J,Mov!$E:$E,$A46,Mov!$K:$K,F$3)/1000</f>
        <v>0</v>
      </c>
      <c r="G46" s="3">
        <f>SUMIFS(Mov!$J:$J,Mov!$E:$E,$A46,Mov!$K:$K,G$3)/1000</f>
        <v>0</v>
      </c>
      <c r="H46" s="3">
        <f>SUMIFS(Mov!$J:$J,Mov!$E:$E,$A46,Mov!$K:$K,H$3)/1000</f>
        <v>0</v>
      </c>
      <c r="I46" s="3">
        <f>SUMIFS(Mov!$J:$J,Mov!$E:$E,$A46,Mov!$K:$K,I$3)/1000</f>
        <v>0</v>
      </c>
      <c r="J46" s="3">
        <f>SUMIFS(Mov!$J:$J,Mov!$E:$E,$A46,Mov!$K:$K,J$3)/1000</f>
        <v>0</v>
      </c>
      <c r="K46" s="3">
        <f>SUMIFS(Mov!$J:$J,Mov!$E:$E,$A46,Mov!$K:$K,K$3)/1000</f>
        <v>0</v>
      </c>
      <c r="L46" s="3">
        <f>SUMIFS(Mov!$J:$J,Mov!$E:$E,$A46,Mov!$K:$K,L$3)/1000</f>
        <v>0</v>
      </c>
      <c r="M46" s="3">
        <f>SUMIFS(Mov!$J:$J,Mov!$E:$E,$A46,Mov!$K:$K,M$3)/1000</f>
        <v>0</v>
      </c>
      <c r="N46" s="3">
        <f>SUMIFS(Mov!$J:$J,Mov!$E:$E,$A46,Mov!$K:$K,N$3)/1000</f>
        <v>0</v>
      </c>
      <c r="O46" s="3">
        <f>SUMIFS(Mov!$J:$J,Mov!$E:$E,$A46,Mov!$K:$K,O$3)/1000</f>
        <v>0</v>
      </c>
      <c r="P46" s="12">
        <f t="shared" si="24"/>
        <v>0</v>
      </c>
      <c r="Q46" s="12"/>
      <c r="R46" s="12">
        <f t="shared" ca="1" si="25"/>
        <v>0</v>
      </c>
      <c r="S46" s="3">
        <v>0</v>
      </c>
    </row>
    <row r="47" spans="1:21" hidden="1" outlineLevel="1">
      <c r="B47" t="s">
        <v>4559</v>
      </c>
      <c r="C47" t="s">
        <v>4559</v>
      </c>
      <c r="D47" s="3">
        <f>SUMIFS(Mov!$J:$J,Mov!$E:$E,$A47,Mov!$K:$K,D$3)/1000</f>
        <v>0</v>
      </c>
      <c r="E47" s="3">
        <f>SUMIFS(Mov!$J:$J,Mov!$E:$E,$A47,Mov!$K:$K,E$3)/1000</f>
        <v>0</v>
      </c>
      <c r="F47" s="3">
        <f>SUMIFS(Mov!$J:$J,Mov!$E:$E,$A47,Mov!$K:$K,F$3)/1000</f>
        <v>0</v>
      </c>
      <c r="G47" s="3">
        <f>SUMIFS(Mov!$J:$J,Mov!$E:$E,$A47,Mov!$K:$K,G$3)/1000</f>
        <v>0</v>
      </c>
      <c r="H47" s="3">
        <f>SUMIFS(Mov!$J:$J,Mov!$E:$E,$A47,Mov!$K:$K,H$3)/1000</f>
        <v>0</v>
      </c>
      <c r="I47" s="3">
        <f>SUMIFS(Mov!$J:$J,Mov!$E:$E,$A47,Mov!$K:$K,I$3)/1000</f>
        <v>0</v>
      </c>
      <c r="J47" s="3">
        <f>SUMIFS(Mov!$J:$J,Mov!$E:$E,$A47,Mov!$K:$K,J$3)/1000</f>
        <v>0</v>
      </c>
      <c r="K47" s="3">
        <f>SUMIFS(Mov!$J:$J,Mov!$E:$E,$A47,Mov!$K:$K,K$3)/1000</f>
        <v>0</v>
      </c>
      <c r="L47" s="3">
        <f>SUMIFS(Mov!$J:$J,Mov!$E:$E,$A47,Mov!$K:$K,L$3)/1000</f>
        <v>0</v>
      </c>
      <c r="M47" s="3">
        <f>SUMIFS(Mov!$J:$J,Mov!$E:$E,$A47,Mov!$K:$K,M$3)/1000</f>
        <v>0</v>
      </c>
      <c r="N47" s="3">
        <f>SUMIFS(Mov!$J:$J,Mov!$E:$E,$A47,Mov!$K:$K,N$3)/1000</f>
        <v>0</v>
      </c>
      <c r="O47" s="3">
        <f>SUMIFS(Mov!$J:$J,Mov!$E:$E,$A47,Mov!$K:$K,O$3)/1000</f>
        <v>0</v>
      </c>
      <c r="P47" s="12">
        <f t="shared" si="24"/>
        <v>0</v>
      </c>
      <c r="Q47" s="12"/>
      <c r="R47" s="12">
        <f t="shared" ca="1" si="25"/>
        <v>0</v>
      </c>
      <c r="S47" s="3">
        <v>0</v>
      </c>
    </row>
    <row r="48" spans="1:21" outlineLevel="1">
      <c r="A48">
        <v>51602001</v>
      </c>
      <c r="B48" t="s">
        <v>416</v>
      </c>
      <c r="C48" t="s">
        <v>4560</v>
      </c>
      <c r="D48" s="3">
        <f>SUMIFS(Mov!$J:$J,Mov!$E:$E,$A48,Mov!$K:$K,D$3)/1000</f>
        <v>1596.7619999999999</v>
      </c>
      <c r="E48" s="3">
        <f>SUMIFS(Mov!$J:$J,Mov!$E:$E,$A48,Mov!$K:$K,E$3)/1000</f>
        <v>1596.7619999999999</v>
      </c>
      <c r="F48" s="3">
        <f>SUMIFS(Mov!$J:$J,Mov!$E:$E,$A48,Mov!$K:$K,F$3)/1000</f>
        <v>1596.7619999999999</v>
      </c>
      <c r="G48" s="3">
        <f>SUMIFS(Mov!$J:$J,Mov!$E:$E,$A48,Mov!$K:$K,G$3)/1000</f>
        <v>1596.7619999999999</v>
      </c>
      <c r="H48" s="3">
        <f>SUMIFS(Mov!$J:$J,Mov!$E:$E,$A48,Mov!$K:$K,H$3)/1000</f>
        <v>1596.7619999999999</v>
      </c>
      <c r="I48" s="3">
        <f t="shared" ref="I48:O49" si="26">H48</f>
        <v>1596.7619999999999</v>
      </c>
      <c r="J48" s="3">
        <f t="shared" si="26"/>
        <v>1596.7619999999999</v>
      </c>
      <c r="K48" s="3">
        <f t="shared" si="26"/>
        <v>1596.7619999999999</v>
      </c>
      <c r="L48" s="3">
        <f t="shared" si="26"/>
        <v>1596.7619999999999</v>
      </c>
      <c r="M48" s="3">
        <f t="shared" si="26"/>
        <v>1596.7619999999999</v>
      </c>
      <c r="N48" s="3">
        <f t="shared" si="26"/>
        <v>1596.7619999999999</v>
      </c>
      <c r="O48" s="3">
        <f t="shared" si="26"/>
        <v>1596.7619999999999</v>
      </c>
      <c r="P48" s="12">
        <f t="shared" si="24"/>
        <v>19161.144</v>
      </c>
      <c r="Q48" s="12"/>
      <c r="R48" s="12">
        <f t="shared" ca="1" si="25"/>
        <v>19161.144</v>
      </c>
      <c r="S48" s="3">
        <v>1029.8599999999999</v>
      </c>
      <c r="U48" s="224"/>
    </row>
    <row r="49" spans="1:21" outlineLevel="1">
      <c r="A49">
        <v>51602004</v>
      </c>
      <c r="B49" t="s">
        <v>404</v>
      </c>
      <c r="C49" t="s">
        <v>4560</v>
      </c>
      <c r="D49" s="3">
        <f>SUMIFS(Mov!$J:$J,Mov!$E:$E,$A49,Mov!$K:$K,D$3)/1000</f>
        <v>163.79300000000001</v>
      </c>
      <c r="E49" s="3">
        <f>SUMIFS(Mov!$J:$J,Mov!$E:$E,$A49,Mov!$K:$K,E$3)/1000</f>
        <v>163.79300000000001</v>
      </c>
      <c r="F49" s="3">
        <f>SUMIFS(Mov!$J:$J,Mov!$E:$E,$A49,Mov!$K:$K,F$3)/1000</f>
        <v>163.79300000000001</v>
      </c>
      <c r="G49" s="3">
        <f>SUMIFS(Mov!$J:$J,Mov!$E:$E,$A49,Mov!$K:$K,G$3)/1000</f>
        <v>163.79300000000001</v>
      </c>
      <c r="H49" s="3">
        <f>SUMIFS(Mov!$J:$J,Mov!$E:$E,$A49,Mov!$K:$K,H$3)/1000</f>
        <v>163.79300000000001</v>
      </c>
      <c r="I49" s="3">
        <f t="shared" si="26"/>
        <v>163.79300000000001</v>
      </c>
      <c r="J49" s="3">
        <f t="shared" si="26"/>
        <v>163.79300000000001</v>
      </c>
      <c r="K49" s="3">
        <f t="shared" si="26"/>
        <v>163.79300000000001</v>
      </c>
      <c r="L49" s="3">
        <f t="shared" si="26"/>
        <v>163.79300000000001</v>
      </c>
      <c r="M49" s="3">
        <f t="shared" si="26"/>
        <v>163.79300000000001</v>
      </c>
      <c r="N49" s="3">
        <f t="shared" si="26"/>
        <v>163.79300000000001</v>
      </c>
      <c r="O49" s="3">
        <f t="shared" si="26"/>
        <v>163.79300000000001</v>
      </c>
      <c r="P49" s="12">
        <f t="shared" si="24"/>
        <v>1965.5160000000005</v>
      </c>
      <c r="Q49" s="12"/>
      <c r="R49" s="12">
        <f t="shared" ca="1" si="25"/>
        <v>1965.5160000000005</v>
      </c>
      <c r="S49" s="3">
        <v>71.266999999999996</v>
      </c>
      <c r="U49" s="224"/>
    </row>
    <row r="50" spans="1:21">
      <c r="B50" s="1"/>
      <c r="C50" s="1" t="s">
        <v>4561</v>
      </c>
      <c r="D50" s="13">
        <f t="shared" ref="D50:P50" si="27">SUM(D44:D49)</f>
        <v>1760.5549999999998</v>
      </c>
      <c r="E50" s="13">
        <f t="shared" si="27"/>
        <v>1760.5549999999998</v>
      </c>
      <c r="F50" s="13">
        <f t="shared" si="27"/>
        <v>1760.5549999999998</v>
      </c>
      <c r="G50" s="13">
        <f t="shared" si="27"/>
        <v>1760.5549999999998</v>
      </c>
      <c r="H50" s="13">
        <f t="shared" si="27"/>
        <v>1760.5549999999998</v>
      </c>
      <c r="I50" s="13">
        <f t="shared" si="27"/>
        <v>1760.5549999999998</v>
      </c>
      <c r="J50" s="13">
        <f t="shared" si="27"/>
        <v>1760.5549999999998</v>
      </c>
      <c r="K50" s="13">
        <f t="shared" si="27"/>
        <v>1760.5549999999998</v>
      </c>
      <c r="L50" s="13">
        <f t="shared" si="27"/>
        <v>1760.5549999999998</v>
      </c>
      <c r="M50" s="13">
        <f t="shared" si="27"/>
        <v>1760.5549999999998</v>
      </c>
      <c r="N50" s="13">
        <f t="shared" si="27"/>
        <v>1760.5549999999998</v>
      </c>
      <c r="O50" s="13">
        <f t="shared" si="27"/>
        <v>1760.5549999999998</v>
      </c>
      <c r="P50" s="13">
        <f t="shared" si="27"/>
        <v>21126.66</v>
      </c>
      <c r="Q50" s="12"/>
      <c r="R50" s="13">
        <f ca="1">SUM(R44:R49)</f>
        <v>21126.66</v>
      </c>
      <c r="S50" s="13">
        <f t="shared" ref="S50" si="28">SUM(S44:S49)</f>
        <v>1101.127</v>
      </c>
    </row>
    <row r="51" spans="1:21">
      <c r="D51" s="12"/>
      <c r="E51" s="12"/>
      <c r="F51" s="12"/>
      <c r="G51" s="12"/>
      <c r="H51" s="12"/>
      <c r="I51" s="12"/>
      <c r="J51" s="12"/>
      <c r="K51" s="12"/>
      <c r="L51" s="12"/>
      <c r="M51" s="12"/>
      <c r="N51" s="12"/>
      <c r="O51" s="12"/>
      <c r="P51" s="12"/>
      <c r="Q51" s="12"/>
      <c r="R51" s="12"/>
      <c r="S51" s="12"/>
    </row>
    <row r="52" spans="1:21" hidden="1" outlineLevel="1">
      <c r="A52">
        <v>516505</v>
      </c>
      <c r="B52" t="s">
        <v>1331</v>
      </c>
      <c r="C52" t="s">
        <v>4562</v>
      </c>
      <c r="D52" s="3">
        <f>SUMIFS(Mov!$J:$J,Mov!$E:$E,$A52,Mov!$K:$K,D$3)/1000</f>
        <v>0</v>
      </c>
      <c r="E52" s="3">
        <f>SUMIFS(Mov!$J:$J,Mov!$E:$E,$A52,Mov!$K:$K,E$3)/1000</f>
        <v>0</v>
      </c>
      <c r="F52" s="3">
        <f>SUMIFS(Mov!$J:$J,Mov!$E:$E,$A52,Mov!$K:$K,F$3)/1000</f>
        <v>0</v>
      </c>
      <c r="G52" s="3">
        <f>SUMIFS(Mov!$J:$J,Mov!$E:$E,$A52,Mov!$K:$K,G$3)/1000</f>
        <v>0</v>
      </c>
      <c r="H52" s="3">
        <f>SUMIFS(Mov!$J:$J,Mov!$E:$E,$A52,Mov!$K:$K,H$3)/1000</f>
        <v>0</v>
      </c>
      <c r="I52" s="3">
        <f>SUMIFS(Mov!$J:$J,Mov!$E:$E,$A52,Mov!$K:$K,I$3)/1000</f>
        <v>0</v>
      </c>
      <c r="J52" s="3">
        <f>SUMIFS(Mov!$J:$J,Mov!$E:$E,$A52,Mov!$K:$K,J$3)/1000</f>
        <v>0</v>
      </c>
      <c r="K52" s="3">
        <f>SUMIFS(Mov!$J:$J,Mov!$E:$E,$A52,Mov!$K:$K,K$3)/1000</f>
        <v>0</v>
      </c>
      <c r="L52" s="3">
        <f>SUMIFS(Mov!$J:$J,Mov!$E:$E,$A52,Mov!$K:$K,L$3)/1000</f>
        <v>0</v>
      </c>
      <c r="M52" s="3">
        <f>SUMIFS(Mov!$J:$J,Mov!$E:$E,$A52,Mov!$K:$K,M$3)/1000</f>
        <v>0</v>
      </c>
      <c r="N52" s="3">
        <f>SUMIFS(Mov!$J:$J,Mov!$E:$E,$A52,Mov!$K:$K,N$3)/1000</f>
        <v>0</v>
      </c>
      <c r="O52" s="3">
        <f>SUMIFS(Mov!$J:$J,Mov!$E:$E,$A52,Mov!$K:$K,O$3)/1000</f>
        <v>0</v>
      </c>
      <c r="P52" s="12">
        <f>SUM(D52:O52)</f>
        <v>0</v>
      </c>
      <c r="Q52" s="12"/>
      <c r="R52" s="12">
        <f ca="1">SUM(OFFSET(D52,0,0,1,R$3))</f>
        <v>0</v>
      </c>
      <c r="S52" s="3">
        <v>0</v>
      </c>
    </row>
    <row r="53" spans="1:21" hidden="1" outlineLevel="1">
      <c r="A53">
        <v>516505</v>
      </c>
      <c r="B53" t="s">
        <v>1331</v>
      </c>
      <c r="C53" t="s">
        <v>4563</v>
      </c>
      <c r="D53" s="3">
        <f>SUMIFS(Mov!$J:$J,Mov!$E:$E,$A53,Mov!$K:$K,D$3)/1000</f>
        <v>0</v>
      </c>
      <c r="E53" s="3">
        <f>SUMIFS(Mov!$J:$J,Mov!$E:$E,$A53,Mov!$K:$K,E$3)/1000</f>
        <v>0</v>
      </c>
      <c r="F53" s="3">
        <f>SUMIFS(Mov!$J:$J,Mov!$E:$E,$A53,Mov!$K:$K,F$3)/1000</f>
        <v>0</v>
      </c>
      <c r="G53" s="3">
        <f>SUMIFS(Mov!$J:$J,Mov!$E:$E,$A53,Mov!$K:$K,G$3)/1000</f>
        <v>0</v>
      </c>
      <c r="H53" s="3">
        <f>SUMIFS(Mov!$J:$J,Mov!$E:$E,$A53,Mov!$K:$K,H$3)/1000</f>
        <v>0</v>
      </c>
      <c r="I53" s="3">
        <f>SUMIFS(Mov!$J:$J,Mov!$E:$E,$A53,Mov!$K:$K,I$3)/1000</f>
        <v>0</v>
      </c>
      <c r="J53" s="3">
        <f>SUMIFS(Mov!$J:$J,Mov!$E:$E,$A53,Mov!$K:$K,J$3)/1000</f>
        <v>0</v>
      </c>
      <c r="K53" s="3">
        <f>SUMIFS(Mov!$J:$J,Mov!$E:$E,$A53,Mov!$K:$K,K$3)/1000</f>
        <v>0</v>
      </c>
      <c r="L53" s="3">
        <f>SUMIFS(Mov!$J:$J,Mov!$E:$E,$A53,Mov!$K:$K,L$3)/1000</f>
        <v>0</v>
      </c>
      <c r="M53" s="3">
        <f>SUMIFS(Mov!$J:$J,Mov!$E:$E,$A53,Mov!$K:$K,M$3)/1000</f>
        <v>0</v>
      </c>
      <c r="N53" s="3">
        <f>SUMIFS(Mov!$J:$J,Mov!$E:$E,$A53,Mov!$K:$K,N$3)/1000</f>
        <v>0</v>
      </c>
      <c r="O53" s="3">
        <f>SUMIFS(Mov!$J:$J,Mov!$E:$E,$A53,Mov!$K:$K,O$3)/1000</f>
        <v>0</v>
      </c>
      <c r="P53" s="12">
        <f>SUM(D53:O53)</f>
        <v>0</v>
      </c>
      <c r="Q53" s="12"/>
      <c r="R53" s="12">
        <f ca="1">SUM(OFFSET(D53,0,0,1,R$3))</f>
        <v>0</v>
      </c>
      <c r="S53" s="3">
        <v>0</v>
      </c>
    </row>
    <row r="54" spans="1:21" hidden="1" collapsed="1">
      <c r="B54" s="1"/>
      <c r="C54" s="1" t="s">
        <v>4564</v>
      </c>
      <c r="D54" s="13">
        <f t="shared" ref="D54:P54" si="29">SUM(D52:D53)</f>
        <v>0</v>
      </c>
      <c r="E54" s="13">
        <f t="shared" si="29"/>
        <v>0</v>
      </c>
      <c r="F54" s="13">
        <f t="shared" si="29"/>
        <v>0</v>
      </c>
      <c r="G54" s="13">
        <f t="shared" si="29"/>
        <v>0</v>
      </c>
      <c r="H54" s="13">
        <f t="shared" si="29"/>
        <v>0</v>
      </c>
      <c r="I54" s="13">
        <f t="shared" si="29"/>
        <v>0</v>
      </c>
      <c r="J54" s="13">
        <f t="shared" si="29"/>
        <v>0</v>
      </c>
      <c r="K54" s="13">
        <f t="shared" si="29"/>
        <v>0</v>
      </c>
      <c r="L54" s="13">
        <f t="shared" si="29"/>
        <v>0</v>
      </c>
      <c r="M54" s="13">
        <f t="shared" si="29"/>
        <v>0</v>
      </c>
      <c r="N54" s="13">
        <f t="shared" si="29"/>
        <v>0</v>
      </c>
      <c r="O54" s="13">
        <f t="shared" si="29"/>
        <v>0</v>
      </c>
      <c r="P54" s="13">
        <f t="shared" si="29"/>
        <v>0</v>
      </c>
      <c r="Q54" s="12"/>
      <c r="R54" s="13">
        <f ca="1">SUM(R52:R53)</f>
        <v>0</v>
      </c>
      <c r="S54" s="13">
        <f t="shared" ref="S54" si="30">SUM(S52:S53)</f>
        <v>0</v>
      </c>
    </row>
    <row r="55" spans="1:21" hidden="1">
      <c r="D55" s="12"/>
      <c r="E55" s="12"/>
      <c r="F55" s="12"/>
      <c r="G55" s="12"/>
      <c r="H55" s="12"/>
      <c r="I55" s="12"/>
      <c r="J55" s="12"/>
      <c r="K55" s="12"/>
      <c r="L55" s="12"/>
      <c r="M55" s="12"/>
      <c r="N55" s="12"/>
      <c r="O55" s="12"/>
      <c r="P55" s="12"/>
      <c r="Q55" s="12"/>
      <c r="R55" s="12"/>
      <c r="S55" s="12"/>
    </row>
    <row r="56" spans="1:21">
      <c r="B56" s="1" t="s">
        <v>4565</v>
      </c>
      <c r="C56" s="1"/>
      <c r="D56" s="12"/>
      <c r="E56" s="12"/>
      <c r="F56" s="12"/>
      <c r="G56" s="12"/>
      <c r="H56" s="12"/>
      <c r="I56" s="12"/>
      <c r="J56" s="12"/>
      <c r="K56" s="12"/>
      <c r="L56" s="12"/>
      <c r="M56" s="12"/>
      <c r="N56" s="12"/>
      <c r="O56" s="12"/>
      <c r="P56" s="12"/>
      <c r="Q56" s="12"/>
      <c r="R56" s="12"/>
      <c r="S56" s="12"/>
    </row>
    <row r="57" spans="1:21" outlineLevel="1">
      <c r="A57">
        <v>51201001</v>
      </c>
      <c r="B57" t="s">
        <v>486</v>
      </c>
      <c r="C57" t="s">
        <v>4566</v>
      </c>
      <c r="D57" s="3">
        <f>SUMIFS(Mov!$J:$J,Mov!$E:$E,$A57,Mov!$K:$K,D$3)/1000</f>
        <v>22918.35</v>
      </c>
      <c r="E57" s="3">
        <f>SUMIFS(Mov!$J:$J,Mov!$E:$E,$A57,Mov!$K:$K,E$3)/1000</f>
        <v>22918.35</v>
      </c>
      <c r="F57" s="3">
        <f>SUMIFS(Mov!$J:$J,Mov!$E:$E,$A57,Mov!$K:$K,F$3)/1000</f>
        <v>12750</v>
      </c>
      <c r="G57" s="3">
        <f>SUMIFS(Mov!$J:$J,Mov!$E:$E,$A57,Mov!$K:$K,G$3)/1000</f>
        <v>12750</v>
      </c>
      <c r="H57" s="3">
        <f>SUMIFS(Mov!$J:$J,Mov!$E:$E,$A57,Mov!$K:$K,H$3)/1000</f>
        <v>12750</v>
      </c>
      <c r="I57" s="227">
        <v>20930</v>
      </c>
      <c r="J57" s="3">
        <f t="shared" ref="J57:O58" si="31">I57</f>
        <v>20930</v>
      </c>
      <c r="K57" s="3">
        <f t="shared" si="31"/>
        <v>20930</v>
      </c>
      <c r="L57" s="3">
        <f t="shared" si="31"/>
        <v>20930</v>
      </c>
      <c r="M57" s="3">
        <f t="shared" si="31"/>
        <v>20930</v>
      </c>
      <c r="N57" s="3">
        <f t="shared" si="31"/>
        <v>20930</v>
      </c>
      <c r="O57" s="3">
        <f t="shared" si="31"/>
        <v>20930</v>
      </c>
      <c r="P57" s="12">
        <f t="shared" ref="P57:P65" si="32">SUM(D57:O57)</f>
        <v>230596.7</v>
      </c>
      <c r="Q57" s="12"/>
      <c r="R57" s="12">
        <f t="shared" ref="R57:R75" ca="1" si="33">SUM(OFFSET(D57,0,0,1,R$3))</f>
        <v>230596.7</v>
      </c>
      <c r="S57" s="3">
        <v>12000</v>
      </c>
    </row>
    <row r="58" spans="1:21" outlineLevel="1">
      <c r="A58">
        <v>51359501</v>
      </c>
      <c r="B58" t="s">
        <v>1290</v>
      </c>
      <c r="C58" t="s">
        <v>4567</v>
      </c>
      <c r="D58" s="3">
        <f>SUMIFS(Mov!$J:$J,Mov!$E:$E,$A58,Mov!$K:$K,D$3)/1000</f>
        <v>2500</v>
      </c>
      <c r="E58" s="3">
        <f>SUMIFS(Mov!$J:$J,Mov!$E:$E,$A58,Mov!$K:$K,E$3)/1000</f>
        <v>2500</v>
      </c>
      <c r="F58" s="3">
        <f>SUMIFS(Mov!$J:$J,Mov!$E:$E,$A58,Mov!$K:$K,F$3)/1000</f>
        <v>3955.0880000000002</v>
      </c>
      <c r="G58" s="3">
        <f>SUMIFS(Mov!$J:$J,Mov!$E:$E,$A58,Mov!$K:$K,G$3)/1000</f>
        <v>3955.0880000000002</v>
      </c>
      <c r="H58" s="3">
        <f>SUMIFS(Mov!$J:$J,Mov!$E:$E,$A58,Mov!$K:$K,H$3)/1000</f>
        <v>3955.0880000000002</v>
      </c>
      <c r="I58" s="227">
        <v>2500</v>
      </c>
      <c r="J58" s="3">
        <f t="shared" si="31"/>
        <v>2500</v>
      </c>
      <c r="K58" s="3">
        <f t="shared" si="31"/>
        <v>2500</v>
      </c>
      <c r="L58" s="3">
        <f t="shared" si="31"/>
        <v>2500</v>
      </c>
      <c r="M58" s="3">
        <f t="shared" si="31"/>
        <v>2500</v>
      </c>
      <c r="N58" s="3">
        <f t="shared" si="31"/>
        <v>2500</v>
      </c>
      <c r="O58" s="3">
        <f t="shared" si="31"/>
        <v>2500</v>
      </c>
      <c r="P58" s="12">
        <f>SUM(D58:O58)</f>
        <v>34365.263999999996</v>
      </c>
      <c r="Q58" s="12"/>
      <c r="R58" s="12">
        <f t="shared" ca="1" si="33"/>
        <v>34365.263999999996</v>
      </c>
      <c r="S58" s="3">
        <v>1600</v>
      </c>
    </row>
    <row r="59" spans="1:21" outlineLevel="1">
      <c r="A59">
        <v>51350501</v>
      </c>
      <c r="B59" t="s">
        <v>513</v>
      </c>
      <c r="C59" t="s">
        <v>4568</v>
      </c>
      <c r="D59" s="3">
        <f>SUMIFS(Mov!$J:$J,Mov!$E:$E,$A59,Mov!$K:$K,D$3)/1000</f>
        <v>2183.2420000000002</v>
      </c>
      <c r="E59" s="3">
        <f>SUMIFS(Mov!$J:$J,Mov!$E:$E,$A59,Mov!$K:$K,E$3)/1000</f>
        <v>2130.2060000000001</v>
      </c>
      <c r="F59" s="3">
        <f>SUMIFS(Mov!$J:$J,Mov!$E:$E,$A59,Mov!$K:$K,F$3)/1000</f>
        <v>3070.33592</v>
      </c>
      <c r="G59" s="3">
        <f>SUMIFS(Mov!$J:$J,Mov!$E:$E,$A59,Mov!$K:$K,G$3)/1000</f>
        <v>2508.6684500000001</v>
      </c>
      <c r="H59" s="3">
        <f>SUMIFS(Mov!$J:$J,Mov!$E:$E,$A59,Mov!$K:$K,H$3)/1000</f>
        <v>2508.6677</v>
      </c>
      <c r="I59" s="3">
        <f t="shared" ref="I59:O63" si="34">H59</f>
        <v>2508.6677</v>
      </c>
      <c r="J59" s="3">
        <f t="shared" si="34"/>
        <v>2508.6677</v>
      </c>
      <c r="K59" s="3">
        <f t="shared" si="34"/>
        <v>2508.6677</v>
      </c>
      <c r="L59" s="3">
        <f t="shared" si="34"/>
        <v>2508.6677</v>
      </c>
      <c r="M59" s="3">
        <f t="shared" si="34"/>
        <v>2508.6677</v>
      </c>
      <c r="N59" s="3">
        <f t="shared" si="34"/>
        <v>2508.6677</v>
      </c>
      <c r="O59" s="3">
        <f t="shared" si="34"/>
        <v>2508.6677</v>
      </c>
      <c r="P59" s="12">
        <f t="shared" si="32"/>
        <v>29961.793969999992</v>
      </c>
      <c r="Q59" s="12"/>
      <c r="R59" s="12">
        <f t="shared" ca="1" si="33"/>
        <v>29961.793969999992</v>
      </c>
      <c r="S59" s="3">
        <v>1750</v>
      </c>
    </row>
    <row r="60" spans="1:21" hidden="1" outlineLevel="1">
      <c r="A60">
        <v>514510</v>
      </c>
      <c r="B60" t="s">
        <v>1187</v>
      </c>
      <c r="C60" t="s">
        <v>4571</v>
      </c>
      <c r="D60" s="3">
        <f>SUMIFS(Mov!$J:$J,Mov!$E:$E,$A60,Mov!$K:$K,D$3)/1000</f>
        <v>0</v>
      </c>
      <c r="E60" s="3">
        <f>SUMIFS(Mov!$J:$J,Mov!$E:$E,$A60,Mov!$K:$K,E$3)/1000</f>
        <v>0</v>
      </c>
      <c r="F60" s="3">
        <f>SUMIFS(Mov!$J:$J,Mov!$E:$E,$A60,Mov!$K:$K,F$3)/1000</f>
        <v>0</v>
      </c>
      <c r="G60" s="3">
        <f>SUMIFS(Mov!$J:$J,Mov!$E:$E,$A60,Mov!$K:$K,G$3)/1000</f>
        <v>0</v>
      </c>
      <c r="H60" s="3">
        <f>SUMIFS(Mov!$J:$J,Mov!$E:$E,$A60,Mov!$K:$K,H$3)/1000</f>
        <v>0</v>
      </c>
      <c r="I60" s="3">
        <f t="shared" si="34"/>
        <v>0</v>
      </c>
      <c r="J60" s="3">
        <f t="shared" si="34"/>
        <v>0</v>
      </c>
      <c r="K60" s="3">
        <f t="shared" si="34"/>
        <v>0</v>
      </c>
      <c r="L60" s="3">
        <f t="shared" si="34"/>
        <v>0</v>
      </c>
      <c r="M60" s="3">
        <f t="shared" si="34"/>
        <v>0</v>
      </c>
      <c r="N60" s="3">
        <f t="shared" si="34"/>
        <v>0</v>
      </c>
      <c r="O60" s="3">
        <f t="shared" si="34"/>
        <v>0</v>
      </c>
      <c r="P60" s="12">
        <f t="shared" si="32"/>
        <v>0</v>
      </c>
      <c r="Q60" s="12"/>
      <c r="R60" s="12">
        <f t="shared" ca="1" si="33"/>
        <v>0</v>
      </c>
      <c r="S60" s="3">
        <v>0</v>
      </c>
    </row>
    <row r="61" spans="1:21" hidden="1" outlineLevel="1">
      <c r="A61">
        <v>513595</v>
      </c>
      <c r="B61" t="s">
        <v>150</v>
      </c>
      <c r="C61" t="s">
        <v>4569</v>
      </c>
      <c r="D61" s="3">
        <f>SUMIFS(Mov!$J:$J,Mov!$E:$E,$A61,Mov!$K:$K,D$3)/1000</f>
        <v>0</v>
      </c>
      <c r="E61" s="3">
        <f>SUMIFS(Mov!$J:$J,Mov!$E:$E,$A61,Mov!$K:$K,E$3)/1000</f>
        <v>0</v>
      </c>
      <c r="F61" s="3">
        <f>SUMIFS(Mov!$J:$J,Mov!$E:$E,$A61,Mov!$K:$K,F$3)/1000</f>
        <v>0</v>
      </c>
      <c r="G61" s="3">
        <f>SUMIFS(Mov!$J:$J,Mov!$E:$E,$A61,Mov!$K:$K,G$3)/1000</f>
        <v>0</v>
      </c>
      <c r="H61" s="3">
        <f>SUMIFS(Mov!$J:$J,Mov!$E:$E,$A61,Mov!$K:$K,H$3)/1000</f>
        <v>0</v>
      </c>
      <c r="I61" s="3">
        <f t="shared" si="34"/>
        <v>0</v>
      </c>
      <c r="J61" s="3">
        <f t="shared" si="34"/>
        <v>0</v>
      </c>
      <c r="K61" s="3">
        <f t="shared" si="34"/>
        <v>0</v>
      </c>
      <c r="L61" s="3">
        <f t="shared" si="34"/>
        <v>0</v>
      </c>
      <c r="M61" s="3">
        <f t="shared" si="34"/>
        <v>0</v>
      </c>
      <c r="N61" s="3">
        <f t="shared" si="34"/>
        <v>0</v>
      </c>
      <c r="O61" s="3">
        <f t="shared" si="34"/>
        <v>0</v>
      </c>
      <c r="P61" s="12">
        <f t="shared" si="32"/>
        <v>0</v>
      </c>
      <c r="Q61" s="12"/>
      <c r="R61" s="12">
        <f t="shared" ref="R61:R63" ca="1" si="35">SUM(OFFSET(D61,0,0,1,R$3))</f>
        <v>0</v>
      </c>
      <c r="S61" s="3">
        <v>0</v>
      </c>
    </row>
    <row r="62" spans="1:21" outlineLevel="1">
      <c r="A62">
        <v>51350502</v>
      </c>
      <c r="B62" t="s">
        <v>513</v>
      </c>
      <c r="C62" t="s">
        <v>4568</v>
      </c>
      <c r="D62" s="3">
        <f>SUMIFS(Mov!$J:$J,Mov!$E:$E,$A62,Mov!$K:$K,D$3)/1000</f>
        <v>51.05</v>
      </c>
      <c r="E62" s="3">
        <f>SUMIFS(Mov!$J:$J,Mov!$E:$E,$A62,Mov!$K:$K,E$3)/1000</f>
        <v>52.89</v>
      </c>
      <c r="F62" s="3">
        <f>SUMIFS(Mov!$J:$J,Mov!$E:$E,$A62,Mov!$K:$K,F$3)/1000</f>
        <v>52.62</v>
      </c>
      <c r="G62" s="3">
        <f>SUMIFS(Mov!$J:$J,Mov!$E:$E,$A62,Mov!$K:$K,G$3)/1000</f>
        <v>43.84</v>
      </c>
      <c r="H62" s="3">
        <f>SUMIFS(Mov!$J:$J,Mov!$E:$E,$A62,Mov!$K:$K,H$3)/1000</f>
        <v>60.55</v>
      </c>
      <c r="I62" s="227">
        <v>60</v>
      </c>
      <c r="J62" s="3">
        <f t="shared" si="34"/>
        <v>60</v>
      </c>
      <c r="K62" s="3">
        <f t="shared" si="34"/>
        <v>60</v>
      </c>
      <c r="L62" s="3">
        <f t="shared" si="34"/>
        <v>60</v>
      </c>
      <c r="M62" s="3">
        <f t="shared" si="34"/>
        <v>60</v>
      </c>
      <c r="N62" s="3">
        <f t="shared" si="34"/>
        <v>60</v>
      </c>
      <c r="O62" s="3">
        <f t="shared" si="34"/>
        <v>60</v>
      </c>
      <c r="P62" s="12">
        <f t="shared" si="32"/>
        <v>680.95</v>
      </c>
      <c r="Q62" s="12"/>
      <c r="R62" s="12">
        <f t="shared" ref="R62" ca="1" si="36">SUM(OFFSET(D62,0,0,1,R$3))</f>
        <v>680.95</v>
      </c>
      <c r="S62" s="3">
        <v>1750</v>
      </c>
    </row>
    <row r="63" spans="1:21" outlineLevel="1">
      <c r="A63">
        <v>51353001</v>
      </c>
      <c r="B63" t="s">
        <v>516</v>
      </c>
      <c r="C63" t="s">
        <v>4570</v>
      </c>
      <c r="D63" s="3">
        <f>SUMIFS(Mov!$J:$J,Mov!$E:$E,$A63,Mov!$K:$K,D$3)/1000</f>
        <v>3287.9059999999999</v>
      </c>
      <c r="E63" s="3">
        <f>SUMIFS(Mov!$J:$J,Mov!$E:$E,$A63,Mov!$K:$K,E$3)/1000</f>
        <v>3773.68</v>
      </c>
      <c r="F63" s="3">
        <f>SUMIFS(Mov!$J:$J,Mov!$E:$E,$A63,Mov!$K:$K,F$3)/1000</f>
        <v>4382.54</v>
      </c>
      <c r="G63" s="3">
        <f>SUMIFS(Mov!$J:$J,Mov!$E:$E,$A63,Mov!$K:$K,G$3)/1000</f>
        <v>5154.2700000000004</v>
      </c>
      <c r="H63" s="3">
        <f>SUMIFS(Mov!$J:$J,Mov!$E:$E,$A63,Mov!$K:$K,H$3)/1000</f>
        <v>5647.14</v>
      </c>
      <c r="I63" s="227">
        <v>1700</v>
      </c>
      <c r="J63" s="227">
        <v>1800</v>
      </c>
      <c r="K63" s="227">
        <v>1900</v>
      </c>
      <c r="L63" s="227">
        <v>2000</v>
      </c>
      <c r="M63" s="227">
        <v>2100</v>
      </c>
      <c r="N63" s="3">
        <f t="shared" si="34"/>
        <v>2100</v>
      </c>
      <c r="O63" s="3">
        <f t="shared" si="34"/>
        <v>2100</v>
      </c>
      <c r="P63" s="12">
        <f t="shared" si="32"/>
        <v>35945.536</v>
      </c>
      <c r="Q63" s="12"/>
      <c r="R63" s="12">
        <f t="shared" ca="1" si="35"/>
        <v>35945.536</v>
      </c>
      <c r="S63" s="3">
        <v>567.35</v>
      </c>
    </row>
    <row r="64" spans="1:21" outlineLevel="1">
      <c r="A64">
        <v>51502001</v>
      </c>
      <c r="B64" t="s">
        <v>4234</v>
      </c>
      <c r="C64" t="s">
        <v>4571</v>
      </c>
      <c r="D64" s="3">
        <f>SUMIFS(Mov!$J:$J,Mov!$E:$E,$A64,Mov!$K:$K,D$3)/1000</f>
        <v>0</v>
      </c>
      <c r="E64" s="3">
        <f>SUMIFS(Mov!$J:$J,Mov!$E:$E,$A64,Mov!$K:$K,E$3)/1000</f>
        <v>0</v>
      </c>
      <c r="F64" s="3">
        <f>SUMIFS(Mov!$J:$J,Mov!$E:$E,$A64,Mov!$K:$K,F$3)/1000</f>
        <v>0</v>
      </c>
      <c r="G64" s="3">
        <f>SUMIFS(Mov!$J:$J,Mov!$E:$E,$A64,Mov!$K:$K,G$3)/1000</f>
        <v>0</v>
      </c>
      <c r="H64" s="3">
        <f>SUMIFS(Mov!$J:$J,Mov!$E:$E,$A64,Mov!$K:$K,H$3)/1000</f>
        <v>0</v>
      </c>
      <c r="I64" s="3">
        <f t="shared" ref="I64:O65" si="37">H64</f>
        <v>0</v>
      </c>
      <c r="J64" s="3">
        <f t="shared" si="37"/>
        <v>0</v>
      </c>
      <c r="K64" s="3">
        <f t="shared" si="37"/>
        <v>0</v>
      </c>
      <c r="L64" s="3">
        <f t="shared" si="37"/>
        <v>0</v>
      </c>
      <c r="M64" s="3">
        <f t="shared" si="37"/>
        <v>0</v>
      </c>
      <c r="N64" s="3">
        <f t="shared" si="37"/>
        <v>0</v>
      </c>
      <c r="O64" s="3">
        <f t="shared" si="37"/>
        <v>0</v>
      </c>
      <c r="P64" s="12">
        <f t="shared" si="32"/>
        <v>0</v>
      </c>
      <c r="Q64" s="12"/>
      <c r="R64" s="12">
        <f t="shared" ca="1" si="33"/>
        <v>0</v>
      </c>
      <c r="S64" s="3">
        <v>0</v>
      </c>
    </row>
    <row r="65" spans="1:19" outlineLevel="1">
      <c r="A65">
        <v>51502002</v>
      </c>
      <c r="B65" t="s">
        <v>4236</v>
      </c>
      <c r="C65" t="s">
        <v>4571</v>
      </c>
      <c r="D65" s="3">
        <f>SUMIFS(Mov!$J:$J,Mov!$E:$E,$A65,Mov!$K:$K,D$3)/1000</f>
        <v>0</v>
      </c>
      <c r="E65" s="3">
        <f>SUMIFS(Mov!$J:$J,Mov!$E:$E,$A65,Mov!$K:$K,E$3)/1000</f>
        <v>0</v>
      </c>
      <c r="F65" s="3">
        <f>SUMIFS(Mov!$J:$J,Mov!$E:$E,$A65,Mov!$K:$K,F$3)/1000</f>
        <v>0</v>
      </c>
      <c r="G65" s="3">
        <f>SUMIFS(Mov!$J:$J,Mov!$E:$E,$A65,Mov!$K:$K,G$3)/1000</f>
        <v>0</v>
      </c>
      <c r="H65" s="3">
        <f>SUMIFS(Mov!$J:$J,Mov!$E:$E,$A65,Mov!$K:$K,H$3)/1000</f>
        <v>0</v>
      </c>
      <c r="I65" s="3">
        <f t="shared" si="37"/>
        <v>0</v>
      </c>
      <c r="J65" s="3">
        <f t="shared" si="37"/>
        <v>0</v>
      </c>
      <c r="K65" s="3">
        <f t="shared" si="37"/>
        <v>0</v>
      </c>
      <c r="L65" s="3">
        <f t="shared" si="37"/>
        <v>0</v>
      </c>
      <c r="M65" s="3">
        <f t="shared" si="37"/>
        <v>0</v>
      </c>
      <c r="N65" s="3">
        <f t="shared" si="37"/>
        <v>0</v>
      </c>
      <c r="O65" s="3">
        <f t="shared" si="37"/>
        <v>0</v>
      </c>
      <c r="P65" s="12">
        <f t="shared" si="32"/>
        <v>0</v>
      </c>
      <c r="Q65" s="12"/>
      <c r="R65" s="12">
        <f t="shared" ca="1" si="33"/>
        <v>0</v>
      </c>
      <c r="S65" s="3">
        <v>567.35</v>
      </c>
    </row>
    <row r="66" spans="1:19">
      <c r="C66" s="64" t="s">
        <v>4572</v>
      </c>
      <c r="D66" s="12">
        <f t="shared" ref="D66:P66" si="38">SUM(D57:D65)</f>
        <v>30940.547999999995</v>
      </c>
      <c r="E66" s="12">
        <f t="shared" si="38"/>
        <v>31375.125999999997</v>
      </c>
      <c r="F66" s="12">
        <f t="shared" si="38"/>
        <v>24210.583920000001</v>
      </c>
      <c r="G66" s="12">
        <f t="shared" si="38"/>
        <v>24411.866450000001</v>
      </c>
      <c r="H66" s="12">
        <f t="shared" si="38"/>
        <v>24921.4457</v>
      </c>
      <c r="I66" s="12">
        <f t="shared" si="38"/>
        <v>27698.667699999998</v>
      </c>
      <c r="J66" s="12">
        <f t="shared" si="38"/>
        <v>27798.667699999998</v>
      </c>
      <c r="K66" s="66">
        <f t="shared" si="38"/>
        <v>27898.667699999998</v>
      </c>
      <c r="L66" s="66">
        <f t="shared" si="38"/>
        <v>27998.667699999998</v>
      </c>
      <c r="M66" s="66">
        <f t="shared" si="38"/>
        <v>28098.667699999998</v>
      </c>
      <c r="N66" s="66">
        <f t="shared" si="38"/>
        <v>28098.667699999998</v>
      </c>
      <c r="O66" s="66">
        <f t="shared" si="38"/>
        <v>28098.667699999998</v>
      </c>
      <c r="P66" s="66">
        <f t="shared" si="38"/>
        <v>331550.24397000007</v>
      </c>
      <c r="Q66" s="12"/>
      <c r="R66" s="66">
        <f t="shared" ca="1" si="33"/>
        <v>331550.24396999995</v>
      </c>
      <c r="S66" s="66">
        <f t="shared" ref="S66" si="39">SUM(S57:S65)</f>
        <v>18234.699999999997</v>
      </c>
    </row>
    <row r="67" spans="1:19" outlineLevel="1">
      <c r="A67">
        <v>512025</v>
      </c>
      <c r="B67" t="s">
        <v>4573</v>
      </c>
      <c r="C67" t="s">
        <v>4574</v>
      </c>
      <c r="D67" s="3">
        <f>SUMIFS(Mov!$J:$J,Mov!$E:$E,$A67,Mov!$K:$K,D$3)/1000</f>
        <v>0</v>
      </c>
      <c r="E67" s="3">
        <f>SUMIFS(Mov!$J:$J,Mov!$E:$E,$A67,Mov!$K:$K,E$3)/1000</f>
        <v>0</v>
      </c>
      <c r="F67" s="3">
        <f>SUMIFS(Mov!$J:$J,Mov!$E:$E,$A67,Mov!$K:$K,F$3)/1000</f>
        <v>0</v>
      </c>
      <c r="G67" s="3">
        <f>SUMIFS(Mov!$J:$J,Mov!$E:$E,$A67,Mov!$K:$K,G$3)/1000</f>
        <v>0</v>
      </c>
      <c r="H67" s="3">
        <f>SUMIFS(Mov!$J:$J,Mov!$E:$E,$A67,Mov!$K:$K,H$3)/1000</f>
        <v>0</v>
      </c>
      <c r="I67" s="3">
        <f t="shared" ref="I67:O73" si="40">H67</f>
        <v>0</v>
      </c>
      <c r="J67" s="3">
        <f t="shared" si="40"/>
        <v>0</v>
      </c>
      <c r="K67" s="3">
        <f t="shared" si="40"/>
        <v>0</v>
      </c>
      <c r="L67" s="3">
        <f t="shared" si="40"/>
        <v>0</v>
      </c>
      <c r="M67" s="3">
        <f t="shared" si="40"/>
        <v>0</v>
      </c>
      <c r="N67" s="3">
        <f t="shared" si="40"/>
        <v>0</v>
      </c>
      <c r="O67" s="3">
        <f t="shared" si="40"/>
        <v>0</v>
      </c>
      <c r="P67" s="12">
        <f t="shared" ref="P67:P75" si="41">SUM(D67:O67)</f>
        <v>0</v>
      </c>
      <c r="Q67" s="12"/>
      <c r="R67" s="12">
        <f t="shared" ca="1" si="33"/>
        <v>0</v>
      </c>
      <c r="S67" s="3">
        <v>43.9</v>
      </c>
    </row>
    <row r="68" spans="1:19" outlineLevel="1">
      <c r="A68">
        <v>51353501</v>
      </c>
      <c r="B68" t="s">
        <v>1278</v>
      </c>
      <c r="C68" t="s">
        <v>4575</v>
      </c>
      <c r="D68" s="3">
        <f>SUMIFS(Mov!$J:$J,Mov!$E:$E,$A68,Mov!$K:$K,D$3)/1000</f>
        <v>41.18186</v>
      </c>
      <c r="E68" s="3">
        <f>SUMIFS(Mov!$J:$J,Mov!$E:$E,$A68,Mov!$K:$K,E$3)/1000</f>
        <v>40.661910000000006</v>
      </c>
      <c r="F68" s="3">
        <f>SUMIFS(Mov!$J:$J,Mov!$E:$E,$A68,Mov!$K:$K,F$3)/1000</f>
        <v>40.662080000000003</v>
      </c>
      <c r="G68" s="3">
        <f>SUMIFS(Mov!$J:$J,Mov!$E:$E,$A68,Mov!$K:$K,G$3)/1000</f>
        <v>40.66225</v>
      </c>
      <c r="H68" s="3">
        <f>SUMIFS(Mov!$J:$J,Mov!$E:$E,$A68,Mov!$K:$K,H$3)/1000</f>
        <v>40.661910000000006</v>
      </c>
      <c r="I68" s="3">
        <f t="shared" si="40"/>
        <v>40.661910000000006</v>
      </c>
      <c r="J68" s="3">
        <f t="shared" si="40"/>
        <v>40.661910000000006</v>
      </c>
      <c r="K68" s="3">
        <f t="shared" si="40"/>
        <v>40.661910000000006</v>
      </c>
      <c r="L68" s="3">
        <f t="shared" si="40"/>
        <v>40.661910000000006</v>
      </c>
      <c r="M68" s="3">
        <f t="shared" si="40"/>
        <v>40.661910000000006</v>
      </c>
      <c r="N68" s="3">
        <f t="shared" si="40"/>
        <v>40.661910000000006</v>
      </c>
      <c r="O68" s="3">
        <f t="shared" si="40"/>
        <v>40.661910000000006</v>
      </c>
      <c r="P68" s="12">
        <f t="shared" si="41"/>
        <v>488.46338000000014</v>
      </c>
      <c r="Q68" s="12"/>
      <c r="R68" s="12">
        <f t="shared" ref="R68" ca="1" si="42">SUM(OFFSET(D68,0,0,1,R$3))</f>
        <v>488.46338000000014</v>
      </c>
      <c r="S68" s="3">
        <v>43.9</v>
      </c>
    </row>
    <row r="69" spans="1:19" outlineLevel="1">
      <c r="A69">
        <v>51353502</v>
      </c>
      <c r="B69" t="s">
        <v>4231</v>
      </c>
      <c r="C69" t="s">
        <v>4575</v>
      </c>
      <c r="D69" s="3">
        <f>SUMIFS(Mov!$J:$J,Mov!$E:$E,$A69,Mov!$K:$K,D$3)/1000</f>
        <v>0</v>
      </c>
      <c r="E69" s="3">
        <f>SUMIFS(Mov!$J:$J,Mov!$E:$E,$A69,Mov!$K:$K,E$3)/1000</f>
        <v>0</v>
      </c>
      <c r="F69" s="3">
        <f>SUMIFS(Mov!$J:$J,Mov!$E:$E,$A69,Mov!$K:$K,F$3)/1000</f>
        <v>0</v>
      </c>
      <c r="G69" s="3">
        <f>SUMIFS(Mov!$J:$J,Mov!$E:$E,$A69,Mov!$K:$K,G$3)/1000</f>
        <v>0</v>
      </c>
      <c r="H69" s="3">
        <f>SUMIFS(Mov!$J:$J,Mov!$E:$E,$A69,Mov!$K:$K,H$3)/1000</f>
        <v>0</v>
      </c>
      <c r="I69" s="3">
        <f t="shared" si="40"/>
        <v>0</v>
      </c>
      <c r="J69" s="3">
        <f t="shared" si="40"/>
        <v>0</v>
      </c>
      <c r="K69" s="3">
        <f t="shared" si="40"/>
        <v>0</v>
      </c>
      <c r="L69" s="3">
        <f t="shared" si="40"/>
        <v>0</v>
      </c>
      <c r="M69" s="3">
        <f t="shared" si="40"/>
        <v>0</v>
      </c>
      <c r="N69" s="3">
        <f t="shared" si="40"/>
        <v>0</v>
      </c>
      <c r="O69" s="3">
        <f t="shared" si="40"/>
        <v>0</v>
      </c>
      <c r="P69" s="12">
        <f t="shared" si="41"/>
        <v>0</v>
      </c>
      <c r="Q69" s="12"/>
      <c r="R69" s="12">
        <f t="shared" ref="R69" ca="1" si="43">SUM(OFFSET(D69,0,0,1,R$3))</f>
        <v>0</v>
      </c>
      <c r="S69" s="3">
        <v>43.9</v>
      </c>
    </row>
    <row r="70" spans="1:19" hidden="1" outlineLevel="1">
      <c r="A70">
        <v>513595</v>
      </c>
      <c r="B70" t="s">
        <v>150</v>
      </c>
      <c r="C70" t="s">
        <v>4576</v>
      </c>
      <c r="D70" s="3">
        <f>SUMIFS(Mov!$J:$J,Mov!$E:$E,$A70,Mov!$K:$K,D$3)/1000</f>
        <v>0</v>
      </c>
      <c r="E70" s="3">
        <f>SUMIFS(Mov!$J:$J,Mov!$E:$E,$A70,Mov!$K:$K,E$3)/1000</f>
        <v>0</v>
      </c>
      <c r="F70" s="3">
        <f>SUMIFS(Mov!$J:$J,Mov!$E:$E,$A70,Mov!$K:$K,F$3)/1000</f>
        <v>0</v>
      </c>
      <c r="G70" s="3">
        <f>SUMIFS(Mov!$J:$J,Mov!$E:$E,$A70,Mov!$K:$K,G$3)/1000</f>
        <v>0</v>
      </c>
      <c r="H70" s="3">
        <f>SUMIFS(Mov!$J:$J,Mov!$E:$E,$A70,Mov!$K:$K,H$3)/1000</f>
        <v>0</v>
      </c>
      <c r="I70" s="3">
        <f t="shared" si="40"/>
        <v>0</v>
      </c>
      <c r="J70" s="3">
        <f t="shared" si="40"/>
        <v>0</v>
      </c>
      <c r="K70" s="3">
        <f t="shared" si="40"/>
        <v>0</v>
      </c>
      <c r="L70" s="3">
        <f t="shared" si="40"/>
        <v>0</v>
      </c>
      <c r="M70" s="3">
        <f t="shared" si="40"/>
        <v>0</v>
      </c>
      <c r="N70" s="3">
        <f t="shared" si="40"/>
        <v>0</v>
      </c>
      <c r="O70" s="3">
        <f t="shared" si="40"/>
        <v>0</v>
      </c>
      <c r="P70" s="12">
        <f t="shared" si="41"/>
        <v>0</v>
      </c>
      <c r="Q70" s="12"/>
      <c r="R70" s="12">
        <f t="shared" ca="1" si="33"/>
        <v>0</v>
      </c>
      <c r="S70" s="3">
        <v>0</v>
      </c>
    </row>
    <row r="71" spans="1:19" outlineLevel="1">
      <c r="A71">
        <v>51354001</v>
      </c>
      <c r="B71" t="s">
        <v>497</v>
      </c>
      <c r="C71" t="s">
        <v>4577</v>
      </c>
      <c r="D71" s="3">
        <f>SUMIFS(Mov!$J:$J,Mov!$E:$E,$A71,Mov!$K:$K,D$3)/1000</f>
        <v>0</v>
      </c>
      <c r="E71" s="3">
        <f>SUMIFS(Mov!$J:$J,Mov!$E:$E,$A71,Mov!$K:$K,E$3)/1000</f>
        <v>0</v>
      </c>
      <c r="F71" s="3">
        <f>SUMIFS(Mov!$J:$J,Mov!$E:$E,$A71,Mov!$K:$K,F$3)/1000</f>
        <v>0</v>
      </c>
      <c r="G71" s="3">
        <f>SUMIFS(Mov!$J:$J,Mov!$E:$E,$A71,Mov!$K:$K,G$3)/1000</f>
        <v>0</v>
      </c>
      <c r="H71" s="3">
        <f>SUMIFS(Mov!$J:$J,Mov!$E:$E,$A71,Mov!$K:$K,H$3)/1000</f>
        <v>0</v>
      </c>
      <c r="I71" s="3">
        <f t="shared" si="40"/>
        <v>0</v>
      </c>
      <c r="J71" s="3">
        <f t="shared" si="40"/>
        <v>0</v>
      </c>
      <c r="K71" s="3">
        <f t="shared" si="40"/>
        <v>0</v>
      </c>
      <c r="L71" s="3">
        <f t="shared" si="40"/>
        <v>0</v>
      </c>
      <c r="M71" s="3">
        <f t="shared" si="40"/>
        <v>0</v>
      </c>
      <c r="N71" s="3">
        <f t="shared" si="40"/>
        <v>0</v>
      </c>
      <c r="O71" s="3">
        <f t="shared" si="40"/>
        <v>0</v>
      </c>
      <c r="P71" s="12">
        <f t="shared" si="41"/>
        <v>0</v>
      </c>
      <c r="Q71" s="12"/>
      <c r="R71" s="12">
        <f t="shared" ca="1" si="33"/>
        <v>0</v>
      </c>
      <c r="S71" s="3">
        <v>0</v>
      </c>
    </row>
    <row r="72" spans="1:19" hidden="1" outlineLevel="1">
      <c r="A72">
        <v>51352001</v>
      </c>
      <c r="B72" t="s">
        <v>1268</v>
      </c>
      <c r="C72" t="s">
        <v>4578</v>
      </c>
      <c r="D72" s="3">
        <f>SUMIFS(Mov!$J:$J,Mov!$E:$E,$A72,Mov!$K:$K,D$3)/1000</f>
        <v>228.05407</v>
      </c>
      <c r="E72" s="3">
        <f>SUMIFS(Mov!$J:$J,Mov!$E:$E,$A72,Mov!$K:$K,E$3)/1000</f>
        <v>0</v>
      </c>
      <c r="F72" s="3">
        <f>SUMIFS(Mov!$J:$J,Mov!$E:$E,$A72,Mov!$K:$K,F$3)/1000</f>
        <v>227.63166000000001</v>
      </c>
      <c r="G72" s="3">
        <f>SUMIFS(Mov!$J:$J,Mov!$E:$E,$A72,Mov!$K:$K,G$3)/1000</f>
        <v>112.21131</v>
      </c>
      <c r="H72" s="3">
        <f>SUMIFS(Mov!$J:$J,Mov!$E:$E,$A72,Mov!$K:$K,H$3)/1000</f>
        <v>106.90589999999999</v>
      </c>
      <c r="I72" s="3">
        <f t="shared" si="40"/>
        <v>106.90589999999999</v>
      </c>
      <c r="J72" s="3">
        <f t="shared" si="40"/>
        <v>106.90589999999999</v>
      </c>
      <c r="K72" s="3">
        <f t="shared" si="40"/>
        <v>106.90589999999999</v>
      </c>
      <c r="L72" s="3">
        <f t="shared" si="40"/>
        <v>106.90589999999999</v>
      </c>
      <c r="M72" s="3">
        <f t="shared" si="40"/>
        <v>106.90589999999999</v>
      </c>
      <c r="N72" s="3">
        <f t="shared" si="40"/>
        <v>106.90589999999999</v>
      </c>
      <c r="O72" s="3">
        <f t="shared" si="40"/>
        <v>106.90589999999999</v>
      </c>
      <c r="P72" s="12">
        <f t="shared" si="41"/>
        <v>1423.1442399999999</v>
      </c>
      <c r="Q72" s="12"/>
      <c r="R72" s="12">
        <f t="shared" ca="1" si="33"/>
        <v>1423.1442399999999</v>
      </c>
      <c r="S72" s="3">
        <v>0</v>
      </c>
    </row>
    <row r="73" spans="1:19" outlineLevel="1">
      <c r="A73">
        <v>51352002</v>
      </c>
      <c r="B73" t="s">
        <v>519</v>
      </c>
      <c r="C73" t="s">
        <v>4579</v>
      </c>
      <c r="D73" s="3">
        <f>SUMIFS(Mov!$J:$J,Mov!$E:$E,$A73,Mov!$K:$K,D$3)/1000</f>
        <v>4733.0860000000002</v>
      </c>
      <c r="E73" s="3">
        <f>SUMIFS(Mov!$J:$J,Mov!$E:$E,$A73,Mov!$K:$K,E$3)/1000</f>
        <v>4438.3999999999996</v>
      </c>
      <c r="F73" s="3">
        <f>SUMIFS(Mov!$J:$J,Mov!$E:$E,$A73,Mov!$K:$K,F$3)/1000</f>
        <v>5027.7719999999999</v>
      </c>
      <c r="G73" s="3">
        <f>SUMIFS(Mov!$J:$J,Mov!$E:$E,$A73,Mov!$K:$K,G$3)/1000</f>
        <v>5107.2539999999999</v>
      </c>
      <c r="H73" s="3">
        <f>SUMIFS(Mov!$J:$J,Mov!$E:$E,$A73,Mov!$K:$K,H$3)/1000</f>
        <v>4791.9399999999996</v>
      </c>
      <c r="I73" s="227">
        <v>3800</v>
      </c>
      <c r="J73" s="3">
        <f t="shared" si="40"/>
        <v>3800</v>
      </c>
      <c r="K73" s="3">
        <f t="shared" si="40"/>
        <v>3800</v>
      </c>
      <c r="L73" s="3">
        <f t="shared" si="40"/>
        <v>3800</v>
      </c>
      <c r="M73" s="3">
        <f t="shared" si="40"/>
        <v>3800</v>
      </c>
      <c r="N73" s="3">
        <f t="shared" si="40"/>
        <v>3800</v>
      </c>
      <c r="O73" s="3">
        <f t="shared" si="40"/>
        <v>3800</v>
      </c>
      <c r="P73" s="12">
        <f t="shared" si="41"/>
        <v>50698.452000000005</v>
      </c>
      <c r="Q73" s="12"/>
      <c r="R73" s="12">
        <f t="shared" ref="R73" ca="1" si="44">SUM(OFFSET(D73,0,0,1,R$3))</f>
        <v>50698.452000000005</v>
      </c>
      <c r="S73" s="3">
        <v>2310</v>
      </c>
    </row>
    <row r="74" spans="1:19" hidden="1" outlineLevel="1">
      <c r="A74">
        <v>513595</v>
      </c>
      <c r="B74" t="s">
        <v>150</v>
      </c>
      <c r="C74" t="s">
        <v>4580</v>
      </c>
      <c r="D74" s="3">
        <f>SUMIFS(Mov!$J:$J,Mov!$E:$E,$A74,Mov!$K:$K,D$3)/1000</f>
        <v>0</v>
      </c>
      <c r="E74" s="3">
        <f>SUMIFS(Mov!$J:$J,Mov!$E:$E,$A74,Mov!$K:$K,E$3)/1000</f>
        <v>0</v>
      </c>
      <c r="F74" s="3">
        <f>SUMIFS(Mov!$J:$J,Mov!$E:$E,$A74,Mov!$K:$K,F$3)/1000</f>
        <v>0</v>
      </c>
      <c r="G74" s="3">
        <f>SUMIFS(Mov!$J:$J,Mov!$E:$E,$A74,Mov!$K:$K,G$3)/1000</f>
        <v>0</v>
      </c>
      <c r="H74" s="3">
        <f>SUMIFS(Mov!$J:$J,Mov!$E:$E,$A74,Mov!$K:$K,H$3)/1000</f>
        <v>0</v>
      </c>
      <c r="I74" s="3">
        <f>SUMIFS(Mov!$J:$J,Mov!$E:$E,$A74,Mov!$K:$K,I$3)/1000</f>
        <v>0</v>
      </c>
      <c r="J74" s="3">
        <f>SUMIFS(Mov!$J:$J,Mov!$E:$E,$A74,Mov!$K:$K,J$3)/1000</f>
        <v>0</v>
      </c>
      <c r="K74" s="3">
        <f>SUMIFS(Mov!$J:$J,Mov!$E:$E,$A74,Mov!$K:$K,K$3)/1000</f>
        <v>0</v>
      </c>
      <c r="L74" s="3">
        <f>SUMIFS(Mov!$J:$J,Mov!$E:$E,$A74,Mov!$K:$K,L$3)/1000</f>
        <v>0</v>
      </c>
      <c r="M74" s="3">
        <f>SUMIFS(Mov!$J:$J,Mov!$E:$E,$A74,Mov!$K:$K,M$3)/1000</f>
        <v>0</v>
      </c>
      <c r="N74" s="3">
        <f>SUMIFS(Mov!$J:$J,Mov!$E:$E,$A74,Mov!$K:$K,N$3)/1000</f>
        <v>0</v>
      </c>
      <c r="O74" s="3">
        <f>SUMIFS(Mov!$J:$J,Mov!$E:$E,$A74,Mov!$K:$K,O$3)/1000</f>
        <v>0</v>
      </c>
      <c r="P74" s="12">
        <f t="shared" si="41"/>
        <v>0</v>
      </c>
      <c r="Q74" s="12"/>
      <c r="R74" s="12">
        <f t="shared" ca="1" si="33"/>
        <v>0</v>
      </c>
      <c r="S74" s="3">
        <v>0</v>
      </c>
    </row>
    <row r="75" spans="1:19" hidden="1" outlineLevel="1">
      <c r="A75">
        <v>513595</v>
      </c>
      <c r="B75" t="s">
        <v>150</v>
      </c>
      <c r="C75" t="s">
        <v>4581</v>
      </c>
      <c r="D75" s="3">
        <f>SUMIFS(Mov!$J:$J,Mov!$E:$E,$A75,Mov!$K:$K,D$3)/1000</f>
        <v>0</v>
      </c>
      <c r="E75" s="3">
        <f>SUMIFS(Mov!$J:$J,Mov!$E:$E,$A75,Mov!$K:$K,E$3)/1000</f>
        <v>0</v>
      </c>
      <c r="F75" s="3">
        <f>SUMIFS(Mov!$J:$J,Mov!$E:$E,$A75,Mov!$K:$K,F$3)/1000</f>
        <v>0</v>
      </c>
      <c r="G75" s="3">
        <f>SUMIFS(Mov!$J:$J,Mov!$E:$E,$A75,Mov!$K:$K,G$3)/1000</f>
        <v>0</v>
      </c>
      <c r="H75" s="3">
        <f>SUMIFS(Mov!$J:$J,Mov!$E:$E,$A75,Mov!$K:$K,H$3)/1000</f>
        <v>0</v>
      </c>
      <c r="I75" s="3">
        <f>SUMIFS(Mov!$J:$J,Mov!$E:$E,$A75,Mov!$K:$K,I$3)/1000</f>
        <v>0</v>
      </c>
      <c r="J75" s="3">
        <f>SUMIFS(Mov!$J:$J,Mov!$E:$E,$A75,Mov!$K:$K,J$3)/1000</f>
        <v>0</v>
      </c>
      <c r="K75" s="3">
        <f>SUMIFS(Mov!$J:$J,Mov!$E:$E,$A75,Mov!$K:$K,K$3)/1000</f>
        <v>0</v>
      </c>
      <c r="L75" s="3">
        <f>SUMIFS(Mov!$J:$J,Mov!$E:$E,$A75,Mov!$K:$K,L$3)/1000</f>
        <v>0</v>
      </c>
      <c r="M75" s="3">
        <f>SUMIFS(Mov!$J:$J,Mov!$E:$E,$A75,Mov!$K:$K,M$3)/1000</f>
        <v>0</v>
      </c>
      <c r="N75" s="3">
        <f>SUMIFS(Mov!$J:$J,Mov!$E:$E,$A75,Mov!$K:$K,N$3)/1000</f>
        <v>0</v>
      </c>
      <c r="O75" s="3">
        <f>SUMIFS(Mov!$J:$J,Mov!$E:$E,$A75,Mov!$K:$K,O$3)/1000</f>
        <v>0</v>
      </c>
      <c r="P75" s="12">
        <f t="shared" si="41"/>
        <v>0</v>
      </c>
      <c r="Q75" s="12"/>
      <c r="R75" s="12">
        <f t="shared" ca="1" si="33"/>
        <v>0</v>
      </c>
      <c r="S75" s="3">
        <v>0</v>
      </c>
    </row>
    <row r="76" spans="1:19">
      <c r="C76" s="64" t="s">
        <v>4582</v>
      </c>
      <c r="D76" s="3">
        <f t="shared" ref="D76:P76" si="45">SUM(D67:D75)</f>
        <v>5002.3219300000001</v>
      </c>
      <c r="E76" s="3">
        <f t="shared" si="45"/>
        <v>4479.0619099999994</v>
      </c>
      <c r="F76" s="3">
        <f t="shared" si="45"/>
        <v>5296.06574</v>
      </c>
      <c r="G76" s="3">
        <f t="shared" si="45"/>
        <v>5260.1275599999999</v>
      </c>
      <c r="H76" s="3">
        <f t="shared" si="45"/>
        <v>4939.5078099999992</v>
      </c>
      <c r="I76" s="3">
        <f t="shared" si="45"/>
        <v>3947.56781</v>
      </c>
      <c r="J76" s="3">
        <f t="shared" si="45"/>
        <v>3947.56781</v>
      </c>
      <c r="K76" s="65">
        <f t="shared" si="45"/>
        <v>3947.56781</v>
      </c>
      <c r="L76" s="65">
        <f t="shared" si="45"/>
        <v>3947.56781</v>
      </c>
      <c r="M76" s="65">
        <f t="shared" si="45"/>
        <v>3947.56781</v>
      </c>
      <c r="N76" s="65">
        <f t="shared" si="45"/>
        <v>3947.56781</v>
      </c>
      <c r="O76" s="65">
        <f t="shared" si="45"/>
        <v>3947.56781</v>
      </c>
      <c r="P76" s="65">
        <f t="shared" si="45"/>
        <v>52610.059620000007</v>
      </c>
      <c r="R76" s="65">
        <f ca="1">SUM(R67:R75)</f>
        <v>52610.059620000007</v>
      </c>
      <c r="S76" s="65">
        <f t="shared" ref="S76" si="46">SUM(S67:S75)</f>
        <v>2441.6999999999998</v>
      </c>
    </row>
    <row r="77" spans="1:19" outlineLevel="1">
      <c r="A77">
        <v>51400501</v>
      </c>
      <c r="B77" t="s">
        <v>1294</v>
      </c>
      <c r="C77" t="s">
        <v>4583</v>
      </c>
      <c r="D77" s="3">
        <f>SUMIFS(Mov!$J:$J,Mov!$E:$E,$A77,Mov!$K:$K,D$3)/1000</f>
        <v>0</v>
      </c>
      <c r="E77" s="3">
        <f>SUMIFS(Mov!$J:$J,Mov!$E:$E,$A77,Mov!$K:$K,E$3)/1000</f>
        <v>0</v>
      </c>
      <c r="F77" s="3">
        <f>SUMIFS(Mov!$J:$J,Mov!$E:$E,$A77,Mov!$K:$K,F$3)/1000</f>
        <v>0</v>
      </c>
      <c r="G77" s="3">
        <f>SUMIFS(Mov!$J:$J,Mov!$E:$E,$A77,Mov!$K:$K,G$3)/1000</f>
        <v>0</v>
      </c>
      <c r="H77" s="3">
        <f>SUMIFS(Mov!$J:$J,Mov!$E:$E,$A77,Mov!$K:$K,H$3)/1000</f>
        <v>0</v>
      </c>
      <c r="I77" s="3">
        <f t="shared" ref="I77:O91" si="47">H77</f>
        <v>0</v>
      </c>
      <c r="J77" s="3">
        <f t="shared" si="47"/>
        <v>0</v>
      </c>
      <c r="K77" s="3">
        <f t="shared" si="47"/>
        <v>0</v>
      </c>
      <c r="L77" s="3">
        <f t="shared" si="47"/>
        <v>0</v>
      </c>
      <c r="M77" s="3">
        <f t="shared" si="47"/>
        <v>0</v>
      </c>
      <c r="N77" s="3">
        <f t="shared" si="47"/>
        <v>0</v>
      </c>
      <c r="O77" s="3">
        <f t="shared" si="47"/>
        <v>0</v>
      </c>
      <c r="P77" s="12">
        <f t="shared" ref="P77:P80" si="48">SUM(D77:O77)</f>
        <v>0</v>
      </c>
      <c r="Q77" s="12"/>
      <c r="R77" s="12">
        <f t="shared" ref="R77:R102" ca="1" si="49">SUM(OFFSET(D77,0,0,1,R$3))</f>
        <v>0</v>
      </c>
      <c r="S77" s="3">
        <v>8.6999999999999993</v>
      </c>
    </row>
    <row r="78" spans="1:19" outlineLevel="1">
      <c r="A78">
        <v>51401001</v>
      </c>
      <c r="B78" t="s">
        <v>1304</v>
      </c>
      <c r="C78" t="s">
        <v>4584</v>
      </c>
      <c r="D78" s="3">
        <f>SUMIFS(Mov!$J:$J,Mov!$E:$E,$A78,Mov!$K:$K,D$3)/1000</f>
        <v>0</v>
      </c>
      <c r="E78" s="3">
        <f>SUMIFS(Mov!$J:$J,Mov!$E:$E,$A78,Mov!$K:$K,E$3)/1000</f>
        <v>0</v>
      </c>
      <c r="F78" s="3">
        <f>SUMIFS(Mov!$J:$J,Mov!$E:$E,$A78,Mov!$K:$K,F$3)/1000</f>
        <v>1480.2</v>
      </c>
      <c r="G78" s="3">
        <f>SUMIFS(Mov!$J:$J,Mov!$E:$E,$A78,Mov!$K:$K,G$3)/1000</f>
        <v>0</v>
      </c>
      <c r="H78" s="3">
        <f>SUMIFS(Mov!$J:$J,Mov!$E:$E,$A78,Mov!$K:$K,H$3)/1000</f>
        <v>0</v>
      </c>
      <c r="I78" s="3">
        <f t="shared" si="47"/>
        <v>0</v>
      </c>
      <c r="J78" s="3">
        <f t="shared" si="47"/>
        <v>0</v>
      </c>
      <c r="K78" s="3">
        <f t="shared" si="47"/>
        <v>0</v>
      </c>
      <c r="L78" s="3">
        <f t="shared" si="47"/>
        <v>0</v>
      </c>
      <c r="M78" s="3">
        <f t="shared" si="47"/>
        <v>0</v>
      </c>
      <c r="N78" s="3">
        <f t="shared" si="47"/>
        <v>0</v>
      </c>
      <c r="O78" s="3">
        <f t="shared" si="47"/>
        <v>0</v>
      </c>
      <c r="P78" s="12">
        <f t="shared" si="48"/>
        <v>1480.2</v>
      </c>
      <c r="Q78" s="12"/>
      <c r="R78" s="12">
        <f t="shared" ref="R78" ca="1" si="50">SUM(OFFSET(D78,0,0,1,R$3))</f>
        <v>1480.2</v>
      </c>
      <c r="S78" s="3">
        <v>0</v>
      </c>
    </row>
    <row r="79" spans="1:19" outlineLevel="1">
      <c r="A79">
        <v>51401002</v>
      </c>
      <c r="B79" t="s">
        <v>1304</v>
      </c>
      <c r="C79" t="s">
        <v>4584</v>
      </c>
      <c r="D79" s="3">
        <f>SUMIFS(Mov!$J:$J,Mov!$E:$E,$A79,Mov!$K:$K,D$3)/1000</f>
        <v>7.9</v>
      </c>
      <c r="E79" s="3">
        <f>SUMIFS(Mov!$J:$J,Mov!$E:$E,$A79,Mov!$K:$K,E$3)/1000</f>
        <v>0</v>
      </c>
      <c r="F79" s="3">
        <f>SUMIFS(Mov!$J:$J,Mov!$E:$E,$A79,Mov!$K:$K,F$3)/1000</f>
        <v>0</v>
      </c>
      <c r="G79" s="3">
        <f>SUMIFS(Mov!$J:$J,Mov!$E:$E,$A79,Mov!$K:$K,G$3)/1000</f>
        <v>7.2</v>
      </c>
      <c r="H79" s="3">
        <f>SUMIFS(Mov!$J:$J,Mov!$E:$E,$A79,Mov!$K:$K,H$3)/1000</f>
        <v>0</v>
      </c>
      <c r="I79" s="3">
        <f t="shared" si="47"/>
        <v>0</v>
      </c>
      <c r="J79" s="3">
        <f t="shared" si="47"/>
        <v>0</v>
      </c>
      <c r="K79" s="3">
        <f t="shared" si="47"/>
        <v>0</v>
      </c>
      <c r="L79" s="3">
        <f t="shared" si="47"/>
        <v>0</v>
      </c>
      <c r="M79" s="3">
        <f t="shared" si="47"/>
        <v>0</v>
      </c>
      <c r="N79" s="3">
        <f t="shared" si="47"/>
        <v>0</v>
      </c>
      <c r="O79" s="3">
        <f t="shared" si="47"/>
        <v>0</v>
      </c>
      <c r="P79" s="12">
        <f t="shared" si="48"/>
        <v>15.100000000000001</v>
      </c>
      <c r="Q79" s="12"/>
      <c r="R79" s="12">
        <f t="shared" ca="1" si="49"/>
        <v>15.100000000000001</v>
      </c>
      <c r="S79" s="3">
        <v>5.9</v>
      </c>
    </row>
    <row r="80" spans="1:19" hidden="1" outlineLevel="1">
      <c r="A80">
        <v>514015</v>
      </c>
      <c r="B80" t="s">
        <v>1306</v>
      </c>
      <c r="C80" t="s">
        <v>4584</v>
      </c>
      <c r="D80" s="3">
        <f>SUMIFS(Mov!$J:$J,Mov!$E:$E,$A80,Mov!$K:$K,D$3)/1000</f>
        <v>0</v>
      </c>
      <c r="E80" s="3">
        <f>SUMIFS(Mov!$J:$J,Mov!$E:$E,$A80,Mov!$K:$K,E$3)/1000</f>
        <v>0</v>
      </c>
      <c r="F80" s="3">
        <f>SUMIFS(Mov!$J:$J,Mov!$E:$E,$A80,Mov!$K:$K,F$3)/1000</f>
        <v>0</v>
      </c>
      <c r="G80" s="3">
        <f>SUMIFS(Mov!$J:$J,Mov!$E:$E,$A80,Mov!$K:$K,G$3)/1000</f>
        <v>0</v>
      </c>
      <c r="H80" s="3">
        <f>SUMIFS(Mov!$J:$J,Mov!$E:$E,$A80,Mov!$K:$K,H$3)/1000</f>
        <v>0</v>
      </c>
      <c r="I80" s="3">
        <f t="shared" si="47"/>
        <v>0</v>
      </c>
      <c r="J80" s="3">
        <f t="shared" si="47"/>
        <v>0</v>
      </c>
      <c r="K80" s="3">
        <f t="shared" si="47"/>
        <v>0</v>
      </c>
      <c r="L80" s="3">
        <f t="shared" si="47"/>
        <v>0</v>
      </c>
      <c r="M80" s="3">
        <f t="shared" si="47"/>
        <v>0</v>
      </c>
      <c r="N80" s="3">
        <f t="shared" si="47"/>
        <v>0</v>
      </c>
      <c r="O80" s="3">
        <f t="shared" si="47"/>
        <v>0</v>
      </c>
      <c r="P80" s="12">
        <f t="shared" si="48"/>
        <v>0</v>
      </c>
      <c r="Q80" s="12"/>
      <c r="R80" s="12">
        <f t="shared" ca="1" si="49"/>
        <v>0</v>
      </c>
      <c r="S80" s="3">
        <v>0</v>
      </c>
    </row>
    <row r="81" spans="1:19" hidden="1" outlineLevel="1">
      <c r="A81">
        <v>514520</v>
      </c>
      <c r="B81" t="s">
        <v>1193</v>
      </c>
      <c r="C81" t="s">
        <v>4585</v>
      </c>
      <c r="D81" s="3">
        <f>SUMIFS(Mov!$J:$J,Mov!$E:$E,$A81,Mov!$K:$K,D$3)/1000</f>
        <v>0</v>
      </c>
      <c r="E81" s="3">
        <f>SUMIFS(Mov!$J:$J,Mov!$E:$E,$A81,Mov!$K:$K,E$3)/1000</f>
        <v>0</v>
      </c>
      <c r="F81" s="3">
        <f>SUMIFS(Mov!$J:$J,Mov!$E:$E,$A81,Mov!$K:$K,F$3)/1000</f>
        <v>0</v>
      </c>
      <c r="G81" s="3">
        <f>SUMIFS(Mov!$J:$J,Mov!$E:$E,$A81,Mov!$K:$K,G$3)/1000</f>
        <v>0</v>
      </c>
      <c r="H81" s="3">
        <f>SUMIFS(Mov!$J:$J,Mov!$E:$E,$A81,Mov!$K:$K,H$3)/1000</f>
        <v>0</v>
      </c>
      <c r="I81" s="3">
        <f t="shared" si="47"/>
        <v>0</v>
      </c>
      <c r="J81" s="3">
        <f t="shared" si="47"/>
        <v>0</v>
      </c>
      <c r="K81" s="3">
        <f t="shared" si="47"/>
        <v>0</v>
      </c>
      <c r="L81" s="3">
        <f t="shared" si="47"/>
        <v>0</v>
      </c>
      <c r="M81" s="3">
        <f t="shared" si="47"/>
        <v>0</v>
      </c>
      <c r="N81" s="3">
        <f t="shared" si="47"/>
        <v>0</v>
      </c>
      <c r="O81" s="3">
        <f t="shared" si="47"/>
        <v>0</v>
      </c>
      <c r="P81" s="12">
        <f>SUM(D81:O81)</f>
        <v>0</v>
      </c>
      <c r="Q81" s="12"/>
      <c r="R81" s="12">
        <f ca="1">SUM(OFFSET(D81,0,0,1,R$3))</f>
        <v>0</v>
      </c>
      <c r="S81" s="3">
        <v>0</v>
      </c>
    </row>
    <row r="82" spans="1:19" hidden="1" outlineLevel="1">
      <c r="D82" s="3"/>
      <c r="E82" s="3"/>
      <c r="F82" s="3"/>
      <c r="G82" s="3"/>
      <c r="H82" s="3"/>
      <c r="I82" s="3">
        <f t="shared" si="47"/>
        <v>0</v>
      </c>
      <c r="J82" s="3">
        <f t="shared" si="47"/>
        <v>0</v>
      </c>
      <c r="K82" s="3">
        <f t="shared" si="47"/>
        <v>0</v>
      </c>
      <c r="L82" s="3">
        <f t="shared" si="47"/>
        <v>0</v>
      </c>
      <c r="M82" s="3">
        <f t="shared" si="47"/>
        <v>0</v>
      </c>
      <c r="N82" s="3">
        <f t="shared" si="47"/>
        <v>0</v>
      </c>
      <c r="O82" s="3">
        <f t="shared" si="47"/>
        <v>0</v>
      </c>
      <c r="P82" s="12"/>
      <c r="Q82" s="12"/>
      <c r="R82" s="12"/>
      <c r="S82" s="3"/>
    </row>
    <row r="83" spans="1:19" hidden="1" outlineLevel="1">
      <c r="A83">
        <v>51700501</v>
      </c>
      <c r="B83" t="s">
        <v>1393</v>
      </c>
      <c r="C83" t="s">
        <v>4586</v>
      </c>
      <c r="D83" s="3">
        <f>SUMIFS(Mov!$J:$J,Mov!$E:$E,$A83,Mov!$K:$K,D$3)/1000</f>
        <v>0</v>
      </c>
      <c r="E83" s="3">
        <f>SUMIFS(Mov!$J:$J,Mov!$E:$E,$A83,Mov!$K:$K,E$3)/1000</f>
        <v>0</v>
      </c>
      <c r="F83" s="3">
        <f>SUMIFS(Mov!$J:$J,Mov!$E:$E,$A83,Mov!$K:$K,F$3)/1000</f>
        <v>0</v>
      </c>
      <c r="G83" s="3">
        <f>SUMIFS(Mov!$J:$J,Mov!$E:$E,$A83,Mov!$K:$K,G$3)/1000</f>
        <v>0</v>
      </c>
      <c r="H83" s="3">
        <f>SUMIFS(Mov!$J:$J,Mov!$E:$E,$A83,Mov!$K:$K,H$3)/1000</f>
        <v>0</v>
      </c>
      <c r="I83" s="3">
        <f t="shared" si="47"/>
        <v>0</v>
      </c>
      <c r="J83" s="3">
        <f t="shared" si="47"/>
        <v>0</v>
      </c>
      <c r="K83" s="3">
        <f t="shared" si="47"/>
        <v>0</v>
      </c>
      <c r="L83" s="3">
        <f t="shared" si="47"/>
        <v>0</v>
      </c>
      <c r="M83" s="3">
        <f t="shared" si="47"/>
        <v>0</v>
      </c>
      <c r="N83" s="3">
        <f t="shared" si="47"/>
        <v>0</v>
      </c>
      <c r="O83" s="3">
        <f t="shared" si="47"/>
        <v>0</v>
      </c>
      <c r="P83" s="12">
        <f t="shared" ref="P83:P87" si="51">SUM(D83:O83)</f>
        <v>0</v>
      </c>
      <c r="Q83" s="12"/>
      <c r="R83" s="12">
        <f t="shared" ref="R83:R84" ca="1" si="52">SUM(OFFSET(D83,0,0,1,R$3))</f>
        <v>0</v>
      </c>
      <c r="S83" s="3">
        <v>775</v>
      </c>
    </row>
    <row r="84" spans="1:19" hidden="1" outlineLevel="1">
      <c r="A84">
        <v>51700502</v>
      </c>
      <c r="B84" t="s">
        <v>1395</v>
      </c>
      <c r="C84" t="s">
        <v>4587</v>
      </c>
      <c r="D84" s="3">
        <f>SUMIFS(Mov!$J:$J,Mov!$E:$E,$A84,Mov!$K:$K,D$3)/1000</f>
        <v>0</v>
      </c>
      <c r="E84" s="3">
        <f>SUMIFS(Mov!$J:$J,Mov!$E:$E,$A84,Mov!$K:$K,E$3)/1000</f>
        <v>0</v>
      </c>
      <c r="F84" s="3">
        <f>SUMIFS(Mov!$J:$J,Mov!$E:$E,$A84,Mov!$K:$K,F$3)/1000</f>
        <v>0</v>
      </c>
      <c r="G84" s="3">
        <f>SUMIFS(Mov!$J:$J,Mov!$E:$E,$A84,Mov!$K:$K,G$3)/1000</f>
        <v>0</v>
      </c>
      <c r="H84" s="3">
        <f>SUMIFS(Mov!$J:$J,Mov!$E:$E,$A84,Mov!$K:$K,H$3)/1000</f>
        <v>0</v>
      </c>
      <c r="I84" s="3">
        <f t="shared" si="47"/>
        <v>0</v>
      </c>
      <c r="J84" s="3">
        <f t="shared" si="47"/>
        <v>0</v>
      </c>
      <c r="K84" s="3">
        <f t="shared" si="47"/>
        <v>0</v>
      </c>
      <c r="L84" s="3">
        <f t="shared" si="47"/>
        <v>0</v>
      </c>
      <c r="M84" s="3">
        <f t="shared" si="47"/>
        <v>0</v>
      </c>
      <c r="N84" s="3">
        <f t="shared" si="47"/>
        <v>0</v>
      </c>
      <c r="O84" s="3">
        <f t="shared" si="47"/>
        <v>0</v>
      </c>
      <c r="P84" s="12">
        <f t="shared" si="51"/>
        <v>0</v>
      </c>
      <c r="Q84" s="12"/>
      <c r="R84" s="12">
        <f t="shared" ca="1" si="52"/>
        <v>0</v>
      </c>
      <c r="S84" s="3">
        <v>0</v>
      </c>
    </row>
    <row r="85" spans="1:19" outlineLevel="1">
      <c r="A85">
        <v>51700503</v>
      </c>
      <c r="B85" t="s">
        <v>1397</v>
      </c>
      <c r="C85" t="s">
        <v>4587</v>
      </c>
      <c r="D85" s="3">
        <f>SUMIFS(Mov!$J:$J,Mov!$E:$E,$A85,Mov!$K:$K,D$3)/1000</f>
        <v>330</v>
      </c>
      <c r="E85" s="3">
        <f>SUMIFS(Mov!$J:$J,Mov!$E:$E,$A85,Mov!$K:$K,E$3)/1000</f>
        <v>330</v>
      </c>
      <c r="F85" s="3">
        <f>SUMIFS(Mov!$J:$J,Mov!$E:$E,$A85,Mov!$K:$K,F$3)/1000</f>
        <v>419.95</v>
      </c>
      <c r="G85" s="3">
        <f>SUMIFS(Mov!$J:$J,Mov!$E:$E,$A85,Mov!$K:$K,G$3)/1000</f>
        <v>330</v>
      </c>
      <c r="H85" s="3">
        <f>SUMIFS(Mov!$J:$J,Mov!$E:$E,$A85,Mov!$K:$K,H$3)/1000</f>
        <v>330</v>
      </c>
      <c r="I85" s="3">
        <f t="shared" si="47"/>
        <v>330</v>
      </c>
      <c r="J85" s="3">
        <f t="shared" si="47"/>
        <v>330</v>
      </c>
      <c r="K85" s="3">
        <f t="shared" si="47"/>
        <v>330</v>
      </c>
      <c r="L85" s="3">
        <f t="shared" si="47"/>
        <v>330</v>
      </c>
      <c r="M85" s="3">
        <f t="shared" si="47"/>
        <v>330</v>
      </c>
      <c r="N85" s="3">
        <f t="shared" si="47"/>
        <v>330</v>
      </c>
      <c r="O85" s="3">
        <f t="shared" si="47"/>
        <v>330</v>
      </c>
      <c r="P85" s="12">
        <f t="shared" si="51"/>
        <v>4049.95</v>
      </c>
      <c r="Q85" s="12"/>
      <c r="R85" s="12">
        <f t="shared" ref="R85" ca="1" si="53">SUM(OFFSET(D85,0,0,1,R$3))</f>
        <v>4049.95</v>
      </c>
      <c r="S85" s="3">
        <v>580</v>
      </c>
    </row>
    <row r="86" spans="1:19" outlineLevel="1">
      <c r="A86">
        <v>51701001</v>
      </c>
      <c r="B86" t="s">
        <v>404</v>
      </c>
      <c r="C86" t="s">
        <v>4585</v>
      </c>
      <c r="D86" s="3">
        <f>SUMIFS(Mov!$J:$J,Mov!$E:$E,$A86,Mov!$K:$K,D$3)/1000</f>
        <v>0</v>
      </c>
      <c r="E86" s="3">
        <f>SUMIFS(Mov!$J:$J,Mov!$E:$E,$A86,Mov!$K:$K,E$3)/1000</f>
        <v>0</v>
      </c>
      <c r="F86" s="3">
        <f>SUMIFS(Mov!$J:$J,Mov!$E:$E,$A86,Mov!$K:$K,F$3)/1000</f>
        <v>0</v>
      </c>
      <c r="G86" s="3">
        <f>SUMIFS(Mov!$J:$J,Mov!$E:$E,$A86,Mov!$K:$K,G$3)/1000</f>
        <v>0</v>
      </c>
      <c r="H86" s="3">
        <f>SUMIFS(Mov!$J:$J,Mov!$E:$E,$A86,Mov!$K:$K,H$3)/1000</f>
        <v>0</v>
      </c>
      <c r="I86" s="3">
        <f t="shared" si="47"/>
        <v>0</v>
      </c>
      <c r="J86" s="3">
        <f t="shared" si="47"/>
        <v>0</v>
      </c>
      <c r="K86" s="3">
        <f t="shared" si="47"/>
        <v>0</v>
      </c>
      <c r="L86" s="3">
        <f t="shared" si="47"/>
        <v>0</v>
      </c>
      <c r="M86" s="3">
        <f t="shared" si="47"/>
        <v>0</v>
      </c>
      <c r="N86" s="3">
        <f t="shared" si="47"/>
        <v>0</v>
      </c>
      <c r="O86" s="3">
        <f t="shared" si="47"/>
        <v>0</v>
      </c>
      <c r="P86" s="12">
        <f t="shared" si="51"/>
        <v>0</v>
      </c>
      <c r="Q86" s="12"/>
      <c r="R86" s="12">
        <f t="shared" ref="R86:R87" ca="1" si="54">SUM(OFFSET(D86,0,0,1,R$3))</f>
        <v>0</v>
      </c>
      <c r="S86" s="3">
        <v>752</v>
      </c>
    </row>
    <row r="87" spans="1:19" hidden="1" outlineLevel="1">
      <c r="A87">
        <v>51701002</v>
      </c>
      <c r="B87" t="s">
        <v>419</v>
      </c>
      <c r="C87" t="s">
        <v>4588</v>
      </c>
      <c r="D87" s="3">
        <f>SUMIFS(Mov!$J:$J,Mov!$E:$E,$A87,Mov!$K:$K,D$3)/1000</f>
        <v>0</v>
      </c>
      <c r="E87" s="3">
        <f>SUMIFS(Mov!$J:$J,Mov!$E:$E,$A87,Mov!$K:$K,E$3)/1000</f>
        <v>0</v>
      </c>
      <c r="F87" s="3">
        <f>SUMIFS(Mov!$J:$J,Mov!$E:$E,$A87,Mov!$K:$K,F$3)/1000</f>
        <v>0</v>
      </c>
      <c r="G87" s="3">
        <f>SUMIFS(Mov!$J:$J,Mov!$E:$E,$A87,Mov!$K:$K,G$3)/1000</f>
        <v>0</v>
      </c>
      <c r="H87" s="3">
        <f>SUMIFS(Mov!$J:$J,Mov!$E:$E,$A87,Mov!$K:$K,H$3)/1000</f>
        <v>0</v>
      </c>
      <c r="I87" s="3">
        <f t="shared" si="47"/>
        <v>0</v>
      </c>
      <c r="J87" s="3">
        <f t="shared" si="47"/>
        <v>0</v>
      </c>
      <c r="K87" s="3">
        <f t="shared" si="47"/>
        <v>0</v>
      </c>
      <c r="L87" s="3">
        <f t="shared" si="47"/>
        <v>0</v>
      </c>
      <c r="M87" s="3">
        <f t="shared" si="47"/>
        <v>0</v>
      </c>
      <c r="N87" s="3">
        <f t="shared" si="47"/>
        <v>0</v>
      </c>
      <c r="O87" s="3">
        <f t="shared" si="47"/>
        <v>0</v>
      </c>
      <c r="P87" s="12">
        <f t="shared" si="51"/>
        <v>0</v>
      </c>
      <c r="Q87" s="12"/>
      <c r="R87" s="12">
        <f t="shared" ca="1" si="54"/>
        <v>0</v>
      </c>
      <c r="S87" s="3">
        <v>0</v>
      </c>
    </row>
    <row r="88" spans="1:19" hidden="1" outlineLevel="1">
      <c r="A88">
        <v>519510</v>
      </c>
      <c r="B88" t="s">
        <v>455</v>
      </c>
      <c r="C88" t="s">
        <v>4584</v>
      </c>
      <c r="D88" s="3">
        <f>SUMIFS(Mov!$J:$J,Mov!$E:$E,$A88,Mov!$K:$K,D$3)/1000</f>
        <v>0</v>
      </c>
      <c r="E88" s="3">
        <f>SUMIFS(Mov!$J:$J,Mov!$E:$E,$A88,Mov!$K:$K,E$3)/1000</f>
        <v>0</v>
      </c>
      <c r="F88" s="3">
        <f>SUMIFS(Mov!$J:$J,Mov!$E:$E,$A88,Mov!$K:$K,F$3)/1000</f>
        <v>0</v>
      </c>
      <c r="G88" s="3">
        <f>SUMIFS(Mov!$J:$J,Mov!$E:$E,$A88,Mov!$K:$K,G$3)/1000</f>
        <v>0</v>
      </c>
      <c r="H88" s="3">
        <f>SUMIFS(Mov!$J:$J,Mov!$E:$E,$A88,Mov!$K:$K,H$3)/1000</f>
        <v>0</v>
      </c>
      <c r="I88" s="3">
        <f t="shared" si="47"/>
        <v>0</v>
      </c>
      <c r="J88" s="3">
        <f t="shared" si="47"/>
        <v>0</v>
      </c>
      <c r="K88" s="3">
        <f t="shared" si="47"/>
        <v>0</v>
      </c>
      <c r="L88" s="3">
        <f t="shared" si="47"/>
        <v>0</v>
      </c>
      <c r="M88" s="3">
        <f t="shared" si="47"/>
        <v>0</v>
      </c>
      <c r="N88" s="3">
        <f t="shared" si="47"/>
        <v>0</v>
      </c>
      <c r="O88" s="3">
        <f t="shared" si="47"/>
        <v>0</v>
      </c>
      <c r="P88" s="12">
        <f>SUM(D88:O88)</f>
        <v>0</v>
      </c>
      <c r="Q88" s="12"/>
      <c r="R88" s="12">
        <f ca="1">SUM(OFFSET(D88,0,0,1,R$3))</f>
        <v>0</v>
      </c>
      <c r="S88" s="3">
        <v>0</v>
      </c>
    </row>
    <row r="89" spans="1:19" outlineLevel="1">
      <c r="A89">
        <v>51953001</v>
      </c>
      <c r="B89" t="s">
        <v>1416</v>
      </c>
      <c r="C89" t="s">
        <v>4589</v>
      </c>
      <c r="D89" s="3">
        <f>SUMIFS(Mov!$J:$J,Mov!$E:$E,$A89,Mov!$K:$K,D$3)/1000</f>
        <v>429.1</v>
      </c>
      <c r="E89" s="3">
        <f>SUMIFS(Mov!$J:$J,Mov!$E:$E,$A89,Mov!$K:$K,E$3)/1000</f>
        <v>510.62900000000002</v>
      </c>
      <c r="F89" s="3">
        <f>SUMIFS(Mov!$J:$J,Mov!$E:$E,$A89,Mov!$K:$K,F$3)/1000</f>
        <v>0</v>
      </c>
      <c r="G89" s="3">
        <f>SUMIFS(Mov!$J:$J,Mov!$E:$E,$A89,Mov!$K:$K,G$3)/1000</f>
        <v>0</v>
      </c>
      <c r="H89" s="3">
        <f>SUMIFS(Mov!$J:$J,Mov!$E:$E,$A89,Mov!$K:$K,H$3)/1000</f>
        <v>0</v>
      </c>
      <c r="I89" s="3">
        <v>120</v>
      </c>
      <c r="J89" s="3">
        <f t="shared" si="47"/>
        <v>120</v>
      </c>
      <c r="K89" s="3">
        <f t="shared" si="47"/>
        <v>120</v>
      </c>
      <c r="L89" s="3">
        <f t="shared" si="47"/>
        <v>120</v>
      </c>
      <c r="M89" s="3">
        <f t="shared" si="47"/>
        <v>120</v>
      </c>
      <c r="N89" s="3">
        <f t="shared" si="47"/>
        <v>120</v>
      </c>
      <c r="O89" s="3">
        <f t="shared" si="47"/>
        <v>120</v>
      </c>
      <c r="P89" s="12">
        <f t="shared" ref="P89:P91" si="55">SUM(D89:O89)</f>
        <v>1779.729</v>
      </c>
      <c r="Q89" s="12"/>
      <c r="R89" s="12">
        <f t="shared" ca="1" si="49"/>
        <v>1779.729</v>
      </c>
      <c r="S89" s="3">
        <v>54.789000000000001</v>
      </c>
    </row>
    <row r="90" spans="1:19" outlineLevel="1">
      <c r="A90">
        <v>51952501</v>
      </c>
      <c r="B90" t="s">
        <v>1412</v>
      </c>
      <c r="C90" t="s">
        <v>4590</v>
      </c>
      <c r="D90" s="3">
        <f>SUMIFS(Mov!$J:$J,Mov!$E:$E,$A90,Mov!$K:$K,D$3)/1000</f>
        <v>2301.5</v>
      </c>
      <c r="E90" s="3">
        <f>SUMIFS(Mov!$J:$J,Mov!$E:$E,$A90,Mov!$K:$K,E$3)/1000</f>
        <v>1678.9349999999999</v>
      </c>
      <c r="F90" s="3">
        <f>SUMIFS(Mov!$J:$J,Mov!$E:$E,$A90,Mov!$K:$K,F$3)/1000</f>
        <v>1331.7349999999999</v>
      </c>
      <c r="G90" s="3">
        <f>SUMIFS(Mov!$J:$J,Mov!$E:$E,$A90,Mov!$K:$K,G$3)/1000</f>
        <v>1516.5219999999999</v>
      </c>
      <c r="H90" s="3">
        <f>SUMIFS(Mov!$J:$J,Mov!$E:$E,$A90,Mov!$K:$K,H$3)/1000</f>
        <v>1197.672</v>
      </c>
      <c r="I90" s="227">
        <v>900</v>
      </c>
      <c r="J90" s="227">
        <v>1000</v>
      </c>
      <c r="K90" s="227">
        <v>1300</v>
      </c>
      <c r="L90" s="227">
        <v>1400</v>
      </c>
      <c r="M90" s="3">
        <f t="shared" si="47"/>
        <v>1400</v>
      </c>
      <c r="N90" s="3">
        <f t="shared" si="47"/>
        <v>1400</v>
      </c>
      <c r="O90" s="3">
        <f t="shared" si="47"/>
        <v>1400</v>
      </c>
      <c r="P90" s="12">
        <f t="shared" si="55"/>
        <v>16826.364000000001</v>
      </c>
      <c r="Q90" s="12"/>
      <c r="R90" s="12">
        <f t="shared" ca="1" si="49"/>
        <v>16826.364000000001</v>
      </c>
      <c r="S90" s="3">
        <v>57.95</v>
      </c>
    </row>
    <row r="91" spans="1:19" outlineLevel="1">
      <c r="A91">
        <v>51952502</v>
      </c>
      <c r="B91" t="s">
        <v>1414</v>
      </c>
      <c r="C91" t="s">
        <v>4591</v>
      </c>
      <c r="D91" s="3">
        <f>SUMIFS(Mov!$J:$J,Mov!$E:$E,$A91,Mov!$K:$K,D$3)/1000</f>
        <v>107</v>
      </c>
      <c r="E91" s="3">
        <f>SUMIFS(Mov!$J:$J,Mov!$E:$E,$A91,Mov!$K:$K,E$3)/1000</f>
        <v>2570.5450000000001</v>
      </c>
      <c r="F91" s="3">
        <f>SUMIFS(Mov!$J:$J,Mov!$E:$E,$A91,Mov!$K:$K,F$3)/1000</f>
        <v>1846.5909999999999</v>
      </c>
      <c r="G91" s="3">
        <f>SUMIFS(Mov!$J:$J,Mov!$E:$E,$A91,Mov!$K:$K,G$3)/1000</f>
        <v>2183.1509999999998</v>
      </c>
      <c r="H91" s="3">
        <f>SUMIFS(Mov!$J:$J,Mov!$E:$E,$A91,Mov!$K:$K,H$3)/1000</f>
        <v>2244.8679999999999</v>
      </c>
      <c r="I91" s="227">
        <v>900</v>
      </c>
      <c r="J91" s="227">
        <v>1000</v>
      </c>
      <c r="K91" s="227">
        <v>1300</v>
      </c>
      <c r="L91" s="227">
        <v>1400</v>
      </c>
      <c r="M91" s="3">
        <f t="shared" si="47"/>
        <v>1400</v>
      </c>
      <c r="N91" s="3">
        <f t="shared" si="47"/>
        <v>1400</v>
      </c>
      <c r="O91" s="3">
        <f t="shared" si="47"/>
        <v>1400</v>
      </c>
      <c r="P91" s="12">
        <f t="shared" si="55"/>
        <v>17752.154999999999</v>
      </c>
      <c r="Q91" s="12"/>
      <c r="R91" s="12">
        <f t="shared" ca="1" si="49"/>
        <v>17752.154999999999</v>
      </c>
      <c r="S91" s="3">
        <v>149.57</v>
      </c>
    </row>
    <row r="92" spans="1:19">
      <c r="C92" s="64" t="s">
        <v>4592</v>
      </c>
      <c r="D92" s="12">
        <f t="shared" ref="D92:P92" si="56">SUM(D77:D91)</f>
        <v>3175.5</v>
      </c>
      <c r="E92" s="12">
        <f t="shared" si="56"/>
        <v>5090.1090000000004</v>
      </c>
      <c r="F92" s="12">
        <f t="shared" si="56"/>
        <v>5078.4760000000006</v>
      </c>
      <c r="G92" s="12">
        <f t="shared" si="56"/>
        <v>4036.8729999999996</v>
      </c>
      <c r="H92" s="12">
        <f t="shared" si="56"/>
        <v>3772.54</v>
      </c>
      <c r="I92" s="12">
        <f t="shared" si="56"/>
        <v>2250</v>
      </c>
      <c r="J92" s="12">
        <f t="shared" si="56"/>
        <v>2450</v>
      </c>
      <c r="K92" s="66">
        <f t="shared" si="56"/>
        <v>3050</v>
      </c>
      <c r="L92" s="66">
        <f t="shared" si="56"/>
        <v>3250</v>
      </c>
      <c r="M92" s="66">
        <f t="shared" si="56"/>
        <v>3250</v>
      </c>
      <c r="N92" s="66">
        <f t="shared" si="56"/>
        <v>3250</v>
      </c>
      <c r="O92" s="66">
        <f t="shared" si="56"/>
        <v>3250</v>
      </c>
      <c r="P92" s="66">
        <f t="shared" si="56"/>
        <v>41903.498</v>
      </c>
      <c r="Q92" s="12"/>
      <c r="R92" s="66">
        <f t="shared" ca="1" si="49"/>
        <v>41903.498</v>
      </c>
      <c r="S92" s="66">
        <f>SUM(S77:S91)</f>
        <v>2383.9090000000001</v>
      </c>
    </row>
    <row r="93" spans="1:19" hidden="1" outlineLevel="1">
      <c r="A93">
        <v>513010</v>
      </c>
      <c r="B93" t="s">
        <v>1225</v>
      </c>
      <c r="C93" t="s">
        <v>4593</v>
      </c>
      <c r="D93" s="3">
        <f>SUMIFS(Mov!$J:$J,Mov!$E:$E,$A93,Mov!$K:$K,D$3)/1000</f>
        <v>0</v>
      </c>
      <c r="E93" s="3">
        <f>SUMIFS(Mov!$J:$J,Mov!$E:$E,$A93,Mov!$K:$K,E$3)/1000</f>
        <v>0</v>
      </c>
      <c r="F93" s="3">
        <f>SUMIFS(Mov!$J:$J,Mov!$E:$E,$A93,Mov!$K:$K,F$3)/1000</f>
        <v>0</v>
      </c>
      <c r="G93" s="3">
        <f>SUMIFS(Mov!$J:$J,Mov!$E:$E,$A93,Mov!$K:$K,G$3)/1000</f>
        <v>0</v>
      </c>
      <c r="H93" s="3">
        <f>SUMIFS(Mov!$J:$J,Mov!$E:$E,$A93,Mov!$K:$K,H$3)/1000</f>
        <v>0</v>
      </c>
      <c r="I93" s="3">
        <f>SUMIFS(Mov!$J:$J,Mov!$E:$E,$A93,Mov!$K:$K,I$3)/1000</f>
        <v>0</v>
      </c>
      <c r="J93" s="3">
        <f>SUMIFS(Mov!$J:$J,Mov!$E:$E,$A93,Mov!$K:$K,J$3)/1000</f>
        <v>0</v>
      </c>
      <c r="K93" s="3">
        <f>SUMIFS(Mov!$J:$J,Mov!$E:$E,$A93,Mov!$K:$K,K$3)/1000</f>
        <v>0</v>
      </c>
      <c r="L93" s="3">
        <f>SUMIFS(Mov!$J:$J,Mov!$E:$E,$A93,Mov!$K:$K,L$3)/1000</f>
        <v>0</v>
      </c>
      <c r="M93" s="3">
        <f>SUMIFS(Mov!$J:$J,Mov!$E:$E,$A93,Mov!$K:$K,M$3)/1000</f>
        <v>0</v>
      </c>
      <c r="N93" s="3">
        <f>SUMIFS(Mov!$J:$J,Mov!$E:$E,$A93,Mov!$K:$K,N$3)/1000</f>
        <v>0</v>
      </c>
      <c r="O93" s="3">
        <f>SUMIFS(Mov!$J:$J,Mov!$E:$E,$A93,Mov!$K:$K,O$3)/1000</f>
        <v>0</v>
      </c>
      <c r="P93" s="12">
        <f>SUM(D93:O93)</f>
        <v>0</v>
      </c>
      <c r="Q93" s="12"/>
      <c r="R93" s="12">
        <f t="shared" ca="1" si="49"/>
        <v>0</v>
      </c>
      <c r="S93" s="3">
        <v>0</v>
      </c>
    </row>
    <row r="94" spans="1:19" outlineLevel="1">
      <c r="A94">
        <v>513060</v>
      </c>
      <c r="B94" t="s">
        <v>1241</v>
      </c>
      <c r="C94" t="s">
        <v>4593</v>
      </c>
      <c r="D94" s="3">
        <f>SUMIFS(Mov!$J:$J,Mov!$E:$E,$A94,Mov!$K:$K,D$3)/1000</f>
        <v>0</v>
      </c>
      <c r="E94" s="3">
        <f>SUMIFS(Mov!$J:$J,Mov!$E:$E,$A94,Mov!$K:$K,E$3)/1000</f>
        <v>307.04399999999998</v>
      </c>
      <c r="F94" s="3">
        <f>SUMIFS(Mov!$J:$J,Mov!$E:$E,$A94,Mov!$K:$K,F$3)/1000</f>
        <v>0</v>
      </c>
      <c r="G94" s="3">
        <f>SUMIFS(Mov!$J:$J,Mov!$E:$E,$A94,Mov!$K:$K,G$3)/1000</f>
        <v>0</v>
      </c>
      <c r="H94" s="3">
        <f>SUMIFS(Mov!$J:$J,Mov!$E:$E,$A94,Mov!$K:$K,H$3)/1000</f>
        <v>0</v>
      </c>
      <c r="I94" s="3">
        <f t="shared" ref="I94:O98" si="57">H94</f>
        <v>0</v>
      </c>
      <c r="J94" s="3">
        <f t="shared" si="57"/>
        <v>0</v>
      </c>
      <c r="K94" s="3">
        <f t="shared" si="57"/>
        <v>0</v>
      </c>
      <c r="L94" s="3">
        <f t="shared" si="57"/>
        <v>0</v>
      </c>
      <c r="M94" s="3">
        <f t="shared" si="57"/>
        <v>0</v>
      </c>
      <c r="N94" s="3">
        <f t="shared" si="57"/>
        <v>0</v>
      </c>
      <c r="O94" s="3">
        <f t="shared" si="57"/>
        <v>0</v>
      </c>
      <c r="P94" s="12">
        <f>SUM(D94:O94)</f>
        <v>307.04399999999998</v>
      </c>
      <c r="Q94" s="12"/>
      <c r="R94" s="12">
        <f t="shared" ca="1" si="49"/>
        <v>307.04399999999998</v>
      </c>
      <c r="S94" s="3">
        <v>0</v>
      </c>
    </row>
    <row r="95" spans="1:19" hidden="1" outlineLevel="1">
      <c r="A95">
        <v>519520</v>
      </c>
      <c r="B95" t="s">
        <v>532</v>
      </c>
      <c r="C95" t="s">
        <v>4594</v>
      </c>
      <c r="D95" s="3">
        <f>SUMIFS(Mov!$J:$J,Mov!$E:$E,$A95,Mov!$K:$K,D$3)/1000</f>
        <v>0</v>
      </c>
      <c r="E95" s="3">
        <f>SUMIFS(Mov!$J:$J,Mov!$E:$E,$A95,Mov!$K:$K,E$3)/1000</f>
        <v>0</v>
      </c>
      <c r="F95" s="3">
        <f>SUMIFS(Mov!$J:$J,Mov!$E:$E,$A95,Mov!$K:$K,F$3)/1000</f>
        <v>0</v>
      </c>
      <c r="G95" s="3">
        <f>SUMIFS(Mov!$J:$J,Mov!$E:$E,$A95,Mov!$K:$K,G$3)/1000</f>
        <v>0</v>
      </c>
      <c r="H95" s="3">
        <f>SUMIFS(Mov!$J:$J,Mov!$E:$E,$A95,Mov!$K:$K,H$3)/1000</f>
        <v>0</v>
      </c>
      <c r="I95" s="3">
        <f t="shared" si="57"/>
        <v>0</v>
      </c>
      <c r="J95" s="3">
        <f t="shared" si="57"/>
        <v>0</v>
      </c>
      <c r="K95" s="3">
        <f t="shared" si="57"/>
        <v>0</v>
      </c>
      <c r="L95" s="3">
        <f t="shared" si="57"/>
        <v>0</v>
      </c>
      <c r="M95" s="3">
        <f t="shared" si="57"/>
        <v>0</v>
      </c>
      <c r="N95" s="3">
        <f t="shared" si="57"/>
        <v>0</v>
      </c>
      <c r="O95" s="3">
        <f t="shared" si="57"/>
        <v>0</v>
      </c>
      <c r="P95" s="12">
        <f t="shared" ref="P95:P102" si="58">SUM(D95:O95)</f>
        <v>0</v>
      </c>
      <c r="Q95" s="12"/>
      <c r="R95" s="12">
        <f t="shared" ca="1" si="49"/>
        <v>0</v>
      </c>
      <c r="S95" s="3">
        <v>0</v>
      </c>
    </row>
    <row r="96" spans="1:19" hidden="1" outlineLevel="1">
      <c r="A96">
        <v>523560</v>
      </c>
      <c r="B96" t="s">
        <v>4595</v>
      </c>
      <c r="C96" t="s">
        <v>4596</v>
      </c>
      <c r="D96" s="3">
        <f>SUMIFS(Mov!$J:$J,Mov!$E:$E,$A96,Mov!$K:$K,D$3)/1000</f>
        <v>0</v>
      </c>
      <c r="E96" s="3">
        <f>SUMIFS(Mov!$J:$J,Mov!$E:$E,$A96,Mov!$K:$K,E$3)/1000</f>
        <v>0</v>
      </c>
      <c r="F96" s="3">
        <f>SUMIFS(Mov!$J:$J,Mov!$E:$E,$A96,Mov!$K:$K,F$3)/1000</f>
        <v>0</v>
      </c>
      <c r="G96" s="3">
        <f>SUMIFS(Mov!$J:$J,Mov!$E:$E,$A96,Mov!$K:$K,G$3)/1000</f>
        <v>0</v>
      </c>
      <c r="H96" s="3">
        <f>SUMIFS(Mov!$J:$J,Mov!$E:$E,$A96,Mov!$K:$K,H$3)/1000</f>
        <v>0</v>
      </c>
      <c r="I96" s="3">
        <f t="shared" si="57"/>
        <v>0</v>
      </c>
      <c r="J96" s="3">
        <f t="shared" si="57"/>
        <v>0</v>
      </c>
      <c r="K96" s="3">
        <f t="shared" si="57"/>
        <v>0</v>
      </c>
      <c r="L96" s="3">
        <f t="shared" si="57"/>
        <v>0</v>
      </c>
      <c r="M96" s="3">
        <f t="shared" si="57"/>
        <v>0</v>
      </c>
      <c r="N96" s="3">
        <f t="shared" si="57"/>
        <v>0</v>
      </c>
      <c r="O96" s="3">
        <f t="shared" si="57"/>
        <v>0</v>
      </c>
      <c r="P96" s="12">
        <f t="shared" si="58"/>
        <v>0</v>
      </c>
      <c r="Q96" s="12"/>
      <c r="R96" s="12">
        <f t="shared" ca="1" si="49"/>
        <v>0</v>
      </c>
      <c r="S96" s="3">
        <v>0</v>
      </c>
    </row>
    <row r="97" spans="1:19" hidden="1" outlineLevel="1">
      <c r="A97">
        <v>51956002</v>
      </c>
      <c r="B97" t="s">
        <v>1439</v>
      </c>
      <c r="C97" t="s">
        <v>4597</v>
      </c>
      <c r="D97" s="3">
        <f>SUMIFS(Mov!$J:$J,Mov!$E:$E,$A97,Mov!$K:$K,D$3)/1000</f>
        <v>0</v>
      </c>
      <c r="E97" s="3">
        <f>SUMIFS(Mov!$J:$J,Mov!$E:$E,$A97,Mov!$K:$K,E$3)/1000</f>
        <v>0</v>
      </c>
      <c r="F97" s="3">
        <f>SUMIFS(Mov!$J:$J,Mov!$E:$E,$A97,Mov!$K:$K,F$3)/1000</f>
        <v>0</v>
      </c>
      <c r="G97" s="3">
        <f>SUMIFS(Mov!$J:$J,Mov!$E:$E,$A97,Mov!$K:$K,G$3)/1000</f>
        <v>0</v>
      </c>
      <c r="H97" s="3">
        <f>SUMIFS(Mov!$J:$J,Mov!$E:$E,$A97,Mov!$K:$K,H$3)/1000</f>
        <v>0</v>
      </c>
      <c r="I97" s="3">
        <f t="shared" si="57"/>
        <v>0</v>
      </c>
      <c r="J97" s="3">
        <f t="shared" si="57"/>
        <v>0</v>
      </c>
      <c r="K97" s="3">
        <f t="shared" si="57"/>
        <v>0</v>
      </c>
      <c r="L97" s="3">
        <f t="shared" si="57"/>
        <v>0</v>
      </c>
      <c r="M97" s="3">
        <f t="shared" si="57"/>
        <v>0</v>
      </c>
      <c r="N97" s="3">
        <f t="shared" si="57"/>
        <v>0</v>
      </c>
      <c r="O97" s="3">
        <f t="shared" si="57"/>
        <v>0</v>
      </c>
      <c r="P97" s="12">
        <f t="shared" si="58"/>
        <v>0</v>
      </c>
      <c r="Q97" s="12"/>
      <c r="R97" s="12">
        <f t="shared" ca="1" si="49"/>
        <v>0</v>
      </c>
      <c r="S97" s="3">
        <v>0</v>
      </c>
    </row>
    <row r="98" spans="1:19" outlineLevel="1">
      <c r="A98">
        <v>51954501</v>
      </c>
      <c r="B98" t="s">
        <v>1428</v>
      </c>
      <c r="C98" t="s">
        <v>4598</v>
      </c>
      <c r="D98" s="3">
        <f>SUMIFS(Mov!$J:$J,Mov!$E:$E,$A98,Mov!$K:$K,D$3)/1000</f>
        <v>0</v>
      </c>
      <c r="E98" s="3">
        <f>SUMIFS(Mov!$J:$J,Mov!$E:$E,$A98,Mov!$K:$K,E$3)/1000</f>
        <v>0</v>
      </c>
      <c r="F98" s="3">
        <f>SUMIFS(Mov!$J:$J,Mov!$E:$E,$A98,Mov!$K:$K,F$3)/1000</f>
        <v>0</v>
      </c>
      <c r="G98" s="3">
        <f>SUMIFS(Mov!$J:$J,Mov!$E:$E,$A98,Mov!$K:$K,G$3)/1000</f>
        <v>0</v>
      </c>
      <c r="H98" s="3">
        <f>SUMIFS(Mov!$J:$J,Mov!$E:$E,$A98,Mov!$K:$K,H$3)/1000</f>
        <v>0</v>
      </c>
      <c r="I98" s="3">
        <f t="shared" si="57"/>
        <v>0</v>
      </c>
      <c r="J98" s="3">
        <f t="shared" si="57"/>
        <v>0</v>
      </c>
      <c r="K98" s="3">
        <f t="shared" si="57"/>
        <v>0</v>
      </c>
      <c r="L98" s="3">
        <f t="shared" si="57"/>
        <v>0</v>
      </c>
      <c r="M98" s="3">
        <f t="shared" si="57"/>
        <v>0</v>
      </c>
      <c r="N98" s="3">
        <f t="shared" si="57"/>
        <v>0</v>
      </c>
      <c r="O98" s="3">
        <f t="shared" si="57"/>
        <v>0</v>
      </c>
      <c r="P98" s="12">
        <f t="shared" si="58"/>
        <v>0</v>
      </c>
      <c r="Q98" s="12"/>
      <c r="R98" s="12">
        <f t="shared" ca="1" si="49"/>
        <v>0</v>
      </c>
      <c r="S98" s="3">
        <v>150</v>
      </c>
    </row>
    <row r="99" spans="1:19" hidden="1" outlineLevel="1">
      <c r="A99">
        <v>53059510</v>
      </c>
      <c r="B99" t="s">
        <v>1065</v>
      </c>
      <c r="C99" t="s">
        <v>4584</v>
      </c>
      <c r="D99" s="3">
        <f>SUMIFS(Mov!$J:$J,Mov!$E:$E,$A99,Mov!$K:$K,D$3)/1000</f>
        <v>70.947500000000005</v>
      </c>
      <c r="E99" s="3">
        <f>SUMIFS(Mov!$J:$J,Mov!$E:$E,$A99,Mov!$K:$K,E$3)/1000</f>
        <v>5.2548399999999997</v>
      </c>
      <c r="F99" s="3">
        <f>SUMIFS(Mov!$J:$J,Mov!$E:$E,$A99,Mov!$K:$K,F$3)/1000</f>
        <v>0.91265999999999992</v>
      </c>
      <c r="G99" s="3">
        <f>SUMIFS(Mov!$J:$J,Mov!$E:$E,$A99,Mov!$K:$K,G$3)/1000</f>
        <v>1.371</v>
      </c>
      <c r="H99" s="3">
        <f>SUMIFS(Mov!$J:$J,Mov!$E:$E,$A99,Mov!$K:$K,H$3)/1000</f>
        <v>4.2300000000000003E-3</v>
      </c>
      <c r="I99" s="3">
        <f>SUMIFS(Mov!$J:$J,Mov!$E:$E,$A99,Mov!$K:$K,I$3)/1000</f>
        <v>0.29042000000000001</v>
      </c>
      <c r="J99" s="3">
        <f>SUMIFS(Mov!$J:$J,Mov!$E:$E,$A99,Mov!$K:$K,J$3)/1000</f>
        <v>4.5973999999999995</v>
      </c>
      <c r="K99" s="3">
        <f>SUMIFS(Mov!$J:$J,Mov!$E:$E,$A99,Mov!$K:$K,K$3)/1000</f>
        <v>1.6020999999999999</v>
      </c>
      <c r="L99" s="3">
        <f>SUMIFS(Mov!$J:$J,Mov!$E:$E,$A99,Mov!$K:$K,L$3)/1000</f>
        <v>751.04340000000002</v>
      </c>
      <c r="M99" s="3">
        <f>SUMIFS(Mov!$J:$J,Mov!$E:$E,$A99,Mov!$K:$K,M$3)/1000</f>
        <v>-1.87</v>
      </c>
      <c r="N99" s="3">
        <f>SUMIFS(Mov!$J:$J,Mov!$E:$E,$A99,Mov!$K:$K,N$3)/1000</f>
        <v>1.252</v>
      </c>
      <c r="O99" s="3">
        <f>SUMIFS(Mov!$J:$J,Mov!$E:$E,$A99,Mov!$K:$K,O$3)/1000</f>
        <v>-0.38800000000000001</v>
      </c>
      <c r="P99" s="12">
        <f t="shared" si="58"/>
        <v>835.01754999999991</v>
      </c>
      <c r="Q99" s="12"/>
      <c r="R99" s="12">
        <f t="shared" ca="1" si="49"/>
        <v>835.01754999999991</v>
      </c>
      <c r="S99" s="3">
        <v>0.15526999999999999</v>
      </c>
    </row>
    <row r="100" spans="1:19" hidden="1" outlineLevel="1">
      <c r="A100">
        <v>42109501</v>
      </c>
      <c r="B100" t="s">
        <v>1065</v>
      </c>
      <c r="C100" t="s">
        <v>4584</v>
      </c>
      <c r="D100" s="3">
        <f>SUMIFS(Mov!$J:$J,Mov!$E:$E,$A100,Mov!$K:$K,D$3)/1000</f>
        <v>0</v>
      </c>
      <c r="E100" s="3">
        <f>SUMIFS(Mov!$J:$J,Mov!$E:$E,$A100,Mov!$K:$K,E$3)/1000</f>
        <v>0</v>
      </c>
      <c r="F100" s="3">
        <f>SUMIFS(Mov!$J:$J,Mov!$E:$E,$A100,Mov!$K:$K,F$3)/1000</f>
        <v>0</v>
      </c>
      <c r="G100" s="3">
        <f>SUMIFS(Mov!$J:$J,Mov!$E:$E,$A100,Mov!$K:$K,G$3)/1000</f>
        <v>0</v>
      </c>
      <c r="H100" s="3">
        <f>SUMIFS(Mov!$J:$J,Mov!$E:$E,$A100,Mov!$K:$K,H$3)/1000</f>
        <v>0</v>
      </c>
      <c r="I100" s="3">
        <f>SUMIFS(Mov!$J:$J,Mov!$E:$E,$A100,Mov!$K:$K,I$3)/1000</f>
        <v>0</v>
      </c>
      <c r="J100" s="3">
        <f>SUMIFS(Mov!$J:$J,Mov!$E:$E,$A100,Mov!$K:$K,J$3)/1000</f>
        <v>0</v>
      </c>
      <c r="K100" s="3">
        <f>SUMIFS(Mov!$J:$J,Mov!$E:$E,$A100,Mov!$K:$K,K$3)/1000</f>
        <v>0</v>
      </c>
      <c r="L100" s="3">
        <f>SUMIFS(Mov!$J:$J,Mov!$E:$E,$A100,Mov!$K:$K,L$3)/1000</f>
        <v>0</v>
      </c>
      <c r="M100" s="3">
        <f>SUMIFS(Mov!$J:$J,Mov!$E:$E,$A100,Mov!$K:$K,M$3)/1000</f>
        <v>0</v>
      </c>
      <c r="N100" s="3">
        <f>SUMIFS(Mov!$J:$J,Mov!$E:$E,$A100,Mov!$K:$K,N$3)/1000</f>
        <v>0</v>
      </c>
      <c r="O100" s="3">
        <f>SUMIFS(Mov!$J:$J,Mov!$E:$E,$A100,Mov!$K:$K,O$3)/1000</f>
        <v>0</v>
      </c>
      <c r="P100" s="12">
        <f t="shared" si="58"/>
        <v>0</v>
      </c>
      <c r="Q100" s="12"/>
      <c r="R100" s="12">
        <f t="shared" ca="1" si="49"/>
        <v>0</v>
      </c>
      <c r="S100" s="3">
        <v>-0.52</v>
      </c>
    </row>
    <row r="101" spans="1:19" hidden="1" outlineLevel="1">
      <c r="A101">
        <v>429505</v>
      </c>
      <c r="B101" t="s">
        <v>1714</v>
      </c>
      <c r="C101" t="s">
        <v>4584</v>
      </c>
      <c r="D101" s="3">
        <f>SUMIFS(Mov!$J:$J,Mov!$E:$E,$A101,Mov!$K:$K,D$3)/1000</f>
        <v>0</v>
      </c>
      <c r="E101" s="3">
        <f>SUMIFS(Mov!$J:$J,Mov!$E:$E,$A101,Mov!$K:$K,E$3)/1000</f>
        <v>0</v>
      </c>
      <c r="F101" s="3">
        <f>SUMIFS(Mov!$J:$J,Mov!$E:$E,$A101,Mov!$K:$K,F$3)/1000</f>
        <v>0</v>
      </c>
      <c r="G101" s="3">
        <f>SUMIFS(Mov!$J:$J,Mov!$E:$E,$A101,Mov!$K:$K,G$3)/1000</f>
        <v>0</v>
      </c>
      <c r="H101" s="3">
        <f>SUMIFS(Mov!$J:$J,Mov!$E:$E,$A101,Mov!$K:$K,H$3)/1000</f>
        <v>0</v>
      </c>
      <c r="I101" s="3">
        <f>SUMIFS(Mov!$J:$J,Mov!$E:$E,$A101,Mov!$K:$K,I$3)/1000</f>
        <v>0</v>
      </c>
      <c r="J101" s="3">
        <f>SUMIFS(Mov!$J:$J,Mov!$E:$E,$A101,Mov!$K:$K,J$3)/1000</f>
        <v>0</v>
      </c>
      <c r="K101" s="3">
        <f>SUMIFS(Mov!$J:$J,Mov!$E:$E,$A101,Mov!$K:$K,K$3)/1000</f>
        <v>0</v>
      </c>
      <c r="L101" s="3">
        <f>SUMIFS(Mov!$J:$J,Mov!$E:$E,$A101,Mov!$K:$K,L$3)/1000</f>
        <v>0</v>
      </c>
      <c r="M101" s="3">
        <f>SUMIFS(Mov!$J:$J,Mov!$E:$E,$A101,Mov!$K:$K,M$3)/1000</f>
        <v>0</v>
      </c>
      <c r="N101" s="3">
        <f>SUMIFS(Mov!$J:$J,Mov!$E:$E,$A101,Mov!$K:$K,N$3)/1000</f>
        <v>0</v>
      </c>
      <c r="O101" s="3">
        <f>SUMIFS(Mov!$J:$J,Mov!$E:$E,$A101,Mov!$K:$K,O$3)/1000</f>
        <v>0</v>
      </c>
      <c r="P101" s="12">
        <f t="shared" si="58"/>
        <v>0</v>
      </c>
      <c r="Q101" s="12"/>
      <c r="R101" s="12">
        <f t="shared" ca="1" si="49"/>
        <v>0</v>
      </c>
      <c r="S101" s="3">
        <v>0</v>
      </c>
    </row>
    <row r="102" spans="1:19" hidden="1" outlineLevel="1">
      <c r="A102">
        <v>429581</v>
      </c>
      <c r="B102" t="s">
        <v>1065</v>
      </c>
      <c r="C102" t="s">
        <v>4584</v>
      </c>
      <c r="D102" s="3">
        <f>SUMIFS(Mov!$J:$J,Mov!$E:$E,$A102,Mov!$K:$K,D$3)/1000</f>
        <v>0</v>
      </c>
      <c r="E102" s="3">
        <f>SUMIFS(Mov!$J:$J,Mov!$E:$E,$A102,Mov!$K:$K,E$3)/1000</f>
        <v>0</v>
      </c>
      <c r="F102" s="3">
        <f>SUMIFS(Mov!$J:$J,Mov!$E:$E,$A102,Mov!$K:$K,F$3)/1000</f>
        <v>0</v>
      </c>
      <c r="G102" s="3">
        <f>SUMIFS(Mov!$J:$J,Mov!$E:$E,$A102,Mov!$K:$K,G$3)/1000</f>
        <v>0</v>
      </c>
      <c r="H102" s="3">
        <f>SUMIFS(Mov!$J:$J,Mov!$E:$E,$A102,Mov!$K:$K,H$3)/1000</f>
        <v>0</v>
      </c>
      <c r="I102" s="3">
        <f>SUMIFS(Mov!$J:$J,Mov!$E:$E,$A102,Mov!$K:$K,I$3)/1000</f>
        <v>0</v>
      </c>
      <c r="J102" s="3">
        <f>SUMIFS(Mov!$J:$J,Mov!$E:$E,$A102,Mov!$K:$K,J$3)/1000</f>
        <v>0</v>
      </c>
      <c r="K102" s="3">
        <f>SUMIFS(Mov!$J:$J,Mov!$E:$E,$A102,Mov!$K:$K,K$3)/1000</f>
        <v>0</v>
      </c>
      <c r="L102" s="3">
        <f>SUMIFS(Mov!$J:$J,Mov!$E:$E,$A102,Mov!$K:$K,L$3)/1000</f>
        <v>0</v>
      </c>
      <c r="M102" s="3">
        <f>SUMIFS(Mov!$J:$J,Mov!$E:$E,$A102,Mov!$K:$K,M$3)/1000</f>
        <v>0</v>
      </c>
      <c r="N102" s="3">
        <f>SUMIFS(Mov!$J:$J,Mov!$E:$E,$A102,Mov!$K:$K,N$3)/1000</f>
        <v>0</v>
      </c>
      <c r="O102" s="3">
        <f>SUMIFS(Mov!$J:$J,Mov!$E:$E,$A102,Mov!$K:$K,O$3)/1000</f>
        <v>0</v>
      </c>
      <c r="P102" s="12">
        <f t="shared" si="58"/>
        <v>0</v>
      </c>
      <c r="Q102" s="12"/>
      <c r="R102" s="12">
        <f t="shared" ca="1" si="49"/>
        <v>0</v>
      </c>
      <c r="S102" s="3">
        <v>0</v>
      </c>
    </row>
    <row r="103" spans="1:19">
      <c r="C103" s="64" t="s">
        <v>4584</v>
      </c>
      <c r="D103" s="12">
        <f t="shared" ref="D103" si="59">SUM(D93:D102)</f>
        <v>70.947500000000005</v>
      </c>
      <c r="E103" s="12">
        <f>SUM(E93:E102)</f>
        <v>312.29883999999998</v>
      </c>
      <c r="F103" s="12">
        <f t="shared" ref="F103:P103" si="60">SUM(F93:F102)</f>
        <v>0.91265999999999992</v>
      </c>
      <c r="G103" s="12">
        <f t="shared" si="60"/>
        <v>1.371</v>
      </c>
      <c r="H103" s="12">
        <f t="shared" si="60"/>
        <v>4.2300000000000003E-3</v>
      </c>
      <c r="I103" s="12">
        <f t="shared" si="60"/>
        <v>0.29042000000000001</v>
      </c>
      <c r="J103" s="12">
        <f t="shared" si="60"/>
        <v>4.5973999999999995</v>
      </c>
      <c r="K103" s="66">
        <f t="shared" si="60"/>
        <v>1.6020999999999999</v>
      </c>
      <c r="L103" s="66">
        <f t="shared" si="60"/>
        <v>751.04340000000002</v>
      </c>
      <c r="M103" s="66">
        <f t="shared" si="60"/>
        <v>-1.87</v>
      </c>
      <c r="N103" s="66">
        <f t="shared" si="60"/>
        <v>1.252</v>
      </c>
      <c r="O103" s="66">
        <f t="shared" si="60"/>
        <v>-0.38800000000000001</v>
      </c>
      <c r="P103" s="66">
        <f t="shared" si="60"/>
        <v>1142.0615499999999</v>
      </c>
      <c r="Q103" s="12"/>
      <c r="R103" s="66">
        <f t="shared" ref="R103:S103" ca="1" si="61">SUM(R93:R102)</f>
        <v>1142.0615499999999</v>
      </c>
      <c r="S103" s="66">
        <f t="shared" si="61"/>
        <v>149.63526999999999</v>
      </c>
    </row>
    <row r="104" spans="1:19">
      <c r="B104" s="1" t="s">
        <v>4599</v>
      </c>
      <c r="C104" s="1" t="s">
        <v>4599</v>
      </c>
      <c r="D104" s="13">
        <f t="shared" ref="D104:P104" si="62">D66+D76+D92+D103</f>
        <v>39189.317429999996</v>
      </c>
      <c r="E104" s="13">
        <f t="shared" si="62"/>
        <v>41256.595749999993</v>
      </c>
      <c r="F104" s="13">
        <f t="shared" si="62"/>
        <v>34586.038320000007</v>
      </c>
      <c r="G104" s="13">
        <f t="shared" si="62"/>
        <v>33710.238010000001</v>
      </c>
      <c r="H104" s="13">
        <f t="shared" si="62"/>
        <v>33633.497739999999</v>
      </c>
      <c r="I104" s="13">
        <f t="shared" si="62"/>
        <v>33896.525929999996</v>
      </c>
      <c r="J104" s="13">
        <f t="shared" si="62"/>
        <v>34200.832909999997</v>
      </c>
      <c r="K104" s="13">
        <f t="shared" si="62"/>
        <v>34897.837609999995</v>
      </c>
      <c r="L104" s="13">
        <f t="shared" si="62"/>
        <v>35947.278910000001</v>
      </c>
      <c r="M104" s="13">
        <f t="shared" si="62"/>
        <v>35294.365509999996</v>
      </c>
      <c r="N104" s="13">
        <f t="shared" si="62"/>
        <v>35297.487509999999</v>
      </c>
      <c r="O104" s="13">
        <f t="shared" si="62"/>
        <v>35295.84751</v>
      </c>
      <c r="P104" s="13">
        <f t="shared" si="62"/>
        <v>427205.86314000009</v>
      </c>
      <c r="Q104" s="12"/>
      <c r="R104" s="13">
        <f ca="1">R66+R76+R92+R103</f>
        <v>427205.86313999997</v>
      </c>
      <c r="S104" s="13">
        <f>S66+S76+S92+S103</f>
        <v>23209.944269999996</v>
      </c>
    </row>
    <row r="105" spans="1:19">
      <c r="D105" s="12"/>
      <c r="E105" s="12"/>
      <c r="F105" s="12"/>
      <c r="G105" s="12"/>
      <c r="H105" s="12"/>
      <c r="I105" s="12"/>
      <c r="J105" s="12"/>
      <c r="K105" s="12"/>
      <c r="L105" s="12"/>
      <c r="M105" s="12"/>
      <c r="N105" s="12"/>
      <c r="O105" s="12"/>
      <c r="P105" s="12"/>
      <c r="Q105" s="12"/>
      <c r="R105" s="12"/>
      <c r="S105" s="12"/>
    </row>
    <row r="106" spans="1:19" hidden="1" outlineLevel="1">
      <c r="A106">
        <v>515505</v>
      </c>
      <c r="B106" t="s">
        <v>1345</v>
      </c>
      <c r="C106" t="s">
        <v>4600</v>
      </c>
      <c r="D106" s="3">
        <f>SUMIFS(Mov!$J:$J,Mov!$E:$E,$A106,Mov!$K:$K,D$3)/1000</f>
        <v>0</v>
      </c>
      <c r="E106" s="3">
        <f>SUMIFS(Mov!$J:$J,Mov!$E:$E,$A106,Mov!$K:$K,E$3)/1000</f>
        <v>0</v>
      </c>
      <c r="F106" s="3">
        <f>SUMIFS(Mov!$J:$J,Mov!$E:$E,$A106,Mov!$K:$K,F$3)/1000</f>
        <v>0</v>
      </c>
      <c r="G106" s="3">
        <f>SUMIFS(Mov!$J:$J,Mov!$E:$E,$A106,Mov!$K:$K,G$3)/1000</f>
        <v>0</v>
      </c>
      <c r="H106" s="3">
        <f>SUMIFS(Mov!$J:$J,Mov!$E:$E,$A106,Mov!$K:$K,H$3)/1000</f>
        <v>0</v>
      </c>
      <c r="I106" s="3">
        <f>SUMIFS(Mov!$J:$J,Mov!$E:$E,$A106,Mov!$K:$K,I$3)/1000</f>
        <v>0</v>
      </c>
      <c r="J106" s="3">
        <f>SUMIFS(Mov!$J:$J,Mov!$E:$E,$A106,Mov!$K:$K,J$3)/1000</f>
        <v>0</v>
      </c>
      <c r="K106" s="3">
        <f>SUMIFS(Mov!$J:$J,Mov!$E:$E,$A106,Mov!$K:$K,K$3)/1000</f>
        <v>0</v>
      </c>
      <c r="L106" s="3">
        <f>SUMIFS(Mov!$J:$J,Mov!$E:$E,$A106,Mov!$K:$K,L$3)/1000</f>
        <v>0</v>
      </c>
      <c r="M106" s="3">
        <f>SUMIFS(Mov!$J:$J,Mov!$E:$E,$A106,Mov!$K:$K,M$3)/1000</f>
        <v>0</v>
      </c>
      <c r="N106" s="3">
        <f>SUMIFS(Mov!$J:$J,Mov!$E:$E,$A106,Mov!$K:$K,N$3)/1000</f>
        <v>0</v>
      </c>
      <c r="O106" s="3">
        <f>SUMIFS(Mov!$J:$J,Mov!$E:$E,$A106,Mov!$K:$K,O$3)/1000</f>
        <v>0</v>
      </c>
      <c r="P106" s="12">
        <f t="shared" ref="P106:P112" si="63">SUM(D106:O106)</f>
        <v>0</v>
      </c>
      <c r="Q106" s="12"/>
      <c r="R106" s="12">
        <f t="shared" ref="R106:R113" ca="1" si="64">SUM(OFFSET(D106,0,0,1,R$3))</f>
        <v>0</v>
      </c>
      <c r="S106" s="3">
        <v>0</v>
      </c>
    </row>
    <row r="107" spans="1:19" hidden="1" outlineLevel="1">
      <c r="A107">
        <v>515505</v>
      </c>
      <c r="B107" t="s">
        <v>1345</v>
      </c>
      <c r="C107" t="s">
        <v>4597</v>
      </c>
      <c r="D107" s="3">
        <f>SUMIFS(Mov!$J:$J,Mov!$E:$E,$A107,Mov!$K:$K,D$3)/1000</f>
        <v>0</v>
      </c>
      <c r="E107" s="3">
        <f>SUMIFS(Mov!$J:$J,Mov!$E:$E,$A107,Mov!$K:$K,E$3)/1000</f>
        <v>0</v>
      </c>
      <c r="F107" s="3">
        <f>SUMIFS(Mov!$J:$J,Mov!$E:$E,$A107,Mov!$K:$K,F$3)/1000</f>
        <v>0</v>
      </c>
      <c r="G107" s="3">
        <f>SUMIFS(Mov!$J:$J,Mov!$E:$E,$A107,Mov!$K:$K,G$3)/1000</f>
        <v>0</v>
      </c>
      <c r="H107" s="3">
        <f>SUMIFS(Mov!$J:$J,Mov!$E:$E,$A107,Mov!$K:$K,H$3)/1000</f>
        <v>0</v>
      </c>
      <c r="I107" s="3">
        <f>SUMIFS(Mov!$J:$J,Mov!$E:$E,$A107,Mov!$K:$K,I$3)/1000</f>
        <v>0</v>
      </c>
      <c r="J107" s="3">
        <f>SUMIFS(Mov!$J:$J,Mov!$E:$E,$A107,Mov!$K:$K,J$3)/1000</f>
        <v>0</v>
      </c>
      <c r="K107" s="3">
        <f>SUMIFS(Mov!$J:$J,Mov!$E:$E,$A107,Mov!$K:$K,K$3)/1000</f>
        <v>0</v>
      </c>
      <c r="L107" s="3">
        <f>SUMIFS(Mov!$J:$J,Mov!$E:$E,$A107,Mov!$K:$K,L$3)/1000</f>
        <v>0</v>
      </c>
      <c r="M107" s="3">
        <f>SUMIFS(Mov!$J:$J,Mov!$E:$E,$A107,Mov!$K:$K,M$3)/1000</f>
        <v>0</v>
      </c>
      <c r="N107" s="3">
        <f>SUMIFS(Mov!$J:$J,Mov!$E:$E,$A107,Mov!$K:$K,N$3)/1000</f>
        <v>0</v>
      </c>
      <c r="O107" s="3">
        <f>SUMIFS(Mov!$J:$J,Mov!$E:$E,$A107,Mov!$K:$K,O$3)/1000</f>
        <v>0</v>
      </c>
      <c r="P107" s="12">
        <f t="shared" si="63"/>
        <v>0</v>
      </c>
      <c r="Q107" s="12"/>
      <c r="R107" s="12">
        <f t="shared" ca="1" si="64"/>
        <v>0</v>
      </c>
      <c r="S107" s="3">
        <v>0</v>
      </c>
    </row>
    <row r="108" spans="1:19" hidden="1" outlineLevel="1">
      <c r="A108">
        <v>515505</v>
      </c>
      <c r="B108" t="s">
        <v>1345</v>
      </c>
      <c r="C108" t="s">
        <v>4601</v>
      </c>
      <c r="D108" s="3">
        <f>SUMIFS(Mov!$J:$J,Mov!$E:$E,$A108,Mov!$K:$K,D$3)/1000</f>
        <v>0</v>
      </c>
      <c r="E108" s="3">
        <f>SUMIFS(Mov!$J:$J,Mov!$E:$E,$A108,Mov!$K:$K,E$3)/1000</f>
        <v>0</v>
      </c>
      <c r="F108" s="3">
        <f>SUMIFS(Mov!$J:$J,Mov!$E:$E,$A108,Mov!$K:$K,F$3)/1000</f>
        <v>0</v>
      </c>
      <c r="G108" s="3">
        <f>SUMIFS(Mov!$J:$J,Mov!$E:$E,$A108,Mov!$K:$K,G$3)/1000</f>
        <v>0</v>
      </c>
      <c r="H108" s="3">
        <f>SUMIFS(Mov!$J:$J,Mov!$E:$E,$A108,Mov!$K:$K,H$3)/1000</f>
        <v>0</v>
      </c>
      <c r="I108" s="3">
        <f>SUMIFS(Mov!$J:$J,Mov!$E:$E,$A108,Mov!$K:$K,I$3)/1000</f>
        <v>0</v>
      </c>
      <c r="J108" s="3">
        <f>SUMIFS(Mov!$J:$J,Mov!$E:$E,$A108,Mov!$K:$K,J$3)/1000</f>
        <v>0</v>
      </c>
      <c r="K108" s="3">
        <f>SUMIFS(Mov!$J:$J,Mov!$E:$E,$A108,Mov!$K:$K,K$3)/1000</f>
        <v>0</v>
      </c>
      <c r="L108" s="3">
        <f>SUMIFS(Mov!$J:$J,Mov!$E:$E,$A108,Mov!$K:$K,L$3)/1000</f>
        <v>0</v>
      </c>
      <c r="M108" s="3">
        <f>SUMIFS(Mov!$J:$J,Mov!$E:$E,$A108,Mov!$K:$K,M$3)/1000</f>
        <v>0</v>
      </c>
      <c r="N108" s="3">
        <f>SUMIFS(Mov!$J:$J,Mov!$E:$E,$A108,Mov!$K:$K,N$3)/1000</f>
        <v>0</v>
      </c>
      <c r="O108" s="3">
        <f>SUMIFS(Mov!$J:$J,Mov!$E:$E,$A108,Mov!$K:$K,O$3)/1000</f>
        <v>0</v>
      </c>
      <c r="P108" s="12">
        <f t="shared" si="63"/>
        <v>0</v>
      </c>
      <c r="Q108" s="12"/>
      <c r="R108" s="12">
        <f t="shared" ca="1" si="64"/>
        <v>0</v>
      </c>
      <c r="S108" s="3">
        <v>0</v>
      </c>
    </row>
    <row r="109" spans="1:19" hidden="1" outlineLevel="1">
      <c r="A109">
        <v>515595</v>
      </c>
      <c r="B109" t="s">
        <v>150</v>
      </c>
      <c r="C109" t="s">
        <v>4598</v>
      </c>
      <c r="D109" s="3">
        <f>SUMIFS(Mov!$J:$J,Mov!$E:$E,$A109,Mov!$K:$K,D$3)/1000</f>
        <v>0</v>
      </c>
      <c r="E109" s="3">
        <f>SUMIFS(Mov!$J:$J,Mov!$E:$E,$A109,Mov!$K:$K,E$3)/1000</f>
        <v>0</v>
      </c>
      <c r="F109" s="3">
        <f>SUMIFS(Mov!$J:$J,Mov!$E:$E,$A109,Mov!$K:$K,F$3)/1000</f>
        <v>0</v>
      </c>
      <c r="G109" s="3">
        <f>SUMIFS(Mov!$J:$J,Mov!$E:$E,$A109,Mov!$K:$K,G$3)/1000</f>
        <v>0</v>
      </c>
      <c r="H109" s="3">
        <f>SUMIFS(Mov!$J:$J,Mov!$E:$E,$A109,Mov!$K:$K,H$3)/1000</f>
        <v>0</v>
      </c>
      <c r="I109" s="3">
        <f>SUMIFS(Mov!$J:$J,Mov!$E:$E,$A109,Mov!$K:$K,I$3)/1000</f>
        <v>0</v>
      </c>
      <c r="J109" s="3">
        <f>SUMIFS(Mov!$J:$J,Mov!$E:$E,$A109,Mov!$K:$K,J$3)/1000</f>
        <v>0</v>
      </c>
      <c r="K109" s="3">
        <f>SUMIFS(Mov!$J:$J,Mov!$E:$E,$A109,Mov!$K:$K,K$3)/1000</f>
        <v>0</v>
      </c>
      <c r="L109" s="3">
        <f>SUMIFS(Mov!$J:$J,Mov!$E:$E,$A109,Mov!$K:$K,L$3)/1000</f>
        <v>0</v>
      </c>
      <c r="M109" s="3">
        <f>SUMIFS(Mov!$J:$J,Mov!$E:$E,$A109,Mov!$K:$K,M$3)/1000</f>
        <v>0</v>
      </c>
      <c r="N109" s="3">
        <f>SUMIFS(Mov!$J:$J,Mov!$E:$E,$A109,Mov!$K:$K,N$3)/1000</f>
        <v>0</v>
      </c>
      <c r="O109" s="3">
        <f>SUMIFS(Mov!$J:$J,Mov!$E:$E,$A109,Mov!$K:$K,O$3)/1000</f>
        <v>0</v>
      </c>
      <c r="P109" s="12">
        <f t="shared" si="63"/>
        <v>0</v>
      </c>
      <c r="Q109" s="12"/>
      <c r="R109" s="12">
        <f t="shared" ca="1" si="64"/>
        <v>0</v>
      </c>
      <c r="S109" s="3">
        <v>0</v>
      </c>
    </row>
    <row r="110" spans="1:19" hidden="1" outlineLevel="1">
      <c r="A110">
        <v>51551501</v>
      </c>
      <c r="B110" t="s">
        <v>1352</v>
      </c>
      <c r="C110" t="s">
        <v>4602</v>
      </c>
      <c r="D110" s="3">
        <f>SUMIFS(Mov!$J:$J,Mov!$E:$E,$A110,Mov!$K:$K,D$3)/1000</f>
        <v>0</v>
      </c>
      <c r="E110" s="3">
        <f>SUMIFS(Mov!$J:$J,Mov!$E:$E,$A110,Mov!$K:$K,E$3)/1000</f>
        <v>0</v>
      </c>
      <c r="F110" s="3">
        <f>SUMIFS(Mov!$J:$J,Mov!$E:$E,$A110,Mov!$K:$K,F$3)/1000</f>
        <v>0</v>
      </c>
      <c r="G110" s="3">
        <f>SUMIFS(Mov!$J:$J,Mov!$E:$E,$A110,Mov!$K:$K,G$3)/1000</f>
        <v>0</v>
      </c>
      <c r="H110" s="3">
        <f>SUMIFS(Mov!$J:$J,Mov!$E:$E,$A110,Mov!$K:$K,H$3)/1000</f>
        <v>0</v>
      </c>
      <c r="I110" s="3">
        <f>SUMIFS(Mov!$J:$J,Mov!$E:$E,$A110,Mov!$K:$K,I$3)/1000</f>
        <v>0</v>
      </c>
      <c r="J110" s="3">
        <f>SUMIFS(Mov!$J:$J,Mov!$E:$E,$A110,Mov!$K:$K,J$3)/1000</f>
        <v>0</v>
      </c>
      <c r="K110" s="3">
        <f>SUMIFS(Mov!$J:$J,Mov!$E:$E,$A110,Mov!$K:$K,K$3)/1000</f>
        <v>0</v>
      </c>
      <c r="L110" s="3">
        <f>SUMIFS(Mov!$J:$J,Mov!$E:$E,$A110,Mov!$K:$K,L$3)/1000</f>
        <v>0</v>
      </c>
      <c r="M110" s="3">
        <f>SUMIFS(Mov!$J:$J,Mov!$E:$E,$A110,Mov!$K:$K,M$3)/1000</f>
        <v>0</v>
      </c>
      <c r="N110" s="3">
        <f>SUMIFS(Mov!$J:$J,Mov!$E:$E,$A110,Mov!$K:$K,N$3)/1000</f>
        <v>0</v>
      </c>
      <c r="O110" s="3">
        <f>SUMIFS(Mov!$J:$J,Mov!$E:$E,$A110,Mov!$K:$K,O$3)/1000</f>
        <v>0</v>
      </c>
      <c r="P110" s="12">
        <f t="shared" si="63"/>
        <v>0</v>
      </c>
      <c r="Q110" s="12"/>
      <c r="R110" s="12">
        <f t="shared" ca="1" si="64"/>
        <v>0</v>
      </c>
      <c r="S110" s="3">
        <v>0</v>
      </c>
    </row>
    <row r="111" spans="1:19" hidden="1" outlineLevel="1">
      <c r="A111">
        <v>515595</v>
      </c>
      <c r="B111" t="s">
        <v>150</v>
      </c>
      <c r="C111" t="s">
        <v>4937</v>
      </c>
      <c r="D111" s="3">
        <f>SUMIFS(Mov!$J:$J,Mov!$E:$E,$A111,Mov!$K:$K,D$3)/1000</f>
        <v>0</v>
      </c>
      <c r="E111" s="3">
        <f>SUMIFS(Mov!$J:$J,Mov!$E:$E,$A111,Mov!$K:$K,E$3)/1000</f>
        <v>0</v>
      </c>
      <c r="F111" s="3">
        <f>SUMIFS(Mov!$J:$J,Mov!$E:$E,$A111,Mov!$K:$K,F$3)/1000</f>
        <v>0</v>
      </c>
      <c r="G111" s="3">
        <f>SUMIFS(Mov!$J:$J,Mov!$E:$E,$A111,Mov!$K:$K,G$3)/1000</f>
        <v>0</v>
      </c>
      <c r="H111" s="3">
        <f>SUMIFS(Mov!$J:$J,Mov!$E:$E,$A111,Mov!$K:$K,H$3)/1000</f>
        <v>0</v>
      </c>
      <c r="I111" s="3">
        <f>SUMIFS(Mov!$J:$J,Mov!$E:$E,$A111,Mov!$K:$K,I$3)/1000</f>
        <v>0</v>
      </c>
      <c r="J111" s="3">
        <f>SUMIFS(Mov!$J:$J,Mov!$E:$E,$A111,Mov!$K:$K,J$3)/1000</f>
        <v>0</v>
      </c>
      <c r="K111" s="3">
        <f>SUMIFS(Mov!$J:$J,Mov!$E:$E,$A111,Mov!$K:$K,K$3)/1000</f>
        <v>0</v>
      </c>
      <c r="L111" s="3">
        <f>SUMIFS(Mov!$J:$J,Mov!$E:$E,$A111,Mov!$K:$K,L$3)/1000</f>
        <v>0</v>
      </c>
      <c r="M111" s="3">
        <f>SUMIFS(Mov!$J:$J,Mov!$E:$E,$A111,Mov!$K:$K,M$3)/1000</f>
        <v>0</v>
      </c>
      <c r="N111" s="3">
        <f>SUMIFS(Mov!$J:$J,Mov!$E:$E,$A111,Mov!$K:$K,N$3)/1000</f>
        <v>0</v>
      </c>
      <c r="O111" s="3">
        <f>SUMIFS(Mov!$J:$J,Mov!$E:$E,$A111,Mov!$K:$K,O$3)/1000</f>
        <v>0</v>
      </c>
      <c r="P111" s="12">
        <f t="shared" si="63"/>
        <v>0</v>
      </c>
      <c r="Q111" s="12"/>
      <c r="R111" s="12">
        <f t="shared" ca="1" si="64"/>
        <v>0</v>
      </c>
      <c r="S111" s="3">
        <v>0</v>
      </c>
    </row>
    <row r="112" spans="1:19" hidden="1" outlineLevel="1">
      <c r="A112">
        <v>515595</v>
      </c>
      <c r="B112" t="s">
        <v>150</v>
      </c>
      <c r="C112" t="s">
        <v>4603</v>
      </c>
      <c r="D112" s="3">
        <f>SUMIFS(Mov!$J:$J,Mov!$E:$E,$A112,Mov!$K:$K,D$3)/1000</f>
        <v>0</v>
      </c>
      <c r="E112" s="3">
        <f>SUMIFS(Mov!$J:$J,Mov!$E:$E,$A112,Mov!$K:$K,E$3)/1000</f>
        <v>0</v>
      </c>
      <c r="F112" s="3">
        <f>SUMIFS(Mov!$J:$J,Mov!$E:$E,$A112,Mov!$K:$K,F$3)/1000</f>
        <v>0</v>
      </c>
      <c r="G112" s="3">
        <f>SUMIFS(Mov!$J:$J,Mov!$E:$E,$A112,Mov!$K:$K,G$3)/1000</f>
        <v>0</v>
      </c>
      <c r="H112" s="3">
        <f>SUMIFS(Mov!$J:$J,Mov!$E:$E,$A112,Mov!$K:$K,H$3)/1000</f>
        <v>0</v>
      </c>
      <c r="I112" s="3">
        <f>SUMIFS(Mov!$J:$J,Mov!$E:$E,$A112,Mov!$K:$K,I$3)/1000</f>
        <v>0</v>
      </c>
      <c r="J112" s="3">
        <f>SUMIFS(Mov!$J:$J,Mov!$E:$E,$A112,Mov!$K:$K,J$3)/1000</f>
        <v>0</v>
      </c>
      <c r="K112" s="3">
        <f>SUMIFS(Mov!$J:$J,Mov!$E:$E,$A112,Mov!$K:$K,K$3)/1000</f>
        <v>0</v>
      </c>
      <c r="L112" s="3">
        <f>SUMIFS(Mov!$J:$J,Mov!$E:$E,$A112,Mov!$K:$K,L$3)/1000</f>
        <v>0</v>
      </c>
      <c r="M112" s="3">
        <f>SUMIFS(Mov!$J:$J,Mov!$E:$E,$A112,Mov!$K:$K,M$3)/1000</f>
        <v>0</v>
      </c>
      <c r="N112" s="3">
        <f>SUMIFS(Mov!$J:$J,Mov!$E:$E,$A112,Mov!$K:$K,N$3)/1000</f>
        <v>0</v>
      </c>
      <c r="O112" s="3">
        <f>SUMIFS(Mov!$J:$J,Mov!$E:$E,$A112,Mov!$K:$K,O$3)/1000</f>
        <v>0</v>
      </c>
      <c r="P112" s="12">
        <f t="shared" si="63"/>
        <v>0</v>
      </c>
      <c r="Q112" s="12"/>
      <c r="R112" s="12">
        <f t="shared" ca="1" si="64"/>
        <v>0</v>
      </c>
      <c r="S112" s="3">
        <v>0</v>
      </c>
    </row>
    <row r="113" spans="1:19" hidden="1" collapsed="1">
      <c r="C113" s="1" t="s">
        <v>4604</v>
      </c>
      <c r="D113" s="13">
        <f>SUM(D106:D112)</f>
        <v>0</v>
      </c>
      <c r="E113" s="13">
        <f t="shared" ref="E113:P113" si="65">SUM(E106:E112)</f>
        <v>0</v>
      </c>
      <c r="F113" s="13">
        <f t="shared" si="65"/>
        <v>0</v>
      </c>
      <c r="G113" s="13">
        <f t="shared" si="65"/>
        <v>0</v>
      </c>
      <c r="H113" s="13">
        <f t="shared" si="65"/>
        <v>0</v>
      </c>
      <c r="I113" s="13">
        <f t="shared" si="65"/>
        <v>0</v>
      </c>
      <c r="J113" s="13">
        <f t="shared" si="65"/>
        <v>0</v>
      </c>
      <c r="K113" s="13">
        <f t="shared" si="65"/>
        <v>0</v>
      </c>
      <c r="L113" s="13">
        <f t="shared" si="65"/>
        <v>0</v>
      </c>
      <c r="M113" s="13">
        <f t="shared" si="65"/>
        <v>0</v>
      </c>
      <c r="N113" s="13">
        <f t="shared" si="65"/>
        <v>0</v>
      </c>
      <c r="O113" s="13">
        <f t="shared" si="65"/>
        <v>0</v>
      </c>
      <c r="P113" s="13">
        <f t="shared" si="65"/>
        <v>0</v>
      </c>
      <c r="Q113" s="12"/>
      <c r="R113" s="13">
        <f t="shared" ca="1" si="64"/>
        <v>0</v>
      </c>
      <c r="S113" s="13">
        <f t="shared" ref="S113" si="66">SUM(S106:S112)</f>
        <v>0</v>
      </c>
    </row>
    <row r="114" spans="1:19" hidden="1">
      <c r="D114" s="12"/>
      <c r="E114" s="12"/>
      <c r="F114" s="12"/>
      <c r="G114" s="12"/>
      <c r="H114" s="12"/>
      <c r="I114" s="12"/>
      <c r="J114" s="12"/>
      <c r="K114" s="12"/>
      <c r="L114" s="12"/>
      <c r="M114" s="12"/>
      <c r="N114" s="12"/>
      <c r="O114" s="12"/>
      <c r="P114" s="12"/>
      <c r="Q114" s="12"/>
      <c r="R114" s="12"/>
      <c r="S114" s="12"/>
    </row>
    <row r="115" spans="1:19" outlineLevel="1">
      <c r="A115">
        <v>53050501</v>
      </c>
      <c r="B115" t="s">
        <v>1463</v>
      </c>
      <c r="C115" t="s">
        <v>4605</v>
      </c>
      <c r="D115" s="3">
        <f>SUMIFS(Mov!$J:$J,Mov!$E:$E,$A115,Mov!$K:$K,D$3)/1000</f>
        <v>69.2</v>
      </c>
      <c r="E115" s="3">
        <f>SUMIFS(Mov!$J:$J,Mov!$E:$E,$A115,Mov!$K:$K,E$3)/1000</f>
        <v>69.2</v>
      </c>
      <c r="F115" s="3">
        <f>SUMIFS(Mov!$J:$J,Mov!$E:$E,$A115,Mov!$K:$K,F$3)/1000</f>
        <v>69.2</v>
      </c>
      <c r="G115" s="3">
        <f>SUMIFS(Mov!$J:$J,Mov!$E:$E,$A115,Mov!$K:$K,G$3)/1000</f>
        <v>69.2</v>
      </c>
      <c r="H115" s="3">
        <f>SUMIFS(Mov!$J:$J,Mov!$E:$E,$A115,Mov!$K:$K,H$3)/1000</f>
        <v>69.2</v>
      </c>
      <c r="I115" s="3">
        <f t="shared" ref="I115:O118" si="67">H115</f>
        <v>69.2</v>
      </c>
      <c r="J115" s="3">
        <f t="shared" si="67"/>
        <v>69.2</v>
      </c>
      <c r="K115" s="3">
        <f t="shared" si="67"/>
        <v>69.2</v>
      </c>
      <c r="L115" s="3">
        <f t="shared" si="67"/>
        <v>69.2</v>
      </c>
      <c r="M115" s="3">
        <f t="shared" si="67"/>
        <v>69.2</v>
      </c>
      <c r="N115" s="3">
        <f t="shared" si="67"/>
        <v>69.2</v>
      </c>
      <c r="O115" s="3">
        <f t="shared" si="67"/>
        <v>69.2</v>
      </c>
      <c r="P115" s="12">
        <f t="shared" ref="P115:P117" si="68">SUM(D115:O115)</f>
        <v>830.4000000000002</v>
      </c>
      <c r="Q115" s="12"/>
      <c r="R115" s="12">
        <f t="shared" ref="R115:R120" ca="1" si="69">SUM(OFFSET(D115,0,0,1,R$3))</f>
        <v>830.4000000000002</v>
      </c>
      <c r="S115" s="3">
        <v>69.2</v>
      </c>
    </row>
    <row r="116" spans="1:19" outlineLevel="1">
      <c r="A116">
        <v>53050502</v>
      </c>
      <c r="B116" t="s">
        <v>1466</v>
      </c>
      <c r="C116" t="s">
        <v>4606</v>
      </c>
      <c r="D116" s="3">
        <f>SUMIFS(Mov!$J:$J,Mov!$E:$E,$A116,Mov!$K:$K,D$3)/1000</f>
        <v>12.99</v>
      </c>
      <c r="E116" s="3">
        <f>SUMIFS(Mov!$J:$J,Mov!$E:$E,$A116,Mov!$K:$K,E$3)/1000</f>
        <v>12.99</v>
      </c>
      <c r="F116" s="3">
        <f>SUMIFS(Mov!$J:$J,Mov!$E:$E,$A116,Mov!$K:$K,F$3)/1000</f>
        <v>12.99</v>
      </c>
      <c r="G116" s="3">
        <f>SUMIFS(Mov!$J:$J,Mov!$E:$E,$A116,Mov!$K:$K,G$3)/1000</f>
        <v>12.99</v>
      </c>
      <c r="H116" s="3">
        <f>SUMIFS(Mov!$J:$J,Mov!$E:$E,$A116,Mov!$K:$K,H$3)/1000</f>
        <v>12.99</v>
      </c>
      <c r="I116" s="3">
        <f t="shared" si="67"/>
        <v>12.99</v>
      </c>
      <c r="J116" s="3">
        <f t="shared" si="67"/>
        <v>12.99</v>
      </c>
      <c r="K116" s="3">
        <f t="shared" si="67"/>
        <v>12.99</v>
      </c>
      <c r="L116" s="3">
        <f t="shared" si="67"/>
        <v>12.99</v>
      </c>
      <c r="M116" s="3">
        <f t="shared" si="67"/>
        <v>12.99</v>
      </c>
      <c r="N116" s="3">
        <f t="shared" si="67"/>
        <v>12.99</v>
      </c>
      <c r="O116" s="3">
        <f t="shared" si="67"/>
        <v>12.99</v>
      </c>
      <c r="P116" s="12">
        <f t="shared" si="68"/>
        <v>155.88</v>
      </c>
      <c r="Q116" s="12"/>
      <c r="R116" s="12">
        <f t="shared" ca="1" si="69"/>
        <v>155.88</v>
      </c>
      <c r="S116" s="3">
        <v>12.99</v>
      </c>
    </row>
    <row r="117" spans="1:19" outlineLevel="1">
      <c r="A117">
        <v>53050503</v>
      </c>
      <c r="B117" t="s">
        <v>1468</v>
      </c>
      <c r="C117" t="s">
        <v>4607</v>
      </c>
      <c r="D117" s="3">
        <f>SUMIFS(Mov!$J:$J,Mov!$E:$E,$A117,Mov!$K:$K,D$3)/1000</f>
        <v>67.078919999999997</v>
      </c>
      <c r="E117" s="3">
        <f>SUMIFS(Mov!$J:$J,Mov!$E:$E,$A117,Mov!$K:$K,E$3)/1000</f>
        <v>95.21838000000001</v>
      </c>
      <c r="F117" s="3">
        <f>SUMIFS(Mov!$J:$J,Mov!$E:$E,$A117,Mov!$K:$K,F$3)/1000</f>
        <v>77.548649999999995</v>
      </c>
      <c r="G117" s="3">
        <f>SUMIFS(Mov!$J:$J,Mov!$E:$E,$A117,Mov!$K:$K,G$3)/1000</f>
        <v>70.568830000000005</v>
      </c>
      <c r="H117" s="3">
        <f>SUMIFS(Mov!$J:$J,Mov!$E:$E,$A117,Mov!$K:$K,H$3)/1000</f>
        <v>74.05874</v>
      </c>
      <c r="I117" s="3">
        <v>70</v>
      </c>
      <c r="J117" s="3">
        <f t="shared" si="67"/>
        <v>70</v>
      </c>
      <c r="K117" s="3">
        <f t="shared" si="67"/>
        <v>70</v>
      </c>
      <c r="L117" s="3">
        <f t="shared" si="67"/>
        <v>70</v>
      </c>
      <c r="M117" s="3">
        <f t="shared" si="67"/>
        <v>70</v>
      </c>
      <c r="N117" s="3">
        <f t="shared" si="67"/>
        <v>70</v>
      </c>
      <c r="O117" s="3">
        <f t="shared" si="67"/>
        <v>70</v>
      </c>
      <c r="P117" s="12">
        <f t="shared" si="68"/>
        <v>874.47352000000001</v>
      </c>
      <c r="Q117" s="12"/>
      <c r="R117" s="12">
        <f t="shared" ca="1" si="69"/>
        <v>874.47352000000001</v>
      </c>
      <c r="S117" s="3">
        <v>90.106560000000002</v>
      </c>
    </row>
    <row r="118" spans="1:19" outlineLevel="1">
      <c r="A118">
        <v>53052001</v>
      </c>
      <c r="B118" t="s">
        <v>211</v>
      </c>
      <c r="C118" t="s">
        <v>4608</v>
      </c>
      <c r="D118" s="3">
        <f>SUMIFS(Mov!$J:$J,Mov!$E:$E,$A118,Mov!$K:$K,D$3)/1000</f>
        <v>0</v>
      </c>
      <c r="E118" s="3">
        <f>SUMIFS(Mov!$J:$J,Mov!$E:$E,$A118,Mov!$K:$K,E$3)/1000</f>
        <v>0</v>
      </c>
      <c r="F118" s="3">
        <f>SUMIFS(Mov!$J:$J,Mov!$E:$E,$A118,Mov!$K:$K,F$3)/1000</f>
        <v>27.974</v>
      </c>
      <c r="G118" s="3">
        <f>SUMIFS(Mov!$J:$J,Mov!$E:$E,$A118,Mov!$K:$K,G$3)/1000</f>
        <v>0</v>
      </c>
      <c r="H118" s="3">
        <f>SUMIFS(Mov!$J:$J,Mov!$E:$E,$A118,Mov!$K:$K,H$3)/1000</f>
        <v>10</v>
      </c>
      <c r="I118" s="3">
        <v>0</v>
      </c>
      <c r="J118" s="3">
        <f t="shared" si="67"/>
        <v>0</v>
      </c>
      <c r="K118" s="3">
        <f t="shared" si="67"/>
        <v>0</v>
      </c>
      <c r="L118" s="3">
        <f t="shared" si="67"/>
        <v>0</v>
      </c>
      <c r="M118" s="3">
        <f t="shared" si="67"/>
        <v>0</v>
      </c>
      <c r="N118" s="3">
        <f t="shared" si="67"/>
        <v>0</v>
      </c>
      <c r="O118" s="3">
        <f t="shared" si="67"/>
        <v>0</v>
      </c>
      <c r="P118" s="12">
        <f>SUM(D118:O118)</f>
        <v>37.974000000000004</v>
      </c>
      <c r="Q118" s="12"/>
      <c r="R118" s="12">
        <f t="shared" ca="1" si="69"/>
        <v>37.974000000000004</v>
      </c>
      <c r="S118" s="3">
        <v>0</v>
      </c>
    </row>
    <row r="119" spans="1:19" outlineLevel="1">
      <c r="A119">
        <v>530535</v>
      </c>
      <c r="B119" t="s">
        <v>1054</v>
      </c>
      <c r="C119" t="s">
        <v>4610</v>
      </c>
      <c r="D119" s="3">
        <f>SUMIFS(Mov!$J:$J,Mov!$E:$E,$A119,Mov!$K:$K,D$3)/1000</f>
        <v>0</v>
      </c>
      <c r="E119" s="3">
        <f>SUMIFS(Mov!$J:$J,Mov!$E:$E,$A119,Mov!$K:$K,E$3)/1000</f>
        <v>0</v>
      </c>
      <c r="F119" s="3">
        <f>SUMIFS(Mov!$J:$J,Mov!$E:$E,$A119,Mov!$K:$K,F$3)/1000</f>
        <v>0</v>
      </c>
      <c r="G119" s="3">
        <f>SUMIFS(Mov!$J:$J,Mov!$E:$E,$A119,Mov!$K:$K,G$3)/1000</f>
        <v>0</v>
      </c>
      <c r="H119" s="3">
        <f>SUMIFS(Mov!$J:$J,Mov!$E:$E,$A119,Mov!$K:$K,H$3)/1000</f>
        <v>0</v>
      </c>
      <c r="I119" s="3">
        <f t="shared" ref="I119:O119" si="70">H119</f>
        <v>0</v>
      </c>
      <c r="J119" s="3">
        <f t="shared" si="70"/>
        <v>0</v>
      </c>
      <c r="K119" s="3">
        <f t="shared" si="70"/>
        <v>0</v>
      </c>
      <c r="L119" s="3">
        <f t="shared" si="70"/>
        <v>0</v>
      </c>
      <c r="M119" s="3">
        <f t="shared" si="70"/>
        <v>0</v>
      </c>
      <c r="N119" s="3">
        <f t="shared" si="70"/>
        <v>0</v>
      </c>
      <c r="O119" s="3">
        <f t="shared" si="70"/>
        <v>0</v>
      </c>
      <c r="P119" s="12">
        <f>SUM(D119:O119)</f>
        <v>0</v>
      </c>
      <c r="Q119" s="12"/>
      <c r="R119" s="12">
        <f t="shared" ca="1" si="69"/>
        <v>0</v>
      </c>
      <c r="S119" s="3">
        <v>0</v>
      </c>
    </row>
    <row r="120" spans="1:19">
      <c r="C120" s="1" t="s">
        <v>4611</v>
      </c>
      <c r="D120" s="13">
        <f>SUM(D115:D119)</f>
        <v>149.26891999999998</v>
      </c>
      <c r="E120" s="13">
        <f t="shared" ref="E120:P120" si="71">SUM(E115:E119)</f>
        <v>177.40838000000002</v>
      </c>
      <c r="F120" s="13">
        <f t="shared" si="71"/>
        <v>187.71265</v>
      </c>
      <c r="G120" s="13">
        <f t="shared" si="71"/>
        <v>152.75882999999999</v>
      </c>
      <c r="H120" s="13">
        <f t="shared" si="71"/>
        <v>166.24874</v>
      </c>
      <c r="I120" s="13">
        <f t="shared" si="71"/>
        <v>152.19</v>
      </c>
      <c r="J120" s="13">
        <f t="shared" si="71"/>
        <v>152.19</v>
      </c>
      <c r="K120" s="13">
        <f t="shared" si="71"/>
        <v>152.19</v>
      </c>
      <c r="L120" s="13">
        <f t="shared" si="71"/>
        <v>152.19</v>
      </c>
      <c r="M120" s="13">
        <f t="shared" si="71"/>
        <v>152.19</v>
      </c>
      <c r="N120" s="13">
        <f t="shared" si="71"/>
        <v>152.19</v>
      </c>
      <c r="O120" s="13">
        <f t="shared" si="71"/>
        <v>152.19</v>
      </c>
      <c r="P120" s="13">
        <f t="shared" si="71"/>
        <v>1898.7275200000001</v>
      </c>
      <c r="Q120" s="12"/>
      <c r="R120" s="13">
        <f t="shared" ca="1" si="69"/>
        <v>1898.7275200000004</v>
      </c>
      <c r="S120" s="13">
        <f t="shared" ref="S120" si="72">SUM(S115:S119)</f>
        <v>172.29656</v>
      </c>
    </row>
    <row r="121" spans="1:19">
      <c r="D121" s="12"/>
      <c r="E121" s="12"/>
      <c r="F121" s="12"/>
      <c r="G121" s="12"/>
      <c r="H121" s="12"/>
      <c r="I121" s="12"/>
      <c r="J121" s="12"/>
      <c r="K121" s="12"/>
      <c r="L121" s="12"/>
      <c r="M121" s="12"/>
      <c r="N121" s="12"/>
      <c r="O121" s="12"/>
      <c r="P121" s="12"/>
      <c r="Q121" s="12"/>
      <c r="R121" s="12"/>
      <c r="S121" s="12"/>
    </row>
    <row r="122" spans="1:19" outlineLevel="1">
      <c r="A122">
        <v>511505</v>
      </c>
      <c r="B122" t="s">
        <v>1159</v>
      </c>
      <c r="C122" t="s">
        <v>4612</v>
      </c>
      <c r="D122" s="3">
        <f>SUMIFS(Mov!$J:$J,Mov!$E:$E,$A122,Mov!$K:$K,D$3)/1000</f>
        <v>0</v>
      </c>
      <c r="E122" s="3">
        <f>SUMIFS(Mov!$J:$J,Mov!$E:$E,$A122,Mov!$K:$K,E$3)/1000</f>
        <v>0</v>
      </c>
      <c r="F122" s="3">
        <f>SUMIFS(Mov!$J:$J,Mov!$E:$E,$A122,Mov!$K:$K,F$3)/1000</f>
        <v>0</v>
      </c>
      <c r="G122" s="3">
        <f>SUMIFS(Mov!$J:$J,Mov!$E:$E,$A122,Mov!$K:$K,G$3)/1000</f>
        <v>0</v>
      </c>
      <c r="H122" s="3">
        <f>SUMIFS(Mov!$J:$J,Mov!$E:$E,$A122,Mov!$K:$K,H$3)/1000</f>
        <v>1</v>
      </c>
      <c r="I122" s="3">
        <f>I12*0.966%</f>
        <v>624.80880000000002</v>
      </c>
      <c r="J122" s="3">
        <f t="shared" ref="J122:O122" si="73">J12*0.966%</f>
        <v>624.80880000000002</v>
      </c>
      <c r="K122" s="3">
        <f t="shared" si="73"/>
        <v>624.80880000000002</v>
      </c>
      <c r="L122" s="3">
        <f t="shared" si="73"/>
        <v>624.80880000000002</v>
      </c>
      <c r="M122" s="3">
        <f t="shared" si="73"/>
        <v>624.80880000000002</v>
      </c>
      <c r="N122" s="3">
        <f t="shared" si="73"/>
        <v>1302.0227136000003</v>
      </c>
      <c r="O122" s="3">
        <f t="shared" si="73"/>
        <v>-52.405113600000064</v>
      </c>
      <c r="P122" s="12">
        <f t="shared" ref="P122:P124" si="74">SUM(D122:O122)</f>
        <v>4374.6616000000004</v>
      </c>
      <c r="Q122" s="12"/>
      <c r="R122" s="12">
        <f ca="1">SUM(OFFSET(D122,0,0,1,R$3))</f>
        <v>4374.6616000000004</v>
      </c>
      <c r="S122" s="3">
        <v>0</v>
      </c>
    </row>
    <row r="123" spans="1:19" outlineLevel="1">
      <c r="A123">
        <v>51159501</v>
      </c>
      <c r="B123" t="s">
        <v>1181</v>
      </c>
      <c r="C123" t="s">
        <v>4613</v>
      </c>
      <c r="D123" s="3">
        <f>SUMIFS(Mov!$J:$J,Mov!$E:$E,$A123,Mov!$K:$K,D$3)/1000</f>
        <v>218.48685999999998</v>
      </c>
      <c r="E123" s="3">
        <f>SUMIFS(Mov!$J:$J,Mov!$E:$E,$A123,Mov!$K:$K,E$3)/1000</f>
        <v>247.55892</v>
      </c>
      <c r="F123" s="3">
        <f>SUMIFS(Mov!$J:$J,Mov!$E:$E,$A123,Mov!$K:$K,F$3)/1000</f>
        <v>207.09542000000002</v>
      </c>
      <c r="G123" s="3">
        <f>SUMIFS(Mov!$J:$J,Mov!$E:$E,$A123,Mov!$K:$K,G$3)/1000</f>
        <v>191.84287</v>
      </c>
      <c r="H123" s="3">
        <f>SUMIFS(Mov!$J:$J,Mov!$E:$E,$A123,Mov!$K:$K,H$3)/1000</f>
        <v>213.70948000000001</v>
      </c>
      <c r="I123" s="3">
        <v>200</v>
      </c>
      <c r="J123" s="3">
        <f>I123</f>
        <v>200</v>
      </c>
      <c r="K123" s="3">
        <f t="shared" ref="K123:O124" si="75">J123</f>
        <v>200</v>
      </c>
      <c r="L123" s="3">
        <f t="shared" si="75"/>
        <v>200</v>
      </c>
      <c r="M123" s="3">
        <f t="shared" si="75"/>
        <v>200</v>
      </c>
      <c r="N123" s="3">
        <f t="shared" si="75"/>
        <v>200</v>
      </c>
      <c r="O123" s="3">
        <f t="shared" si="75"/>
        <v>200</v>
      </c>
      <c r="P123" s="12">
        <f t="shared" si="74"/>
        <v>2478.69355</v>
      </c>
      <c r="Q123" s="12"/>
      <c r="R123" s="12">
        <f ca="1">SUM(OFFSET(D123,0,0,1,R$3))</f>
        <v>2478.69355</v>
      </c>
      <c r="S123" s="3">
        <v>166.52857</v>
      </c>
    </row>
    <row r="124" spans="1:19" outlineLevel="1">
      <c r="A124">
        <v>511570</v>
      </c>
      <c r="B124" t="s">
        <v>745</v>
      </c>
      <c r="C124" t="s">
        <v>4614</v>
      </c>
      <c r="D124" s="3">
        <f>SUMIFS(Mov!$J:$J,Mov!$E:$E,$A124,Mov!$K:$K,D$3)/1000</f>
        <v>0</v>
      </c>
      <c r="E124" s="3">
        <f>SUMIFS(Mov!$J:$J,Mov!$E:$E,$A124,Mov!$K:$K,E$3)/1000</f>
        <v>0</v>
      </c>
      <c r="F124" s="3">
        <f>SUMIFS(Mov!$J:$J,Mov!$E:$E,$A124,Mov!$K:$K,F$3)/1000</f>
        <v>0</v>
      </c>
      <c r="G124" s="3">
        <f>SUMIFS(Mov!$J:$J,Mov!$E:$E,$A124,Mov!$K:$K,G$3)/1000</f>
        <v>0</v>
      </c>
      <c r="H124" s="3">
        <f>SUMIFS(Mov!$J:$J,Mov!$E:$E,$A124,Mov!$K:$K,H$3)/1000</f>
        <v>0</v>
      </c>
      <c r="I124" s="3">
        <f>H124</f>
        <v>0</v>
      </c>
      <c r="J124" s="3">
        <f>I124</f>
        <v>0</v>
      </c>
      <c r="K124" s="3">
        <f t="shared" si="75"/>
        <v>0</v>
      </c>
      <c r="L124" s="3">
        <f t="shared" si="75"/>
        <v>0</v>
      </c>
      <c r="M124" s="3">
        <f t="shared" si="75"/>
        <v>0</v>
      </c>
      <c r="N124" s="3">
        <f t="shared" si="75"/>
        <v>0</v>
      </c>
      <c r="O124" s="3">
        <f t="shared" si="75"/>
        <v>0</v>
      </c>
      <c r="P124" s="12">
        <f t="shared" si="74"/>
        <v>0</v>
      </c>
      <c r="Q124" s="12"/>
      <c r="R124" s="12">
        <f ca="1">SUM(OFFSET(D124,0,0,1,R$3))</f>
        <v>0</v>
      </c>
      <c r="S124" s="3">
        <v>0</v>
      </c>
    </row>
    <row r="125" spans="1:19">
      <c r="C125" s="1" t="s">
        <v>4615</v>
      </c>
      <c r="D125" s="13">
        <f t="shared" ref="D125:O125" si="76">SUM(D122:D124)</f>
        <v>218.48685999999998</v>
      </c>
      <c r="E125" s="13">
        <f t="shared" si="76"/>
        <v>247.55892</v>
      </c>
      <c r="F125" s="13">
        <f t="shared" si="76"/>
        <v>207.09542000000002</v>
      </c>
      <c r="G125" s="13">
        <f t="shared" si="76"/>
        <v>191.84287</v>
      </c>
      <c r="H125" s="13">
        <f t="shared" si="76"/>
        <v>214.70948000000001</v>
      </c>
      <c r="I125" s="13">
        <f t="shared" si="76"/>
        <v>824.80880000000002</v>
      </c>
      <c r="J125" s="13">
        <f t="shared" si="76"/>
        <v>824.80880000000002</v>
      </c>
      <c r="K125" s="13">
        <f t="shared" si="76"/>
        <v>824.80880000000002</v>
      </c>
      <c r="L125" s="13">
        <f t="shared" si="76"/>
        <v>824.80880000000002</v>
      </c>
      <c r="M125" s="13">
        <f t="shared" si="76"/>
        <v>824.80880000000002</v>
      </c>
      <c r="N125" s="13">
        <f t="shared" si="76"/>
        <v>1502.0227136000003</v>
      </c>
      <c r="O125" s="13">
        <f t="shared" si="76"/>
        <v>147.59488639999995</v>
      </c>
      <c r="P125" s="13">
        <f t="shared" ref="P125" si="77">SUM(D125:O125)</f>
        <v>6853.3551500000003</v>
      </c>
      <c r="Q125" s="12"/>
      <c r="R125" s="12">
        <f ca="1">SUM(OFFSET(D125,0,0,1,R$3))</f>
        <v>6853.3551500000003</v>
      </c>
      <c r="S125" s="13">
        <f t="shared" ref="S125" si="78">SUM(S122:S124)</f>
        <v>166.52857</v>
      </c>
    </row>
    <row r="126" spans="1:19">
      <c r="A126" s="124"/>
      <c r="B126" s="124"/>
      <c r="C126" s="124"/>
      <c r="D126" s="180"/>
      <c r="E126" s="180"/>
      <c r="F126" s="180"/>
      <c r="G126" s="180"/>
      <c r="H126" s="180"/>
      <c r="I126" s="180"/>
      <c r="J126" s="180"/>
      <c r="K126" s="180"/>
      <c r="L126" s="180"/>
      <c r="M126" s="180"/>
      <c r="N126" s="180"/>
      <c r="O126" s="180"/>
      <c r="P126" s="180"/>
      <c r="Q126" s="180"/>
      <c r="R126" s="180"/>
      <c r="S126" s="180"/>
    </row>
    <row r="127" spans="1:19">
      <c r="B127" s="1"/>
      <c r="C127" s="1" t="s">
        <v>4616</v>
      </c>
      <c r="D127" s="13">
        <f t="shared" ref="D127:P127" si="79">D35+D42+D50+D54+D104+D113+D120+D125</f>
        <v>51328.197209999991</v>
      </c>
      <c r="E127" s="13">
        <f t="shared" si="79"/>
        <v>55129.665049999996</v>
      </c>
      <c r="F127" s="13">
        <f t="shared" si="79"/>
        <v>50328.768390000005</v>
      </c>
      <c r="G127" s="13">
        <f t="shared" si="79"/>
        <v>47373.004710000001</v>
      </c>
      <c r="H127" s="13">
        <f t="shared" si="79"/>
        <v>47468.53196</v>
      </c>
      <c r="I127" s="13">
        <f t="shared" si="79"/>
        <v>48369.100729999998</v>
      </c>
      <c r="J127" s="13">
        <f t="shared" si="79"/>
        <v>48673.407709999999</v>
      </c>
      <c r="K127" s="13">
        <f t="shared" si="79"/>
        <v>59118.311409999995</v>
      </c>
      <c r="L127" s="13">
        <f t="shared" si="79"/>
        <v>51722.653709999999</v>
      </c>
      <c r="M127" s="13">
        <f t="shared" si="79"/>
        <v>49766.940309999998</v>
      </c>
      <c r="N127" s="13">
        <f t="shared" si="79"/>
        <v>50447.276223600005</v>
      </c>
      <c r="O127" s="13">
        <f t="shared" si="79"/>
        <v>56017.095396400007</v>
      </c>
      <c r="P127" s="13">
        <f t="shared" si="79"/>
        <v>615742.95280999993</v>
      </c>
      <c r="Q127" s="12"/>
      <c r="R127" s="13">
        <f ca="1">R35+R42+R50+R54+R104+R113+R120+R125</f>
        <v>615742.95280999993</v>
      </c>
      <c r="S127" s="13">
        <f>S35+S42+S50+S54+S104+S113+S120+S125</f>
        <v>41232.633399999999</v>
      </c>
    </row>
    <row r="128" spans="1:19">
      <c r="D128" s="12"/>
      <c r="E128" s="12"/>
      <c r="F128" s="12"/>
      <c r="G128" s="12"/>
      <c r="H128" s="12"/>
      <c r="I128" s="12"/>
      <c r="J128" s="12"/>
      <c r="K128" s="12"/>
      <c r="L128" s="12"/>
      <c r="M128" s="12"/>
      <c r="N128" s="12"/>
      <c r="O128" s="12"/>
      <c r="P128" s="12"/>
      <c r="Q128" s="12"/>
      <c r="R128" s="12"/>
      <c r="S128" s="12"/>
    </row>
    <row r="129" spans="1:19" hidden="1" outlineLevel="1">
      <c r="A129">
        <v>519910</v>
      </c>
      <c r="B129" t="s">
        <v>57</v>
      </c>
      <c r="C129" t="s">
        <v>4610</v>
      </c>
      <c r="D129" s="3">
        <f>SUMIFS(Mov!$J:$J,Mov!$E:$E,$A129,Mov!$K:$K,D$3)/1000</f>
        <v>0</v>
      </c>
      <c r="E129" s="3">
        <f>SUMIFS(Mov!$J:$J,Mov!$E:$E,$A129,Mov!$K:$K,E$3)/1000</f>
        <v>0</v>
      </c>
      <c r="F129" s="3">
        <f>SUMIFS(Mov!$J:$J,Mov!$E:$E,$A129,Mov!$K:$K,F$3)/1000</f>
        <v>0</v>
      </c>
      <c r="G129" s="3">
        <f>SUMIFS(Mov!$J:$J,Mov!$E:$E,$A129,Mov!$K:$K,G$3)/1000</f>
        <v>0</v>
      </c>
      <c r="H129" s="3">
        <f>SUMIFS(Mov!$J:$J,Mov!$E:$E,$A129,Mov!$K:$K,H$3)/1000</f>
        <v>0</v>
      </c>
      <c r="I129" s="3">
        <f>SUMIFS(Mov!$J:$J,Mov!$E:$E,$A129,Mov!$K:$K,I$3)/1000</f>
        <v>0</v>
      </c>
      <c r="J129" s="3">
        <f>SUMIFS(Mov!$J:$J,Mov!$E:$E,$A129,Mov!$K:$K,J$3)/1000</f>
        <v>0</v>
      </c>
      <c r="K129" s="3">
        <f>SUMIFS(Mov!$J:$J,Mov!$E:$E,$A129,Mov!$K:$K,K$3)/1000</f>
        <v>0</v>
      </c>
      <c r="L129" s="3">
        <f>SUMIFS(Mov!$J:$J,Mov!$E:$E,$A129,Mov!$K:$K,L$3)/1000</f>
        <v>0</v>
      </c>
      <c r="M129" s="3">
        <f>SUMIFS(Mov!$J:$J,Mov!$E:$E,$A129,Mov!$K:$K,M$3)/1000</f>
        <v>0</v>
      </c>
      <c r="N129" s="3">
        <f>SUMIFS(Mov!$J:$J,Mov!$E:$E,$A129,Mov!$K:$K,N$3)/1000</f>
        <v>0</v>
      </c>
      <c r="O129" s="3">
        <f>SUMIFS(Mov!$J:$J,Mov!$E:$E,$A129,Mov!$K:$K,O$3)/1000</f>
        <v>0</v>
      </c>
      <c r="P129" s="12">
        <f t="shared" ref="P129:P132" si="80">SUM(D129:O129)</f>
        <v>0</v>
      </c>
      <c r="Q129" s="12"/>
      <c r="R129" s="12">
        <f t="shared" ref="R129:R135" ca="1" si="81">SUM(OFFSET(D129,0,0,1,R$3))</f>
        <v>0</v>
      </c>
      <c r="S129" s="3">
        <v>0</v>
      </c>
    </row>
    <row r="130" spans="1:19" hidden="1" outlineLevel="1">
      <c r="A130">
        <v>539515</v>
      </c>
      <c r="B130" t="s">
        <v>4617</v>
      </c>
      <c r="C130" t="s">
        <v>4610</v>
      </c>
      <c r="D130" s="3">
        <f>SUMIFS(Mov!$J:$J,Mov!$E:$E,$A130,Mov!$K:$K,D$3)/1000</f>
        <v>0</v>
      </c>
      <c r="E130" s="3">
        <f>SUMIFS(Mov!$J:$J,Mov!$E:$E,$A130,Mov!$K:$K,E$3)/1000</f>
        <v>0</v>
      </c>
      <c r="F130" s="3">
        <f>SUMIFS(Mov!$J:$J,Mov!$E:$E,$A130,Mov!$K:$K,F$3)/1000</f>
        <v>0</v>
      </c>
      <c r="G130" s="3">
        <f>SUMIFS(Mov!$J:$J,Mov!$E:$E,$A130,Mov!$K:$K,G$3)/1000</f>
        <v>0</v>
      </c>
      <c r="H130" s="3">
        <f>SUMIFS(Mov!$J:$J,Mov!$E:$E,$A130,Mov!$K:$K,H$3)/1000</f>
        <v>0</v>
      </c>
      <c r="I130" s="3">
        <f>SUMIFS(Mov!$J:$J,Mov!$E:$E,$A130,Mov!$K:$K,I$3)/1000</f>
        <v>0</v>
      </c>
      <c r="J130" s="3">
        <f>SUMIFS(Mov!$J:$J,Mov!$E:$E,$A130,Mov!$K:$K,J$3)/1000</f>
        <v>0</v>
      </c>
      <c r="K130" s="3">
        <f>SUMIFS(Mov!$J:$J,Mov!$E:$E,$A130,Mov!$K:$K,K$3)/1000</f>
        <v>0</v>
      </c>
      <c r="L130" s="3">
        <f>SUMIFS(Mov!$J:$J,Mov!$E:$E,$A130,Mov!$K:$K,L$3)/1000</f>
        <v>0</v>
      </c>
      <c r="M130" s="3">
        <f>SUMIFS(Mov!$J:$J,Mov!$E:$E,$A130,Mov!$K:$K,M$3)/1000</f>
        <v>0</v>
      </c>
      <c r="N130" s="3">
        <f>SUMIFS(Mov!$J:$J,Mov!$E:$E,$A130,Mov!$K:$K,N$3)/1000</f>
        <v>0</v>
      </c>
      <c r="O130" s="3">
        <f>SUMIFS(Mov!$J:$J,Mov!$E:$E,$A130,Mov!$K:$K,O$3)/1000</f>
        <v>0</v>
      </c>
      <c r="P130" s="12">
        <f t="shared" si="80"/>
        <v>0</v>
      </c>
      <c r="Q130" s="12"/>
      <c r="R130" s="12">
        <f t="shared" ca="1" si="81"/>
        <v>0</v>
      </c>
      <c r="S130" s="3">
        <v>0</v>
      </c>
    </row>
    <row r="131" spans="1:19" outlineLevel="1">
      <c r="A131">
        <v>539520</v>
      </c>
      <c r="B131" t="s">
        <v>4618</v>
      </c>
      <c r="C131" t="s">
        <v>4610</v>
      </c>
      <c r="D131" s="3">
        <f>SUMIFS(Mov!$J:$J,Mov!$E:$E,$A131,Mov!$K:$K,D$3)/1000</f>
        <v>0</v>
      </c>
      <c r="E131" s="3">
        <f>SUMIFS(Mov!$J:$J,Mov!$E:$E,$A131,Mov!$K:$K,E$3)/1000</f>
        <v>0</v>
      </c>
      <c r="F131" s="3">
        <f>SUMIFS(Mov!$J:$J,Mov!$E:$E,$A131,Mov!$K:$K,F$3)/1000</f>
        <v>0</v>
      </c>
      <c r="G131" s="3">
        <f>SUMIFS(Mov!$J:$J,Mov!$E:$E,$A131,Mov!$K:$K,G$3)/1000</f>
        <v>424</v>
      </c>
      <c r="H131" s="3">
        <f>SUMIFS(Mov!$J:$J,Mov!$E:$E,$A131,Mov!$K:$K,H$3)/1000</f>
        <v>0</v>
      </c>
      <c r="I131" s="3">
        <f>SUMIFS(Mov!$J:$J,Mov!$E:$E,$A131,Mov!$K:$K,I$3)/1000</f>
        <v>0</v>
      </c>
      <c r="J131" s="3">
        <f>SUMIFS(Mov!$J:$J,Mov!$E:$E,$A131,Mov!$K:$K,J$3)/1000</f>
        <v>0</v>
      </c>
      <c r="K131" s="3">
        <f>SUMIFS(Mov!$J:$J,Mov!$E:$E,$A131,Mov!$K:$K,K$3)/1000</f>
        <v>0</v>
      </c>
      <c r="L131" s="3">
        <f>SUMIFS(Mov!$J:$J,Mov!$E:$E,$A131,Mov!$K:$K,L$3)/1000</f>
        <v>424</v>
      </c>
      <c r="M131" s="3">
        <f>SUMIFS(Mov!$J:$J,Mov!$E:$E,$A131,Mov!$K:$K,M$3)/1000</f>
        <v>0</v>
      </c>
      <c r="N131" s="3">
        <f>SUMIFS(Mov!$J:$J,Mov!$E:$E,$A131,Mov!$K:$K,N$3)/1000</f>
        <v>0</v>
      </c>
      <c r="O131" s="3">
        <f>SUMIFS(Mov!$J:$J,Mov!$E:$E,$A131,Mov!$K:$K,O$3)/1000</f>
        <v>878</v>
      </c>
      <c r="P131" s="12">
        <f t="shared" si="80"/>
        <v>1726</v>
      </c>
      <c r="Q131" s="12"/>
      <c r="R131" s="12">
        <f t="shared" ca="1" si="81"/>
        <v>1726</v>
      </c>
      <c r="S131" s="3">
        <v>0</v>
      </c>
    </row>
    <row r="132" spans="1:19" hidden="1" outlineLevel="1">
      <c r="A132">
        <v>53152001</v>
      </c>
      <c r="B132" t="s">
        <v>1493</v>
      </c>
      <c r="C132" t="s">
        <v>4610</v>
      </c>
      <c r="D132" s="3">
        <f>SUMIFS(Mov!$J:$J,Mov!$E:$E,$A132,Mov!$K:$K,D$3)/1000</f>
        <v>0</v>
      </c>
      <c r="E132" s="3">
        <f>SUMIFS(Mov!$J:$J,Mov!$E:$E,$A132,Mov!$K:$K,E$3)/1000</f>
        <v>0</v>
      </c>
      <c r="F132" s="3">
        <f>SUMIFS(Mov!$J:$J,Mov!$E:$E,$A132,Mov!$K:$K,F$3)/1000</f>
        <v>0</v>
      </c>
      <c r="G132" s="3">
        <f>SUMIFS(Mov!$J:$J,Mov!$E:$E,$A132,Mov!$K:$K,G$3)/1000</f>
        <v>0</v>
      </c>
      <c r="H132" s="3">
        <f>SUMIFS(Mov!$J:$J,Mov!$E:$E,$A132,Mov!$K:$K,H$3)/1000</f>
        <v>0</v>
      </c>
      <c r="I132" s="3">
        <f>SUMIFS(Mov!$J:$J,Mov!$E:$E,$A132,Mov!$K:$K,I$3)/1000</f>
        <v>0</v>
      </c>
      <c r="J132" s="3">
        <f>SUMIFS(Mov!$J:$J,Mov!$E:$E,$A132,Mov!$K:$K,J$3)/1000</f>
        <v>0</v>
      </c>
      <c r="K132" s="3">
        <f>SUMIFS(Mov!$J:$J,Mov!$E:$E,$A132,Mov!$K:$K,K$3)/1000</f>
        <v>0</v>
      </c>
      <c r="L132" s="3">
        <f>SUMIFS(Mov!$J:$J,Mov!$E:$E,$A132,Mov!$K:$K,L$3)/1000</f>
        <v>0</v>
      </c>
      <c r="M132" s="3">
        <f>SUMIFS(Mov!$J:$J,Mov!$E:$E,$A132,Mov!$K:$K,M$3)/1000</f>
        <v>0</v>
      </c>
      <c r="N132" s="3">
        <f>SUMIFS(Mov!$J:$J,Mov!$E:$E,$A132,Mov!$K:$K,N$3)/1000</f>
        <v>0</v>
      </c>
      <c r="O132" s="3">
        <f>SUMIFS(Mov!$J:$J,Mov!$E:$E,$A132,Mov!$K:$K,O$3)/1000</f>
        <v>0</v>
      </c>
      <c r="P132" s="12">
        <f t="shared" si="80"/>
        <v>0</v>
      </c>
      <c r="Q132" s="12"/>
      <c r="R132" s="12">
        <f t="shared" ca="1" si="81"/>
        <v>0</v>
      </c>
      <c r="S132" s="3">
        <v>0</v>
      </c>
    </row>
    <row r="133" spans="1:19" hidden="1" outlineLevel="1">
      <c r="A133">
        <v>53152002</v>
      </c>
      <c r="B133" t="s">
        <v>1496</v>
      </c>
      <c r="C133" t="s">
        <v>4610</v>
      </c>
      <c r="D133" s="3">
        <f>SUMIFS(Mov!$J:$J,Mov!$E:$E,$A133,Mov!$K:$K,D$3)/1000</f>
        <v>0</v>
      </c>
      <c r="E133" s="3">
        <f>SUMIFS(Mov!$J:$J,Mov!$E:$E,$A133,Mov!$K:$K,E$3)/1000</f>
        <v>0</v>
      </c>
      <c r="F133" s="3">
        <f>SUMIFS(Mov!$J:$J,Mov!$E:$E,$A133,Mov!$K:$K,F$3)/1000</f>
        <v>0</v>
      </c>
      <c r="G133" s="3">
        <f>SUMIFS(Mov!$J:$J,Mov!$E:$E,$A133,Mov!$K:$K,G$3)/1000</f>
        <v>0</v>
      </c>
      <c r="H133" s="3">
        <f>SUMIFS(Mov!$J:$J,Mov!$E:$E,$A133,Mov!$K:$K,H$3)/1000</f>
        <v>0</v>
      </c>
      <c r="I133" s="3">
        <f>SUMIFS(Mov!$J:$J,Mov!$E:$E,$A133,Mov!$K:$K,I$3)/1000</f>
        <v>0</v>
      </c>
      <c r="J133" s="3">
        <f>SUMIFS(Mov!$J:$J,Mov!$E:$E,$A133,Mov!$K:$K,J$3)/1000</f>
        <v>0</v>
      </c>
      <c r="K133" s="3">
        <f>SUMIFS(Mov!$J:$J,Mov!$E:$E,$A133,Mov!$K:$K,K$3)/1000</f>
        <v>0</v>
      </c>
      <c r="L133" s="3">
        <f>SUMIFS(Mov!$J:$J,Mov!$E:$E,$A133,Mov!$K:$K,L$3)/1000</f>
        <v>0</v>
      </c>
      <c r="M133" s="3">
        <f>SUMIFS(Mov!$J:$J,Mov!$E:$E,$A133,Mov!$K:$K,M$3)/1000</f>
        <v>0</v>
      </c>
      <c r="N133" s="3">
        <f>SUMIFS(Mov!$J:$J,Mov!$E:$E,$A133,Mov!$K:$K,N$3)/1000</f>
        <v>0</v>
      </c>
      <c r="O133" s="3">
        <f>SUMIFS(Mov!$J:$J,Mov!$E:$E,$A133,Mov!$K:$K,O$3)/1000</f>
        <v>0</v>
      </c>
      <c r="P133" s="12">
        <f>SUM(D133:O133)</f>
        <v>0</v>
      </c>
      <c r="Q133" s="12"/>
      <c r="R133" s="12">
        <f t="shared" ref="R133" ca="1" si="82">SUM(OFFSET(D133,0,0,1,R$3))</f>
        <v>0</v>
      </c>
      <c r="S133" s="3">
        <v>0</v>
      </c>
    </row>
    <row r="134" spans="1:19" hidden="1" outlineLevel="1">
      <c r="A134">
        <v>53152003</v>
      </c>
      <c r="B134" t="s">
        <v>1498</v>
      </c>
      <c r="C134" t="s">
        <v>4610</v>
      </c>
      <c r="D134" s="3">
        <f>SUMIFS(Mov!$J:$J,Mov!$E:$E,$A134,Mov!$K:$K,D$3)/1000</f>
        <v>0</v>
      </c>
      <c r="E134" s="3">
        <f>SUMIFS(Mov!$J:$J,Mov!$E:$E,$A134,Mov!$K:$K,E$3)/1000</f>
        <v>1</v>
      </c>
      <c r="F134" s="3">
        <f>SUMIFS(Mov!$J:$J,Mov!$E:$E,$A134,Mov!$K:$K,F$3)/1000</f>
        <v>0</v>
      </c>
      <c r="G134" s="3">
        <f>SUMIFS(Mov!$J:$J,Mov!$E:$E,$A134,Mov!$K:$K,G$3)/1000</f>
        <v>1.5676700000000001</v>
      </c>
      <c r="H134" s="3">
        <f>SUMIFS(Mov!$J:$J,Mov!$E:$E,$A134,Mov!$K:$K,H$3)/1000</f>
        <v>0</v>
      </c>
      <c r="I134" s="3">
        <f>SUMIFS(Mov!$J:$J,Mov!$E:$E,$A134,Mov!$K:$K,I$3)/1000</f>
        <v>0</v>
      </c>
      <c r="J134" s="3">
        <f>SUMIFS(Mov!$J:$J,Mov!$E:$E,$A134,Mov!$K:$K,J$3)/1000</f>
        <v>0</v>
      </c>
      <c r="K134" s="3">
        <f>SUMIFS(Mov!$J:$J,Mov!$E:$E,$A134,Mov!$K:$K,K$3)/1000</f>
        <v>1.5995200000000001</v>
      </c>
      <c r="L134" s="3">
        <f>SUMIFS(Mov!$J:$J,Mov!$E:$E,$A134,Mov!$K:$K,L$3)/1000</f>
        <v>0</v>
      </c>
      <c r="M134" s="3">
        <f>SUMIFS(Mov!$J:$J,Mov!$E:$E,$A134,Mov!$K:$K,M$3)/1000</f>
        <v>3.6015000000000001</v>
      </c>
      <c r="N134" s="3">
        <f>SUMIFS(Mov!$J:$J,Mov!$E:$E,$A134,Mov!$K:$K,N$3)/1000</f>
        <v>0</v>
      </c>
      <c r="O134" s="3">
        <f>SUMIFS(Mov!$J:$J,Mov!$E:$E,$A134,Mov!$K:$K,O$3)/1000</f>
        <v>0.12224</v>
      </c>
      <c r="P134" s="12">
        <f>SUM(D134:O134)</f>
        <v>7.8909299999999991</v>
      </c>
      <c r="Q134" s="12"/>
      <c r="R134" s="12">
        <f t="shared" ca="1" si="81"/>
        <v>7.8909299999999991</v>
      </c>
      <c r="S134" s="3">
        <v>0</v>
      </c>
    </row>
    <row r="135" spans="1:19">
      <c r="C135" s="1" t="s">
        <v>4619</v>
      </c>
      <c r="D135" s="13">
        <f t="shared" ref="D135:O135" si="83">SUM(D129:D134)</f>
        <v>0</v>
      </c>
      <c r="E135" s="13">
        <f t="shared" si="83"/>
        <v>1</v>
      </c>
      <c r="F135" s="13">
        <f t="shared" si="83"/>
        <v>0</v>
      </c>
      <c r="G135" s="13">
        <f t="shared" si="83"/>
        <v>425.56767000000002</v>
      </c>
      <c r="H135" s="13">
        <f t="shared" si="83"/>
        <v>0</v>
      </c>
      <c r="I135" s="13">
        <f t="shared" si="83"/>
        <v>0</v>
      </c>
      <c r="J135" s="13">
        <f t="shared" si="83"/>
        <v>0</v>
      </c>
      <c r="K135" s="13">
        <f t="shared" si="83"/>
        <v>1.5995200000000001</v>
      </c>
      <c r="L135" s="13">
        <f t="shared" si="83"/>
        <v>424</v>
      </c>
      <c r="M135" s="13">
        <f t="shared" si="83"/>
        <v>3.6015000000000001</v>
      </c>
      <c r="N135" s="13">
        <f t="shared" si="83"/>
        <v>0</v>
      </c>
      <c r="O135" s="13">
        <f t="shared" si="83"/>
        <v>878.12224000000003</v>
      </c>
      <c r="P135" s="13">
        <f t="shared" ref="P135:P137" si="84">SUM(D135:O135)</f>
        <v>1733.89093</v>
      </c>
      <c r="Q135" s="13"/>
      <c r="R135" s="13">
        <f t="shared" ca="1" si="81"/>
        <v>1733.89093</v>
      </c>
      <c r="S135" s="13">
        <f t="shared" ref="S135" si="85">SUM(S129:S134)</f>
        <v>0</v>
      </c>
    </row>
    <row r="136" spans="1:19">
      <c r="C136" s="1"/>
      <c r="D136" s="12"/>
      <c r="E136" s="12"/>
      <c r="F136" s="12"/>
      <c r="G136" s="12"/>
      <c r="H136" s="12"/>
      <c r="I136" s="12"/>
      <c r="J136" s="12"/>
      <c r="K136" s="12"/>
      <c r="L136" s="12"/>
      <c r="M136" s="12"/>
      <c r="N136" s="12"/>
      <c r="O136" s="12"/>
      <c r="P136" s="12"/>
      <c r="Q136" s="12"/>
      <c r="R136" s="12"/>
      <c r="S136" s="12"/>
    </row>
    <row r="137" spans="1:19">
      <c r="A137">
        <v>42100501</v>
      </c>
      <c r="B137" t="s">
        <v>1040</v>
      </c>
      <c r="C137" t="s">
        <v>4620</v>
      </c>
      <c r="D137" s="3">
        <f>-SUMIFS(Mov!$J:$J,Mov!$E:$E,$A137,Mov!$K:$K,D$3)/1000</f>
        <v>2.8981599999999998</v>
      </c>
      <c r="E137" s="3">
        <f>-SUMIFS(Mov!$J:$J,Mov!$E:$E,$A137,Mov!$K:$K,E$3)/1000</f>
        <v>2.3236399999999997</v>
      </c>
      <c r="F137" s="3">
        <f>-SUMIFS(Mov!$J:$J,Mov!$E:$E,$A137,Mov!$K:$K,F$3)/1000</f>
        <v>4.9962</v>
      </c>
      <c r="G137" s="3">
        <f>-SUMIFS(Mov!$J:$J,Mov!$E:$E,$A137,Mov!$K:$K,G$3)/1000</f>
        <v>0.97166999999999992</v>
      </c>
      <c r="H137" s="3">
        <f>-SUMIFS(Mov!$J:$J,Mov!$E:$E,$A137,Mov!$K:$K,H$3)/1000</f>
        <v>2.8642099999999999</v>
      </c>
      <c r="I137" s="3">
        <f>-SUMIFS(Mov!$J:$J,Mov!$E:$E,$A137,Mov!$K:$K,I$3)/1000</f>
        <v>2.4087800000000001</v>
      </c>
      <c r="J137" s="3">
        <f>-SUMIFS(Mov!$J:$J,Mov!$E:$E,$A137,Mov!$K:$K,J$3)/1000</f>
        <v>4.8998699999999999</v>
      </c>
      <c r="K137" s="3">
        <f>-SUMIFS(Mov!$J:$J,Mov!$E:$E,$A137,Mov!$K:$K,K$3)/1000</f>
        <v>10.000629999999999</v>
      </c>
      <c r="L137" s="3">
        <f>-SUMIFS(Mov!$J:$J,Mov!$E:$E,$A137,Mov!$K:$K,L$3)/1000</f>
        <v>24.295960000000001</v>
      </c>
      <c r="M137" s="3">
        <f>-SUMIFS(Mov!$J:$J,Mov!$E:$E,$A137,Mov!$K:$K,M$3)/1000</f>
        <v>18.671500000000002</v>
      </c>
      <c r="N137" s="3">
        <f>-SUMIFS(Mov!$J:$J,Mov!$E:$E,$A137,Mov!$K:$K,N$3)/1000</f>
        <v>3.14473</v>
      </c>
      <c r="O137" s="3">
        <f>-SUMIFS(Mov!$J:$J,Mov!$E:$E,$A137,Mov!$K:$K,O$3)/1000</f>
        <v>5.2129599999999998</v>
      </c>
      <c r="P137" s="12">
        <f t="shared" si="84"/>
        <v>82.688310000000001</v>
      </c>
      <c r="Q137" s="12"/>
      <c r="R137" s="12">
        <f ca="1">SUM(OFFSET(D137,0,0,1,R$3))</f>
        <v>82.688310000000001</v>
      </c>
      <c r="S137" s="3">
        <v>7.3732600000000001</v>
      </c>
    </row>
    <row r="138" spans="1:19" hidden="1">
      <c r="A138">
        <v>421040</v>
      </c>
      <c r="B138" t="s">
        <v>4621</v>
      </c>
      <c r="C138" t="s">
        <v>4622</v>
      </c>
      <c r="D138" s="3">
        <f>-SUMIFS(Mov!$J:$J,Mov!$E:$E,$A138,Mov!$K:$K,D$3)/1000</f>
        <v>1.9850000000000001</v>
      </c>
      <c r="E138" s="3">
        <f>-SUMIFS(Mov!$J:$J,Mov!$E:$E,$A138,Mov!$K:$K,E$3)/1000</f>
        <v>0</v>
      </c>
      <c r="F138" s="3">
        <f>-SUMIFS(Mov!$J:$J,Mov!$E:$E,$A138,Mov!$K:$K,F$3)/1000</f>
        <v>0</v>
      </c>
      <c r="G138" s="3">
        <f>-SUMIFS(Mov!$J:$J,Mov!$E:$E,$A138,Mov!$K:$K,G$3)/1000</f>
        <v>0</v>
      </c>
      <c r="H138" s="3">
        <f>-SUMIFS(Mov!$J:$J,Mov!$E:$E,$A138,Mov!$K:$K,H$3)/1000</f>
        <v>0</v>
      </c>
      <c r="I138" s="3">
        <f>-SUMIFS(Mov!$J:$J,Mov!$E:$E,$A138,Mov!$K:$K,I$3)/1000</f>
        <v>0</v>
      </c>
      <c r="J138" s="3">
        <f>-SUMIFS(Mov!$J:$J,Mov!$E:$E,$A138,Mov!$K:$K,J$3)/1000</f>
        <v>0</v>
      </c>
      <c r="K138" s="3">
        <f>-SUMIFS(Mov!$J:$J,Mov!$E:$E,$A138,Mov!$K:$K,K$3)/1000</f>
        <v>0</v>
      </c>
      <c r="L138" s="3">
        <f>-SUMIFS(Mov!$J:$J,Mov!$E:$E,$A138,Mov!$K:$K,L$3)/1000</f>
        <v>0</v>
      </c>
      <c r="M138" s="3">
        <f>-SUMIFS(Mov!$J:$J,Mov!$E:$E,$A138,Mov!$K:$K,M$3)/1000</f>
        <v>0</v>
      </c>
      <c r="N138" s="3">
        <f>-SUMIFS(Mov!$J:$J,Mov!$E:$E,$A138,Mov!$K:$K,N$3)/1000</f>
        <v>0</v>
      </c>
      <c r="O138" s="3">
        <f>-SUMIFS(Mov!$J:$J,Mov!$E:$E,$A138,Mov!$K:$K,O$3)/1000</f>
        <v>0</v>
      </c>
      <c r="P138" s="12">
        <f t="shared" ref="P138" si="86">SUM(D138:O138)</f>
        <v>1.9850000000000001</v>
      </c>
      <c r="Q138" s="12"/>
      <c r="R138" s="12">
        <f ca="1">SUM(OFFSET(D138,0,0,1,R$3))</f>
        <v>1.9850000000000001</v>
      </c>
      <c r="S138" s="3">
        <v>7.3732600000000001</v>
      </c>
    </row>
    <row r="139" spans="1:19">
      <c r="C139" s="1" t="s">
        <v>4624</v>
      </c>
      <c r="D139" s="13">
        <f>SUM(D137:D138)</f>
        <v>4.8831600000000002</v>
      </c>
      <c r="E139" s="13">
        <f t="shared" ref="E139:P139" si="87">SUM(E137:E138)</f>
        <v>2.3236399999999997</v>
      </c>
      <c r="F139" s="13">
        <f t="shared" si="87"/>
        <v>4.9962</v>
      </c>
      <c r="G139" s="13">
        <f t="shared" si="87"/>
        <v>0.97166999999999992</v>
      </c>
      <c r="H139" s="13">
        <f t="shared" si="87"/>
        <v>2.8642099999999999</v>
      </c>
      <c r="I139" s="13">
        <f t="shared" si="87"/>
        <v>2.4087800000000001</v>
      </c>
      <c r="J139" s="13">
        <f t="shared" si="87"/>
        <v>4.8998699999999999</v>
      </c>
      <c r="K139" s="13">
        <f t="shared" si="87"/>
        <v>10.000629999999999</v>
      </c>
      <c r="L139" s="13">
        <f t="shared" si="87"/>
        <v>24.295960000000001</v>
      </c>
      <c r="M139" s="13">
        <f t="shared" si="87"/>
        <v>18.671500000000002</v>
      </c>
      <c r="N139" s="13">
        <f t="shared" si="87"/>
        <v>3.14473</v>
      </c>
      <c r="O139" s="13">
        <f t="shared" si="87"/>
        <v>5.2129599999999998</v>
      </c>
      <c r="P139" s="13">
        <f t="shared" si="87"/>
        <v>84.673310000000001</v>
      </c>
      <c r="Q139" s="13"/>
      <c r="R139" s="13">
        <f t="shared" ref="R139:S139" ca="1" si="88">SUM(R137:R138)</f>
        <v>84.673310000000001</v>
      </c>
      <c r="S139" s="13">
        <f t="shared" si="88"/>
        <v>14.74652</v>
      </c>
    </row>
    <row r="140" spans="1:19">
      <c r="D140" s="3"/>
      <c r="E140" s="3"/>
      <c r="F140" s="3"/>
      <c r="G140" s="3"/>
      <c r="H140" s="3"/>
      <c r="I140" s="3"/>
      <c r="J140" s="3"/>
      <c r="K140" s="3"/>
      <c r="L140" s="3"/>
      <c r="M140" s="3"/>
      <c r="N140" s="3"/>
      <c r="O140" s="3"/>
      <c r="P140" s="12"/>
      <c r="Q140" s="12"/>
      <c r="R140" s="12"/>
      <c r="S140" s="3"/>
    </row>
    <row r="141" spans="1:19" outlineLevel="1">
      <c r="A141">
        <v>421020</v>
      </c>
      <c r="B141" t="s">
        <v>1046</v>
      </c>
      <c r="C141" t="s">
        <v>4625</v>
      </c>
      <c r="D141" s="3">
        <f>-SUMIFS(Mov!$J:$J,Mov!$E:$E,$A141,Mov!$K:$K,D$3)/1000</f>
        <v>0</v>
      </c>
      <c r="E141" s="3">
        <f>-SUMIFS(Mov!$J:$J,Mov!$E:$E,$A141,Mov!$K:$K,E$3)/1000</f>
        <v>0</v>
      </c>
      <c r="F141" s="3">
        <f>-SUMIFS(Mov!$J:$J,Mov!$E:$E,$A141,Mov!$K:$K,F$3)/1000</f>
        <v>0</v>
      </c>
      <c r="G141" s="3">
        <f>-SUMIFS(Mov!$J:$J,Mov!$E:$E,$A141,Mov!$K:$K,G$3)/1000</f>
        <v>0</v>
      </c>
      <c r="H141" s="3">
        <f>-SUMIFS(Mov!$J:$J,Mov!$E:$E,$A141,Mov!$K:$K,H$3)/1000</f>
        <v>0</v>
      </c>
      <c r="I141" s="3">
        <f>-SUMIFS(Mov!$J:$J,Mov!$E:$E,$A141,Mov!$K:$K,I$3)/1000</f>
        <v>0</v>
      </c>
      <c r="J141" s="3">
        <f>-SUMIFS(Mov!$J:$J,Mov!$E:$E,$A141,Mov!$K:$K,J$3)/1000</f>
        <v>0</v>
      </c>
      <c r="K141" s="3">
        <f>-SUMIFS(Mov!$J:$J,Mov!$E:$E,$A141,Mov!$K:$K,K$3)/1000</f>
        <v>0</v>
      </c>
      <c r="L141" s="3">
        <f>-SUMIFS(Mov!$J:$J,Mov!$E:$E,$A141,Mov!$K:$K,L$3)/1000</f>
        <v>0</v>
      </c>
      <c r="M141" s="3">
        <f>-SUMIFS(Mov!$J:$J,Mov!$E:$E,$A141,Mov!$K:$K,M$3)/1000</f>
        <v>0</v>
      </c>
      <c r="N141" s="3">
        <f>-SUMIFS(Mov!$J:$J,Mov!$E:$E,$A141,Mov!$K:$K,N$3)/1000</f>
        <v>0</v>
      </c>
      <c r="O141" s="3">
        <f>-SUMIFS(Mov!$J:$J,Mov!$E:$E,$A141,Mov!$K:$K,O$3)/1000</f>
        <v>0</v>
      </c>
      <c r="P141" s="12">
        <f t="shared" ref="P141:P142" si="89">SUM(D141:O141)</f>
        <v>0</v>
      </c>
      <c r="Q141" s="12"/>
      <c r="R141" s="12">
        <f ca="1">SUM(OFFSET(D141,0,0,1,R$3))</f>
        <v>0</v>
      </c>
      <c r="S141" s="3">
        <v>0</v>
      </c>
    </row>
    <row r="142" spans="1:19" outlineLevel="1">
      <c r="A142">
        <v>53052501</v>
      </c>
      <c r="B142" t="s">
        <v>1046</v>
      </c>
      <c r="C142" t="s">
        <v>4625</v>
      </c>
      <c r="D142" s="3">
        <f>-SUMIFS(Mov!$J:$J,Mov!$E:$E,$A142,Mov!$K:$K,D$3)/1000</f>
        <v>0</v>
      </c>
      <c r="E142" s="3">
        <f>-SUMIFS(Mov!$J:$J,Mov!$E:$E,$A142,Mov!$K:$K,E$3)/1000</f>
        <v>0</v>
      </c>
      <c r="F142" s="3">
        <f>-SUMIFS(Mov!$J:$J,Mov!$E:$E,$A142,Mov!$K:$K,F$3)/1000</f>
        <v>-2260.64048</v>
      </c>
      <c r="G142" s="3">
        <f>-SUMIFS(Mov!$J:$J,Mov!$E:$E,$A142,Mov!$K:$K,G$3)/1000</f>
        <v>-1101.51596</v>
      </c>
      <c r="H142" s="3">
        <f>-SUMIFS(Mov!$J:$J,Mov!$E:$E,$A142,Mov!$K:$K,H$3)/1000</f>
        <v>-4151.8046000000004</v>
      </c>
      <c r="I142" s="3">
        <f>-SUMIFS(Mov!$J:$J,Mov!$E:$E,$A142,Mov!$K:$K,I$3)/1000</f>
        <v>0</v>
      </c>
      <c r="J142" s="3">
        <f>-SUMIFS(Mov!$J:$J,Mov!$E:$E,$A142,Mov!$K:$K,J$3)/1000</f>
        <v>0</v>
      </c>
      <c r="K142" s="3">
        <f>-SUMIFS(Mov!$J:$J,Mov!$E:$E,$A142,Mov!$K:$K,K$3)/1000</f>
        <v>0</v>
      </c>
      <c r="L142" s="3">
        <f>-SUMIFS(Mov!$J:$J,Mov!$E:$E,$A142,Mov!$K:$K,L$3)/1000</f>
        <v>-6304.96</v>
      </c>
      <c r="M142" s="3">
        <f>-SUMIFS(Mov!$J:$J,Mov!$E:$E,$A142,Mov!$K:$K,M$3)/1000</f>
        <v>-5728.1189999999997</v>
      </c>
      <c r="N142" s="3">
        <f>-SUMIFS(Mov!$J:$J,Mov!$E:$E,$A142,Mov!$K:$K,N$3)/1000</f>
        <v>-2400.0756099999999</v>
      </c>
      <c r="O142" s="3">
        <f>-SUMIFS(Mov!$J:$J,Mov!$E:$E,$A142,Mov!$K:$K,O$3)/1000</f>
        <v>-1756.6780000000001</v>
      </c>
      <c r="P142" s="12">
        <f t="shared" si="89"/>
        <v>-23703.79365</v>
      </c>
      <c r="Q142" s="12"/>
      <c r="R142" s="12">
        <f ca="1">SUM(OFFSET(D142,0,0,1,R$3))</f>
        <v>-23703.79365</v>
      </c>
      <c r="S142" s="3">
        <v>0</v>
      </c>
    </row>
    <row r="143" spans="1:19">
      <c r="C143" s="1" t="s">
        <v>4625</v>
      </c>
      <c r="D143" s="13">
        <f>SUM(D141:D142)</f>
        <v>0</v>
      </c>
      <c r="E143" s="13">
        <f t="shared" ref="E143:P143" si="90">SUM(E141:E142)</f>
        <v>0</v>
      </c>
      <c r="F143" s="13">
        <f t="shared" si="90"/>
        <v>-2260.64048</v>
      </c>
      <c r="G143" s="13">
        <f t="shared" si="90"/>
        <v>-1101.51596</v>
      </c>
      <c r="H143" s="13">
        <f t="shared" si="90"/>
        <v>-4151.8046000000004</v>
      </c>
      <c r="I143" s="13">
        <f t="shared" si="90"/>
        <v>0</v>
      </c>
      <c r="J143" s="13">
        <f t="shared" si="90"/>
        <v>0</v>
      </c>
      <c r="K143" s="13">
        <f t="shared" si="90"/>
        <v>0</v>
      </c>
      <c r="L143" s="13">
        <f t="shared" si="90"/>
        <v>-6304.96</v>
      </c>
      <c r="M143" s="13">
        <f t="shared" si="90"/>
        <v>-5728.1189999999997</v>
      </c>
      <c r="N143" s="13">
        <f t="shared" si="90"/>
        <v>-2400.0756099999999</v>
      </c>
      <c r="O143" s="13">
        <f t="shared" si="90"/>
        <v>-1756.6780000000001</v>
      </c>
      <c r="P143" s="13">
        <f t="shared" si="90"/>
        <v>-23703.79365</v>
      </c>
      <c r="Q143" s="13"/>
      <c r="R143" s="13">
        <f ca="1">SUM(OFFSET(D143,0,0,1,R$3))</f>
        <v>-23703.79365</v>
      </c>
      <c r="S143" s="13">
        <f t="shared" ref="S143" si="91">SUM(S141:S142)</f>
        <v>0</v>
      </c>
    </row>
    <row r="144" spans="1:19" ht="5.0999999999999996" customHeight="1">
      <c r="D144" s="12"/>
      <c r="E144" s="12"/>
      <c r="F144" s="12"/>
      <c r="G144" s="12"/>
      <c r="H144" s="12"/>
      <c r="I144" s="12"/>
      <c r="J144" s="12"/>
      <c r="K144" s="12"/>
      <c r="L144" s="12"/>
      <c r="M144" s="12"/>
      <c r="N144" s="12"/>
      <c r="O144" s="12"/>
      <c r="P144" s="13"/>
      <c r="Q144" s="12"/>
      <c r="R144" s="13"/>
      <c r="S144" s="12"/>
    </row>
    <row r="145" spans="1:19">
      <c r="B145" s="1"/>
      <c r="C145" s="1" t="s">
        <v>4626</v>
      </c>
      <c r="D145" s="13">
        <f t="shared" ref="D145:P145" si="92">D12-D127-D135+D139+D143</f>
        <v>-5792.2482499999942</v>
      </c>
      <c r="E145" s="13">
        <f t="shared" si="92"/>
        <v>1573.8230700000036</v>
      </c>
      <c r="F145" s="13">
        <f t="shared" si="92"/>
        <v>-22080.141710000004</v>
      </c>
      <c r="G145" s="13">
        <f t="shared" si="92"/>
        <v>23498.830929999996</v>
      </c>
      <c r="H145" s="13">
        <f t="shared" si="92"/>
        <v>2085.7076499999994</v>
      </c>
      <c r="I145" s="13">
        <f t="shared" si="92"/>
        <v>16313.308050000001</v>
      </c>
      <c r="J145" s="13">
        <f t="shared" si="92"/>
        <v>16011.49216</v>
      </c>
      <c r="K145" s="13">
        <f t="shared" si="92"/>
        <v>5570.089700000005</v>
      </c>
      <c r="L145" s="13">
        <f t="shared" si="92"/>
        <v>6252.6822500000007</v>
      </c>
      <c r="M145" s="13">
        <f t="shared" si="92"/>
        <v>9200.0106900000028</v>
      </c>
      <c r="N145" s="13">
        <f t="shared" si="92"/>
        <v>81940.752896400023</v>
      </c>
      <c r="O145" s="13">
        <f t="shared" si="92"/>
        <v>-64071.642676400013</v>
      </c>
      <c r="P145" s="13">
        <f t="shared" si="92"/>
        <v>70502.664759999985</v>
      </c>
      <c r="Q145" s="12"/>
      <c r="R145" s="13">
        <f ca="1">R12-R127-R135+R139+R143</f>
        <v>70502.664759999985</v>
      </c>
      <c r="S145" s="13">
        <f>S12-S127-S135+S139+S143</f>
        <v>-41217.886879999998</v>
      </c>
    </row>
    <row r="146" spans="1:19">
      <c r="B146" s="1"/>
      <c r="C146" s="1"/>
      <c r="D146" s="13"/>
      <c r="E146" s="13"/>
      <c r="F146" s="13"/>
      <c r="G146" s="13"/>
      <c r="H146" s="13"/>
      <c r="I146" s="13"/>
      <c r="J146" s="13"/>
      <c r="K146" s="13"/>
      <c r="L146" s="13"/>
      <c r="M146" s="13"/>
      <c r="N146" s="13"/>
      <c r="O146" s="13"/>
      <c r="P146" s="13"/>
      <c r="Q146" s="12"/>
      <c r="R146" s="13"/>
      <c r="S146" s="13"/>
    </row>
    <row r="147" spans="1:19">
      <c r="A147">
        <v>540505</v>
      </c>
      <c r="B147" t="s">
        <v>1500</v>
      </c>
      <c r="C147" t="s">
        <v>4627</v>
      </c>
      <c r="D147" s="3">
        <f>SUMIFS(Mov!$J:$J,Mov!$E:$E,$A147,Mov!$K:$K,D$3)/1000</f>
        <v>0</v>
      </c>
      <c r="E147" s="3">
        <f>SUMIFS(Mov!$J:$J,Mov!$E:$E,$A147,Mov!$K:$K,E$3)/1000</f>
        <v>0</v>
      </c>
      <c r="F147" s="3">
        <f>SUMIFS(Mov!$J:$J,Mov!$E:$E,$A147,Mov!$K:$K,F$3)/1000</f>
        <v>0</v>
      </c>
      <c r="G147" s="3">
        <f>SUMIFS(Mov!$J:$J,Mov!$E:$E,$A147,Mov!$K:$K,G$3)/1000</f>
        <v>0</v>
      </c>
      <c r="H147" s="3">
        <f>SUMIFS(Mov!$J:$J,Mov!$E:$E,$A147,Mov!$K:$K,H$3)/1000</f>
        <v>0</v>
      </c>
      <c r="I147" s="3">
        <f>SUMIFS(Mov!$J:$J,Mov!$E:$E,$A147,Mov!$K:$K,I$3)/1000</f>
        <v>0</v>
      </c>
      <c r="J147" s="3">
        <f>SUMIFS(Mov!$J:$J,Mov!$E:$E,$A147,Mov!$K:$K,J$3)/1000</f>
        <v>0</v>
      </c>
      <c r="K147" s="3">
        <f>SUMIFS(Mov!$J:$J,Mov!$E:$E,$A147,Mov!$K:$K,K$3)/1000</f>
        <v>0</v>
      </c>
      <c r="L147" s="3">
        <f>SUMIFS(Mov!$J:$J,Mov!$E:$E,$A147,Mov!$K:$K,L$3)/1000</f>
        <v>0</v>
      </c>
      <c r="M147" s="3">
        <f>SUMIFS(Mov!$J:$J,Mov!$E:$E,$A147,Mov!$K:$K,M$3)/1000</f>
        <v>0</v>
      </c>
      <c r="N147" s="3">
        <f>SUMIFS(Mov!$J:$J,Mov!$E:$E,$A147,Mov!$K:$K,N$3)/1000</f>
        <v>0</v>
      </c>
      <c r="O147" s="3">
        <f>SUMIFS(Mov!$J:$J,Mov!$E:$E,$A147,Mov!$K:$K,O$3)/1000</f>
        <v>0</v>
      </c>
      <c r="P147" s="12">
        <f t="shared" ref="P147" si="93">SUM(D147:O147)</f>
        <v>0</v>
      </c>
      <c r="Q147" s="12"/>
      <c r="R147" s="12">
        <f ca="1">SUM(OFFSET(D147,0,0,1,R$3))</f>
        <v>0</v>
      </c>
      <c r="S147" s="3">
        <f>SUMIFS(Mov!$J:$J,Mov!$E:$E,$A147,Mov!$K:$K,S$3)/1000</f>
        <v>0</v>
      </c>
    </row>
    <row r="148" spans="1:19">
      <c r="D148" s="3"/>
      <c r="E148" s="3"/>
      <c r="F148" s="3"/>
      <c r="G148" s="3"/>
      <c r="H148" s="3"/>
      <c r="I148" s="3"/>
      <c r="J148" s="3"/>
      <c r="K148" s="3"/>
      <c r="L148" s="3"/>
      <c r="M148" s="3"/>
      <c r="N148" s="3"/>
      <c r="O148" s="3"/>
      <c r="P148" s="12"/>
      <c r="Q148" s="12"/>
      <c r="R148" s="12"/>
      <c r="S148" s="3"/>
    </row>
    <row r="149" spans="1:19" ht="15.75" thickBot="1">
      <c r="B149" t="s">
        <v>4628</v>
      </c>
      <c r="C149" s="1" t="s">
        <v>4628</v>
      </c>
      <c r="D149" s="13">
        <f>D145+D147</f>
        <v>-5792.2482499999942</v>
      </c>
      <c r="E149" s="13">
        <f t="shared" ref="E149:P149" si="94">E145+E147</f>
        <v>1573.8230700000036</v>
      </c>
      <c r="F149" s="13">
        <f t="shared" si="94"/>
        <v>-22080.141710000004</v>
      </c>
      <c r="G149" s="13">
        <f t="shared" si="94"/>
        <v>23498.830929999996</v>
      </c>
      <c r="H149" s="13">
        <f t="shared" si="94"/>
        <v>2085.7076499999994</v>
      </c>
      <c r="I149" s="13">
        <f t="shared" si="94"/>
        <v>16313.308050000001</v>
      </c>
      <c r="J149" s="13">
        <f t="shared" si="94"/>
        <v>16011.49216</v>
      </c>
      <c r="K149" s="13">
        <f t="shared" si="94"/>
        <v>5570.089700000005</v>
      </c>
      <c r="L149" s="13">
        <f>L145+L147</f>
        <v>6252.6822500000007</v>
      </c>
      <c r="M149" s="13">
        <f t="shared" si="94"/>
        <v>9200.0106900000028</v>
      </c>
      <c r="N149" s="13">
        <f t="shared" si="94"/>
        <v>81940.752896400023</v>
      </c>
      <c r="O149" s="13">
        <f>O145+O147</f>
        <v>-64071.642676400013</v>
      </c>
      <c r="P149" s="13">
        <f t="shared" si="94"/>
        <v>70502.664759999985</v>
      </c>
      <c r="Q149" s="12"/>
      <c r="R149" s="14">
        <f ca="1">SUM(R145:R147)</f>
        <v>70502.664759999985</v>
      </c>
      <c r="S149" s="13">
        <f>S145+S147</f>
        <v>-41217.886879999998</v>
      </c>
    </row>
    <row r="150" spans="1:19">
      <c r="D150" s="12"/>
      <c r="E150" s="12"/>
      <c r="F150" s="12"/>
      <c r="G150" s="3"/>
      <c r="H150" s="12"/>
      <c r="I150" s="12"/>
      <c r="J150" s="12"/>
      <c r="K150" s="12"/>
      <c r="L150" s="12"/>
      <c r="M150" s="12"/>
      <c r="N150" s="12"/>
      <c r="O150" s="12"/>
      <c r="P150" s="12"/>
      <c r="Q150" s="12"/>
      <c r="R150" s="15"/>
      <c r="S150" s="12"/>
    </row>
    <row r="151" spans="1:19">
      <c r="D151" s="12"/>
      <c r="E151" s="12"/>
      <c r="F151" s="12"/>
      <c r="G151" s="3"/>
      <c r="H151" s="12"/>
      <c r="I151" s="12"/>
      <c r="J151" s="12"/>
      <c r="K151" s="12"/>
      <c r="L151" s="12"/>
      <c r="M151" s="12"/>
      <c r="N151" s="12"/>
      <c r="O151" s="12"/>
      <c r="P151" s="12">
        <f>Valida!I277/1000</f>
        <v>49763.400080000043</v>
      </c>
      <c r="Q151" s="12"/>
      <c r="R151" s="3"/>
      <c r="S151" s="12"/>
    </row>
    <row r="152" spans="1:19">
      <c r="D152" s="12"/>
      <c r="E152" s="16"/>
      <c r="F152" s="16"/>
      <c r="G152" s="3"/>
      <c r="H152" s="12"/>
      <c r="I152" s="16"/>
      <c r="J152" s="16"/>
      <c r="K152" s="16"/>
      <c r="L152" s="16"/>
      <c r="M152" s="12"/>
      <c r="N152" s="12"/>
      <c r="O152" s="12"/>
      <c r="P152" s="12">
        <f>+P149+P151</f>
        <v>120266.06484000004</v>
      </c>
      <c r="Q152" s="12"/>
      <c r="R152" s="3"/>
      <c r="S152" s="12"/>
    </row>
    <row r="153" spans="1:19">
      <c r="G153" s="3"/>
      <c r="H153" s="12"/>
      <c r="P153" s="12"/>
      <c r="Q153" s="12"/>
    </row>
    <row r="154" spans="1:19">
      <c r="G154" s="3"/>
      <c r="H154" s="12"/>
      <c r="P154" s="12"/>
      <c r="Q154" s="12"/>
    </row>
    <row r="155" spans="1:19">
      <c r="G155" s="3"/>
      <c r="H155" s="12"/>
      <c r="P155" s="12"/>
      <c r="Q155" s="12"/>
    </row>
    <row r="156" spans="1:19">
      <c r="G156" s="3"/>
      <c r="H156" s="12"/>
      <c r="P156" s="12"/>
      <c r="Q156" s="12"/>
    </row>
    <row r="157" spans="1:19">
      <c r="G157" s="3"/>
      <c r="H157" s="12"/>
      <c r="P157" s="12"/>
      <c r="Q157" s="12"/>
    </row>
    <row r="158" spans="1:19">
      <c r="G158" s="3"/>
      <c r="H158" s="12"/>
      <c r="P158" s="12"/>
      <c r="Q158" s="12"/>
    </row>
    <row r="159" spans="1:19">
      <c r="G159" s="3"/>
      <c r="H159" s="12"/>
      <c r="P159" s="12"/>
      <c r="Q159" s="12"/>
    </row>
    <row r="160" spans="1:19">
      <c r="G160" s="3"/>
      <c r="H160" s="12"/>
      <c r="P160" s="12"/>
      <c r="Q160" s="12"/>
    </row>
    <row r="161" spans="7:17">
      <c r="G161" s="3"/>
      <c r="H161" s="12"/>
      <c r="P161" s="12"/>
      <c r="Q161" s="12"/>
    </row>
    <row r="162" spans="7:17">
      <c r="G162" s="3"/>
      <c r="H162" s="12"/>
      <c r="P162" s="12"/>
      <c r="Q162" s="12"/>
    </row>
    <row r="163" spans="7:17">
      <c r="G163" s="3"/>
      <c r="H163" s="12"/>
      <c r="O163" s="12"/>
      <c r="P163" s="12"/>
      <c r="Q163" s="12"/>
    </row>
    <row r="164" spans="7:17">
      <c r="G164" s="3"/>
      <c r="H164" s="12"/>
      <c r="P164" s="12"/>
      <c r="Q164" s="12"/>
    </row>
    <row r="165" spans="7:17">
      <c r="G165" s="3"/>
      <c r="H165" s="12"/>
      <c r="P165" s="12"/>
      <c r="Q165" s="12"/>
    </row>
    <row r="166" spans="7:17">
      <c r="G166" s="3"/>
      <c r="H166" s="12"/>
      <c r="P166" s="12"/>
      <c r="Q166" s="12"/>
    </row>
    <row r="167" spans="7:17">
      <c r="G167" s="3"/>
      <c r="H167" s="12"/>
      <c r="P167" s="12"/>
      <c r="Q167" s="12"/>
    </row>
    <row r="168" spans="7:17">
      <c r="G168" s="3"/>
      <c r="H168" s="12"/>
      <c r="P168" s="12"/>
      <c r="Q168" s="12"/>
    </row>
    <row r="169" spans="7:17">
      <c r="G169" s="3"/>
      <c r="H169" s="12"/>
      <c r="P169" s="12"/>
      <c r="Q169" s="12"/>
    </row>
    <row r="170" spans="7:17">
      <c r="G170" s="3"/>
      <c r="H170" s="12"/>
      <c r="P170" s="12"/>
      <c r="Q170" s="12"/>
    </row>
    <row r="171" spans="7:17">
      <c r="G171" s="3"/>
      <c r="H171" s="12"/>
      <c r="P171" s="12"/>
      <c r="Q171" s="12"/>
    </row>
    <row r="172" spans="7:17">
      <c r="G172" s="3"/>
      <c r="H172" s="12"/>
      <c r="Q172" s="12"/>
    </row>
    <row r="173" spans="7:17">
      <c r="G173" s="3"/>
      <c r="H173" s="12"/>
      <c r="Q173" s="12"/>
    </row>
    <row r="174" spans="7:17">
      <c r="G174" s="3"/>
      <c r="H174" s="12"/>
      <c r="Q174" s="12"/>
    </row>
    <row r="175" spans="7:17">
      <c r="G175" s="3"/>
      <c r="H175" s="12"/>
      <c r="Q175" s="12"/>
    </row>
    <row r="176" spans="7:17">
      <c r="G176" s="3"/>
      <c r="H176" s="12"/>
      <c r="Q176" s="12"/>
    </row>
    <row r="177" spans="7:17">
      <c r="G177" s="3"/>
      <c r="H177" s="12"/>
      <c r="Q177" s="12"/>
    </row>
    <row r="178" spans="7:17">
      <c r="G178" s="3"/>
      <c r="H178" s="12"/>
      <c r="Q178" s="12"/>
    </row>
    <row r="179" spans="7:17">
      <c r="G179" s="3"/>
      <c r="H179" s="12"/>
      <c r="Q179" s="12"/>
    </row>
    <row r="180" spans="7:17">
      <c r="G180" s="3"/>
      <c r="H180" s="12"/>
      <c r="Q180" s="12"/>
    </row>
    <row r="181" spans="7:17">
      <c r="G181" s="3"/>
      <c r="H181" s="12"/>
      <c r="Q181" s="12"/>
    </row>
    <row r="182" spans="7:17">
      <c r="G182" s="3"/>
      <c r="H182" s="12"/>
      <c r="Q182" s="12"/>
    </row>
    <row r="183" spans="7:17">
      <c r="G183" s="3"/>
      <c r="H183" s="12"/>
      <c r="Q183" s="12"/>
    </row>
    <row r="184" spans="7:17">
      <c r="G184" s="3"/>
      <c r="H184" s="12"/>
      <c r="Q184" s="12"/>
    </row>
    <row r="185" spans="7:17">
      <c r="G185" s="3"/>
      <c r="H185" s="12"/>
      <c r="Q185" s="12"/>
    </row>
    <row r="186" spans="7:17">
      <c r="G186" s="3"/>
      <c r="H186" s="12"/>
      <c r="Q186" s="12"/>
    </row>
    <row r="187" spans="7:17">
      <c r="G187" s="3"/>
      <c r="H187" s="12"/>
      <c r="Q187" s="12"/>
    </row>
    <row r="188" spans="7:17">
      <c r="G188" s="3"/>
      <c r="H188" s="12"/>
      <c r="Q188" s="12"/>
    </row>
    <row r="189" spans="7:17">
      <c r="G189" s="3"/>
      <c r="H189" s="12"/>
      <c r="Q189" s="12"/>
    </row>
    <row r="190" spans="7:17">
      <c r="G190" s="3"/>
      <c r="H190" s="12"/>
      <c r="Q190" s="12"/>
    </row>
    <row r="191" spans="7:17">
      <c r="G191" s="3"/>
      <c r="H191" s="12"/>
      <c r="Q191" s="12"/>
    </row>
    <row r="192" spans="7:17">
      <c r="Q192" s="12"/>
    </row>
    <row r="193" spans="17:17">
      <c r="Q193" s="12"/>
    </row>
  </sheetData>
  <autoFilter ref="A5:P152" xr:uid="{D257B93F-3DEC-45E4-9AE5-4991EF11EE19}"/>
  <printOptions horizontalCentered="1"/>
  <pageMargins left="0.39370078740157483" right="0.39370078740157483" top="0.39370078740157483" bottom="0.59055118110236227" header="0.39370078740157483" footer="0.39370078740157483"/>
  <pageSetup scale="65" orientation="portrait" r:id="rId1"/>
  <headerFooter>
    <oddFooter>&amp;R&amp;P of &amp;N</oddFooter>
  </headerFooter>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7B204-ECA4-485F-BB14-A03CCE35763B}">
  <dimension ref="A1:Y233"/>
  <sheetViews>
    <sheetView workbookViewId="0">
      <pane ySplit="1" topLeftCell="A2" activePane="bottomLeft" state="frozen"/>
      <selection pane="bottomLeft" activeCell="I2" sqref="I2"/>
    </sheetView>
  </sheetViews>
  <sheetFormatPr baseColWidth="10" defaultColWidth="8.85546875" defaultRowHeight="15"/>
  <cols>
    <col min="1" max="1" width="11" style="171" customWidth="1"/>
    <col min="2" max="2" width="13.85546875" style="171" bestFit="1" customWidth="1"/>
    <col min="3" max="3" width="3.85546875" style="171" bestFit="1" customWidth="1"/>
    <col min="4" max="5" width="7.7109375" style="171" bestFit="1" customWidth="1"/>
    <col min="6" max="6" width="40.7109375" style="171" customWidth="1"/>
    <col min="7" max="7" width="2" style="171" customWidth="1"/>
    <col min="8" max="8" width="6" style="171" bestFit="1" customWidth="1"/>
    <col min="9" max="9" width="14.7109375" style="171" bestFit="1" customWidth="1"/>
    <col min="10" max="10" width="6.7109375" style="171" bestFit="1" customWidth="1"/>
    <col min="11" max="12" width="12.7109375" style="171" bestFit="1" customWidth="1"/>
    <col min="13" max="13" width="12" style="171" customWidth="1"/>
    <col min="14" max="14" width="9.140625" style="171" bestFit="1" customWidth="1"/>
    <col min="15" max="15" width="12.7109375" style="171" bestFit="1" customWidth="1"/>
    <col min="16" max="16" width="12" style="171" customWidth="1"/>
    <col min="17" max="17" width="3" style="171" customWidth="1"/>
    <col min="18" max="18" width="37.140625" style="171" bestFit="1" customWidth="1"/>
    <col min="19" max="19" width="10.7109375" style="171" customWidth="1"/>
    <col min="20" max="20" width="10" style="171" bestFit="1" customWidth="1"/>
    <col min="21" max="21" width="14.42578125" style="171" bestFit="1" customWidth="1"/>
    <col min="22" max="22" width="15.7109375" style="171" bestFit="1" customWidth="1"/>
    <col min="23" max="23" width="9.28515625" style="171" bestFit="1" customWidth="1"/>
    <col min="24" max="24" width="10.140625" style="171" bestFit="1" customWidth="1"/>
    <col min="25" max="25" width="10.7109375" style="171" customWidth="1"/>
    <col min="26" max="16384" width="8.85546875" style="171"/>
  </cols>
  <sheetData>
    <row r="1" spans="1:25" ht="33.75">
      <c r="A1" s="168" t="s">
        <v>1761</v>
      </c>
      <c r="B1" s="168" t="s">
        <v>1762</v>
      </c>
      <c r="C1" s="169" t="s">
        <v>1763</v>
      </c>
      <c r="D1" s="168" t="s">
        <v>1764</v>
      </c>
      <c r="E1" s="170" t="s">
        <v>0</v>
      </c>
      <c r="F1" s="168" t="s">
        <v>4938</v>
      </c>
      <c r="G1" s="168" t="s">
        <v>1510</v>
      </c>
      <c r="H1" s="168" t="s">
        <v>4939</v>
      </c>
      <c r="I1" s="176" t="s">
        <v>1768</v>
      </c>
      <c r="J1" s="176" t="s">
        <v>1769</v>
      </c>
      <c r="K1" s="220" t="s">
        <v>1512</v>
      </c>
      <c r="L1" s="220" t="s">
        <v>1513</v>
      </c>
      <c r="M1" s="222" t="s">
        <v>1770</v>
      </c>
      <c r="N1" s="168" t="s">
        <v>1771</v>
      </c>
      <c r="O1" s="169" t="s">
        <v>1772</v>
      </c>
      <c r="P1" s="169" t="s">
        <v>1773</v>
      </c>
      <c r="Q1" s="168" t="s">
        <v>1774</v>
      </c>
      <c r="R1" s="168" t="s">
        <v>1775</v>
      </c>
      <c r="S1" s="168" t="s">
        <v>1776</v>
      </c>
      <c r="T1" s="191" t="s">
        <v>1777</v>
      </c>
      <c r="U1" s="179" t="s">
        <v>1778</v>
      </c>
      <c r="V1" s="168" t="s">
        <v>1779</v>
      </c>
      <c r="W1" s="168" t="s">
        <v>1780</v>
      </c>
      <c r="X1" s="168" t="s">
        <v>1781</v>
      </c>
      <c r="Y1" s="168" t="s">
        <v>1782</v>
      </c>
    </row>
    <row r="2" spans="1:25" customFormat="1">
      <c r="A2" s="185" t="s">
        <v>4940</v>
      </c>
      <c r="B2" s="185" t="s">
        <v>4941</v>
      </c>
      <c r="C2" s="185" t="s">
        <v>1792</v>
      </c>
      <c r="D2" s="185" t="s">
        <v>2071</v>
      </c>
      <c r="E2" s="185">
        <v>24081001</v>
      </c>
      <c r="F2" s="185" t="s">
        <v>4942</v>
      </c>
      <c r="G2" s="185" t="s">
        <v>1515</v>
      </c>
      <c r="I2" s="221">
        <f t="shared" ref="I2:I7" si="0">K2-L2</f>
        <v>129200</v>
      </c>
      <c r="J2" s="221">
        <f t="shared" ref="J2:J7" si="1">MONTH(A2)</f>
        <v>1</v>
      </c>
      <c r="K2" s="234">
        <v>129200</v>
      </c>
      <c r="L2" s="234">
        <v>0</v>
      </c>
      <c r="M2" s="234">
        <v>900834719</v>
      </c>
      <c r="N2" s="185" t="s">
        <v>4943</v>
      </c>
      <c r="O2" s="187">
        <v>44587.742430555598</v>
      </c>
      <c r="P2" s="186">
        <v>-2147482731</v>
      </c>
      <c r="Q2" t="s">
        <v>1519</v>
      </c>
      <c r="R2" s="185" t="s">
        <v>1624</v>
      </c>
      <c r="U2" s="190" t="str">
        <f>VLOOKUP(E2,Valida!$A$2:$K$271,4,FALSE)</f>
        <v>Trade and other payables</v>
      </c>
      <c r="V2" s="185" t="s">
        <v>4944</v>
      </c>
      <c r="W2" s="185" t="s">
        <v>4945</v>
      </c>
      <c r="X2" s="185" t="s">
        <v>1789</v>
      </c>
    </row>
    <row r="3" spans="1:25" customFormat="1">
      <c r="A3" s="185" t="s">
        <v>4946</v>
      </c>
      <c r="B3" s="185" t="s">
        <v>4947</v>
      </c>
      <c r="C3" s="185" t="s">
        <v>1792</v>
      </c>
      <c r="D3" s="185" t="s">
        <v>2180</v>
      </c>
      <c r="E3" s="185">
        <v>24081001</v>
      </c>
      <c r="F3" s="185" t="s">
        <v>4948</v>
      </c>
      <c r="G3" s="185" t="s">
        <v>1515</v>
      </c>
      <c r="I3" s="221">
        <f t="shared" si="0"/>
        <v>798</v>
      </c>
      <c r="J3" s="221">
        <f t="shared" si="1"/>
        <v>1</v>
      </c>
      <c r="K3" s="234">
        <v>798</v>
      </c>
      <c r="L3" s="234">
        <v>0</v>
      </c>
      <c r="M3" s="234">
        <v>900480569</v>
      </c>
      <c r="N3" s="185" t="s">
        <v>4949</v>
      </c>
      <c r="O3" s="187">
        <v>44588.425370370402</v>
      </c>
      <c r="P3" s="186">
        <v>-2147482716</v>
      </c>
      <c r="Q3" s="185" t="s">
        <v>6</v>
      </c>
      <c r="R3" s="185" t="s">
        <v>4950</v>
      </c>
      <c r="U3" s="190" t="str">
        <f>VLOOKUP(E3,Valida!$A$2:$K$271,4,FALSE)</f>
        <v>Trade and other payables</v>
      </c>
      <c r="V3" s="185" t="s">
        <v>4951</v>
      </c>
      <c r="W3" s="185"/>
      <c r="X3" s="185" t="s">
        <v>1789</v>
      </c>
    </row>
    <row r="4" spans="1:25" customFormat="1">
      <c r="A4" s="185" t="s">
        <v>4940</v>
      </c>
      <c r="B4" s="185" t="s">
        <v>4952</v>
      </c>
      <c r="C4" s="185" t="s">
        <v>1792</v>
      </c>
      <c r="D4" s="185" t="s">
        <v>2267</v>
      </c>
      <c r="E4" s="185">
        <v>24081002</v>
      </c>
      <c r="F4" s="185" t="s">
        <v>4953</v>
      </c>
      <c r="G4" s="185" t="s">
        <v>1515</v>
      </c>
      <c r="I4" s="221">
        <f t="shared" si="0"/>
        <v>438900</v>
      </c>
      <c r="J4" s="221">
        <f t="shared" si="1"/>
        <v>1</v>
      </c>
      <c r="K4" s="234">
        <v>438900</v>
      </c>
      <c r="L4" s="234">
        <v>0</v>
      </c>
      <c r="M4" s="234">
        <v>800153993</v>
      </c>
      <c r="N4" s="185" t="s">
        <v>4952</v>
      </c>
      <c r="O4" s="187">
        <v>44588.457893518498</v>
      </c>
      <c r="P4" s="186">
        <v>-2147482693</v>
      </c>
      <c r="Q4" s="185" t="s">
        <v>1814</v>
      </c>
      <c r="R4" s="185" t="s">
        <v>1556</v>
      </c>
      <c r="U4" s="190" t="str">
        <f>VLOOKUP(E4,Valida!$A$2:$K$271,4,FALSE)</f>
        <v>Trade and other payables</v>
      </c>
      <c r="V4" s="185" t="s">
        <v>1815</v>
      </c>
      <c r="X4" s="185" t="s">
        <v>1789</v>
      </c>
    </row>
    <row r="5" spans="1:25" customFormat="1">
      <c r="A5" s="185" t="s">
        <v>4946</v>
      </c>
      <c r="B5" s="185" t="s">
        <v>4954</v>
      </c>
      <c r="C5" s="185" t="s">
        <v>1792</v>
      </c>
      <c r="D5" s="185" t="s">
        <v>2041</v>
      </c>
      <c r="E5" s="185">
        <v>24081001</v>
      </c>
      <c r="F5" s="185" t="s">
        <v>4955</v>
      </c>
      <c r="G5" s="185" t="s">
        <v>1515</v>
      </c>
      <c r="I5" s="221">
        <f t="shared" si="0"/>
        <v>4311</v>
      </c>
      <c r="J5" s="221">
        <f t="shared" si="1"/>
        <v>1</v>
      </c>
      <c r="K5" s="234">
        <v>4311</v>
      </c>
      <c r="L5" s="234">
        <v>0</v>
      </c>
      <c r="M5" s="234">
        <v>900803591</v>
      </c>
      <c r="N5" s="185" t="s">
        <v>4956</v>
      </c>
      <c r="O5" s="187">
        <v>44588.6343865741</v>
      </c>
      <c r="P5" s="186">
        <v>-2147482688</v>
      </c>
      <c r="Q5" s="185" t="s">
        <v>433</v>
      </c>
      <c r="R5" s="185" t="s">
        <v>4957</v>
      </c>
      <c r="U5" s="190" t="str">
        <f>VLOOKUP(E5,Valida!$A$2:$K$271,4,FALSE)</f>
        <v>Trade and other payables</v>
      </c>
      <c r="V5" s="185" t="s">
        <v>4958</v>
      </c>
      <c r="X5" s="185" t="s">
        <v>1789</v>
      </c>
    </row>
    <row r="6" spans="1:25" customFormat="1">
      <c r="A6" s="185" t="s">
        <v>4946</v>
      </c>
      <c r="B6" s="185" t="s">
        <v>4954</v>
      </c>
      <c r="C6" s="185" t="s">
        <v>1792</v>
      </c>
      <c r="D6" s="185" t="s">
        <v>2041</v>
      </c>
      <c r="E6" s="185">
        <v>24081001</v>
      </c>
      <c r="F6" s="185" t="s">
        <v>4959</v>
      </c>
      <c r="G6" s="185" t="s">
        <v>1515</v>
      </c>
      <c r="I6" s="221">
        <f t="shared" si="0"/>
        <v>1836</v>
      </c>
      <c r="J6" s="221">
        <f t="shared" si="1"/>
        <v>1</v>
      </c>
      <c r="K6" s="234">
        <v>1836</v>
      </c>
      <c r="L6" s="234">
        <v>0</v>
      </c>
      <c r="M6" s="234">
        <v>900803591</v>
      </c>
      <c r="N6" s="185" t="s">
        <v>4956</v>
      </c>
      <c r="O6" s="187">
        <v>44588.6343865741</v>
      </c>
      <c r="P6" s="186">
        <v>-2147482686</v>
      </c>
      <c r="Q6" s="185" t="s">
        <v>433</v>
      </c>
      <c r="R6" s="185" t="s">
        <v>4957</v>
      </c>
      <c r="U6" s="190" t="str">
        <f>VLOOKUP(E6,Valida!$A$2:$K$271,4,FALSE)</f>
        <v>Trade and other payables</v>
      </c>
      <c r="V6" s="185" t="s">
        <v>4958</v>
      </c>
      <c r="X6" s="185" t="s">
        <v>1789</v>
      </c>
    </row>
    <row r="7" spans="1:25" customFormat="1">
      <c r="A7" s="185" t="s">
        <v>4946</v>
      </c>
      <c r="B7" s="185" t="s">
        <v>4954</v>
      </c>
      <c r="C7" s="185" t="s">
        <v>1792</v>
      </c>
      <c r="D7" s="185" t="s">
        <v>2041</v>
      </c>
      <c r="E7" s="185">
        <v>24081005</v>
      </c>
      <c r="F7" s="185" t="s">
        <v>4960</v>
      </c>
      <c r="G7" s="185" t="s">
        <v>1515</v>
      </c>
      <c r="I7" s="221">
        <f t="shared" si="0"/>
        <v>1929</v>
      </c>
      <c r="J7" s="221">
        <f t="shared" si="1"/>
        <v>1</v>
      </c>
      <c r="K7" s="234">
        <v>1929</v>
      </c>
      <c r="L7" s="234">
        <v>0</v>
      </c>
      <c r="M7" s="234">
        <v>900803591</v>
      </c>
      <c r="N7" s="185" t="s">
        <v>4956</v>
      </c>
      <c r="O7" s="187">
        <v>44588.634398148097</v>
      </c>
      <c r="P7" s="186">
        <v>-2147482684</v>
      </c>
      <c r="Q7" s="185" t="s">
        <v>433</v>
      </c>
      <c r="R7" s="185" t="s">
        <v>4957</v>
      </c>
      <c r="U7" s="190" t="str">
        <f>VLOOKUP(E7,Valida!$A$2:$K$271,4,FALSE)</f>
        <v>Trade and other payables</v>
      </c>
      <c r="V7" s="185" t="s">
        <v>4958</v>
      </c>
      <c r="X7" s="185" t="s">
        <v>1789</v>
      </c>
    </row>
    <row r="8" spans="1:25" customFormat="1">
      <c r="A8" s="185" t="s">
        <v>4961</v>
      </c>
      <c r="B8" s="185" t="s">
        <v>4962</v>
      </c>
      <c r="C8" s="185" t="s">
        <v>1792</v>
      </c>
      <c r="D8" s="185" t="s">
        <v>2382</v>
      </c>
      <c r="E8" s="185">
        <v>24081001</v>
      </c>
      <c r="F8" s="185" t="s">
        <v>4963</v>
      </c>
      <c r="G8" s="185" t="s">
        <v>1515</v>
      </c>
      <c r="I8" s="221">
        <f t="shared" ref="I8:I11" si="2">K8-L8</f>
        <v>8622</v>
      </c>
      <c r="J8" s="221">
        <f t="shared" ref="J8:J11" si="3">MONTH(A8)</f>
        <v>1</v>
      </c>
      <c r="K8" s="234">
        <v>8622</v>
      </c>
      <c r="L8" s="234">
        <v>0</v>
      </c>
      <c r="M8" s="234">
        <v>900803591</v>
      </c>
      <c r="N8" s="185" t="s">
        <v>4964</v>
      </c>
      <c r="O8" s="187">
        <v>44588.639259259297</v>
      </c>
      <c r="P8" s="186">
        <v>-2147482680</v>
      </c>
      <c r="Q8" s="185" t="s">
        <v>433</v>
      </c>
      <c r="R8" s="185" t="s">
        <v>4957</v>
      </c>
      <c r="U8" s="190" t="str">
        <f>VLOOKUP(E8,Valida!$A$2:$K$271,4,FALSE)</f>
        <v>Trade and other payables</v>
      </c>
      <c r="V8" s="185" t="s">
        <v>4958</v>
      </c>
      <c r="X8" s="185" t="s">
        <v>1789</v>
      </c>
    </row>
    <row r="9" spans="1:25" customFormat="1">
      <c r="A9" s="185" t="s">
        <v>4961</v>
      </c>
      <c r="B9" s="185" t="s">
        <v>4962</v>
      </c>
      <c r="C9" s="185" t="s">
        <v>1792</v>
      </c>
      <c r="D9" s="185" t="s">
        <v>2382</v>
      </c>
      <c r="E9" s="185">
        <v>24081005</v>
      </c>
      <c r="F9" s="185" t="s">
        <v>4965</v>
      </c>
      <c r="G9" s="185" t="s">
        <v>1515</v>
      </c>
      <c r="I9" s="221">
        <f t="shared" si="2"/>
        <v>2105</v>
      </c>
      <c r="J9" s="221">
        <f t="shared" si="3"/>
        <v>1</v>
      </c>
      <c r="K9" s="234">
        <v>2105</v>
      </c>
      <c r="L9" s="234">
        <v>0</v>
      </c>
      <c r="M9" s="234">
        <v>900803591</v>
      </c>
      <c r="N9" s="185" t="s">
        <v>4964</v>
      </c>
      <c r="O9" s="187">
        <v>44588.639259259297</v>
      </c>
      <c r="P9" s="186">
        <v>-2147482679</v>
      </c>
      <c r="Q9" s="185" t="s">
        <v>433</v>
      </c>
      <c r="R9" s="185" t="s">
        <v>4957</v>
      </c>
      <c r="U9" s="190" t="str">
        <f>VLOOKUP(E9,Valida!$A$2:$K$271,4,FALSE)</f>
        <v>Trade and other payables</v>
      </c>
      <c r="V9" t="s">
        <v>4958</v>
      </c>
      <c r="X9" s="185" t="s">
        <v>1789</v>
      </c>
    </row>
    <row r="10" spans="1:25" customFormat="1">
      <c r="A10" s="185" t="s">
        <v>4961</v>
      </c>
      <c r="B10" s="185" t="s">
        <v>4966</v>
      </c>
      <c r="C10" s="185" t="s">
        <v>1792</v>
      </c>
      <c r="D10" s="185" t="s">
        <v>2385</v>
      </c>
      <c r="E10" s="185">
        <v>24081001</v>
      </c>
      <c r="F10" s="185" t="s">
        <v>4967</v>
      </c>
      <c r="G10" s="185" t="s">
        <v>1515</v>
      </c>
      <c r="I10" s="221">
        <f t="shared" si="2"/>
        <v>3947</v>
      </c>
      <c r="J10" s="221">
        <f t="shared" si="3"/>
        <v>1</v>
      </c>
      <c r="K10" s="234">
        <v>3947</v>
      </c>
      <c r="L10" s="234">
        <v>0</v>
      </c>
      <c r="M10" s="234">
        <v>900480569</v>
      </c>
      <c r="N10" s="185" t="s">
        <v>4968</v>
      </c>
      <c r="O10" s="187">
        <v>44588.644548611097</v>
      </c>
      <c r="P10" s="186">
        <v>-2147482672</v>
      </c>
      <c r="Q10" s="185" t="s">
        <v>6</v>
      </c>
      <c r="R10" s="185" t="s">
        <v>4950</v>
      </c>
      <c r="U10" s="190" t="str">
        <f>VLOOKUP(E10,Valida!$A$2:$K$271,4,FALSE)</f>
        <v>Trade and other payables</v>
      </c>
      <c r="V10" s="185" t="s">
        <v>4951</v>
      </c>
      <c r="X10" t="s">
        <v>1789</v>
      </c>
    </row>
    <row r="11" spans="1:25" customFormat="1">
      <c r="A11" s="185" t="s">
        <v>4969</v>
      </c>
      <c r="B11" s="185" t="s">
        <v>4970</v>
      </c>
      <c r="C11" s="185" t="s">
        <v>1792</v>
      </c>
      <c r="D11" s="185" t="s">
        <v>2899</v>
      </c>
      <c r="E11" s="185">
        <v>24081005</v>
      </c>
      <c r="F11" s="185" t="s">
        <v>4971</v>
      </c>
      <c r="G11" s="185" t="s">
        <v>1515</v>
      </c>
      <c r="I11" s="221">
        <f t="shared" si="2"/>
        <v>479</v>
      </c>
      <c r="J11" s="221">
        <f t="shared" si="3"/>
        <v>1</v>
      </c>
      <c r="K11" s="234">
        <v>479</v>
      </c>
      <c r="L11" s="234">
        <v>0</v>
      </c>
      <c r="M11" s="234">
        <v>900480569</v>
      </c>
      <c r="N11" s="185" t="s">
        <v>4972</v>
      </c>
      <c r="O11" s="187">
        <v>44588.7241782407</v>
      </c>
      <c r="P11" s="186">
        <v>-2147482623</v>
      </c>
      <c r="Q11" s="185" t="s">
        <v>6</v>
      </c>
      <c r="R11" s="185" t="s">
        <v>4950</v>
      </c>
      <c r="U11" s="190" t="str">
        <f>VLOOKUP(E11,Valida!$A$2:$K$271,4,FALSE)</f>
        <v>Trade and other payables</v>
      </c>
      <c r="V11" t="s">
        <v>4951</v>
      </c>
      <c r="X11" s="185" t="s">
        <v>1789</v>
      </c>
    </row>
    <row r="12" spans="1:25" customFormat="1">
      <c r="A12" s="185" t="s">
        <v>4973</v>
      </c>
      <c r="B12" s="185" t="s">
        <v>4974</v>
      </c>
      <c r="C12" s="185" t="s">
        <v>1792</v>
      </c>
      <c r="D12" s="185" t="s">
        <v>3266</v>
      </c>
      <c r="E12" s="185">
        <v>24081001</v>
      </c>
      <c r="F12" s="185" t="s">
        <v>4975</v>
      </c>
      <c r="G12" s="185" t="s">
        <v>1515</v>
      </c>
      <c r="I12" s="221">
        <f t="shared" ref="I12:I14" si="4">K12-L12</f>
        <v>1405</v>
      </c>
      <c r="J12" s="221">
        <f t="shared" ref="J12:J14" si="5">MONTH(A12)</f>
        <v>1</v>
      </c>
      <c r="K12" s="234">
        <v>1405</v>
      </c>
      <c r="L12" s="234">
        <v>0</v>
      </c>
      <c r="M12" s="234">
        <v>900803591</v>
      </c>
      <c r="N12" s="185" t="s">
        <v>4976</v>
      </c>
      <c r="O12" s="187">
        <v>44589.375254629602</v>
      </c>
      <c r="P12" s="186">
        <v>-2147482599</v>
      </c>
      <c r="Q12" s="185" t="s">
        <v>433</v>
      </c>
      <c r="R12" s="185" t="s">
        <v>4957</v>
      </c>
      <c r="U12" s="190" t="str">
        <f>VLOOKUP(E12,Valida!$A$2:$K$271,4,FALSE)</f>
        <v>Trade and other payables</v>
      </c>
      <c r="V12" s="185" t="s">
        <v>4958</v>
      </c>
      <c r="X12" s="185" t="s">
        <v>1789</v>
      </c>
    </row>
    <row r="13" spans="1:25" customFormat="1">
      <c r="A13" s="185" t="s">
        <v>4973</v>
      </c>
      <c r="B13" s="185" t="s">
        <v>4974</v>
      </c>
      <c r="C13" s="185" t="s">
        <v>1792</v>
      </c>
      <c r="D13" s="185" t="s">
        <v>3266</v>
      </c>
      <c r="E13" s="185">
        <v>24081001</v>
      </c>
      <c r="F13" s="185" t="s">
        <v>4959</v>
      </c>
      <c r="G13" s="185" t="s">
        <v>1515</v>
      </c>
      <c r="I13" s="221">
        <f t="shared" si="4"/>
        <v>1836</v>
      </c>
      <c r="J13" s="221">
        <f t="shared" si="5"/>
        <v>1</v>
      </c>
      <c r="K13" s="234">
        <v>1836</v>
      </c>
      <c r="L13" s="234">
        <v>0</v>
      </c>
      <c r="M13" s="234">
        <v>900803591</v>
      </c>
      <c r="N13" s="185" t="s">
        <v>4976</v>
      </c>
      <c r="O13" s="187">
        <v>44589.375254629602</v>
      </c>
      <c r="P13" s="186">
        <v>-2147482597</v>
      </c>
      <c r="Q13" t="s">
        <v>433</v>
      </c>
      <c r="R13" s="185" t="s">
        <v>4957</v>
      </c>
      <c r="U13" s="190" t="str">
        <f>VLOOKUP(E13,Valida!$A$2:$K$271,4,FALSE)</f>
        <v>Trade and other payables</v>
      </c>
      <c r="V13" s="185" t="s">
        <v>4958</v>
      </c>
      <c r="X13" s="185" t="s">
        <v>1789</v>
      </c>
    </row>
    <row r="14" spans="1:25" customFormat="1">
      <c r="A14" s="185" t="s">
        <v>4973</v>
      </c>
      <c r="B14" s="185" t="s">
        <v>4974</v>
      </c>
      <c r="C14" s="185" t="s">
        <v>1792</v>
      </c>
      <c r="D14" s="185" t="s">
        <v>3266</v>
      </c>
      <c r="E14" s="185">
        <v>24081005</v>
      </c>
      <c r="F14" s="185" t="s">
        <v>4960</v>
      </c>
      <c r="G14" s="185" t="s">
        <v>1515</v>
      </c>
      <c r="I14" s="221">
        <f t="shared" si="4"/>
        <v>1929</v>
      </c>
      <c r="J14" s="221">
        <f t="shared" si="5"/>
        <v>1</v>
      </c>
      <c r="K14" s="234">
        <v>1929</v>
      </c>
      <c r="L14" s="234">
        <v>0</v>
      </c>
      <c r="M14" s="234">
        <v>900803591</v>
      </c>
      <c r="N14" s="185" t="s">
        <v>4976</v>
      </c>
      <c r="O14" s="187">
        <v>44589.375254629602</v>
      </c>
      <c r="P14" s="186">
        <v>-2147482595</v>
      </c>
      <c r="Q14" t="s">
        <v>433</v>
      </c>
      <c r="R14" s="185" t="s">
        <v>4957</v>
      </c>
      <c r="U14" s="190" t="str">
        <f>VLOOKUP(E14,Valida!$A$2:$K$271,4,FALSE)</f>
        <v>Trade and other payables</v>
      </c>
      <c r="V14" s="185" t="s">
        <v>4958</v>
      </c>
      <c r="X14" s="185" t="s">
        <v>1789</v>
      </c>
    </row>
    <row r="15" spans="1:25" customFormat="1">
      <c r="A15" s="185" t="s">
        <v>4977</v>
      </c>
      <c r="B15" s="185" t="s">
        <v>4978</v>
      </c>
      <c r="C15" s="185" t="s">
        <v>1952</v>
      </c>
      <c r="D15" s="185" t="s">
        <v>4979</v>
      </c>
      <c r="E15" s="185">
        <v>24081002</v>
      </c>
      <c r="F15" s="185" t="s">
        <v>4980</v>
      </c>
      <c r="G15" s="185" t="s">
        <v>1515</v>
      </c>
      <c r="I15" s="221">
        <f t="shared" ref="I15:I22" si="6">K15-L15</f>
        <v>13148</v>
      </c>
      <c r="J15" s="221">
        <f t="shared" ref="J15:J22" si="7">MONTH(A15)</f>
        <v>1</v>
      </c>
      <c r="K15" s="234">
        <v>13148</v>
      </c>
      <c r="L15" s="234">
        <v>0</v>
      </c>
      <c r="M15" s="234">
        <v>890903938</v>
      </c>
      <c r="N15" s="185" t="s">
        <v>4978</v>
      </c>
      <c r="O15" s="187">
        <v>44594.697233796302</v>
      </c>
      <c r="P15" s="186">
        <v>-2147482187</v>
      </c>
      <c r="Q15" s="185" t="s">
        <v>1827</v>
      </c>
      <c r="R15" s="185" t="s">
        <v>1580</v>
      </c>
      <c r="U15" s="190" t="str">
        <f>VLOOKUP(E15,Valida!$A$2:$K$271,4,FALSE)</f>
        <v>Trade and other payables</v>
      </c>
      <c r="V15" s="185" t="s">
        <v>1955</v>
      </c>
      <c r="X15" s="185" t="s">
        <v>1844</v>
      </c>
    </row>
    <row r="16" spans="1:25" customFormat="1">
      <c r="A16" s="185" t="s">
        <v>4977</v>
      </c>
      <c r="B16" s="185" t="s">
        <v>4978</v>
      </c>
      <c r="C16" s="185" t="s">
        <v>1952</v>
      </c>
      <c r="D16" s="185" t="s">
        <v>4979</v>
      </c>
      <c r="E16" s="185">
        <v>24081002</v>
      </c>
      <c r="F16" s="185" t="s">
        <v>4981</v>
      </c>
      <c r="G16" s="185" t="s">
        <v>1515</v>
      </c>
      <c r="I16" s="221">
        <f t="shared" si="6"/>
        <v>13167</v>
      </c>
      <c r="J16" s="221">
        <f t="shared" si="7"/>
        <v>1</v>
      </c>
      <c r="K16" s="234">
        <v>13167</v>
      </c>
      <c r="L16" s="234">
        <v>0</v>
      </c>
      <c r="M16" s="234">
        <v>890903938</v>
      </c>
      <c r="N16" s="185" t="s">
        <v>4978</v>
      </c>
      <c r="O16" s="187">
        <v>44594.6972453704</v>
      </c>
      <c r="P16" s="186">
        <v>-2147482183</v>
      </c>
      <c r="Q16" s="185" t="s">
        <v>1827</v>
      </c>
      <c r="R16" s="185" t="s">
        <v>1580</v>
      </c>
      <c r="U16" s="190" t="str">
        <f>VLOOKUP(E16,Valida!$A$2:$K$271,4,FALSE)</f>
        <v>Trade and other payables</v>
      </c>
      <c r="V16" s="185" t="s">
        <v>1955</v>
      </c>
      <c r="X16" s="185" t="s">
        <v>1844</v>
      </c>
    </row>
    <row r="17" spans="1:24" customFormat="1">
      <c r="A17" s="185" t="s">
        <v>4977</v>
      </c>
      <c r="B17" s="185" t="s">
        <v>4978</v>
      </c>
      <c r="C17" s="185" t="s">
        <v>1952</v>
      </c>
      <c r="D17" s="185" t="s">
        <v>4979</v>
      </c>
      <c r="E17" s="185">
        <v>24081002</v>
      </c>
      <c r="F17" s="185" t="s">
        <v>4982</v>
      </c>
      <c r="G17" s="185" t="s">
        <v>1515</v>
      </c>
      <c r="I17" s="221">
        <f t="shared" si="6"/>
        <v>421.8</v>
      </c>
      <c r="J17" s="221">
        <f t="shared" si="7"/>
        <v>1</v>
      </c>
      <c r="K17" s="234">
        <v>421.8</v>
      </c>
      <c r="L17" s="234">
        <v>0</v>
      </c>
      <c r="M17" s="234">
        <v>890903938</v>
      </c>
      <c r="N17" s="185" t="s">
        <v>4978</v>
      </c>
      <c r="O17" s="187">
        <v>44594.6972453704</v>
      </c>
      <c r="P17" s="186">
        <v>-2147482179</v>
      </c>
      <c r="Q17" s="185" t="s">
        <v>1827</v>
      </c>
      <c r="R17" s="185" t="s">
        <v>1580</v>
      </c>
      <c r="U17" s="190" t="str">
        <f>VLOOKUP(E17,Valida!$A$2:$K$271,4,FALSE)</f>
        <v>Trade and other payables</v>
      </c>
      <c r="V17" s="185" t="s">
        <v>1955</v>
      </c>
      <c r="W17" s="185"/>
      <c r="X17" s="185" t="s">
        <v>1844</v>
      </c>
    </row>
    <row r="18" spans="1:24" customFormat="1">
      <c r="A18" s="185" t="s">
        <v>4977</v>
      </c>
      <c r="B18" s="185" t="s">
        <v>4978</v>
      </c>
      <c r="C18" s="185" t="s">
        <v>1952</v>
      </c>
      <c r="D18" s="185" t="s">
        <v>4979</v>
      </c>
      <c r="E18" s="185">
        <v>24081002</v>
      </c>
      <c r="F18" s="185" t="s">
        <v>1468</v>
      </c>
      <c r="G18" s="185" t="s">
        <v>1515</v>
      </c>
      <c r="I18" s="221">
        <f t="shared" si="6"/>
        <v>1875.27</v>
      </c>
      <c r="J18" s="221">
        <f t="shared" si="7"/>
        <v>1</v>
      </c>
      <c r="K18" s="234">
        <v>1875.27</v>
      </c>
      <c r="L18" s="234">
        <v>0</v>
      </c>
      <c r="M18" s="234">
        <v>890903938</v>
      </c>
      <c r="N18" s="185" t="s">
        <v>4978</v>
      </c>
      <c r="O18" s="187">
        <v>44594.6972453704</v>
      </c>
      <c r="P18" s="186">
        <v>-2147482175</v>
      </c>
      <c r="Q18" s="185" t="s">
        <v>1827</v>
      </c>
      <c r="R18" s="185" t="s">
        <v>1580</v>
      </c>
      <c r="U18" s="190" t="str">
        <f>VLOOKUP(E18,Valida!$A$2:$K$271,4,FALSE)</f>
        <v>Trade and other payables</v>
      </c>
      <c r="V18" s="185" t="s">
        <v>1955</v>
      </c>
      <c r="W18" s="185"/>
      <c r="X18" s="185" t="s">
        <v>1844</v>
      </c>
    </row>
    <row r="19" spans="1:24" customFormat="1">
      <c r="A19" s="185" t="s">
        <v>4983</v>
      </c>
      <c r="B19" s="185" t="s">
        <v>4984</v>
      </c>
      <c r="C19" s="185" t="s">
        <v>1792</v>
      </c>
      <c r="D19" s="185" t="s">
        <v>3620</v>
      </c>
      <c r="E19" s="185">
        <v>24081002</v>
      </c>
      <c r="F19" s="185" t="s">
        <v>4985</v>
      </c>
      <c r="G19" s="185" t="s">
        <v>1515</v>
      </c>
      <c r="I19" s="221">
        <f t="shared" si="6"/>
        <v>90391</v>
      </c>
      <c r="J19" s="221">
        <f t="shared" si="7"/>
        <v>2</v>
      </c>
      <c r="K19" s="234">
        <v>90391</v>
      </c>
      <c r="L19" s="234">
        <v>0</v>
      </c>
      <c r="M19" s="234">
        <v>891700037</v>
      </c>
      <c r="N19" s="185" t="s">
        <v>4986</v>
      </c>
      <c r="O19" s="187">
        <v>44596.383726851898</v>
      </c>
      <c r="P19" s="186">
        <v>2</v>
      </c>
      <c r="Q19" s="185" t="s">
        <v>1841</v>
      </c>
      <c r="R19" s="185" t="s">
        <v>4987</v>
      </c>
      <c r="U19" s="190" t="str">
        <f>VLOOKUP(E19,Valida!$A$2:$K$271,4,FALSE)</f>
        <v>Trade and other payables</v>
      </c>
      <c r="V19" s="185" t="s">
        <v>2077</v>
      </c>
      <c r="W19" s="185" t="s">
        <v>2078</v>
      </c>
      <c r="X19" s="185" t="s">
        <v>1789</v>
      </c>
    </row>
    <row r="20" spans="1:24" customFormat="1">
      <c r="A20" s="185" t="s">
        <v>4988</v>
      </c>
      <c r="B20" s="185" t="s">
        <v>4989</v>
      </c>
      <c r="C20" s="185" t="s">
        <v>1792</v>
      </c>
      <c r="D20" s="185" t="s">
        <v>4990</v>
      </c>
      <c r="E20" s="185">
        <v>24081001</v>
      </c>
      <c r="F20" s="185" t="s">
        <v>4991</v>
      </c>
      <c r="G20" s="185" t="s">
        <v>1515</v>
      </c>
      <c r="I20" s="221">
        <f t="shared" si="6"/>
        <v>3992</v>
      </c>
      <c r="J20" s="221">
        <f t="shared" si="7"/>
        <v>3</v>
      </c>
      <c r="K20" s="234">
        <v>3992</v>
      </c>
      <c r="L20" s="234">
        <v>0</v>
      </c>
      <c r="M20" s="234">
        <v>900803591</v>
      </c>
      <c r="N20" s="185" t="s">
        <v>4989</v>
      </c>
      <c r="O20" s="187">
        <v>44634.6960300926</v>
      </c>
      <c r="P20" s="186">
        <v>2220</v>
      </c>
      <c r="Q20" s="185" t="s">
        <v>433</v>
      </c>
      <c r="R20" s="185" t="s">
        <v>4957</v>
      </c>
      <c r="U20" s="190" t="str">
        <f>VLOOKUP(E20,Valida!$A$2:$K$271,4,FALSE)</f>
        <v>Trade and other payables</v>
      </c>
      <c r="V20" s="185" t="s">
        <v>4958</v>
      </c>
      <c r="W20" s="185"/>
      <c r="X20" s="185" t="s">
        <v>1789</v>
      </c>
    </row>
    <row r="21" spans="1:24" customFormat="1">
      <c r="A21" s="185" t="s">
        <v>4992</v>
      </c>
      <c r="B21" s="185" t="s">
        <v>4993</v>
      </c>
      <c r="C21" s="185" t="s">
        <v>1792</v>
      </c>
      <c r="D21" s="185" t="s">
        <v>4994</v>
      </c>
      <c r="E21" s="185">
        <v>24081001</v>
      </c>
      <c r="F21" s="185" t="s">
        <v>4995</v>
      </c>
      <c r="G21" s="185" t="s">
        <v>1515</v>
      </c>
      <c r="I21" s="221">
        <f t="shared" si="6"/>
        <v>5125</v>
      </c>
      <c r="J21" s="221">
        <f t="shared" si="7"/>
        <v>3</v>
      </c>
      <c r="K21" s="234">
        <v>5125</v>
      </c>
      <c r="L21" s="234">
        <v>0</v>
      </c>
      <c r="M21" s="234">
        <v>830037946</v>
      </c>
      <c r="N21" s="185" t="s">
        <v>4993</v>
      </c>
      <c r="O21" s="187">
        <v>44634.698576388902</v>
      </c>
      <c r="P21" s="186">
        <v>2226</v>
      </c>
      <c r="Q21" s="185" t="s">
        <v>844</v>
      </c>
      <c r="R21" s="185" t="s">
        <v>4996</v>
      </c>
      <c r="U21" s="190" t="str">
        <f>VLOOKUP(E21,Valida!$A$2:$K$271,4,FALSE)</f>
        <v>Trade and other payables</v>
      </c>
      <c r="V21" s="185" t="s">
        <v>4997</v>
      </c>
      <c r="W21" t="s">
        <v>4998</v>
      </c>
      <c r="X21" s="185"/>
    </row>
    <row r="22" spans="1:24" customFormat="1">
      <c r="A22" s="185" t="s">
        <v>4992</v>
      </c>
      <c r="B22" s="185" t="s">
        <v>4999</v>
      </c>
      <c r="C22" s="185" t="s">
        <v>1792</v>
      </c>
      <c r="D22" s="185" t="s">
        <v>5000</v>
      </c>
      <c r="E22" s="185">
        <v>24081002</v>
      </c>
      <c r="F22" s="185" t="s">
        <v>5001</v>
      </c>
      <c r="G22" s="185" t="s">
        <v>1515</v>
      </c>
      <c r="I22" s="221">
        <f t="shared" si="6"/>
        <v>60800</v>
      </c>
      <c r="J22" s="221">
        <f t="shared" si="7"/>
        <v>3</v>
      </c>
      <c r="K22" s="234">
        <v>60800</v>
      </c>
      <c r="L22" s="234">
        <v>0</v>
      </c>
      <c r="M22" s="234">
        <v>800042928</v>
      </c>
      <c r="N22" s="185" t="s">
        <v>5002</v>
      </c>
      <c r="O22" s="187">
        <v>44634.707430555602</v>
      </c>
      <c r="P22" s="186">
        <v>2231</v>
      </c>
      <c r="Q22" s="185" t="s">
        <v>6</v>
      </c>
      <c r="R22" s="185" t="s">
        <v>1554</v>
      </c>
      <c r="S22" s="185"/>
      <c r="U22" s="190" t="str">
        <f>VLOOKUP(E22,Valida!$A$2:$K$271,4,FALSE)</f>
        <v>Trade and other payables</v>
      </c>
      <c r="V22" s="185" t="s">
        <v>1820</v>
      </c>
      <c r="W22" t="s">
        <v>1821</v>
      </c>
      <c r="X22" s="185" t="s">
        <v>1789</v>
      </c>
    </row>
    <row r="23" spans="1:24" customFormat="1">
      <c r="A23" s="185" t="s">
        <v>5003</v>
      </c>
      <c r="B23" s="185" t="s">
        <v>5004</v>
      </c>
      <c r="C23" s="185" t="s">
        <v>1792</v>
      </c>
      <c r="D23" s="185" t="s">
        <v>5005</v>
      </c>
      <c r="E23" s="185">
        <v>24081002</v>
      </c>
      <c r="F23" s="185" t="s">
        <v>5006</v>
      </c>
      <c r="G23" s="185" t="s">
        <v>1515</v>
      </c>
      <c r="I23" s="221">
        <f t="shared" ref="I23:I26" si="8">K23-L23</f>
        <v>34200</v>
      </c>
      <c r="J23" s="221">
        <f t="shared" ref="J23:J26" si="9">MONTH(A23)</f>
        <v>3</v>
      </c>
      <c r="K23" s="234">
        <v>34200</v>
      </c>
      <c r="L23" s="234">
        <v>0</v>
      </c>
      <c r="M23" s="234">
        <v>901345152</v>
      </c>
      <c r="N23" s="185" t="s">
        <v>5007</v>
      </c>
      <c r="O23" s="187">
        <v>44634.724722222199</v>
      </c>
      <c r="P23" s="186">
        <v>2237</v>
      </c>
      <c r="Q23" s="185" t="s">
        <v>1519</v>
      </c>
      <c r="R23" s="185" t="s">
        <v>5008</v>
      </c>
      <c r="U23" s="190" t="str">
        <f>VLOOKUP(E23,Valida!$A$2:$K$271,4,FALSE)</f>
        <v>Trade and other payables</v>
      </c>
      <c r="V23" s="185" t="s">
        <v>5009</v>
      </c>
      <c r="W23" s="185"/>
      <c r="X23" s="185" t="s">
        <v>1789</v>
      </c>
    </row>
    <row r="24" spans="1:24" customFormat="1">
      <c r="A24" s="185" t="s">
        <v>4992</v>
      </c>
      <c r="B24" s="185" t="s">
        <v>5010</v>
      </c>
      <c r="C24" s="185" t="s">
        <v>1792</v>
      </c>
      <c r="D24" s="185" t="s">
        <v>5011</v>
      </c>
      <c r="E24" s="185">
        <v>24081002</v>
      </c>
      <c r="F24" s="185" t="s">
        <v>5012</v>
      </c>
      <c r="G24" s="185" t="s">
        <v>1515</v>
      </c>
      <c r="I24" s="221">
        <f t="shared" si="8"/>
        <v>2280000</v>
      </c>
      <c r="J24" s="221">
        <f t="shared" si="9"/>
        <v>3</v>
      </c>
      <c r="K24" s="234">
        <v>2280000</v>
      </c>
      <c r="L24" s="234">
        <v>0</v>
      </c>
      <c r="M24" s="234">
        <v>900471482</v>
      </c>
      <c r="N24" s="185" t="s">
        <v>5013</v>
      </c>
      <c r="O24" s="187">
        <v>44634.739629629599</v>
      </c>
      <c r="P24" s="186">
        <v>2244</v>
      </c>
      <c r="Q24" s="185" t="s">
        <v>6</v>
      </c>
      <c r="R24" s="185" t="s">
        <v>1600</v>
      </c>
      <c r="S24" s="185"/>
      <c r="U24" s="190" t="str">
        <f>VLOOKUP(E24,Valida!$A$2:$K$271,4,FALSE)</f>
        <v>Trade and other payables</v>
      </c>
      <c r="V24" s="185" t="s">
        <v>1853</v>
      </c>
      <c r="W24" t="s">
        <v>1854</v>
      </c>
      <c r="X24" s="185" t="s">
        <v>1789</v>
      </c>
    </row>
    <row r="25" spans="1:24" customFormat="1">
      <c r="A25" s="185" t="s">
        <v>5014</v>
      </c>
      <c r="B25" s="185" t="s">
        <v>5015</v>
      </c>
      <c r="C25" s="185" t="s">
        <v>1792</v>
      </c>
      <c r="D25" s="185" t="s">
        <v>5016</v>
      </c>
      <c r="E25" s="185">
        <v>24081001</v>
      </c>
      <c r="F25" s="185" t="s">
        <v>5017</v>
      </c>
      <c r="G25" s="185" t="s">
        <v>1515</v>
      </c>
      <c r="I25" s="221">
        <f t="shared" si="8"/>
        <v>3433</v>
      </c>
      <c r="J25" s="221">
        <f t="shared" si="9"/>
        <v>6</v>
      </c>
      <c r="K25" s="234">
        <v>3433</v>
      </c>
      <c r="L25" s="234">
        <v>0</v>
      </c>
      <c r="M25" s="234">
        <v>830037946</v>
      </c>
      <c r="N25" s="185" t="s">
        <v>5018</v>
      </c>
      <c r="O25" s="187">
        <v>44725.4695601852</v>
      </c>
      <c r="P25" s="186">
        <v>3561</v>
      </c>
      <c r="Q25" t="s">
        <v>844</v>
      </c>
      <c r="R25" s="185" t="s">
        <v>4996</v>
      </c>
      <c r="U25" s="190" t="str">
        <f>VLOOKUP(E25,Valida!$A$2:$K$271,4,FALSE)</f>
        <v>Trade and other payables</v>
      </c>
      <c r="V25" t="s">
        <v>4997</v>
      </c>
      <c r="W25" t="s">
        <v>4998</v>
      </c>
    </row>
    <row r="26" spans="1:24" customFormat="1">
      <c r="A26" s="185" t="s">
        <v>5019</v>
      </c>
      <c r="B26" s="185" t="s">
        <v>5020</v>
      </c>
      <c r="C26" s="185" t="s">
        <v>1792</v>
      </c>
      <c r="D26" s="185" t="s">
        <v>5021</v>
      </c>
      <c r="E26" s="185">
        <v>24081002</v>
      </c>
      <c r="F26" s="185" t="s">
        <v>1866</v>
      </c>
      <c r="G26" s="185" t="s">
        <v>1515</v>
      </c>
      <c r="I26" s="221">
        <f t="shared" si="8"/>
        <v>19000</v>
      </c>
      <c r="J26" s="221">
        <f t="shared" si="9"/>
        <v>6</v>
      </c>
      <c r="K26" s="234">
        <v>19000</v>
      </c>
      <c r="L26" s="234">
        <v>0</v>
      </c>
      <c r="M26" s="234">
        <v>900424409</v>
      </c>
      <c r="N26" s="185" t="s">
        <v>5022</v>
      </c>
      <c r="O26" s="187">
        <v>44725.473055555602</v>
      </c>
      <c r="P26" s="186">
        <v>3566</v>
      </c>
      <c r="Q26" t="s">
        <v>844</v>
      </c>
      <c r="R26" s="185" t="s">
        <v>1598</v>
      </c>
      <c r="U26" s="190" t="str">
        <f>VLOOKUP(E26,Valida!$A$2:$K$271,4,FALSE)</f>
        <v>Trade and other payables</v>
      </c>
      <c r="V26" t="s">
        <v>1864</v>
      </c>
      <c r="W26" t="s">
        <v>1865</v>
      </c>
      <c r="X26" t="s">
        <v>1789</v>
      </c>
    </row>
    <row r="27" spans="1:24" customFormat="1">
      <c r="A27" s="185" t="s">
        <v>5023</v>
      </c>
      <c r="B27" s="185" t="s">
        <v>5024</v>
      </c>
      <c r="C27" s="185" t="s">
        <v>1792</v>
      </c>
      <c r="D27" s="185" t="s">
        <v>3830</v>
      </c>
      <c r="E27" s="185">
        <v>24081001</v>
      </c>
      <c r="F27" s="185" t="s">
        <v>5025</v>
      </c>
      <c r="G27" s="185" t="s">
        <v>1515</v>
      </c>
      <c r="I27" s="221">
        <f t="shared" ref="I27:I31" si="10">K27-L27</f>
        <v>15535</v>
      </c>
      <c r="J27" s="221">
        <f t="shared" ref="J27:J31" si="11">MONTH(A27)</f>
        <v>2</v>
      </c>
      <c r="K27" s="234">
        <v>15535</v>
      </c>
      <c r="L27" s="234">
        <v>0</v>
      </c>
      <c r="M27" s="234">
        <v>900803591</v>
      </c>
      <c r="N27" s="185" t="s">
        <v>5026</v>
      </c>
      <c r="O27" s="187">
        <v>44622.456412036998</v>
      </c>
      <c r="P27" s="186">
        <v>164</v>
      </c>
      <c r="Q27" s="185" t="s">
        <v>433</v>
      </c>
      <c r="R27" s="185" t="s">
        <v>4957</v>
      </c>
      <c r="S27" s="185"/>
      <c r="U27" s="190" t="str">
        <f>VLOOKUP(E27,Valida!$A$2:$K$271,4,FALSE)</f>
        <v>Trade and other payables</v>
      </c>
      <c r="V27" s="185" t="s">
        <v>4958</v>
      </c>
      <c r="W27" s="185"/>
      <c r="X27" s="185" t="s">
        <v>1789</v>
      </c>
    </row>
    <row r="28" spans="1:24" customFormat="1">
      <c r="A28" s="185" t="s">
        <v>5023</v>
      </c>
      <c r="B28" s="185" t="s">
        <v>5024</v>
      </c>
      <c r="C28" s="185" t="s">
        <v>1792</v>
      </c>
      <c r="D28" s="185" t="s">
        <v>3830</v>
      </c>
      <c r="E28" s="185">
        <v>24081005</v>
      </c>
      <c r="F28" s="185" t="s">
        <v>5027</v>
      </c>
      <c r="G28" s="185" t="s">
        <v>1515</v>
      </c>
      <c r="I28" s="221">
        <f t="shared" si="10"/>
        <v>2705</v>
      </c>
      <c r="J28" s="221">
        <f t="shared" si="11"/>
        <v>2</v>
      </c>
      <c r="K28" s="234">
        <v>2705</v>
      </c>
      <c r="L28" s="234">
        <v>0</v>
      </c>
      <c r="M28" s="234">
        <v>900803591</v>
      </c>
      <c r="N28" s="185" t="s">
        <v>5026</v>
      </c>
      <c r="O28" s="187">
        <v>44622.456412036998</v>
      </c>
      <c r="P28" s="186">
        <v>166</v>
      </c>
      <c r="Q28" s="185" t="s">
        <v>433</v>
      </c>
      <c r="R28" s="185" t="s">
        <v>4957</v>
      </c>
      <c r="S28" s="185"/>
      <c r="U28" s="190" t="str">
        <f>VLOOKUP(E28,Valida!$A$2:$K$271,4,FALSE)</f>
        <v>Trade and other payables</v>
      </c>
      <c r="V28" s="185" t="s">
        <v>4958</v>
      </c>
      <c r="W28" s="185"/>
      <c r="X28" s="185" t="s">
        <v>1789</v>
      </c>
    </row>
    <row r="29" spans="1:24" customFormat="1">
      <c r="A29" s="185" t="s">
        <v>5023</v>
      </c>
      <c r="B29" s="185" t="s">
        <v>5024</v>
      </c>
      <c r="C29" s="185" t="s">
        <v>1792</v>
      </c>
      <c r="D29" s="185" t="s">
        <v>3830</v>
      </c>
      <c r="E29" s="185">
        <v>24081001</v>
      </c>
      <c r="F29" s="185" t="s">
        <v>5028</v>
      </c>
      <c r="G29" s="185" t="s">
        <v>1515</v>
      </c>
      <c r="I29" s="221">
        <f t="shared" si="10"/>
        <v>3832</v>
      </c>
      <c r="J29" s="221">
        <f t="shared" si="11"/>
        <v>2</v>
      </c>
      <c r="K29" s="234">
        <v>3832</v>
      </c>
      <c r="L29" s="234">
        <v>0</v>
      </c>
      <c r="M29" s="234">
        <v>900803591</v>
      </c>
      <c r="N29" s="185" t="s">
        <v>5026</v>
      </c>
      <c r="O29" s="187">
        <v>44622.456412036998</v>
      </c>
      <c r="P29" s="186">
        <v>168</v>
      </c>
      <c r="Q29" s="185" t="s">
        <v>433</v>
      </c>
      <c r="R29" s="185" t="s">
        <v>4957</v>
      </c>
      <c r="U29" s="190" t="str">
        <f>VLOOKUP(E29,Valida!$A$2:$K$271,4,FALSE)</f>
        <v>Trade and other payables</v>
      </c>
      <c r="V29" s="185" t="s">
        <v>4958</v>
      </c>
      <c r="W29" s="185"/>
      <c r="X29" s="185" t="s">
        <v>1789</v>
      </c>
    </row>
    <row r="30" spans="1:24" customFormat="1">
      <c r="A30" s="185" t="s">
        <v>5029</v>
      </c>
      <c r="B30" s="185" t="s">
        <v>5030</v>
      </c>
      <c r="C30" s="185" t="s">
        <v>1792</v>
      </c>
      <c r="D30" s="185" t="s">
        <v>3936</v>
      </c>
      <c r="E30" s="185">
        <v>24081001</v>
      </c>
      <c r="F30" s="185" t="s">
        <v>5031</v>
      </c>
      <c r="G30" s="185" t="s">
        <v>1515</v>
      </c>
      <c r="I30" s="221">
        <f t="shared" si="10"/>
        <v>95000</v>
      </c>
      <c r="J30" s="221">
        <f t="shared" si="11"/>
        <v>2</v>
      </c>
      <c r="K30" s="234">
        <v>95000</v>
      </c>
      <c r="L30" s="234">
        <v>0</v>
      </c>
      <c r="M30" s="234">
        <v>900834719</v>
      </c>
      <c r="N30" s="185" t="s">
        <v>5030</v>
      </c>
      <c r="O30" s="187">
        <v>44622.496261574102</v>
      </c>
      <c r="P30" s="186">
        <v>180</v>
      </c>
      <c r="Q30" t="s">
        <v>1519</v>
      </c>
      <c r="R30" s="185" t="s">
        <v>1624</v>
      </c>
      <c r="U30" s="190" t="str">
        <f>VLOOKUP(E30,Valida!$A$2:$K$271,4,FALSE)</f>
        <v>Trade and other payables</v>
      </c>
      <c r="V30" t="s">
        <v>4944</v>
      </c>
      <c r="W30" t="s">
        <v>4945</v>
      </c>
      <c r="X30" t="s">
        <v>1789</v>
      </c>
    </row>
    <row r="31" spans="1:24" customFormat="1">
      <c r="A31" s="185" t="s">
        <v>5003</v>
      </c>
      <c r="B31" s="185" t="s">
        <v>5032</v>
      </c>
      <c r="C31" s="185" t="s">
        <v>1792</v>
      </c>
      <c r="D31" s="185" t="s">
        <v>5033</v>
      </c>
      <c r="E31" s="185">
        <v>24081001</v>
      </c>
      <c r="F31" s="185" t="s">
        <v>5034</v>
      </c>
      <c r="G31" s="185" t="s">
        <v>1515</v>
      </c>
      <c r="I31" s="221">
        <f t="shared" si="10"/>
        <v>112563</v>
      </c>
      <c r="J31" s="221">
        <f t="shared" si="11"/>
        <v>3</v>
      </c>
      <c r="K31" s="234">
        <v>112563</v>
      </c>
      <c r="L31" s="234">
        <v>0</v>
      </c>
      <c r="M31" s="234">
        <v>900413961</v>
      </c>
      <c r="N31" s="185" t="s">
        <v>5035</v>
      </c>
      <c r="O31" s="187">
        <v>44636.687083333301</v>
      </c>
      <c r="P31" s="186">
        <v>2264</v>
      </c>
      <c r="Q31" t="s">
        <v>1519</v>
      </c>
      <c r="R31" s="185" t="s">
        <v>1618</v>
      </c>
      <c r="U31" s="190" t="str">
        <f>VLOOKUP(E31,Valida!$A$2:$K$271,4,FALSE)</f>
        <v>Trade and other payables</v>
      </c>
      <c r="V31" t="s">
        <v>5036</v>
      </c>
      <c r="W31" t="s">
        <v>5037</v>
      </c>
      <c r="X31" t="s">
        <v>1789</v>
      </c>
    </row>
    <row r="32" spans="1:24" customFormat="1">
      <c r="A32" s="185" t="s">
        <v>5038</v>
      </c>
      <c r="B32" s="185" t="s">
        <v>5039</v>
      </c>
      <c r="C32" s="185" t="s">
        <v>1792</v>
      </c>
      <c r="D32" s="185" t="s">
        <v>3948</v>
      </c>
      <c r="E32" s="185">
        <v>24081001</v>
      </c>
      <c r="F32" s="185" t="s">
        <v>5040</v>
      </c>
      <c r="G32" s="185" t="s">
        <v>1515</v>
      </c>
      <c r="I32" s="221">
        <f t="shared" ref="I32:I35" si="12">K32-L32</f>
        <v>4528</v>
      </c>
      <c r="J32" s="221">
        <f t="shared" ref="J32:J35" si="13">MONTH(A32)</f>
        <v>2</v>
      </c>
      <c r="K32" s="234">
        <v>4528</v>
      </c>
      <c r="L32" s="234">
        <v>0</v>
      </c>
      <c r="M32" s="234">
        <v>890900608</v>
      </c>
      <c r="N32" s="185" t="s">
        <v>5039</v>
      </c>
      <c r="O32" s="187">
        <v>44622.681365740696</v>
      </c>
      <c r="P32" s="186">
        <v>203</v>
      </c>
      <c r="Q32" s="185" t="s">
        <v>1841</v>
      </c>
      <c r="R32" s="185" t="s">
        <v>1578</v>
      </c>
      <c r="U32" s="190" t="str">
        <f>VLOOKUP(E32,Valida!$A$2:$K$271,4,FALSE)</f>
        <v>Trade and other payables</v>
      </c>
      <c r="V32" s="185"/>
      <c r="W32" t="s">
        <v>4163</v>
      </c>
      <c r="X32" s="185" t="s">
        <v>1789</v>
      </c>
    </row>
    <row r="33" spans="1:24" customFormat="1">
      <c r="A33" s="185" t="s">
        <v>5041</v>
      </c>
      <c r="B33" s="185" t="s">
        <v>5042</v>
      </c>
      <c r="C33" s="185" t="s">
        <v>1792</v>
      </c>
      <c r="D33" s="185" t="s">
        <v>3961</v>
      </c>
      <c r="E33" s="185">
        <v>24081001</v>
      </c>
      <c r="F33" s="185" t="s">
        <v>5043</v>
      </c>
      <c r="G33" s="185" t="s">
        <v>1515</v>
      </c>
      <c r="I33" s="221">
        <f t="shared" si="12"/>
        <v>8621</v>
      </c>
      <c r="J33" s="221">
        <f t="shared" si="13"/>
        <v>2</v>
      </c>
      <c r="K33" s="234">
        <v>8621</v>
      </c>
      <c r="L33" s="234">
        <v>0</v>
      </c>
      <c r="M33" s="234">
        <v>900803591</v>
      </c>
      <c r="N33" s="185" t="s">
        <v>4964</v>
      </c>
      <c r="O33" s="187">
        <v>44622.725648148102</v>
      </c>
      <c r="P33" s="186">
        <v>210</v>
      </c>
      <c r="Q33" t="s">
        <v>433</v>
      </c>
      <c r="R33" s="185" t="s">
        <v>4957</v>
      </c>
      <c r="S33" s="185"/>
      <c r="U33" s="190" t="str">
        <f>VLOOKUP(E33,Valida!$A$2:$K$271,4,FALSE)</f>
        <v>Trade and other payables</v>
      </c>
      <c r="V33" t="s">
        <v>4958</v>
      </c>
      <c r="X33" s="185" t="s">
        <v>1789</v>
      </c>
    </row>
    <row r="34" spans="1:24" customFormat="1">
      <c r="A34" s="185" t="s">
        <v>5041</v>
      </c>
      <c r="B34" s="185" t="s">
        <v>5042</v>
      </c>
      <c r="C34" s="185" t="s">
        <v>1792</v>
      </c>
      <c r="D34" s="185" t="s">
        <v>3961</v>
      </c>
      <c r="E34" s="185">
        <v>24081005</v>
      </c>
      <c r="F34" s="185" t="s">
        <v>5027</v>
      </c>
      <c r="G34" s="185" t="s">
        <v>1515</v>
      </c>
      <c r="I34" s="221">
        <f t="shared" si="12"/>
        <v>2105</v>
      </c>
      <c r="J34" s="221">
        <f t="shared" si="13"/>
        <v>2</v>
      </c>
      <c r="K34" s="234">
        <v>2105</v>
      </c>
      <c r="L34" s="234">
        <v>0</v>
      </c>
      <c r="M34" s="234">
        <v>900803591</v>
      </c>
      <c r="N34" s="185" t="s">
        <v>4964</v>
      </c>
      <c r="O34" s="187">
        <v>44622.725648148102</v>
      </c>
      <c r="P34" s="186">
        <v>212</v>
      </c>
      <c r="Q34" t="s">
        <v>433</v>
      </c>
      <c r="R34" s="185" t="s">
        <v>4957</v>
      </c>
      <c r="S34" s="185"/>
      <c r="U34" s="190" t="str">
        <f>VLOOKUP(E34,Valida!$A$2:$K$271,4,FALSE)</f>
        <v>Trade and other payables</v>
      </c>
      <c r="V34" s="185" t="s">
        <v>4958</v>
      </c>
      <c r="W34" s="185"/>
      <c r="X34" s="185" t="s">
        <v>1789</v>
      </c>
    </row>
    <row r="35" spans="1:24" customFormat="1">
      <c r="A35" s="185" t="s">
        <v>5041</v>
      </c>
      <c r="B35" s="185" t="s">
        <v>5044</v>
      </c>
      <c r="C35" s="185" t="s">
        <v>1792</v>
      </c>
      <c r="D35" s="185" t="s">
        <v>4205</v>
      </c>
      <c r="E35" s="185">
        <v>24081002</v>
      </c>
      <c r="F35" s="185" t="s">
        <v>1866</v>
      </c>
      <c r="G35" s="185" t="s">
        <v>1515</v>
      </c>
      <c r="I35" s="221">
        <f t="shared" si="12"/>
        <v>19000</v>
      </c>
      <c r="J35" s="221">
        <f t="shared" si="13"/>
        <v>2</v>
      </c>
      <c r="K35" s="234">
        <v>19000</v>
      </c>
      <c r="L35" s="234">
        <v>0</v>
      </c>
      <c r="M35" s="234">
        <v>900424409</v>
      </c>
      <c r="N35" s="185" t="s">
        <v>5045</v>
      </c>
      <c r="O35" s="187">
        <v>44623.352581018502</v>
      </c>
      <c r="P35" s="186">
        <v>225</v>
      </c>
      <c r="Q35" s="185" t="s">
        <v>844</v>
      </c>
      <c r="R35" s="185" t="s">
        <v>1598</v>
      </c>
      <c r="U35" s="190" t="str">
        <f>VLOOKUP(E35,Valida!$A$2:$K$271,4,FALSE)</f>
        <v>Trade and other payables</v>
      </c>
      <c r="V35" s="185" t="s">
        <v>1864</v>
      </c>
      <c r="W35" s="185" t="s">
        <v>1865</v>
      </c>
      <c r="X35" s="185" t="s">
        <v>1789</v>
      </c>
    </row>
    <row r="36" spans="1:24" customFormat="1">
      <c r="A36" s="185" t="s">
        <v>5041</v>
      </c>
      <c r="B36" s="185" t="s">
        <v>5046</v>
      </c>
      <c r="C36" s="185" t="s">
        <v>1792</v>
      </c>
      <c r="D36" s="185" t="s">
        <v>4208</v>
      </c>
      <c r="E36" s="185">
        <v>24081002</v>
      </c>
      <c r="F36" s="185" t="s">
        <v>1866</v>
      </c>
      <c r="G36" s="185" t="s">
        <v>1515</v>
      </c>
      <c r="I36" s="221">
        <f t="shared" ref="I36:I44" si="14">K36-L36</f>
        <v>19000</v>
      </c>
      <c r="J36" s="221">
        <f t="shared" ref="J36:J44" si="15">MONTH(A36)</f>
        <v>2</v>
      </c>
      <c r="K36" s="234">
        <v>19000</v>
      </c>
      <c r="L36" s="234">
        <v>0</v>
      </c>
      <c r="M36" s="234">
        <v>900424409</v>
      </c>
      <c r="N36" s="185" t="s">
        <v>5047</v>
      </c>
      <c r="O36" s="187">
        <v>44623.3539467593</v>
      </c>
      <c r="P36" s="186">
        <v>230</v>
      </c>
      <c r="Q36" s="185" t="s">
        <v>844</v>
      </c>
      <c r="R36" s="185" t="s">
        <v>1598</v>
      </c>
      <c r="U36" s="190" t="str">
        <f>VLOOKUP(E36,Valida!$A$2:$K$271,4,FALSE)</f>
        <v>Trade and other payables</v>
      </c>
      <c r="V36" s="185" t="s">
        <v>1864</v>
      </c>
      <c r="W36" s="185" t="s">
        <v>1865</v>
      </c>
      <c r="X36" s="185" t="s">
        <v>1789</v>
      </c>
    </row>
    <row r="37" spans="1:24" customFormat="1">
      <c r="A37" s="185" t="s">
        <v>5048</v>
      </c>
      <c r="B37" s="185" t="s">
        <v>5049</v>
      </c>
      <c r="C37" s="185" t="s">
        <v>1792</v>
      </c>
      <c r="D37" s="185" t="s">
        <v>4215</v>
      </c>
      <c r="E37" s="185">
        <v>24081001</v>
      </c>
      <c r="F37" s="185" t="s">
        <v>5050</v>
      </c>
      <c r="G37" s="185" t="s">
        <v>1515</v>
      </c>
      <c r="I37" s="221">
        <f t="shared" si="14"/>
        <v>718</v>
      </c>
      <c r="J37" s="221">
        <f t="shared" si="15"/>
        <v>2</v>
      </c>
      <c r="K37" s="234">
        <v>718</v>
      </c>
      <c r="L37" s="234">
        <v>0</v>
      </c>
      <c r="M37" s="234">
        <v>900276962</v>
      </c>
      <c r="N37" s="185" t="s">
        <v>5049</v>
      </c>
      <c r="O37" s="187">
        <v>44623.398657407401</v>
      </c>
      <c r="P37" s="186">
        <v>237</v>
      </c>
      <c r="Q37" s="185" t="s">
        <v>6</v>
      </c>
      <c r="R37" s="185" t="s">
        <v>5051</v>
      </c>
      <c r="U37" s="190" t="str">
        <f>VLOOKUP(E37,Valida!$A$2:$K$271,4,FALSE)</f>
        <v>Trade and other payables</v>
      </c>
      <c r="V37" s="185" t="s">
        <v>5052</v>
      </c>
      <c r="W37" t="s">
        <v>5053</v>
      </c>
      <c r="X37" s="185" t="s">
        <v>1789</v>
      </c>
    </row>
    <row r="38" spans="1:24" customFormat="1">
      <c r="A38" s="185" t="s">
        <v>5048</v>
      </c>
      <c r="B38" s="185" t="s">
        <v>5049</v>
      </c>
      <c r="C38" s="185" t="s">
        <v>1792</v>
      </c>
      <c r="D38" s="185" t="s">
        <v>4215</v>
      </c>
      <c r="E38" s="185">
        <v>24081005</v>
      </c>
      <c r="F38" s="185" t="s">
        <v>5050</v>
      </c>
      <c r="G38" s="185" t="s">
        <v>1515</v>
      </c>
      <c r="I38" s="221">
        <f t="shared" si="14"/>
        <v>319</v>
      </c>
      <c r="J38" s="221">
        <f t="shared" si="15"/>
        <v>2</v>
      </c>
      <c r="K38" s="234">
        <v>319</v>
      </c>
      <c r="L38" s="234">
        <v>0</v>
      </c>
      <c r="M38" s="234">
        <v>900276962</v>
      </c>
      <c r="N38" s="185" t="s">
        <v>5049</v>
      </c>
      <c r="O38" s="187">
        <v>44623.398657407401</v>
      </c>
      <c r="P38" s="186">
        <v>239</v>
      </c>
      <c r="Q38" s="185" t="s">
        <v>6</v>
      </c>
      <c r="R38" s="185" t="s">
        <v>5051</v>
      </c>
      <c r="U38" s="190" t="str">
        <f>VLOOKUP(E38,Valida!$A$2:$K$271,4,FALSE)</f>
        <v>Trade and other payables</v>
      </c>
      <c r="V38" s="185" t="s">
        <v>5052</v>
      </c>
      <c r="W38" t="s">
        <v>5053</v>
      </c>
      <c r="X38" s="185" t="s">
        <v>1789</v>
      </c>
    </row>
    <row r="39" spans="1:24" customFormat="1">
      <c r="A39" s="185" t="s">
        <v>5054</v>
      </c>
      <c r="B39" s="185" t="s">
        <v>5055</v>
      </c>
      <c r="C39" s="185" t="s">
        <v>1792</v>
      </c>
      <c r="D39" s="185" t="s">
        <v>4218</v>
      </c>
      <c r="E39" s="185">
        <v>24081005</v>
      </c>
      <c r="F39" s="185" t="s">
        <v>5056</v>
      </c>
      <c r="G39" s="185" t="s">
        <v>1515</v>
      </c>
      <c r="I39" s="221">
        <f t="shared" si="14"/>
        <v>1000</v>
      </c>
      <c r="J39" s="221">
        <f t="shared" si="15"/>
        <v>2</v>
      </c>
      <c r="K39" s="234">
        <v>1000</v>
      </c>
      <c r="L39" s="234">
        <v>0</v>
      </c>
      <c r="M39" s="234">
        <v>900803591</v>
      </c>
      <c r="N39" s="185" t="s">
        <v>5057</v>
      </c>
      <c r="O39" s="187">
        <v>44623.408807870401</v>
      </c>
      <c r="P39" s="186">
        <v>244</v>
      </c>
      <c r="Q39" s="185" t="s">
        <v>433</v>
      </c>
      <c r="R39" s="185" t="s">
        <v>4957</v>
      </c>
      <c r="U39" s="190" t="str">
        <f>VLOOKUP(E39,Valida!$A$2:$K$271,4,FALSE)</f>
        <v>Trade and other payables</v>
      </c>
      <c r="V39" s="185" t="s">
        <v>4958</v>
      </c>
      <c r="X39" s="185" t="s">
        <v>1789</v>
      </c>
    </row>
    <row r="40" spans="1:24" customFormat="1">
      <c r="A40" s="185" t="s">
        <v>5054</v>
      </c>
      <c r="B40" s="185" t="s">
        <v>5058</v>
      </c>
      <c r="C40" s="185" t="s">
        <v>1792</v>
      </c>
      <c r="D40" s="185" t="s">
        <v>4220</v>
      </c>
      <c r="E40" s="185">
        <v>24081001</v>
      </c>
      <c r="F40" s="185" t="s">
        <v>5059</v>
      </c>
      <c r="G40" s="185" t="s">
        <v>1515</v>
      </c>
      <c r="I40" s="221">
        <f t="shared" si="14"/>
        <v>1115</v>
      </c>
      <c r="J40" s="221">
        <f t="shared" si="15"/>
        <v>2</v>
      </c>
      <c r="K40" s="234">
        <v>1115</v>
      </c>
      <c r="L40" s="234">
        <v>0</v>
      </c>
      <c r="M40" s="234">
        <v>900480569</v>
      </c>
      <c r="N40" s="185" t="s">
        <v>5058</v>
      </c>
      <c r="O40" s="187">
        <v>44623.414571759298</v>
      </c>
      <c r="P40" s="186">
        <v>249</v>
      </c>
      <c r="Q40" s="185" t="s">
        <v>6</v>
      </c>
      <c r="R40" s="185" t="s">
        <v>4950</v>
      </c>
      <c r="U40" s="190" t="str">
        <f>VLOOKUP(E40,Valida!$A$2:$K$271,4,FALSE)</f>
        <v>Trade and other payables</v>
      </c>
      <c r="V40" s="185" t="s">
        <v>4951</v>
      </c>
      <c r="X40" s="185" t="s">
        <v>1789</v>
      </c>
    </row>
    <row r="41" spans="1:24" customFormat="1">
      <c r="A41" s="185" t="s">
        <v>5060</v>
      </c>
      <c r="B41" s="185" t="s">
        <v>5061</v>
      </c>
      <c r="C41" s="185" t="s">
        <v>1792</v>
      </c>
      <c r="D41" s="185" t="s">
        <v>5062</v>
      </c>
      <c r="E41" s="185">
        <v>24081001</v>
      </c>
      <c r="F41" s="185" t="s">
        <v>5063</v>
      </c>
      <c r="G41" s="185" t="s">
        <v>1515</v>
      </c>
      <c r="I41" s="221">
        <f t="shared" si="14"/>
        <v>2101</v>
      </c>
      <c r="J41" s="221">
        <f t="shared" si="15"/>
        <v>2</v>
      </c>
      <c r="K41" s="234">
        <v>2101</v>
      </c>
      <c r="L41" s="234">
        <v>0</v>
      </c>
      <c r="M41" s="234">
        <v>900480569</v>
      </c>
      <c r="N41" s="185" t="s">
        <v>5061</v>
      </c>
      <c r="O41" s="187">
        <v>44623.420405092598</v>
      </c>
      <c r="P41" s="186">
        <v>256</v>
      </c>
      <c r="Q41" s="185" t="s">
        <v>6</v>
      </c>
      <c r="R41" s="185" t="s">
        <v>4950</v>
      </c>
      <c r="U41" s="190" t="str">
        <f>VLOOKUP(E41,Valida!$A$2:$K$271,4,FALSE)</f>
        <v>Trade and other payables</v>
      </c>
      <c r="V41" s="185" t="s">
        <v>4951</v>
      </c>
      <c r="X41" s="185" t="s">
        <v>1789</v>
      </c>
    </row>
    <row r="42" spans="1:24" customFormat="1">
      <c r="A42" s="185" t="s">
        <v>5064</v>
      </c>
      <c r="B42" s="185" t="s">
        <v>5065</v>
      </c>
      <c r="C42" s="185" t="s">
        <v>1792</v>
      </c>
      <c r="D42" s="185" t="s">
        <v>5066</v>
      </c>
      <c r="E42" s="185">
        <v>24081001</v>
      </c>
      <c r="F42" s="185" t="s">
        <v>5067</v>
      </c>
      <c r="G42" s="185" t="s">
        <v>1515</v>
      </c>
      <c r="I42" s="221">
        <f t="shared" si="14"/>
        <v>8462</v>
      </c>
      <c r="J42" s="221">
        <f t="shared" si="15"/>
        <v>2</v>
      </c>
      <c r="K42" s="234">
        <v>8462</v>
      </c>
      <c r="L42" s="234">
        <v>0</v>
      </c>
      <c r="M42" s="234">
        <v>900803591</v>
      </c>
      <c r="N42" s="185" t="s">
        <v>5068</v>
      </c>
      <c r="O42" s="187">
        <v>44623.427743055603</v>
      </c>
      <c r="P42" s="186">
        <v>263</v>
      </c>
      <c r="Q42" s="185" t="s">
        <v>433</v>
      </c>
      <c r="R42" s="185" t="s">
        <v>4957</v>
      </c>
      <c r="S42" s="185"/>
      <c r="U42" s="190" t="str">
        <f>VLOOKUP(E42,Valida!$A$2:$K$271,4,FALSE)</f>
        <v>Trade and other payables</v>
      </c>
      <c r="V42" s="185" t="s">
        <v>4958</v>
      </c>
      <c r="X42" s="185" t="s">
        <v>1789</v>
      </c>
    </row>
    <row r="43" spans="1:24" customFormat="1">
      <c r="A43" s="185" t="s">
        <v>5064</v>
      </c>
      <c r="B43" s="185" t="s">
        <v>5065</v>
      </c>
      <c r="C43" s="185" t="s">
        <v>1792</v>
      </c>
      <c r="D43" s="185" t="s">
        <v>5066</v>
      </c>
      <c r="E43" s="185">
        <v>24081005</v>
      </c>
      <c r="F43" s="185" t="s">
        <v>5069</v>
      </c>
      <c r="G43" s="185" t="s">
        <v>1515</v>
      </c>
      <c r="I43" s="221">
        <f t="shared" si="14"/>
        <v>4476</v>
      </c>
      <c r="J43" s="221">
        <f t="shared" si="15"/>
        <v>2</v>
      </c>
      <c r="K43" s="234">
        <v>4476</v>
      </c>
      <c r="L43" s="234">
        <v>0</v>
      </c>
      <c r="M43" s="234">
        <v>900803591</v>
      </c>
      <c r="N43" s="185" t="s">
        <v>5068</v>
      </c>
      <c r="O43" s="187">
        <v>44623.427743055603</v>
      </c>
      <c r="P43" s="186">
        <v>264</v>
      </c>
      <c r="Q43" t="s">
        <v>433</v>
      </c>
      <c r="R43" s="185" t="s">
        <v>4957</v>
      </c>
      <c r="U43" s="190" t="str">
        <f>VLOOKUP(E43,Valida!$A$2:$K$271,4,FALSE)</f>
        <v>Trade and other payables</v>
      </c>
      <c r="V43" s="185" t="s">
        <v>4958</v>
      </c>
      <c r="W43" s="185"/>
      <c r="X43" s="185" t="s">
        <v>1789</v>
      </c>
    </row>
    <row r="44" spans="1:24" customFormat="1">
      <c r="A44" s="185" t="s">
        <v>5070</v>
      </c>
      <c r="B44" s="185" t="s">
        <v>5071</v>
      </c>
      <c r="C44" s="185" t="s">
        <v>1792</v>
      </c>
      <c r="D44" s="185" t="s">
        <v>5072</v>
      </c>
      <c r="E44" s="185">
        <v>24081002</v>
      </c>
      <c r="F44" s="185" t="s">
        <v>1830</v>
      </c>
      <c r="G44" s="185" t="s">
        <v>1515</v>
      </c>
      <c r="I44" s="221">
        <f t="shared" si="14"/>
        <v>438900</v>
      </c>
      <c r="J44" s="221">
        <f t="shared" si="15"/>
        <v>2</v>
      </c>
      <c r="K44" s="234">
        <v>438900</v>
      </c>
      <c r="L44" s="234">
        <v>0</v>
      </c>
      <c r="M44" s="234">
        <v>800153993</v>
      </c>
      <c r="N44" s="185" t="s">
        <v>5073</v>
      </c>
      <c r="O44" s="187">
        <v>44624.389733796299</v>
      </c>
      <c r="P44" s="186">
        <v>271</v>
      </c>
      <c r="Q44" s="185" t="s">
        <v>1814</v>
      </c>
      <c r="R44" s="185" t="s">
        <v>1556</v>
      </c>
      <c r="S44" s="185"/>
      <c r="U44" s="190" t="str">
        <f>VLOOKUP(E44,Valida!$A$2:$K$271,4,FALSE)</f>
        <v>Trade and other payables</v>
      </c>
      <c r="V44" s="185" t="s">
        <v>1815</v>
      </c>
      <c r="W44" s="185"/>
      <c r="X44" s="185" t="s">
        <v>1789</v>
      </c>
    </row>
    <row r="45" spans="1:24" customFormat="1">
      <c r="A45" s="185" t="s">
        <v>5074</v>
      </c>
      <c r="B45" s="185" t="s">
        <v>5075</v>
      </c>
      <c r="C45" s="185" t="s">
        <v>1952</v>
      </c>
      <c r="D45" s="185" t="s">
        <v>5076</v>
      </c>
      <c r="E45" s="185">
        <v>24081002</v>
      </c>
      <c r="F45" s="185" t="s">
        <v>4980</v>
      </c>
      <c r="G45" s="185" t="s">
        <v>1515</v>
      </c>
      <c r="I45" s="221">
        <f t="shared" ref="I45:I48" si="16">K45-L45</f>
        <v>13148</v>
      </c>
      <c r="J45" s="221">
        <f t="shared" ref="J45:J48" si="17">MONTH(A45)</f>
        <v>2</v>
      </c>
      <c r="K45" s="234">
        <v>13148</v>
      </c>
      <c r="L45" s="234">
        <v>0</v>
      </c>
      <c r="M45" s="234">
        <v>890903938</v>
      </c>
      <c r="N45" s="185" t="s">
        <v>5075</v>
      </c>
      <c r="O45" s="187">
        <v>44624.607094907398</v>
      </c>
      <c r="P45" s="186">
        <v>298</v>
      </c>
      <c r="Q45" s="185" t="s">
        <v>1827</v>
      </c>
      <c r="R45" s="185" t="s">
        <v>1580</v>
      </c>
      <c r="U45" s="190" t="str">
        <f>VLOOKUP(E45,Valida!$A$2:$K$271,4,FALSE)</f>
        <v>Trade and other payables</v>
      </c>
      <c r="V45" s="185" t="s">
        <v>1955</v>
      </c>
      <c r="X45" s="185" t="s">
        <v>1844</v>
      </c>
    </row>
    <row r="46" spans="1:24" customFormat="1">
      <c r="A46" s="185" t="s">
        <v>5074</v>
      </c>
      <c r="B46" s="185" t="s">
        <v>5075</v>
      </c>
      <c r="C46" s="185" t="s">
        <v>1952</v>
      </c>
      <c r="D46" s="185" t="s">
        <v>5076</v>
      </c>
      <c r="E46" s="185">
        <v>24081002</v>
      </c>
      <c r="F46" s="185" t="s">
        <v>4981</v>
      </c>
      <c r="G46" s="185" t="s">
        <v>1515</v>
      </c>
      <c r="I46" s="221">
        <f t="shared" si="16"/>
        <v>13554.47</v>
      </c>
      <c r="J46" s="221">
        <f t="shared" si="17"/>
        <v>2</v>
      </c>
      <c r="K46" s="234">
        <v>13554.47</v>
      </c>
      <c r="L46" s="234">
        <v>0</v>
      </c>
      <c r="M46" s="234">
        <v>890903938</v>
      </c>
      <c r="N46" s="185" t="s">
        <v>5075</v>
      </c>
      <c r="O46" s="187">
        <v>44624.607106481497</v>
      </c>
      <c r="P46" s="186">
        <v>302</v>
      </c>
      <c r="Q46" s="185" t="s">
        <v>1827</v>
      </c>
      <c r="R46" s="185" t="s">
        <v>1580</v>
      </c>
      <c r="U46" s="190" t="str">
        <f>VLOOKUP(E46,Valida!$A$2:$K$271,4,FALSE)</f>
        <v>Trade and other payables</v>
      </c>
      <c r="V46" s="185" t="s">
        <v>1955</v>
      </c>
      <c r="X46" s="185" t="s">
        <v>1844</v>
      </c>
    </row>
    <row r="47" spans="1:24" customFormat="1">
      <c r="A47" s="185" t="s">
        <v>5074</v>
      </c>
      <c r="B47" s="185" t="s">
        <v>5075</v>
      </c>
      <c r="C47" s="185" t="s">
        <v>1952</v>
      </c>
      <c r="D47" s="185" t="s">
        <v>5076</v>
      </c>
      <c r="E47" s="185">
        <v>24081002</v>
      </c>
      <c r="F47" s="185" t="s">
        <v>4982</v>
      </c>
      <c r="G47" s="185" t="s">
        <v>1515</v>
      </c>
      <c r="I47" s="221">
        <f t="shared" si="16"/>
        <v>421.8</v>
      </c>
      <c r="J47" s="221">
        <f t="shared" si="17"/>
        <v>2</v>
      </c>
      <c r="K47" s="234">
        <v>421.8</v>
      </c>
      <c r="L47" s="234">
        <v>0</v>
      </c>
      <c r="M47" s="234">
        <v>890903938</v>
      </c>
      <c r="N47" s="185" t="s">
        <v>5075</v>
      </c>
      <c r="O47" s="187">
        <v>44624.607106481497</v>
      </c>
      <c r="P47" s="186">
        <v>306</v>
      </c>
      <c r="Q47" s="185" t="s">
        <v>1827</v>
      </c>
      <c r="R47" s="185" t="s">
        <v>1580</v>
      </c>
      <c r="U47" s="190" t="str">
        <f>VLOOKUP(E47,Valida!$A$2:$K$271,4,FALSE)</f>
        <v>Trade and other payables</v>
      </c>
      <c r="V47" s="185" t="s">
        <v>1955</v>
      </c>
      <c r="X47" s="185" t="s">
        <v>1844</v>
      </c>
    </row>
    <row r="48" spans="1:24" customFormat="1">
      <c r="A48" s="185" t="s">
        <v>5074</v>
      </c>
      <c r="B48" s="185" t="s">
        <v>5075</v>
      </c>
      <c r="C48" s="185" t="s">
        <v>1952</v>
      </c>
      <c r="D48" s="185" t="s">
        <v>5076</v>
      </c>
      <c r="E48" s="185">
        <v>24081002</v>
      </c>
      <c r="F48" s="185" t="s">
        <v>1468</v>
      </c>
      <c r="G48" s="185" t="s">
        <v>1515</v>
      </c>
      <c r="I48" s="221">
        <f t="shared" si="16"/>
        <v>4901.72</v>
      </c>
      <c r="J48" s="221">
        <f t="shared" si="17"/>
        <v>2</v>
      </c>
      <c r="K48" s="234">
        <v>4901.72</v>
      </c>
      <c r="L48" s="234">
        <v>0</v>
      </c>
      <c r="M48" s="234">
        <v>890903938</v>
      </c>
      <c r="N48" s="185" t="s">
        <v>5075</v>
      </c>
      <c r="O48" s="187">
        <v>44624.607106481497</v>
      </c>
      <c r="P48" s="186">
        <v>310</v>
      </c>
      <c r="Q48" t="s">
        <v>1827</v>
      </c>
      <c r="R48" s="185" t="s">
        <v>1580</v>
      </c>
      <c r="S48" s="185"/>
      <c r="U48" s="190" t="str">
        <f>VLOOKUP(E48,Valida!$A$2:$K$271,4,FALSE)</f>
        <v>Trade and other payables</v>
      </c>
      <c r="V48" s="185" t="s">
        <v>1955</v>
      </c>
      <c r="W48" s="185"/>
      <c r="X48" s="185" t="s">
        <v>1844</v>
      </c>
    </row>
    <row r="49" spans="1:24" customFormat="1">
      <c r="A49" s="185" t="s">
        <v>5074</v>
      </c>
      <c r="B49" s="185" t="s">
        <v>5077</v>
      </c>
      <c r="C49" s="185" t="s">
        <v>1792</v>
      </c>
      <c r="D49" s="185" t="s">
        <v>5078</v>
      </c>
      <c r="E49" s="185">
        <v>24081001</v>
      </c>
      <c r="F49" s="185" t="s">
        <v>5079</v>
      </c>
      <c r="G49" s="185" t="s">
        <v>1515</v>
      </c>
      <c r="I49" s="221">
        <f t="shared" ref="I49" si="18">K49-L49</f>
        <v>3992</v>
      </c>
      <c r="J49" s="221">
        <f t="shared" ref="J49" si="19">MONTH(A49)</f>
        <v>2</v>
      </c>
      <c r="K49" s="234">
        <v>3992</v>
      </c>
      <c r="L49" s="234">
        <v>0</v>
      </c>
      <c r="M49" s="234">
        <v>900803591</v>
      </c>
      <c r="N49" s="185" t="s">
        <v>5080</v>
      </c>
      <c r="O49" s="187">
        <v>44627.488611111097</v>
      </c>
      <c r="P49" s="186">
        <v>393</v>
      </c>
      <c r="Q49" t="s">
        <v>433</v>
      </c>
      <c r="R49" s="185" t="s">
        <v>4957</v>
      </c>
      <c r="U49" s="190" t="str">
        <f>VLOOKUP(E49,Valida!$A$2:$K$271,4,FALSE)</f>
        <v>Trade and other payables</v>
      </c>
      <c r="V49" s="185" t="s">
        <v>4958</v>
      </c>
      <c r="X49" s="185" t="s">
        <v>1789</v>
      </c>
    </row>
    <row r="50" spans="1:24" customFormat="1">
      <c r="A50" s="185" t="s">
        <v>5081</v>
      </c>
      <c r="B50" s="185" t="s">
        <v>5082</v>
      </c>
      <c r="C50" s="185" t="s">
        <v>1792</v>
      </c>
      <c r="D50" s="185" t="s">
        <v>5083</v>
      </c>
      <c r="E50" s="185">
        <v>24081002</v>
      </c>
      <c r="F50" s="185" t="s">
        <v>1866</v>
      </c>
      <c r="G50" s="185" t="s">
        <v>1515</v>
      </c>
      <c r="I50" s="221">
        <f t="shared" ref="I50:I52" si="20">K50-L50</f>
        <v>19000</v>
      </c>
      <c r="J50" s="221">
        <f t="shared" ref="J50:J52" si="21">MONTH(A50)</f>
        <v>3</v>
      </c>
      <c r="K50" s="234">
        <v>19000</v>
      </c>
      <c r="L50" s="234">
        <v>0</v>
      </c>
      <c r="M50" s="234">
        <v>900424409</v>
      </c>
      <c r="N50" s="185" t="s">
        <v>5084</v>
      </c>
      <c r="O50" s="187">
        <v>44659.552488425899</v>
      </c>
      <c r="P50" s="186">
        <v>2437</v>
      </c>
      <c r="Q50" t="s">
        <v>844</v>
      </c>
      <c r="R50" s="185" t="s">
        <v>1598</v>
      </c>
      <c r="U50" s="190" t="str">
        <f>VLOOKUP(E50,Valida!$A$2:$K$271,4,FALSE)</f>
        <v>Trade and other payables</v>
      </c>
      <c r="V50" t="s">
        <v>1864</v>
      </c>
      <c r="W50" t="s">
        <v>1865</v>
      </c>
      <c r="X50" t="s">
        <v>1789</v>
      </c>
    </row>
    <row r="51" spans="1:24" customFormat="1">
      <c r="A51" s="185" t="s">
        <v>5081</v>
      </c>
      <c r="B51" s="185" t="s">
        <v>5085</v>
      </c>
      <c r="C51" s="185" t="s">
        <v>1792</v>
      </c>
      <c r="D51" s="185" t="s">
        <v>5086</v>
      </c>
      <c r="E51" s="185">
        <v>24081001</v>
      </c>
      <c r="F51" s="185" t="s">
        <v>5087</v>
      </c>
      <c r="G51" s="185" t="s">
        <v>1515</v>
      </c>
      <c r="I51" s="221">
        <f t="shared" si="20"/>
        <v>8622</v>
      </c>
      <c r="J51" s="221">
        <f t="shared" si="21"/>
        <v>3</v>
      </c>
      <c r="K51" s="234">
        <v>8622</v>
      </c>
      <c r="L51" s="234">
        <v>0</v>
      </c>
      <c r="M51" s="234">
        <v>900803591</v>
      </c>
      <c r="N51" s="185" t="s">
        <v>5088</v>
      </c>
      <c r="O51" s="187">
        <v>44659.554444444402</v>
      </c>
      <c r="P51" s="186">
        <v>2442</v>
      </c>
      <c r="Q51" t="s">
        <v>433</v>
      </c>
      <c r="R51" s="185" t="s">
        <v>4957</v>
      </c>
      <c r="U51" s="190" t="str">
        <f>VLOOKUP(E51,Valida!$A$2:$K$271,4,FALSE)</f>
        <v>Trade and other payables</v>
      </c>
      <c r="V51" t="s">
        <v>4958</v>
      </c>
      <c r="X51" t="s">
        <v>1789</v>
      </c>
    </row>
    <row r="52" spans="1:24" customFormat="1">
      <c r="A52" s="185" t="s">
        <v>5081</v>
      </c>
      <c r="B52" s="185" t="s">
        <v>5089</v>
      </c>
      <c r="C52" s="185" t="s">
        <v>1792</v>
      </c>
      <c r="D52" s="185" t="s">
        <v>5090</v>
      </c>
      <c r="E52" s="185">
        <v>24081001</v>
      </c>
      <c r="F52" s="185" t="s">
        <v>5091</v>
      </c>
      <c r="G52" s="185" t="s">
        <v>1515</v>
      </c>
      <c r="I52" s="221">
        <f t="shared" si="20"/>
        <v>4311</v>
      </c>
      <c r="J52" s="221">
        <f t="shared" si="21"/>
        <v>3</v>
      </c>
      <c r="K52" s="234">
        <v>4311</v>
      </c>
      <c r="L52" s="234">
        <v>0</v>
      </c>
      <c r="M52" s="234">
        <v>900803591</v>
      </c>
      <c r="N52" s="185" t="s">
        <v>5092</v>
      </c>
      <c r="O52" s="187">
        <v>44659.5555439815</v>
      </c>
      <c r="P52" s="186">
        <v>2445</v>
      </c>
      <c r="Q52" s="185" t="s">
        <v>433</v>
      </c>
      <c r="R52" s="185" t="s">
        <v>4957</v>
      </c>
      <c r="U52" s="190" t="str">
        <f>VLOOKUP(E52,Valida!$A$2:$K$271,4,FALSE)</f>
        <v>Trade and other payables</v>
      </c>
      <c r="V52" s="185" t="s">
        <v>4958</v>
      </c>
      <c r="X52" s="185" t="s">
        <v>1789</v>
      </c>
    </row>
    <row r="53" spans="1:24" customFormat="1">
      <c r="A53" s="185" t="s">
        <v>5093</v>
      </c>
      <c r="B53" s="185" t="s">
        <v>5094</v>
      </c>
      <c r="C53" s="185" t="s">
        <v>1792</v>
      </c>
      <c r="D53" s="185" t="s">
        <v>5095</v>
      </c>
      <c r="E53" s="185">
        <v>24081002</v>
      </c>
      <c r="F53" s="185" t="s">
        <v>4953</v>
      </c>
      <c r="G53" s="185" t="s">
        <v>1515</v>
      </c>
      <c r="I53" s="221">
        <f t="shared" ref="I53:I56" si="22">K53-L53</f>
        <v>438900</v>
      </c>
      <c r="J53" s="221">
        <f t="shared" ref="J53:J56" si="23">MONTH(A53)</f>
        <v>3</v>
      </c>
      <c r="K53" s="234">
        <v>438900</v>
      </c>
      <c r="L53" s="234">
        <v>0</v>
      </c>
      <c r="M53" s="234">
        <v>800153993</v>
      </c>
      <c r="N53" s="185" t="s">
        <v>5096</v>
      </c>
      <c r="O53" s="187">
        <v>44659.471759259301</v>
      </c>
      <c r="P53" s="186">
        <v>2400</v>
      </c>
      <c r="Q53" t="s">
        <v>1814</v>
      </c>
      <c r="R53" s="185" t="s">
        <v>1556</v>
      </c>
      <c r="S53" s="185"/>
      <c r="U53" s="190" t="str">
        <f>VLOOKUP(E53,Valida!$A$2:$K$271,4,FALSE)</f>
        <v>Trade and other payables</v>
      </c>
      <c r="V53" t="s">
        <v>1815</v>
      </c>
      <c r="X53" t="s">
        <v>1789</v>
      </c>
    </row>
    <row r="54" spans="1:24" customFormat="1">
      <c r="A54" s="185" t="s">
        <v>5097</v>
      </c>
      <c r="B54" s="185" t="s">
        <v>5098</v>
      </c>
      <c r="C54" s="185" t="s">
        <v>1952</v>
      </c>
      <c r="D54" s="185" t="s">
        <v>5099</v>
      </c>
      <c r="E54" s="185">
        <v>24081002</v>
      </c>
      <c r="F54" s="185" t="s">
        <v>4980</v>
      </c>
      <c r="G54" s="185" t="s">
        <v>1515</v>
      </c>
      <c r="I54" s="221">
        <f t="shared" si="22"/>
        <v>13148</v>
      </c>
      <c r="J54" s="221">
        <f t="shared" si="23"/>
        <v>3</v>
      </c>
      <c r="K54" s="234">
        <v>13148</v>
      </c>
      <c r="L54" s="234">
        <v>0</v>
      </c>
      <c r="M54" s="234">
        <v>890903938</v>
      </c>
      <c r="N54" s="185" t="s">
        <v>5098</v>
      </c>
      <c r="O54" s="187">
        <v>44659.495428240698</v>
      </c>
      <c r="P54" s="186">
        <v>2423</v>
      </c>
      <c r="Q54" s="185" t="s">
        <v>1827</v>
      </c>
      <c r="R54" s="185" t="s">
        <v>1580</v>
      </c>
      <c r="U54" s="190" t="str">
        <f>VLOOKUP(E54,Valida!$A$2:$K$271,4,FALSE)</f>
        <v>Trade and other payables</v>
      </c>
      <c r="V54" s="185" t="s">
        <v>1955</v>
      </c>
      <c r="X54" s="185" t="s">
        <v>1844</v>
      </c>
    </row>
    <row r="55" spans="1:24" customFormat="1">
      <c r="A55" s="185" t="s">
        <v>5097</v>
      </c>
      <c r="B55" s="185" t="s">
        <v>5098</v>
      </c>
      <c r="C55" s="185" t="s">
        <v>1952</v>
      </c>
      <c r="D55" s="185" t="s">
        <v>5099</v>
      </c>
      <c r="E55" s="185">
        <v>24081002</v>
      </c>
      <c r="F55" s="185" t="s">
        <v>5100</v>
      </c>
      <c r="G55" s="185" t="s">
        <v>1515</v>
      </c>
      <c r="I55" s="221">
        <f t="shared" si="22"/>
        <v>13139.79</v>
      </c>
      <c r="J55" s="221">
        <f t="shared" si="23"/>
        <v>3</v>
      </c>
      <c r="K55" s="234">
        <v>13139.79</v>
      </c>
      <c r="L55" s="234">
        <v>0</v>
      </c>
      <c r="M55" s="234">
        <v>890903938</v>
      </c>
      <c r="N55" s="185" t="s">
        <v>5098</v>
      </c>
      <c r="O55" s="187">
        <v>44659.495428240698</v>
      </c>
      <c r="P55" s="186">
        <v>2427</v>
      </c>
      <c r="Q55" s="185" t="s">
        <v>1827</v>
      </c>
      <c r="R55" s="185" t="s">
        <v>1580</v>
      </c>
      <c r="U55" s="190" t="str">
        <f>VLOOKUP(E55,Valida!$A$2:$K$271,4,FALSE)</f>
        <v>Trade and other payables</v>
      </c>
      <c r="V55" s="185" t="s">
        <v>1955</v>
      </c>
      <c r="W55" s="185"/>
      <c r="X55" t="s">
        <v>1844</v>
      </c>
    </row>
    <row r="56" spans="1:24" customFormat="1">
      <c r="A56" s="185" t="s">
        <v>5081</v>
      </c>
      <c r="B56" s="185" t="s">
        <v>5101</v>
      </c>
      <c r="C56" s="185" t="s">
        <v>1792</v>
      </c>
      <c r="D56" s="185" t="s">
        <v>5102</v>
      </c>
      <c r="E56" s="185">
        <v>24081001</v>
      </c>
      <c r="F56" s="185" t="s">
        <v>5103</v>
      </c>
      <c r="G56" s="185" t="s">
        <v>1515</v>
      </c>
      <c r="I56" s="221">
        <f t="shared" si="22"/>
        <v>11208</v>
      </c>
      <c r="J56" s="221">
        <f t="shared" si="23"/>
        <v>3</v>
      </c>
      <c r="K56" s="234">
        <v>11208</v>
      </c>
      <c r="L56" s="234">
        <v>0</v>
      </c>
      <c r="M56" s="234">
        <v>830037946</v>
      </c>
      <c r="N56" s="185" t="s">
        <v>5104</v>
      </c>
      <c r="O56" s="187">
        <v>44659.558344907397</v>
      </c>
      <c r="P56" s="186">
        <v>2452</v>
      </c>
      <c r="Q56" s="185" t="s">
        <v>844</v>
      </c>
      <c r="R56" s="185" t="s">
        <v>4996</v>
      </c>
      <c r="U56" s="190" t="str">
        <f>VLOOKUP(E56,Valida!$A$2:$K$271,4,FALSE)</f>
        <v>Trade and other payables</v>
      </c>
      <c r="V56" t="s">
        <v>4997</v>
      </c>
      <c r="W56" t="s">
        <v>4998</v>
      </c>
      <c r="X56" s="185"/>
    </row>
    <row r="57" spans="1:24" customFormat="1">
      <c r="A57" s="185" t="s">
        <v>5105</v>
      </c>
      <c r="B57" s="185" t="s">
        <v>5106</v>
      </c>
      <c r="C57" s="185" t="s">
        <v>1792</v>
      </c>
      <c r="D57" s="185" t="s">
        <v>5107</v>
      </c>
      <c r="E57" s="185">
        <v>24081005</v>
      </c>
      <c r="F57" s="185" t="s">
        <v>5108</v>
      </c>
      <c r="G57" s="185" t="s">
        <v>1515</v>
      </c>
      <c r="I57" s="221">
        <f t="shared" ref="I57:I66" si="24">K57-L57</f>
        <v>2571</v>
      </c>
      <c r="J57" s="221">
        <f t="shared" ref="J57:J66" si="25">MONTH(A57)</f>
        <v>3</v>
      </c>
      <c r="K57" s="234">
        <v>2571</v>
      </c>
      <c r="L57" s="234">
        <v>0</v>
      </c>
      <c r="M57" s="234">
        <v>900803591</v>
      </c>
      <c r="N57" s="185" t="s">
        <v>5109</v>
      </c>
      <c r="O57" s="187">
        <v>44659.560162037</v>
      </c>
      <c r="P57" s="186">
        <v>2457</v>
      </c>
      <c r="Q57" s="185" t="s">
        <v>433</v>
      </c>
      <c r="R57" s="185" t="s">
        <v>4957</v>
      </c>
      <c r="U57" s="190" t="str">
        <f>VLOOKUP(E57,Valida!$A$2:$K$271,4,FALSE)</f>
        <v>Trade and other payables</v>
      </c>
      <c r="V57" t="s">
        <v>4958</v>
      </c>
      <c r="X57" t="s">
        <v>1789</v>
      </c>
    </row>
    <row r="58" spans="1:24" customFormat="1">
      <c r="A58" s="185" t="s">
        <v>5110</v>
      </c>
      <c r="B58" s="185" t="s">
        <v>5111</v>
      </c>
      <c r="C58" s="185" t="s">
        <v>1792</v>
      </c>
      <c r="D58" s="185" t="s">
        <v>5112</v>
      </c>
      <c r="E58" s="185">
        <v>24081002</v>
      </c>
      <c r="F58" s="185" t="s">
        <v>5113</v>
      </c>
      <c r="G58" s="185" t="s">
        <v>1515</v>
      </c>
      <c r="I58" s="221">
        <f t="shared" si="24"/>
        <v>35427</v>
      </c>
      <c r="J58" s="221">
        <f t="shared" si="25"/>
        <v>4</v>
      </c>
      <c r="K58" s="234">
        <v>35427</v>
      </c>
      <c r="L58" s="234">
        <v>0</v>
      </c>
      <c r="M58" s="234">
        <v>860010451</v>
      </c>
      <c r="N58" s="185" t="s">
        <v>5114</v>
      </c>
      <c r="O58" s="187">
        <v>44673.354039351798</v>
      </c>
      <c r="P58" s="186">
        <v>2485</v>
      </c>
      <c r="Q58" s="185" t="s">
        <v>6</v>
      </c>
      <c r="R58" s="185" t="s">
        <v>1568</v>
      </c>
      <c r="U58" s="190" t="str">
        <f>VLOOKUP(E58,Valida!$A$2:$K$271,4,FALSE)</f>
        <v>Trade and other payables</v>
      </c>
      <c r="V58" s="185" t="s">
        <v>2035</v>
      </c>
      <c r="W58" s="185" t="s">
        <v>2036</v>
      </c>
      <c r="X58" s="185" t="s">
        <v>1789</v>
      </c>
    </row>
    <row r="59" spans="1:24" customFormat="1">
      <c r="A59" s="185" t="s">
        <v>5115</v>
      </c>
      <c r="B59" s="185" t="s">
        <v>5116</v>
      </c>
      <c r="C59" s="185" t="s">
        <v>1792</v>
      </c>
      <c r="D59" s="185" t="s">
        <v>5117</v>
      </c>
      <c r="E59" s="185">
        <v>24081002</v>
      </c>
      <c r="F59" s="185" t="s">
        <v>5118</v>
      </c>
      <c r="G59" s="185" t="s">
        <v>1515</v>
      </c>
      <c r="I59" s="221">
        <f t="shared" si="24"/>
        <v>2280000</v>
      </c>
      <c r="J59" s="221">
        <f t="shared" si="25"/>
        <v>4</v>
      </c>
      <c r="K59" s="234">
        <v>2280000</v>
      </c>
      <c r="L59" s="234">
        <v>0</v>
      </c>
      <c r="M59" s="234">
        <v>900471482</v>
      </c>
      <c r="N59" s="185" t="s">
        <v>5119</v>
      </c>
      <c r="O59" s="187">
        <v>44673.357060185197</v>
      </c>
      <c r="P59" s="186">
        <v>2490</v>
      </c>
      <c r="Q59" s="185" t="s">
        <v>6</v>
      </c>
      <c r="R59" s="185" t="s">
        <v>1600</v>
      </c>
      <c r="U59" s="190" t="str">
        <f>VLOOKUP(E59,Valida!$A$2:$K$271,4,FALSE)</f>
        <v>Trade and other payables</v>
      </c>
      <c r="V59" s="185" t="s">
        <v>1853</v>
      </c>
      <c r="W59" s="185" t="s">
        <v>1854</v>
      </c>
      <c r="X59" s="185" t="s">
        <v>1789</v>
      </c>
    </row>
    <row r="60" spans="1:24" customFormat="1">
      <c r="A60" s="185" t="s">
        <v>5120</v>
      </c>
      <c r="B60" s="185" t="s">
        <v>5121</v>
      </c>
      <c r="C60" s="185" t="s">
        <v>1792</v>
      </c>
      <c r="D60" s="185" t="s">
        <v>5122</v>
      </c>
      <c r="E60" s="185">
        <v>24081001</v>
      </c>
      <c r="F60" s="185" t="s">
        <v>5123</v>
      </c>
      <c r="G60" s="185" t="s">
        <v>1515</v>
      </c>
      <c r="I60" s="221">
        <f t="shared" si="24"/>
        <v>30815</v>
      </c>
      <c r="J60" s="221">
        <f t="shared" si="25"/>
        <v>4</v>
      </c>
      <c r="K60" s="234">
        <v>30815</v>
      </c>
      <c r="L60" s="234">
        <v>0</v>
      </c>
      <c r="M60" s="234">
        <v>52506944</v>
      </c>
      <c r="N60" s="185" t="s">
        <v>5124</v>
      </c>
      <c r="O60" s="187">
        <v>44673.4287847222</v>
      </c>
      <c r="P60" s="186">
        <v>2503</v>
      </c>
      <c r="Q60" s="185"/>
      <c r="R60" s="185" t="s">
        <v>5125</v>
      </c>
      <c r="U60" s="190" t="str">
        <f>VLOOKUP(E60,Valida!$A$2:$K$271,4,FALSE)</f>
        <v>Trade and other payables</v>
      </c>
      <c r="V60" s="185" t="s">
        <v>5126</v>
      </c>
      <c r="W60" s="185" t="s">
        <v>5127</v>
      </c>
      <c r="X60" s="185" t="s">
        <v>1789</v>
      </c>
    </row>
    <row r="61" spans="1:24" customFormat="1">
      <c r="A61" s="185" t="s">
        <v>5120</v>
      </c>
      <c r="B61" s="185" t="s">
        <v>5128</v>
      </c>
      <c r="C61" s="185" t="s">
        <v>1792</v>
      </c>
      <c r="D61" s="185" t="s">
        <v>5129</v>
      </c>
      <c r="E61" s="185">
        <v>24081005</v>
      </c>
      <c r="F61" s="185" t="s">
        <v>5130</v>
      </c>
      <c r="G61" s="185" t="s">
        <v>1515</v>
      </c>
      <c r="I61" s="221">
        <f t="shared" si="24"/>
        <v>1095</v>
      </c>
      <c r="J61" s="221">
        <f t="shared" si="25"/>
        <v>4</v>
      </c>
      <c r="K61" s="234">
        <v>1095</v>
      </c>
      <c r="L61" s="234">
        <v>0</v>
      </c>
      <c r="M61" s="234">
        <v>900803591</v>
      </c>
      <c r="N61" s="185" t="s">
        <v>5131</v>
      </c>
      <c r="O61" s="187">
        <v>44673.431736111103</v>
      </c>
      <c r="P61" s="186">
        <v>2506</v>
      </c>
      <c r="Q61" s="185" t="s">
        <v>433</v>
      </c>
      <c r="R61" s="185" t="s">
        <v>4957</v>
      </c>
      <c r="U61" s="190" t="str">
        <f>VLOOKUP(E61,Valida!$A$2:$K$271,4,FALSE)</f>
        <v>Trade and other payables</v>
      </c>
      <c r="V61" s="185" t="s">
        <v>4958</v>
      </c>
      <c r="W61" s="185"/>
      <c r="X61" s="185" t="s">
        <v>1789</v>
      </c>
    </row>
    <row r="62" spans="1:24" customFormat="1">
      <c r="A62" s="185" t="s">
        <v>5132</v>
      </c>
      <c r="B62" s="185" t="s">
        <v>5133</v>
      </c>
      <c r="C62" s="185" t="s">
        <v>1792</v>
      </c>
      <c r="D62" s="185" t="s">
        <v>5134</v>
      </c>
      <c r="E62" s="185">
        <v>24081001</v>
      </c>
      <c r="F62" s="185" t="s">
        <v>5135</v>
      </c>
      <c r="G62" s="185" t="s">
        <v>1515</v>
      </c>
      <c r="I62" s="221">
        <f t="shared" si="24"/>
        <v>8510</v>
      </c>
      <c r="J62" s="221">
        <f t="shared" si="25"/>
        <v>4</v>
      </c>
      <c r="K62" s="234">
        <v>8510</v>
      </c>
      <c r="L62" s="234">
        <v>0</v>
      </c>
      <c r="M62" s="234">
        <v>900803591</v>
      </c>
      <c r="N62" s="185" t="s">
        <v>5136</v>
      </c>
      <c r="O62" s="187">
        <v>44673.441018518497</v>
      </c>
      <c r="P62" s="186">
        <v>2509</v>
      </c>
      <c r="Q62" s="185" t="s">
        <v>433</v>
      </c>
      <c r="R62" s="185" t="s">
        <v>4957</v>
      </c>
      <c r="U62" s="190" t="str">
        <f>VLOOKUP(E62,Valida!$A$2:$K$271,4,FALSE)</f>
        <v>Trade and other payables</v>
      </c>
      <c r="V62" s="185" t="s">
        <v>4958</v>
      </c>
      <c r="X62" s="185" t="s">
        <v>1789</v>
      </c>
    </row>
    <row r="63" spans="1:24" customFormat="1">
      <c r="A63" s="185" t="s">
        <v>5132</v>
      </c>
      <c r="B63" s="185" t="s">
        <v>5133</v>
      </c>
      <c r="C63" s="185" t="s">
        <v>1792</v>
      </c>
      <c r="D63" s="185" t="s">
        <v>5134</v>
      </c>
      <c r="E63" s="185">
        <v>24081005</v>
      </c>
      <c r="F63" s="185" t="s">
        <v>5137</v>
      </c>
      <c r="G63" s="185" t="s">
        <v>1515</v>
      </c>
      <c r="I63" s="221">
        <f t="shared" si="24"/>
        <v>2190</v>
      </c>
      <c r="J63" s="221">
        <f t="shared" si="25"/>
        <v>4</v>
      </c>
      <c r="K63" s="234">
        <v>2190</v>
      </c>
      <c r="L63" s="234">
        <v>0</v>
      </c>
      <c r="M63" s="234">
        <v>900803591</v>
      </c>
      <c r="N63" s="185" t="s">
        <v>5136</v>
      </c>
      <c r="O63" s="187">
        <v>44673.441018518497</v>
      </c>
      <c r="P63" s="186">
        <v>2511</v>
      </c>
      <c r="Q63" s="185" t="s">
        <v>433</v>
      </c>
      <c r="R63" s="185" t="s">
        <v>4957</v>
      </c>
      <c r="U63" s="190" t="str">
        <f>VLOOKUP(E63,Valida!$A$2:$K$271,4,FALSE)</f>
        <v>Trade and other payables</v>
      </c>
      <c r="V63" s="185" t="s">
        <v>4958</v>
      </c>
      <c r="X63" s="185" t="s">
        <v>1789</v>
      </c>
    </row>
    <row r="64" spans="1:24" customFormat="1">
      <c r="A64" s="185" t="s">
        <v>5138</v>
      </c>
      <c r="B64" s="185" t="s">
        <v>5139</v>
      </c>
      <c r="C64" s="185" t="s">
        <v>1792</v>
      </c>
      <c r="D64" s="185" t="s">
        <v>5140</v>
      </c>
      <c r="E64" s="185">
        <v>24081002</v>
      </c>
      <c r="F64" s="185" t="s">
        <v>1866</v>
      </c>
      <c r="G64" s="185" t="s">
        <v>1515</v>
      </c>
      <c r="I64" s="221">
        <f t="shared" si="24"/>
        <v>19000</v>
      </c>
      <c r="J64" s="221">
        <f t="shared" si="25"/>
        <v>4</v>
      </c>
      <c r="K64" s="234">
        <v>19000</v>
      </c>
      <c r="L64" s="234">
        <v>0</v>
      </c>
      <c r="M64" s="234">
        <v>900424409</v>
      </c>
      <c r="N64" s="185" t="s">
        <v>5141</v>
      </c>
      <c r="O64" s="187">
        <v>44673.476215277798</v>
      </c>
      <c r="P64" s="186">
        <v>2514</v>
      </c>
      <c r="Q64" s="185" t="s">
        <v>844</v>
      </c>
      <c r="R64" s="185" t="s">
        <v>1598</v>
      </c>
      <c r="U64" s="190" t="str">
        <f>VLOOKUP(E64,Valida!$A$2:$K$271,4,FALSE)</f>
        <v>Trade and other payables</v>
      </c>
      <c r="V64" s="185" t="s">
        <v>1864</v>
      </c>
      <c r="W64" s="185" t="s">
        <v>1865</v>
      </c>
      <c r="X64" s="185" t="s">
        <v>1789</v>
      </c>
    </row>
    <row r="65" spans="1:24" customFormat="1">
      <c r="A65" s="185" t="s">
        <v>5142</v>
      </c>
      <c r="B65" s="185" t="s">
        <v>5143</v>
      </c>
      <c r="C65" s="185" t="s">
        <v>1792</v>
      </c>
      <c r="D65" s="185" t="s">
        <v>5144</v>
      </c>
      <c r="E65" s="185">
        <v>24081001</v>
      </c>
      <c r="F65" s="185" t="s">
        <v>5145</v>
      </c>
      <c r="G65" s="185" t="s">
        <v>1515</v>
      </c>
      <c r="I65" s="221">
        <f t="shared" si="24"/>
        <v>18952</v>
      </c>
      <c r="J65" s="221">
        <f t="shared" si="25"/>
        <v>4</v>
      </c>
      <c r="K65" s="234">
        <v>18952</v>
      </c>
      <c r="L65" s="234">
        <v>0</v>
      </c>
      <c r="M65" s="234">
        <v>900803591</v>
      </c>
      <c r="N65" s="185" t="s">
        <v>5146</v>
      </c>
      <c r="O65" s="187">
        <v>44673.487256944398</v>
      </c>
      <c r="P65" s="186">
        <v>2519</v>
      </c>
      <c r="Q65" s="185" t="s">
        <v>433</v>
      </c>
      <c r="R65" s="185" t="s">
        <v>4957</v>
      </c>
      <c r="U65" s="190" t="str">
        <f>VLOOKUP(E65,Valida!$A$2:$K$271,4,FALSE)</f>
        <v>Trade and other payables</v>
      </c>
      <c r="V65" s="185" t="s">
        <v>4958</v>
      </c>
      <c r="W65" s="185"/>
      <c r="X65" s="185" t="s">
        <v>1789</v>
      </c>
    </row>
    <row r="66" spans="1:24" customFormat="1">
      <c r="A66" s="185" t="s">
        <v>5142</v>
      </c>
      <c r="B66" s="185" t="s">
        <v>5143</v>
      </c>
      <c r="C66" s="185" t="s">
        <v>1792</v>
      </c>
      <c r="D66" s="185" t="s">
        <v>5144</v>
      </c>
      <c r="E66" s="185">
        <v>24081005</v>
      </c>
      <c r="F66" s="185" t="s">
        <v>5137</v>
      </c>
      <c r="G66" s="185" t="s">
        <v>1515</v>
      </c>
      <c r="I66" s="221">
        <f t="shared" si="24"/>
        <v>3833</v>
      </c>
      <c r="J66" s="221">
        <f t="shared" si="25"/>
        <v>4</v>
      </c>
      <c r="K66" s="234">
        <v>3833</v>
      </c>
      <c r="L66" s="234">
        <v>0</v>
      </c>
      <c r="M66" s="234">
        <v>900803591</v>
      </c>
      <c r="N66" s="185" t="s">
        <v>5146</v>
      </c>
      <c r="O66" s="187">
        <v>44673.487256944398</v>
      </c>
      <c r="P66" s="186">
        <v>2521</v>
      </c>
      <c r="Q66" s="185" t="s">
        <v>433</v>
      </c>
      <c r="R66" s="185" t="s">
        <v>4957</v>
      </c>
      <c r="U66" s="190" t="str">
        <f>VLOOKUP(E66,Valida!$A$2:$K$271,4,FALSE)</f>
        <v>Trade and other payables</v>
      </c>
      <c r="V66" s="185" t="s">
        <v>4958</v>
      </c>
      <c r="X66" s="185" t="s">
        <v>1789</v>
      </c>
    </row>
    <row r="67" spans="1:24" customFormat="1">
      <c r="A67" s="185" t="s">
        <v>5120</v>
      </c>
      <c r="B67" s="185" t="s">
        <v>5147</v>
      </c>
      <c r="C67" s="185" t="s">
        <v>1792</v>
      </c>
      <c r="D67" s="185" t="s">
        <v>5148</v>
      </c>
      <c r="E67" s="185">
        <v>24081001</v>
      </c>
      <c r="F67" s="185" t="s">
        <v>5149</v>
      </c>
      <c r="G67" s="185" t="s">
        <v>1515</v>
      </c>
      <c r="I67" s="221">
        <f t="shared" ref="I67:I69" si="26">K67-L67</f>
        <v>26536</v>
      </c>
      <c r="J67" s="221">
        <f t="shared" ref="J67:J69" si="27">MONTH(A67)</f>
        <v>4</v>
      </c>
      <c r="K67" s="234">
        <v>26536</v>
      </c>
      <c r="L67" s="234">
        <v>0</v>
      </c>
      <c r="M67" s="234">
        <v>900130908</v>
      </c>
      <c r="N67" s="185" t="s">
        <v>5150</v>
      </c>
      <c r="O67" s="187">
        <v>44673.686574074098</v>
      </c>
      <c r="P67" s="186">
        <v>2529</v>
      </c>
      <c r="Q67" s="185" t="s">
        <v>983</v>
      </c>
      <c r="R67" s="185" t="s">
        <v>1622</v>
      </c>
      <c r="U67" s="190" t="str">
        <f>VLOOKUP(E67,Valida!$A$2:$K$271,4,FALSE)</f>
        <v>Trade and other payables</v>
      </c>
      <c r="V67" s="185" t="s">
        <v>5151</v>
      </c>
      <c r="W67" s="185" t="s">
        <v>5152</v>
      </c>
      <c r="X67" s="185" t="s">
        <v>1789</v>
      </c>
    </row>
    <row r="68" spans="1:24" customFormat="1">
      <c r="A68" s="185" t="s">
        <v>5153</v>
      </c>
      <c r="B68" s="185" t="s">
        <v>5154</v>
      </c>
      <c r="C68" s="185" t="s">
        <v>1792</v>
      </c>
      <c r="D68" s="185" t="s">
        <v>5155</v>
      </c>
      <c r="E68" s="185">
        <v>24081002</v>
      </c>
      <c r="F68" s="185" t="s">
        <v>5156</v>
      </c>
      <c r="G68" s="185" t="s">
        <v>1515</v>
      </c>
      <c r="I68" s="221">
        <f t="shared" si="26"/>
        <v>438900</v>
      </c>
      <c r="J68" s="221">
        <f t="shared" si="27"/>
        <v>4</v>
      </c>
      <c r="K68" s="234">
        <v>438900</v>
      </c>
      <c r="L68" s="234">
        <v>0</v>
      </c>
      <c r="M68" s="234">
        <v>800153993</v>
      </c>
      <c r="N68" s="185" t="s">
        <v>5157</v>
      </c>
      <c r="O68" s="187">
        <v>44673.689490740697</v>
      </c>
      <c r="P68" s="186">
        <v>2534</v>
      </c>
      <c r="Q68" s="185" t="s">
        <v>1814</v>
      </c>
      <c r="R68" s="185" t="s">
        <v>1556</v>
      </c>
      <c r="U68" s="190" t="str">
        <f>VLOOKUP(E68,Valida!$A$2:$K$271,4,FALSE)</f>
        <v>Trade and other payables</v>
      </c>
      <c r="V68" s="185" t="s">
        <v>1815</v>
      </c>
      <c r="W68" s="185"/>
      <c r="X68" s="185" t="s">
        <v>1789</v>
      </c>
    </row>
    <row r="69" spans="1:24" customFormat="1">
      <c r="A69" s="185" t="s">
        <v>5158</v>
      </c>
      <c r="B69" s="185" t="s">
        <v>5159</v>
      </c>
      <c r="C69" s="185" t="s">
        <v>1792</v>
      </c>
      <c r="D69" s="185" t="s">
        <v>5160</v>
      </c>
      <c r="E69" s="185">
        <v>24081001</v>
      </c>
      <c r="F69" s="185" t="s">
        <v>5161</v>
      </c>
      <c r="G69" s="185" t="s">
        <v>1515</v>
      </c>
      <c r="I69" s="221">
        <f t="shared" si="26"/>
        <v>9708</v>
      </c>
      <c r="J69" s="221">
        <f t="shared" si="27"/>
        <v>4</v>
      </c>
      <c r="K69" s="234">
        <v>9708</v>
      </c>
      <c r="L69" s="234">
        <v>0</v>
      </c>
      <c r="M69" s="234">
        <v>79302179</v>
      </c>
      <c r="N69" s="185" t="s">
        <v>5162</v>
      </c>
      <c r="O69" s="187">
        <v>44673.703553240703</v>
      </c>
      <c r="P69" s="186">
        <v>2537</v>
      </c>
      <c r="Q69" s="185" t="s">
        <v>844</v>
      </c>
      <c r="R69" s="185" t="s">
        <v>5163</v>
      </c>
      <c r="U69" s="190" t="str">
        <f>VLOOKUP(E69,Valida!$A$2:$K$271,4,FALSE)</f>
        <v>Trade and other payables</v>
      </c>
      <c r="V69" s="185" t="s">
        <v>5164</v>
      </c>
      <c r="W69" s="185" t="s">
        <v>5165</v>
      </c>
      <c r="X69" s="185" t="s">
        <v>1789</v>
      </c>
    </row>
    <row r="70" spans="1:24" customFormat="1">
      <c r="A70" s="185" t="s">
        <v>5166</v>
      </c>
      <c r="B70" s="185" t="s">
        <v>5167</v>
      </c>
      <c r="C70" s="185" t="s">
        <v>1785</v>
      </c>
      <c r="D70" s="185" t="s">
        <v>5168</v>
      </c>
      <c r="E70" s="185">
        <v>24081002</v>
      </c>
      <c r="F70" s="185" t="s">
        <v>4980</v>
      </c>
      <c r="G70" s="185" t="s">
        <v>1515</v>
      </c>
      <c r="I70" s="221">
        <f t="shared" ref="I70:I71" si="28">K70-L70</f>
        <v>13148</v>
      </c>
      <c r="J70" s="221">
        <f t="shared" ref="J70:J71" si="29">MONTH(A70)</f>
        <v>4</v>
      </c>
      <c r="K70" s="234">
        <v>13148</v>
      </c>
      <c r="L70" s="234">
        <v>0</v>
      </c>
      <c r="M70" s="234">
        <v>890903938</v>
      </c>
      <c r="N70" s="185" t="s">
        <v>5167</v>
      </c>
      <c r="O70" s="187">
        <v>44684.721307870401</v>
      </c>
      <c r="P70" s="186">
        <v>3169</v>
      </c>
      <c r="Q70" s="185" t="s">
        <v>1827</v>
      </c>
      <c r="R70" s="185" t="s">
        <v>1580</v>
      </c>
      <c r="U70" s="190" t="str">
        <f>VLOOKUP(E70,Valida!$A$2:$K$271,4,FALSE)</f>
        <v>Trade and other payables</v>
      </c>
      <c r="V70" t="s">
        <v>1955</v>
      </c>
      <c r="X70" t="s">
        <v>1844</v>
      </c>
    </row>
    <row r="71" spans="1:24" customFormat="1">
      <c r="A71" s="185" t="s">
        <v>5166</v>
      </c>
      <c r="B71" s="185" t="s">
        <v>5167</v>
      </c>
      <c r="C71" s="185" t="s">
        <v>1785</v>
      </c>
      <c r="D71" s="185" t="s">
        <v>5168</v>
      </c>
      <c r="E71" s="185">
        <v>24081002</v>
      </c>
      <c r="F71" s="185" t="s">
        <v>1957</v>
      </c>
      <c r="G71" s="185" t="s">
        <v>1515</v>
      </c>
      <c r="I71" s="221">
        <f t="shared" si="28"/>
        <v>13164.47</v>
      </c>
      <c r="J71" s="221">
        <f t="shared" si="29"/>
        <v>4</v>
      </c>
      <c r="K71" s="234">
        <v>13164.47</v>
      </c>
      <c r="L71" s="234">
        <v>0</v>
      </c>
      <c r="M71" s="234">
        <v>890903938</v>
      </c>
      <c r="N71" s="185" t="s">
        <v>5167</v>
      </c>
      <c r="O71" s="187">
        <v>44684.721307870401</v>
      </c>
      <c r="P71" s="186">
        <v>3173</v>
      </c>
      <c r="Q71" s="185" t="s">
        <v>1827</v>
      </c>
      <c r="R71" s="185" t="s">
        <v>1580</v>
      </c>
      <c r="U71" s="190" t="str">
        <f>VLOOKUP(E71,Valida!$A$2:$K$271,4,FALSE)</f>
        <v>Trade and other payables</v>
      </c>
      <c r="V71" t="s">
        <v>1955</v>
      </c>
      <c r="X71" t="s">
        <v>1844</v>
      </c>
    </row>
    <row r="72" spans="1:24" customFormat="1">
      <c r="A72" s="185" t="s">
        <v>5169</v>
      </c>
      <c r="B72" s="185" t="s">
        <v>5170</v>
      </c>
      <c r="C72" s="185" t="s">
        <v>1792</v>
      </c>
      <c r="D72" s="185" t="s">
        <v>5171</v>
      </c>
      <c r="E72" s="185">
        <v>24081005</v>
      </c>
      <c r="F72" s="185" t="s">
        <v>5172</v>
      </c>
      <c r="G72" s="185" t="s">
        <v>1515</v>
      </c>
      <c r="I72" s="221">
        <f t="shared" ref="I72:I73" si="30">K72-L72</f>
        <v>1071</v>
      </c>
      <c r="J72" s="221">
        <f t="shared" ref="J72:J73" si="31">MONTH(A72)</f>
        <v>5</v>
      </c>
      <c r="K72" s="234">
        <v>1071</v>
      </c>
      <c r="L72" s="234">
        <v>0</v>
      </c>
      <c r="M72" s="234">
        <v>900803591</v>
      </c>
      <c r="N72" s="185" t="s">
        <v>5173</v>
      </c>
      <c r="O72" s="187">
        <v>44712.671817129602</v>
      </c>
      <c r="P72" s="186">
        <v>3248</v>
      </c>
      <c r="Q72" t="s">
        <v>433</v>
      </c>
      <c r="R72" s="185" t="s">
        <v>4957</v>
      </c>
      <c r="U72" s="190" t="str">
        <f>VLOOKUP(E72,Valida!$A$2:$K$271,4,FALSE)</f>
        <v>Trade and other payables</v>
      </c>
      <c r="V72" t="s">
        <v>4958</v>
      </c>
      <c r="X72" t="s">
        <v>1789</v>
      </c>
    </row>
    <row r="73" spans="1:24" customFormat="1">
      <c r="A73" s="185" t="s">
        <v>5169</v>
      </c>
      <c r="B73" s="185" t="s">
        <v>5170</v>
      </c>
      <c r="C73" s="185" t="s">
        <v>1792</v>
      </c>
      <c r="D73" s="185" t="s">
        <v>5171</v>
      </c>
      <c r="E73" s="185">
        <v>24081001</v>
      </c>
      <c r="F73" s="185" t="s">
        <v>4991</v>
      </c>
      <c r="G73" s="185" t="s">
        <v>1515</v>
      </c>
      <c r="I73" s="221">
        <f t="shared" si="30"/>
        <v>4311</v>
      </c>
      <c r="J73" s="221">
        <f t="shared" si="31"/>
        <v>5</v>
      </c>
      <c r="K73" s="234">
        <v>4311</v>
      </c>
      <c r="L73" s="234">
        <v>0</v>
      </c>
      <c r="M73" s="234">
        <v>900803591</v>
      </c>
      <c r="N73" s="185" t="s">
        <v>5173</v>
      </c>
      <c r="O73" s="187">
        <v>44712.671817129602</v>
      </c>
      <c r="P73" s="186">
        <v>3250</v>
      </c>
      <c r="Q73" t="s">
        <v>433</v>
      </c>
      <c r="R73" s="185" t="s">
        <v>4957</v>
      </c>
      <c r="S73" s="185"/>
      <c r="U73" s="190" t="str">
        <f>VLOOKUP(E73,Valida!$A$2:$K$271,4,FALSE)</f>
        <v>Trade and other payables</v>
      </c>
      <c r="V73" t="s">
        <v>4958</v>
      </c>
      <c r="X73" t="s">
        <v>1789</v>
      </c>
    </row>
    <row r="74" spans="1:24" customFormat="1">
      <c r="A74" s="185" t="s">
        <v>5174</v>
      </c>
      <c r="B74" s="185" t="s">
        <v>5175</v>
      </c>
      <c r="C74" s="185" t="s">
        <v>1792</v>
      </c>
      <c r="D74" s="185" t="s">
        <v>5176</v>
      </c>
      <c r="E74" s="185">
        <v>24081001</v>
      </c>
      <c r="F74" s="185" t="s">
        <v>5177</v>
      </c>
      <c r="G74" s="185" t="s">
        <v>1515</v>
      </c>
      <c r="I74" s="221">
        <f t="shared" ref="I74" si="32">K74-L74</f>
        <v>8813</v>
      </c>
      <c r="J74" s="221">
        <f t="shared" ref="J74" si="33">MONTH(A74)</f>
        <v>6</v>
      </c>
      <c r="K74" s="234">
        <v>8813</v>
      </c>
      <c r="L74" s="234">
        <v>0</v>
      </c>
      <c r="M74" s="234">
        <v>830037946</v>
      </c>
      <c r="N74" s="185" t="s">
        <v>5178</v>
      </c>
      <c r="O74" s="187">
        <v>44748.457962963003</v>
      </c>
      <c r="P74" s="186">
        <v>3621</v>
      </c>
      <c r="Q74" t="s">
        <v>844</v>
      </c>
      <c r="R74" s="185" t="s">
        <v>4996</v>
      </c>
      <c r="U74" s="190" t="str">
        <f>VLOOKUP(E74,Valida!$A$2:$K$271,4,FALSE)</f>
        <v>Trade and other payables</v>
      </c>
      <c r="V74" t="s">
        <v>4997</v>
      </c>
      <c r="W74" t="s">
        <v>4998</v>
      </c>
    </row>
    <row r="75" spans="1:24" customFormat="1">
      <c r="A75" s="185" t="s">
        <v>5179</v>
      </c>
      <c r="B75" s="185" t="s">
        <v>5180</v>
      </c>
      <c r="C75" s="185" t="s">
        <v>1785</v>
      </c>
      <c r="D75" s="185" t="s">
        <v>2376</v>
      </c>
      <c r="E75" s="185">
        <v>24081002</v>
      </c>
      <c r="F75" s="185" t="s">
        <v>5181</v>
      </c>
      <c r="G75" s="185" t="s">
        <v>1515</v>
      </c>
      <c r="I75" s="221">
        <f t="shared" ref="I75:I81" si="34">K75-L75</f>
        <v>2280000</v>
      </c>
      <c r="J75" s="221">
        <f t="shared" ref="J75:J81" si="35">MONTH(A75)</f>
        <v>5</v>
      </c>
      <c r="K75" s="234">
        <v>2280000</v>
      </c>
      <c r="L75" s="234">
        <v>0</v>
      </c>
      <c r="M75" s="234">
        <v>900471482</v>
      </c>
      <c r="N75" s="185" t="s">
        <v>5180</v>
      </c>
      <c r="O75" s="187">
        <v>44714.746111111097</v>
      </c>
      <c r="P75" s="186">
        <v>3319</v>
      </c>
      <c r="Q75" s="185" t="s">
        <v>6</v>
      </c>
      <c r="R75" s="185" t="s">
        <v>1600</v>
      </c>
      <c r="S75" s="185"/>
      <c r="U75" s="190" t="str">
        <f>VLOOKUP(E75,Valida!$A$2:$K$271,4,FALSE)</f>
        <v>Trade and other payables</v>
      </c>
      <c r="V75" s="185" t="s">
        <v>1853</v>
      </c>
      <c r="W75" t="s">
        <v>1854</v>
      </c>
      <c r="X75" s="185" t="s">
        <v>1789</v>
      </c>
    </row>
    <row r="76" spans="1:24" customFormat="1">
      <c r="A76" s="185" t="s">
        <v>5179</v>
      </c>
      <c r="B76" s="185" t="s">
        <v>5182</v>
      </c>
      <c r="C76" s="185" t="s">
        <v>1792</v>
      </c>
      <c r="D76" s="185" t="s">
        <v>5183</v>
      </c>
      <c r="E76" s="185">
        <v>24081002</v>
      </c>
      <c r="F76" s="185" t="s">
        <v>5184</v>
      </c>
      <c r="G76" s="185" t="s">
        <v>1515</v>
      </c>
      <c r="I76" s="221">
        <f t="shared" si="34"/>
        <v>53021</v>
      </c>
      <c r="J76" s="221">
        <f t="shared" si="35"/>
        <v>5</v>
      </c>
      <c r="K76" s="234">
        <v>53021</v>
      </c>
      <c r="L76" s="234">
        <v>0</v>
      </c>
      <c r="M76" s="234">
        <v>900092385</v>
      </c>
      <c r="N76" s="185" t="s">
        <v>2286</v>
      </c>
      <c r="O76" s="187">
        <v>44714.775081018503</v>
      </c>
      <c r="P76" s="186">
        <v>3332</v>
      </c>
      <c r="Q76" s="185" t="s">
        <v>1841</v>
      </c>
      <c r="R76" s="185" t="s">
        <v>1590</v>
      </c>
      <c r="U76" s="190" t="str">
        <f>VLOOKUP(E76,Valida!$A$2:$K$271,4,FALSE)</f>
        <v>Trade and other payables</v>
      </c>
      <c r="V76" s="185" t="s">
        <v>1842</v>
      </c>
      <c r="W76" s="185" t="s">
        <v>1843</v>
      </c>
      <c r="X76" s="185" t="s">
        <v>1844</v>
      </c>
    </row>
    <row r="77" spans="1:24" customFormat="1">
      <c r="A77" s="185" t="s">
        <v>5179</v>
      </c>
      <c r="B77" s="185" t="s">
        <v>5182</v>
      </c>
      <c r="C77" s="185" t="s">
        <v>1792</v>
      </c>
      <c r="D77" s="185" t="s">
        <v>5183</v>
      </c>
      <c r="E77" s="185">
        <v>24081002</v>
      </c>
      <c r="F77" s="185" t="s">
        <v>5185</v>
      </c>
      <c r="G77" s="185" t="s">
        <v>1515</v>
      </c>
      <c r="I77" s="221">
        <f t="shared" si="34"/>
        <v>3399</v>
      </c>
      <c r="J77" s="221">
        <f t="shared" si="35"/>
        <v>5</v>
      </c>
      <c r="K77" s="234">
        <v>3399</v>
      </c>
      <c r="L77" s="234">
        <v>0</v>
      </c>
      <c r="M77" s="234">
        <v>900092385</v>
      </c>
      <c r="N77" s="185" t="s">
        <v>2286</v>
      </c>
      <c r="O77" s="187">
        <v>44714.775081018503</v>
      </c>
      <c r="P77" s="186">
        <v>3334</v>
      </c>
      <c r="Q77" s="185" t="s">
        <v>1841</v>
      </c>
      <c r="R77" s="185" t="s">
        <v>1590</v>
      </c>
      <c r="U77" s="190" t="str">
        <f>VLOOKUP(E77,Valida!$A$2:$K$271,4,FALSE)</f>
        <v>Trade and other payables</v>
      </c>
      <c r="V77" s="185" t="s">
        <v>1842</v>
      </c>
      <c r="W77" s="185" t="s">
        <v>1843</v>
      </c>
      <c r="X77" s="185" t="s">
        <v>1844</v>
      </c>
    </row>
    <row r="78" spans="1:24" customFormat="1">
      <c r="A78" s="185" t="s">
        <v>5179</v>
      </c>
      <c r="B78" s="185" t="s">
        <v>5186</v>
      </c>
      <c r="C78" s="185" t="s">
        <v>1792</v>
      </c>
      <c r="D78" s="185" t="s">
        <v>5187</v>
      </c>
      <c r="E78" s="185">
        <v>24081002</v>
      </c>
      <c r="F78" s="185" t="s">
        <v>5188</v>
      </c>
      <c r="G78" s="185" t="s">
        <v>1515</v>
      </c>
      <c r="I78" s="221">
        <f t="shared" si="34"/>
        <v>53021</v>
      </c>
      <c r="J78" s="221">
        <f t="shared" si="35"/>
        <v>5</v>
      </c>
      <c r="K78" s="234">
        <v>53021</v>
      </c>
      <c r="L78" s="234">
        <v>0</v>
      </c>
      <c r="M78" s="234">
        <v>900092385</v>
      </c>
      <c r="N78" s="185" t="s">
        <v>2286</v>
      </c>
      <c r="O78" s="187">
        <v>44715.485358796301</v>
      </c>
      <c r="P78" s="186">
        <v>3341</v>
      </c>
      <c r="Q78" s="185" t="s">
        <v>1841</v>
      </c>
      <c r="R78" s="185" t="s">
        <v>1590</v>
      </c>
      <c r="U78" s="190" t="str">
        <f>VLOOKUP(E78,Valida!$A$2:$K$271,4,FALSE)</f>
        <v>Trade and other payables</v>
      </c>
      <c r="V78" s="185" t="s">
        <v>1842</v>
      </c>
      <c r="W78" t="s">
        <v>1843</v>
      </c>
      <c r="X78" s="185" t="s">
        <v>1844</v>
      </c>
    </row>
    <row r="79" spans="1:24" customFormat="1">
      <c r="A79" s="185" t="s">
        <v>5179</v>
      </c>
      <c r="B79" s="185" t="s">
        <v>5186</v>
      </c>
      <c r="C79" s="185" t="s">
        <v>1792</v>
      </c>
      <c r="D79" s="185" t="s">
        <v>5187</v>
      </c>
      <c r="E79" s="185">
        <v>24081002</v>
      </c>
      <c r="F79" s="185" t="s">
        <v>5189</v>
      </c>
      <c r="G79" s="185" t="s">
        <v>1515</v>
      </c>
      <c r="I79" s="221">
        <f t="shared" si="34"/>
        <v>15376</v>
      </c>
      <c r="J79" s="221">
        <f t="shared" si="35"/>
        <v>5</v>
      </c>
      <c r="K79" s="234">
        <v>15376</v>
      </c>
      <c r="L79" s="234">
        <v>0</v>
      </c>
      <c r="M79" s="234">
        <v>900092385</v>
      </c>
      <c r="N79" s="185" t="s">
        <v>2286</v>
      </c>
      <c r="O79" s="187">
        <v>44715.485358796301</v>
      </c>
      <c r="P79" s="186">
        <v>3343</v>
      </c>
      <c r="Q79" s="185" t="s">
        <v>1841</v>
      </c>
      <c r="R79" s="185" t="s">
        <v>1590</v>
      </c>
      <c r="S79" s="185"/>
      <c r="U79" s="190" t="str">
        <f>VLOOKUP(E79,Valida!$A$2:$K$271,4,FALSE)</f>
        <v>Trade and other payables</v>
      </c>
      <c r="V79" s="185" t="s">
        <v>1842</v>
      </c>
      <c r="W79" t="s">
        <v>1843</v>
      </c>
      <c r="X79" s="185" t="s">
        <v>1844</v>
      </c>
    </row>
    <row r="80" spans="1:24" customFormat="1">
      <c r="A80" s="185" t="s">
        <v>5190</v>
      </c>
      <c r="B80" s="185" t="s">
        <v>5191</v>
      </c>
      <c r="C80" s="185" t="s">
        <v>1792</v>
      </c>
      <c r="D80" s="185" t="s">
        <v>5192</v>
      </c>
      <c r="E80" s="185">
        <v>24081002</v>
      </c>
      <c r="F80" s="185" t="s">
        <v>5193</v>
      </c>
      <c r="G80" s="185" t="s">
        <v>1515</v>
      </c>
      <c r="I80" s="221">
        <f t="shared" si="34"/>
        <v>35427.1</v>
      </c>
      <c r="J80" s="221">
        <f t="shared" si="35"/>
        <v>5</v>
      </c>
      <c r="K80" s="234">
        <v>35427.1</v>
      </c>
      <c r="L80" s="234">
        <v>0</v>
      </c>
      <c r="M80" s="234">
        <v>860010451</v>
      </c>
      <c r="N80" s="185" t="s">
        <v>5194</v>
      </c>
      <c r="O80" s="187">
        <v>44719.742743055598</v>
      </c>
      <c r="P80" s="186">
        <v>3378</v>
      </c>
      <c r="Q80" s="185" t="s">
        <v>6</v>
      </c>
      <c r="R80" s="185" t="s">
        <v>1568</v>
      </c>
      <c r="U80" s="190" t="str">
        <f>VLOOKUP(E80,Valida!$A$2:$K$271,4,FALSE)</f>
        <v>Trade and other payables</v>
      </c>
      <c r="V80" s="185" t="s">
        <v>2035</v>
      </c>
      <c r="W80" t="s">
        <v>2036</v>
      </c>
      <c r="X80" s="185" t="s">
        <v>1789</v>
      </c>
    </row>
    <row r="81" spans="1:24" customFormat="1">
      <c r="A81" s="185" t="s">
        <v>5190</v>
      </c>
      <c r="B81" s="185" t="s">
        <v>5195</v>
      </c>
      <c r="C81" s="185" t="s">
        <v>1792</v>
      </c>
      <c r="D81" s="185" t="s">
        <v>5196</v>
      </c>
      <c r="E81" s="185">
        <v>24081002</v>
      </c>
      <c r="F81" s="185" t="s">
        <v>5197</v>
      </c>
      <c r="G81" s="185" t="s">
        <v>1515</v>
      </c>
      <c r="I81" s="221">
        <f t="shared" si="34"/>
        <v>19000</v>
      </c>
      <c r="J81" s="221">
        <f t="shared" si="35"/>
        <v>5</v>
      </c>
      <c r="K81" s="234">
        <v>19000</v>
      </c>
      <c r="L81" s="234">
        <v>0</v>
      </c>
      <c r="M81" s="234">
        <v>900424409</v>
      </c>
      <c r="N81" s="185" t="s">
        <v>5198</v>
      </c>
      <c r="O81" s="187">
        <v>44719.744699074101</v>
      </c>
      <c r="P81" s="186">
        <v>3382</v>
      </c>
      <c r="Q81" s="185" t="s">
        <v>844</v>
      </c>
      <c r="R81" s="185" t="s">
        <v>1598</v>
      </c>
      <c r="S81" s="185"/>
      <c r="U81" s="190" t="str">
        <f>VLOOKUP(E81,Valida!$A$2:$K$271,4,FALSE)</f>
        <v>Trade and other payables</v>
      </c>
      <c r="V81" t="s">
        <v>1864</v>
      </c>
      <c r="W81" t="s">
        <v>1865</v>
      </c>
      <c r="X81" t="s">
        <v>1789</v>
      </c>
    </row>
    <row r="82" spans="1:24" customFormat="1">
      <c r="A82" s="185" t="s">
        <v>5199</v>
      </c>
      <c r="B82" s="185" t="s">
        <v>5200</v>
      </c>
      <c r="C82" s="185" t="s">
        <v>1792</v>
      </c>
      <c r="D82" s="185" t="s">
        <v>5201</v>
      </c>
      <c r="E82" s="185">
        <v>24081002</v>
      </c>
      <c r="F82" s="185" t="s">
        <v>5202</v>
      </c>
      <c r="G82" s="185" t="s">
        <v>1515</v>
      </c>
      <c r="I82" s="221">
        <f t="shared" ref="I82:I84" si="36">K82-L82</f>
        <v>438900</v>
      </c>
      <c r="J82" s="221">
        <f t="shared" ref="J82:J84" si="37">MONTH(A82)</f>
        <v>5</v>
      </c>
      <c r="K82" s="234">
        <v>438900</v>
      </c>
      <c r="L82" s="234">
        <v>0</v>
      </c>
      <c r="M82" s="234">
        <v>800153993</v>
      </c>
      <c r="N82" s="185" t="s">
        <v>5203</v>
      </c>
      <c r="O82" s="187">
        <v>44719.750833333303</v>
      </c>
      <c r="P82" s="186">
        <v>3389</v>
      </c>
      <c r="Q82" t="s">
        <v>1814</v>
      </c>
      <c r="R82" s="185" t="s">
        <v>1556</v>
      </c>
      <c r="U82" s="190" t="str">
        <f>VLOOKUP(E82,Valida!$A$2:$K$271,4,FALSE)</f>
        <v>Trade and other payables</v>
      </c>
      <c r="V82" t="s">
        <v>1815</v>
      </c>
      <c r="X82" t="s">
        <v>1789</v>
      </c>
    </row>
    <row r="83" spans="1:24" customFormat="1">
      <c r="A83" s="185" t="s">
        <v>5204</v>
      </c>
      <c r="B83" s="185" t="s">
        <v>5205</v>
      </c>
      <c r="C83" s="185" t="s">
        <v>1792</v>
      </c>
      <c r="D83" s="185" t="s">
        <v>5206</v>
      </c>
      <c r="E83" s="185">
        <v>24081001</v>
      </c>
      <c r="F83" s="185" t="s">
        <v>5207</v>
      </c>
      <c r="G83" s="185" t="s">
        <v>1515</v>
      </c>
      <c r="I83" s="221">
        <f t="shared" si="36"/>
        <v>116020</v>
      </c>
      <c r="J83" s="221">
        <f t="shared" si="37"/>
        <v>5</v>
      </c>
      <c r="K83" s="234">
        <v>116020</v>
      </c>
      <c r="L83" s="234">
        <v>0</v>
      </c>
      <c r="M83" s="234">
        <v>830062853</v>
      </c>
      <c r="N83" s="185" t="s">
        <v>5208</v>
      </c>
      <c r="O83" s="187">
        <v>44719.772789351897</v>
      </c>
      <c r="P83" s="186">
        <v>3405</v>
      </c>
      <c r="Q83" s="185" t="s">
        <v>433</v>
      </c>
      <c r="R83" s="185" t="s">
        <v>1564</v>
      </c>
      <c r="S83" s="185"/>
      <c r="U83" s="190" t="str">
        <f>VLOOKUP(E83,Valida!$A$2:$K$271,4,FALSE)</f>
        <v>Trade and other payables</v>
      </c>
      <c r="V83" s="185" t="s">
        <v>2024</v>
      </c>
      <c r="W83" t="s">
        <v>2025</v>
      </c>
      <c r="X83" t="s">
        <v>1789</v>
      </c>
    </row>
    <row r="84" spans="1:24" customFormat="1">
      <c r="A84" s="185" t="s">
        <v>5204</v>
      </c>
      <c r="B84" s="185" t="s">
        <v>5205</v>
      </c>
      <c r="C84" s="185" t="s">
        <v>1792</v>
      </c>
      <c r="D84" s="185" t="s">
        <v>5206</v>
      </c>
      <c r="E84" s="185">
        <v>24081005</v>
      </c>
      <c r="F84" s="185" t="s">
        <v>5209</v>
      </c>
      <c r="G84" s="185" t="s">
        <v>1515</v>
      </c>
      <c r="I84" s="221">
        <f t="shared" si="36"/>
        <v>22544</v>
      </c>
      <c r="J84" s="221">
        <f t="shared" si="37"/>
        <v>5</v>
      </c>
      <c r="K84" s="234">
        <v>22544</v>
      </c>
      <c r="L84" s="234">
        <v>0</v>
      </c>
      <c r="M84" s="234">
        <v>830062853</v>
      </c>
      <c r="N84" s="185" t="s">
        <v>5208</v>
      </c>
      <c r="O84" s="187">
        <v>44719.772789351897</v>
      </c>
      <c r="P84" s="186">
        <v>3407</v>
      </c>
      <c r="Q84" t="s">
        <v>433</v>
      </c>
      <c r="R84" s="185" t="s">
        <v>1564</v>
      </c>
      <c r="U84" s="190" t="str">
        <f>VLOOKUP(E84,Valida!$A$2:$K$271,4,FALSE)</f>
        <v>Trade and other payables</v>
      </c>
      <c r="V84" s="185" t="s">
        <v>2024</v>
      </c>
      <c r="W84" t="s">
        <v>2025</v>
      </c>
      <c r="X84" s="185" t="s">
        <v>1789</v>
      </c>
    </row>
    <row r="85" spans="1:24" customFormat="1">
      <c r="A85" s="185" t="s">
        <v>5210</v>
      </c>
      <c r="B85" s="185" t="s">
        <v>5211</v>
      </c>
      <c r="C85" s="185" t="s">
        <v>1952</v>
      </c>
      <c r="D85" s="185" t="s">
        <v>5212</v>
      </c>
      <c r="E85" s="185">
        <v>24081002</v>
      </c>
      <c r="F85" s="185" t="s">
        <v>4980</v>
      </c>
      <c r="G85" s="185" t="s">
        <v>1515</v>
      </c>
      <c r="I85" s="221">
        <f t="shared" ref="I85:I87" si="38">K85-L85</f>
        <v>13148</v>
      </c>
      <c r="J85" s="221">
        <f t="shared" ref="J85:J87" si="39">MONTH(A85)</f>
        <v>5</v>
      </c>
      <c r="K85" s="234">
        <v>13148</v>
      </c>
      <c r="L85" s="234">
        <v>0</v>
      </c>
      <c r="M85" s="234">
        <v>890903938</v>
      </c>
      <c r="N85" s="185" t="s">
        <v>5211</v>
      </c>
      <c r="O85" s="187">
        <v>44720.366215277798</v>
      </c>
      <c r="P85" s="186">
        <v>3524</v>
      </c>
      <c r="Q85" s="185" t="s">
        <v>1827</v>
      </c>
      <c r="R85" s="185" t="s">
        <v>1580</v>
      </c>
      <c r="U85" s="190" t="str">
        <f>VLOOKUP(E85,Valida!$A$2:$K$271,4,FALSE)</f>
        <v>Trade and other payables</v>
      </c>
      <c r="V85" s="185" t="s">
        <v>1955</v>
      </c>
      <c r="W85" s="185"/>
      <c r="X85" s="185" t="s">
        <v>1844</v>
      </c>
    </row>
    <row r="86" spans="1:24" customFormat="1">
      <c r="A86" s="185" t="s">
        <v>5210</v>
      </c>
      <c r="B86" s="185" t="s">
        <v>5211</v>
      </c>
      <c r="C86" s="185" t="s">
        <v>1952</v>
      </c>
      <c r="D86" s="185" t="s">
        <v>5212</v>
      </c>
      <c r="E86" s="185">
        <v>24081002</v>
      </c>
      <c r="F86" s="185" t="s">
        <v>1957</v>
      </c>
      <c r="G86" s="185" t="s">
        <v>1515</v>
      </c>
      <c r="I86" s="221">
        <f t="shared" si="38"/>
        <v>10063.84</v>
      </c>
      <c r="J86" s="221">
        <f t="shared" si="39"/>
        <v>5</v>
      </c>
      <c r="K86" s="234">
        <v>10063.84</v>
      </c>
      <c r="L86" s="234">
        <v>0</v>
      </c>
      <c r="M86" s="234">
        <v>890903938</v>
      </c>
      <c r="N86" s="185" t="s">
        <v>5211</v>
      </c>
      <c r="O86" s="187">
        <v>44720.366226851896</v>
      </c>
      <c r="P86" s="186">
        <v>3528</v>
      </c>
      <c r="Q86" t="s">
        <v>1827</v>
      </c>
      <c r="R86" s="185" t="s">
        <v>1580</v>
      </c>
      <c r="U86" s="190" t="str">
        <f>VLOOKUP(E86,Valida!$A$2:$K$271,4,FALSE)</f>
        <v>Trade and other payables</v>
      </c>
      <c r="V86" s="185" t="s">
        <v>1955</v>
      </c>
      <c r="X86" t="s">
        <v>1844</v>
      </c>
    </row>
    <row r="87" spans="1:24" customFormat="1">
      <c r="A87" s="185" t="s">
        <v>5213</v>
      </c>
      <c r="B87" s="185" t="s">
        <v>5214</v>
      </c>
      <c r="C87" s="185" t="s">
        <v>1792</v>
      </c>
      <c r="D87" s="185" t="s">
        <v>5215</v>
      </c>
      <c r="E87" s="185">
        <v>24081002</v>
      </c>
      <c r="F87" s="185" t="s">
        <v>5216</v>
      </c>
      <c r="G87" s="185" t="s">
        <v>1515</v>
      </c>
      <c r="I87" s="221">
        <f t="shared" si="38"/>
        <v>35427.1</v>
      </c>
      <c r="J87" s="221">
        <f t="shared" si="39"/>
        <v>6</v>
      </c>
      <c r="K87" s="234">
        <v>35427.1</v>
      </c>
      <c r="L87" s="234">
        <v>0</v>
      </c>
      <c r="M87" s="234">
        <v>860010451</v>
      </c>
      <c r="N87" s="185" t="s">
        <v>5217</v>
      </c>
      <c r="O87" s="187">
        <v>44725.4789467593</v>
      </c>
      <c r="P87" s="186">
        <v>3574</v>
      </c>
      <c r="Q87" s="185" t="s">
        <v>6</v>
      </c>
      <c r="R87" s="185" t="s">
        <v>1568</v>
      </c>
      <c r="U87" s="190" t="str">
        <f>VLOOKUP(E87,Valida!$A$2:$K$271,4,FALSE)</f>
        <v>Trade and other payables</v>
      </c>
      <c r="V87" t="s">
        <v>2035</v>
      </c>
      <c r="W87" t="s">
        <v>2036</v>
      </c>
      <c r="X87" t="s">
        <v>1789</v>
      </c>
    </row>
    <row r="88" spans="1:24" customFormat="1">
      <c r="A88" s="185" t="s">
        <v>5218</v>
      </c>
      <c r="B88" s="185" t="s">
        <v>5219</v>
      </c>
      <c r="C88" s="185" t="s">
        <v>1792</v>
      </c>
      <c r="D88" s="185" t="s">
        <v>5220</v>
      </c>
      <c r="E88" s="185">
        <v>24081002</v>
      </c>
      <c r="F88" s="185" t="s">
        <v>5221</v>
      </c>
      <c r="G88" s="185" t="s">
        <v>1515</v>
      </c>
      <c r="I88" s="221">
        <f t="shared" ref="I88:I113" si="40">K88-L88</f>
        <v>7600</v>
      </c>
      <c r="J88" s="221">
        <f t="shared" ref="J88:J113" si="41">MONTH(A88)</f>
        <v>6</v>
      </c>
      <c r="K88" s="234">
        <v>7600</v>
      </c>
      <c r="L88" s="234">
        <v>0</v>
      </c>
      <c r="M88" s="234">
        <v>800219876</v>
      </c>
      <c r="N88" s="185" t="s">
        <v>5222</v>
      </c>
      <c r="O88" s="187">
        <v>44748.486909722204</v>
      </c>
      <c r="P88" s="186">
        <v>3648</v>
      </c>
      <c r="Q88" s="185" t="s">
        <v>1841</v>
      </c>
      <c r="R88" s="185" t="s">
        <v>5223</v>
      </c>
      <c r="U88" s="190" t="str">
        <f>VLOOKUP(E88,Valida!$A$2:$K$271,4,FALSE)</f>
        <v>Trade and other payables</v>
      </c>
      <c r="V88" s="185" t="s">
        <v>5224</v>
      </c>
      <c r="W88" s="185" t="s">
        <v>5225</v>
      </c>
      <c r="X88" s="185"/>
    </row>
    <row r="89" spans="1:24" customFormat="1">
      <c r="A89" s="185" t="s">
        <v>5226</v>
      </c>
      <c r="B89" s="185" t="s">
        <v>5227</v>
      </c>
      <c r="C89" s="185" t="s">
        <v>1792</v>
      </c>
      <c r="D89" s="185" t="s">
        <v>5228</v>
      </c>
      <c r="E89" s="185">
        <v>24081001</v>
      </c>
      <c r="F89" s="185" t="s">
        <v>4991</v>
      </c>
      <c r="G89" s="185" t="s">
        <v>1515</v>
      </c>
      <c r="I89" s="221">
        <f t="shared" si="40"/>
        <v>77657</v>
      </c>
      <c r="J89" s="221">
        <f t="shared" si="41"/>
        <v>6</v>
      </c>
      <c r="K89" s="234">
        <v>77657</v>
      </c>
      <c r="L89" s="234">
        <v>0</v>
      </c>
      <c r="M89" s="234">
        <v>830062853</v>
      </c>
      <c r="N89" s="185" t="s">
        <v>5229</v>
      </c>
      <c r="O89" s="187">
        <v>44748.516597222202</v>
      </c>
      <c r="P89" s="186">
        <v>3653</v>
      </c>
      <c r="Q89" s="185" t="s">
        <v>433</v>
      </c>
      <c r="R89" s="185" t="s">
        <v>1564</v>
      </c>
      <c r="U89" s="190" t="str">
        <f>VLOOKUP(E89,Valida!$A$2:$K$271,4,FALSE)</f>
        <v>Trade and other payables</v>
      </c>
      <c r="V89" s="185" t="s">
        <v>2024</v>
      </c>
      <c r="W89" s="185" t="s">
        <v>2025</v>
      </c>
      <c r="X89" s="185" t="s">
        <v>1789</v>
      </c>
    </row>
    <row r="90" spans="1:24" customFormat="1">
      <c r="A90" s="185" t="s">
        <v>5226</v>
      </c>
      <c r="B90" s="185" t="s">
        <v>5227</v>
      </c>
      <c r="C90" s="185" t="s">
        <v>1792</v>
      </c>
      <c r="D90" s="185" t="s">
        <v>5228</v>
      </c>
      <c r="E90" s="185">
        <v>24081001</v>
      </c>
      <c r="F90" s="185" t="s">
        <v>5230</v>
      </c>
      <c r="G90" s="185" t="s">
        <v>1515</v>
      </c>
      <c r="I90" s="221">
        <f t="shared" si="40"/>
        <v>1667</v>
      </c>
      <c r="J90" s="221">
        <f t="shared" si="41"/>
        <v>6</v>
      </c>
      <c r="K90" s="234">
        <v>1667</v>
      </c>
      <c r="L90" s="234">
        <v>0</v>
      </c>
      <c r="M90" s="234">
        <v>830062853</v>
      </c>
      <c r="N90" s="185" t="s">
        <v>5229</v>
      </c>
      <c r="O90" s="187">
        <v>44748.516597222202</v>
      </c>
      <c r="P90" s="186">
        <v>3655</v>
      </c>
      <c r="Q90" s="185" t="s">
        <v>433</v>
      </c>
      <c r="R90" s="185" t="s">
        <v>1564</v>
      </c>
      <c r="U90" s="190" t="str">
        <f>VLOOKUP(E90,Valida!$A$2:$K$271,4,FALSE)</f>
        <v>Trade and other payables</v>
      </c>
      <c r="V90" s="185" t="s">
        <v>2024</v>
      </c>
      <c r="W90" s="185" t="s">
        <v>2025</v>
      </c>
      <c r="X90" s="185" t="s">
        <v>1789</v>
      </c>
    </row>
    <row r="91" spans="1:24" customFormat="1">
      <c r="A91" s="185" t="s">
        <v>5226</v>
      </c>
      <c r="B91" s="185" t="s">
        <v>5227</v>
      </c>
      <c r="C91" s="185" t="s">
        <v>1792</v>
      </c>
      <c r="D91" s="185" t="s">
        <v>5228</v>
      </c>
      <c r="E91" s="185">
        <v>24081001</v>
      </c>
      <c r="F91" s="185" t="s">
        <v>5231</v>
      </c>
      <c r="G91" s="185" t="s">
        <v>1515</v>
      </c>
      <c r="I91" s="221">
        <f t="shared" si="40"/>
        <v>2654</v>
      </c>
      <c r="J91" s="221">
        <f t="shared" si="41"/>
        <v>6</v>
      </c>
      <c r="K91" s="234">
        <v>2654</v>
      </c>
      <c r="L91" s="234">
        <v>0</v>
      </c>
      <c r="M91" s="234">
        <v>830062853</v>
      </c>
      <c r="N91" s="185" t="s">
        <v>5229</v>
      </c>
      <c r="O91" s="187">
        <v>44748.516597222202</v>
      </c>
      <c r="P91" s="186">
        <v>3657</v>
      </c>
      <c r="Q91" s="185" t="s">
        <v>433</v>
      </c>
      <c r="R91" s="185" t="s">
        <v>1564</v>
      </c>
      <c r="U91" s="190" t="str">
        <f>VLOOKUP(E91,Valida!$A$2:$K$271,4,FALSE)</f>
        <v>Trade and other payables</v>
      </c>
      <c r="V91" s="185" t="s">
        <v>2024</v>
      </c>
      <c r="W91" s="185" t="s">
        <v>2025</v>
      </c>
      <c r="X91" s="185" t="s">
        <v>1789</v>
      </c>
    </row>
    <row r="92" spans="1:24" customFormat="1">
      <c r="A92" s="185" t="s">
        <v>5226</v>
      </c>
      <c r="B92" s="185" t="s">
        <v>5227</v>
      </c>
      <c r="C92" s="185" t="s">
        <v>1792</v>
      </c>
      <c r="D92" s="185" t="s">
        <v>5228</v>
      </c>
      <c r="E92" s="185">
        <v>24081001</v>
      </c>
      <c r="F92" s="185" t="s">
        <v>5231</v>
      </c>
      <c r="G92" s="185" t="s">
        <v>1515</v>
      </c>
      <c r="I92" s="221">
        <f t="shared" si="40"/>
        <v>2654</v>
      </c>
      <c r="J92" s="221">
        <f t="shared" si="41"/>
        <v>6</v>
      </c>
      <c r="K92" s="234">
        <v>2654</v>
      </c>
      <c r="L92" s="234">
        <v>0</v>
      </c>
      <c r="M92" s="234">
        <v>830062853</v>
      </c>
      <c r="N92" s="185" t="s">
        <v>5229</v>
      </c>
      <c r="O92" s="187">
        <v>44748.516597222202</v>
      </c>
      <c r="P92" s="186">
        <v>3659</v>
      </c>
      <c r="Q92" s="185" t="s">
        <v>433</v>
      </c>
      <c r="R92" s="185" t="s">
        <v>1564</v>
      </c>
      <c r="U92" s="190" t="str">
        <f>VLOOKUP(E92,Valida!$A$2:$K$271,4,FALSE)</f>
        <v>Trade and other payables</v>
      </c>
      <c r="V92" s="185" t="s">
        <v>2024</v>
      </c>
      <c r="W92" s="185" t="s">
        <v>2025</v>
      </c>
      <c r="X92" s="185" t="s">
        <v>1789</v>
      </c>
    </row>
    <row r="93" spans="1:24" customFormat="1">
      <c r="A93" s="185" t="s">
        <v>5226</v>
      </c>
      <c r="B93" s="185" t="s">
        <v>5227</v>
      </c>
      <c r="C93" s="185" t="s">
        <v>1792</v>
      </c>
      <c r="D93" s="185" t="s">
        <v>5228</v>
      </c>
      <c r="E93" s="185">
        <v>24081001</v>
      </c>
      <c r="F93" s="185" t="s">
        <v>5232</v>
      </c>
      <c r="G93" s="185" t="s">
        <v>1515</v>
      </c>
      <c r="I93" s="221">
        <f t="shared" si="40"/>
        <v>37602</v>
      </c>
      <c r="J93" s="221">
        <f t="shared" si="41"/>
        <v>6</v>
      </c>
      <c r="K93" s="234">
        <v>37602</v>
      </c>
      <c r="L93" s="234">
        <v>0</v>
      </c>
      <c r="M93" s="234">
        <v>830062853</v>
      </c>
      <c r="N93" s="185" t="s">
        <v>5229</v>
      </c>
      <c r="O93" s="187">
        <v>44748.516608796301</v>
      </c>
      <c r="P93" s="186">
        <v>3661</v>
      </c>
      <c r="Q93" s="185" t="s">
        <v>433</v>
      </c>
      <c r="R93" s="185" t="s">
        <v>1564</v>
      </c>
      <c r="U93" s="190" t="str">
        <f>VLOOKUP(E93,Valida!$A$2:$K$271,4,FALSE)</f>
        <v>Trade and other payables</v>
      </c>
      <c r="V93" s="185" t="s">
        <v>2024</v>
      </c>
      <c r="W93" s="185" t="s">
        <v>2025</v>
      </c>
      <c r="X93" s="185" t="s">
        <v>1789</v>
      </c>
    </row>
    <row r="94" spans="1:24" customFormat="1">
      <c r="A94" s="185" t="s">
        <v>5226</v>
      </c>
      <c r="B94" s="185" t="s">
        <v>5227</v>
      </c>
      <c r="C94" s="185" t="s">
        <v>1792</v>
      </c>
      <c r="D94" s="185" t="s">
        <v>5228</v>
      </c>
      <c r="E94" s="185">
        <v>24081001</v>
      </c>
      <c r="F94" s="185" t="s">
        <v>5233</v>
      </c>
      <c r="G94" s="185" t="s">
        <v>1515</v>
      </c>
      <c r="I94" s="221">
        <f t="shared" si="40"/>
        <v>741</v>
      </c>
      <c r="J94" s="221">
        <f t="shared" si="41"/>
        <v>6</v>
      </c>
      <c r="K94" s="234">
        <v>741</v>
      </c>
      <c r="L94" s="234">
        <v>0</v>
      </c>
      <c r="M94" s="234">
        <v>830062853</v>
      </c>
      <c r="N94" s="185" t="s">
        <v>5229</v>
      </c>
      <c r="O94" s="187">
        <v>44748.516608796301</v>
      </c>
      <c r="P94" s="186">
        <v>3663</v>
      </c>
      <c r="Q94" s="185" t="s">
        <v>433</v>
      </c>
      <c r="R94" s="185" t="s">
        <v>1564</v>
      </c>
      <c r="U94" s="190" t="str">
        <f>VLOOKUP(E94,Valida!$A$2:$K$271,4,FALSE)</f>
        <v>Trade and other payables</v>
      </c>
      <c r="V94" s="185" t="s">
        <v>2024</v>
      </c>
      <c r="W94" s="185" t="s">
        <v>2025</v>
      </c>
      <c r="X94" s="185" t="s">
        <v>1789</v>
      </c>
    </row>
    <row r="95" spans="1:24" customFormat="1">
      <c r="A95" s="185" t="s">
        <v>5226</v>
      </c>
      <c r="B95" s="185" t="s">
        <v>5227</v>
      </c>
      <c r="C95" s="185" t="s">
        <v>1792</v>
      </c>
      <c r="D95" s="185" t="s">
        <v>5228</v>
      </c>
      <c r="E95" s="185">
        <v>24081001</v>
      </c>
      <c r="F95" s="185" t="s">
        <v>5234</v>
      </c>
      <c r="G95" s="185" t="s">
        <v>1515</v>
      </c>
      <c r="I95" s="221">
        <f t="shared" si="40"/>
        <v>1978</v>
      </c>
      <c r="J95" s="221">
        <f t="shared" si="41"/>
        <v>6</v>
      </c>
      <c r="K95" s="234">
        <v>1978</v>
      </c>
      <c r="L95" s="234">
        <v>0</v>
      </c>
      <c r="M95" s="234">
        <v>830062853</v>
      </c>
      <c r="N95" s="185" t="s">
        <v>5229</v>
      </c>
      <c r="O95" s="187">
        <v>44748.516608796301</v>
      </c>
      <c r="P95" s="186">
        <v>3665</v>
      </c>
      <c r="Q95" s="185" t="s">
        <v>433</v>
      </c>
      <c r="R95" s="185" t="s">
        <v>1564</v>
      </c>
      <c r="U95" s="190" t="str">
        <f>VLOOKUP(E95,Valida!$A$2:$K$271,4,FALSE)</f>
        <v>Trade and other payables</v>
      </c>
      <c r="V95" s="185" t="s">
        <v>2024</v>
      </c>
      <c r="W95" s="185" t="s">
        <v>2025</v>
      </c>
      <c r="X95" s="185" t="s">
        <v>1789</v>
      </c>
    </row>
    <row r="96" spans="1:24" customFormat="1">
      <c r="A96" s="185" t="s">
        <v>5226</v>
      </c>
      <c r="B96" s="185" t="s">
        <v>5227</v>
      </c>
      <c r="C96" s="185" t="s">
        <v>1792</v>
      </c>
      <c r="D96" s="185" t="s">
        <v>5228</v>
      </c>
      <c r="E96" s="185">
        <v>24081001</v>
      </c>
      <c r="F96" s="185" t="s">
        <v>5235</v>
      </c>
      <c r="G96" s="185" t="s">
        <v>1515</v>
      </c>
      <c r="I96" s="221">
        <f t="shared" si="40"/>
        <v>2776</v>
      </c>
      <c r="J96" s="221">
        <f t="shared" si="41"/>
        <v>6</v>
      </c>
      <c r="K96" s="234">
        <v>2776</v>
      </c>
      <c r="L96" s="234">
        <v>0</v>
      </c>
      <c r="M96" s="234">
        <v>830062853</v>
      </c>
      <c r="N96" s="185" t="s">
        <v>5229</v>
      </c>
      <c r="O96" s="187">
        <v>44748.516608796301</v>
      </c>
      <c r="P96" s="186">
        <v>3667</v>
      </c>
      <c r="Q96" s="185" t="s">
        <v>433</v>
      </c>
      <c r="R96" s="185" t="s">
        <v>1564</v>
      </c>
      <c r="U96" s="190" t="str">
        <f>VLOOKUP(E96,Valida!$A$2:$K$271,4,FALSE)</f>
        <v>Trade and other payables</v>
      </c>
      <c r="V96" s="185" t="s">
        <v>2024</v>
      </c>
      <c r="W96" s="185" t="s">
        <v>2025</v>
      </c>
      <c r="X96" s="185" t="s">
        <v>1789</v>
      </c>
    </row>
    <row r="97" spans="1:24" customFormat="1">
      <c r="A97" s="185" t="s">
        <v>5226</v>
      </c>
      <c r="B97" s="185" t="s">
        <v>5227</v>
      </c>
      <c r="C97" s="185" t="s">
        <v>1792</v>
      </c>
      <c r="D97" s="185" t="s">
        <v>5228</v>
      </c>
      <c r="E97" s="185">
        <v>24081001</v>
      </c>
      <c r="F97" s="185" t="s">
        <v>5236</v>
      </c>
      <c r="G97" s="185" t="s">
        <v>1515</v>
      </c>
      <c r="I97" s="221">
        <f t="shared" si="40"/>
        <v>534</v>
      </c>
      <c r="J97" s="221">
        <f t="shared" si="41"/>
        <v>6</v>
      </c>
      <c r="K97" s="234">
        <v>534</v>
      </c>
      <c r="L97" s="234">
        <v>0</v>
      </c>
      <c r="M97" s="234">
        <v>830062853</v>
      </c>
      <c r="N97" s="185" t="s">
        <v>5229</v>
      </c>
      <c r="O97" s="187">
        <v>44748.516608796301</v>
      </c>
      <c r="P97" s="186">
        <v>3669</v>
      </c>
      <c r="Q97" s="185" t="s">
        <v>433</v>
      </c>
      <c r="R97" s="185" t="s">
        <v>1564</v>
      </c>
      <c r="U97" s="190" t="str">
        <f>VLOOKUP(E97,Valida!$A$2:$K$271,4,FALSE)</f>
        <v>Trade and other payables</v>
      </c>
      <c r="V97" s="185" t="s">
        <v>2024</v>
      </c>
      <c r="W97" s="185" t="s">
        <v>2025</v>
      </c>
      <c r="X97" s="185" t="s">
        <v>1789</v>
      </c>
    </row>
    <row r="98" spans="1:24" customFormat="1">
      <c r="A98" s="185" t="s">
        <v>5226</v>
      </c>
      <c r="B98" s="185" t="s">
        <v>5227</v>
      </c>
      <c r="C98" s="185" t="s">
        <v>1792</v>
      </c>
      <c r="D98" s="185" t="s">
        <v>5228</v>
      </c>
      <c r="E98" s="185">
        <v>24081001</v>
      </c>
      <c r="F98" s="185" t="s">
        <v>5237</v>
      </c>
      <c r="G98" s="185" t="s">
        <v>1515</v>
      </c>
      <c r="I98" s="221">
        <f t="shared" si="40"/>
        <v>10142</v>
      </c>
      <c r="J98" s="221">
        <f t="shared" si="41"/>
        <v>6</v>
      </c>
      <c r="K98" s="234">
        <v>10142</v>
      </c>
      <c r="L98" s="234">
        <v>0</v>
      </c>
      <c r="M98" s="234">
        <v>830062853</v>
      </c>
      <c r="N98" s="185" t="s">
        <v>5229</v>
      </c>
      <c r="O98" s="187">
        <v>44748.516608796301</v>
      </c>
      <c r="P98" s="186">
        <v>3671</v>
      </c>
      <c r="Q98" s="185" t="s">
        <v>433</v>
      </c>
      <c r="R98" s="185" t="s">
        <v>1564</v>
      </c>
      <c r="U98" s="190" t="str">
        <f>VLOOKUP(E98,Valida!$A$2:$K$271,4,FALSE)</f>
        <v>Trade and other payables</v>
      </c>
      <c r="V98" s="185" t="s">
        <v>2024</v>
      </c>
      <c r="W98" s="185" t="s">
        <v>2025</v>
      </c>
      <c r="X98" s="185" t="s">
        <v>1789</v>
      </c>
    </row>
    <row r="99" spans="1:24" customFormat="1">
      <c r="A99" s="185" t="s">
        <v>5226</v>
      </c>
      <c r="B99" s="185" t="s">
        <v>5227</v>
      </c>
      <c r="C99" s="185" t="s">
        <v>1792</v>
      </c>
      <c r="D99" s="185" t="s">
        <v>5228</v>
      </c>
      <c r="E99" s="185">
        <v>24081001</v>
      </c>
      <c r="F99" s="185" t="s">
        <v>5238</v>
      </c>
      <c r="G99" s="185" t="s">
        <v>1515</v>
      </c>
      <c r="I99" s="221">
        <f t="shared" si="40"/>
        <v>2048</v>
      </c>
      <c r="J99" s="221">
        <f t="shared" si="41"/>
        <v>6</v>
      </c>
      <c r="K99" s="234">
        <v>2048</v>
      </c>
      <c r="L99" s="234">
        <v>0</v>
      </c>
      <c r="M99" s="234">
        <v>830062853</v>
      </c>
      <c r="N99" s="185" t="s">
        <v>5229</v>
      </c>
      <c r="O99" s="187">
        <v>44748.516608796301</v>
      </c>
      <c r="P99" s="186">
        <v>3673</v>
      </c>
      <c r="Q99" s="185" t="s">
        <v>433</v>
      </c>
      <c r="R99" s="185" t="s">
        <v>1564</v>
      </c>
      <c r="U99" s="190" t="str">
        <f>VLOOKUP(E99,Valida!$A$2:$K$271,4,FALSE)</f>
        <v>Trade and other payables</v>
      </c>
      <c r="V99" s="185" t="s">
        <v>2024</v>
      </c>
      <c r="W99" s="185" t="s">
        <v>2025</v>
      </c>
      <c r="X99" s="185" t="s">
        <v>1789</v>
      </c>
    </row>
    <row r="100" spans="1:24" customFormat="1">
      <c r="A100" s="185" t="s">
        <v>5226</v>
      </c>
      <c r="B100" s="185" t="s">
        <v>5227</v>
      </c>
      <c r="C100" s="185" t="s">
        <v>1792</v>
      </c>
      <c r="D100" s="185" t="s">
        <v>5228</v>
      </c>
      <c r="E100" s="185">
        <v>24081001</v>
      </c>
      <c r="F100" s="185" t="s">
        <v>5239</v>
      </c>
      <c r="G100" s="185" t="s">
        <v>1515</v>
      </c>
      <c r="I100" s="221">
        <f t="shared" si="40"/>
        <v>509</v>
      </c>
      <c r="J100" s="221">
        <f t="shared" si="41"/>
        <v>6</v>
      </c>
      <c r="K100" s="234">
        <v>509</v>
      </c>
      <c r="L100" s="234">
        <v>0</v>
      </c>
      <c r="M100" s="234">
        <v>830062853</v>
      </c>
      <c r="N100" s="185" t="s">
        <v>5229</v>
      </c>
      <c r="O100" s="187">
        <v>44748.516608796301</v>
      </c>
      <c r="P100" s="186">
        <v>3675</v>
      </c>
      <c r="Q100" s="185" t="s">
        <v>433</v>
      </c>
      <c r="R100" s="185" t="s">
        <v>1564</v>
      </c>
      <c r="U100" s="190" t="str">
        <f>VLOOKUP(E100,Valida!$A$2:$K$271,4,FALSE)</f>
        <v>Trade and other payables</v>
      </c>
      <c r="V100" s="185" t="s">
        <v>2024</v>
      </c>
      <c r="W100" s="185" t="s">
        <v>2025</v>
      </c>
      <c r="X100" s="185" t="s">
        <v>1789</v>
      </c>
    </row>
    <row r="101" spans="1:24" customFormat="1">
      <c r="A101" s="185" t="s">
        <v>5226</v>
      </c>
      <c r="B101" s="185" t="s">
        <v>5227</v>
      </c>
      <c r="C101" s="185" t="s">
        <v>1792</v>
      </c>
      <c r="D101" s="185" t="s">
        <v>5228</v>
      </c>
      <c r="E101" s="185">
        <v>24081001</v>
      </c>
      <c r="F101" s="185" t="s">
        <v>5240</v>
      </c>
      <c r="G101" s="185" t="s">
        <v>1515</v>
      </c>
      <c r="I101" s="221">
        <f t="shared" si="40"/>
        <v>1194</v>
      </c>
      <c r="J101" s="221">
        <f t="shared" si="41"/>
        <v>6</v>
      </c>
      <c r="K101" s="234">
        <v>1194</v>
      </c>
      <c r="L101" s="234">
        <v>0</v>
      </c>
      <c r="M101" s="234">
        <v>830062853</v>
      </c>
      <c r="N101" s="185" t="s">
        <v>5229</v>
      </c>
      <c r="O101" s="187">
        <v>44748.516620370399</v>
      </c>
      <c r="P101" s="186">
        <v>3677</v>
      </c>
      <c r="Q101" s="185" t="s">
        <v>433</v>
      </c>
      <c r="R101" s="185" t="s">
        <v>1564</v>
      </c>
      <c r="U101" s="190" t="str">
        <f>VLOOKUP(E101,Valida!$A$2:$K$271,4,FALSE)</f>
        <v>Trade and other payables</v>
      </c>
      <c r="V101" s="185" t="s">
        <v>2024</v>
      </c>
      <c r="W101" s="185" t="s">
        <v>2025</v>
      </c>
      <c r="X101" s="185" t="s">
        <v>1789</v>
      </c>
    </row>
    <row r="102" spans="1:24" customFormat="1">
      <c r="A102" s="185" t="s">
        <v>5226</v>
      </c>
      <c r="B102" s="185" t="s">
        <v>5227</v>
      </c>
      <c r="C102" s="185" t="s">
        <v>1792</v>
      </c>
      <c r="D102" s="185" t="s">
        <v>5228</v>
      </c>
      <c r="E102" s="185">
        <v>24081001</v>
      </c>
      <c r="F102" s="185" t="s">
        <v>5241</v>
      </c>
      <c r="G102" s="185" t="s">
        <v>1515</v>
      </c>
      <c r="I102" s="221">
        <f t="shared" si="40"/>
        <v>924</v>
      </c>
      <c r="J102" s="221">
        <f t="shared" si="41"/>
        <v>6</v>
      </c>
      <c r="K102" s="234">
        <v>924</v>
      </c>
      <c r="L102" s="234">
        <v>0</v>
      </c>
      <c r="M102" s="234">
        <v>830062853</v>
      </c>
      <c r="N102" s="185" t="s">
        <v>5229</v>
      </c>
      <c r="O102" s="187">
        <v>44748.516620370399</v>
      </c>
      <c r="P102" s="186">
        <v>3679</v>
      </c>
      <c r="Q102" s="185" t="s">
        <v>433</v>
      </c>
      <c r="R102" s="185" t="s">
        <v>1564</v>
      </c>
      <c r="U102" s="190" t="str">
        <f>VLOOKUP(E102,Valida!$A$2:$K$271,4,FALSE)</f>
        <v>Trade and other payables</v>
      </c>
      <c r="V102" s="185" t="s">
        <v>2024</v>
      </c>
      <c r="W102" s="185" t="s">
        <v>2025</v>
      </c>
      <c r="X102" s="185" t="s">
        <v>1789</v>
      </c>
    </row>
    <row r="103" spans="1:24" customFormat="1">
      <c r="A103" s="185" t="s">
        <v>5226</v>
      </c>
      <c r="B103" s="185" t="s">
        <v>5227</v>
      </c>
      <c r="C103" s="185" t="s">
        <v>1792</v>
      </c>
      <c r="D103" s="185" t="s">
        <v>5228</v>
      </c>
      <c r="E103" s="185">
        <v>24081001</v>
      </c>
      <c r="F103" s="185" t="s">
        <v>5242</v>
      </c>
      <c r="G103" s="185" t="s">
        <v>1515</v>
      </c>
      <c r="I103" s="221">
        <f t="shared" si="40"/>
        <v>1781</v>
      </c>
      <c r="J103" s="221">
        <f t="shared" si="41"/>
        <v>6</v>
      </c>
      <c r="K103" s="234">
        <v>1781</v>
      </c>
      <c r="L103" s="234">
        <v>0</v>
      </c>
      <c r="M103" s="234">
        <v>830062853</v>
      </c>
      <c r="N103" s="185" t="s">
        <v>5229</v>
      </c>
      <c r="O103" s="187">
        <v>44748.516620370399</v>
      </c>
      <c r="P103" s="186">
        <v>3681</v>
      </c>
      <c r="Q103" s="185" t="s">
        <v>433</v>
      </c>
      <c r="R103" s="185" t="s">
        <v>1564</v>
      </c>
      <c r="U103" s="190" t="str">
        <f>VLOOKUP(E103,Valida!$A$2:$K$271,4,FALSE)</f>
        <v>Trade and other payables</v>
      </c>
      <c r="V103" s="185" t="s">
        <v>2024</v>
      </c>
      <c r="W103" s="185" t="s">
        <v>2025</v>
      </c>
      <c r="X103" s="185" t="s">
        <v>1789</v>
      </c>
    </row>
    <row r="104" spans="1:24" customFormat="1">
      <c r="A104" s="185" t="s">
        <v>5226</v>
      </c>
      <c r="B104" s="185" t="s">
        <v>5227</v>
      </c>
      <c r="C104" s="185" t="s">
        <v>1792</v>
      </c>
      <c r="D104" s="185" t="s">
        <v>5228</v>
      </c>
      <c r="E104" s="185">
        <v>24081001</v>
      </c>
      <c r="F104" s="185" t="s">
        <v>5243</v>
      </c>
      <c r="G104" s="185" t="s">
        <v>1515</v>
      </c>
      <c r="I104" s="221">
        <f t="shared" si="40"/>
        <v>685</v>
      </c>
      <c r="J104" s="221">
        <f t="shared" si="41"/>
        <v>6</v>
      </c>
      <c r="K104" s="234">
        <v>685</v>
      </c>
      <c r="L104" s="234">
        <v>0</v>
      </c>
      <c r="M104" s="234">
        <v>830062853</v>
      </c>
      <c r="N104" s="185" t="s">
        <v>5229</v>
      </c>
      <c r="O104" s="187">
        <v>44748.516620370399</v>
      </c>
      <c r="P104" s="186">
        <v>3683</v>
      </c>
      <c r="Q104" s="185" t="s">
        <v>433</v>
      </c>
      <c r="R104" s="185" t="s">
        <v>1564</v>
      </c>
      <c r="U104" s="190" t="str">
        <f>VLOOKUP(E104,Valida!$A$2:$K$271,4,FALSE)</f>
        <v>Trade and other payables</v>
      </c>
      <c r="V104" s="185" t="s">
        <v>2024</v>
      </c>
      <c r="W104" s="185" t="s">
        <v>2025</v>
      </c>
      <c r="X104" s="185" t="s">
        <v>1789</v>
      </c>
    </row>
    <row r="105" spans="1:24" customFormat="1">
      <c r="A105" s="185" t="s">
        <v>5226</v>
      </c>
      <c r="B105" s="185" t="s">
        <v>5227</v>
      </c>
      <c r="C105" s="185" t="s">
        <v>1792</v>
      </c>
      <c r="D105" s="185" t="s">
        <v>5228</v>
      </c>
      <c r="E105" s="185">
        <v>24081001</v>
      </c>
      <c r="F105" s="185" t="s">
        <v>5244</v>
      </c>
      <c r="G105" s="185" t="s">
        <v>1515</v>
      </c>
      <c r="I105" s="221">
        <f t="shared" si="40"/>
        <v>4565</v>
      </c>
      <c r="J105" s="221">
        <f t="shared" si="41"/>
        <v>6</v>
      </c>
      <c r="K105" s="234">
        <v>4565</v>
      </c>
      <c r="L105" s="234">
        <v>0</v>
      </c>
      <c r="M105" s="234">
        <v>830062853</v>
      </c>
      <c r="N105" s="185" t="s">
        <v>5229</v>
      </c>
      <c r="O105" s="187">
        <v>44748.516620370399</v>
      </c>
      <c r="P105" s="186">
        <v>3685</v>
      </c>
      <c r="Q105" s="185" t="s">
        <v>433</v>
      </c>
      <c r="R105" s="185" t="s">
        <v>1564</v>
      </c>
      <c r="U105" s="190" t="str">
        <f>VLOOKUP(E105,Valida!$A$2:$K$271,4,FALSE)</f>
        <v>Trade and other payables</v>
      </c>
      <c r="V105" s="185" t="s">
        <v>2024</v>
      </c>
      <c r="W105" s="185" t="s">
        <v>2025</v>
      </c>
      <c r="X105" s="185" t="s">
        <v>1789</v>
      </c>
    </row>
    <row r="106" spans="1:24" customFormat="1">
      <c r="A106" s="185" t="s">
        <v>5226</v>
      </c>
      <c r="B106" s="185" t="s">
        <v>5227</v>
      </c>
      <c r="C106" s="185" t="s">
        <v>1792</v>
      </c>
      <c r="D106" s="185" t="s">
        <v>5228</v>
      </c>
      <c r="E106" s="185">
        <v>24081001</v>
      </c>
      <c r="F106" s="185" t="s">
        <v>5245</v>
      </c>
      <c r="G106" s="185" t="s">
        <v>1515</v>
      </c>
      <c r="I106" s="221">
        <f t="shared" si="40"/>
        <v>433</v>
      </c>
      <c r="J106" s="221">
        <f t="shared" si="41"/>
        <v>6</v>
      </c>
      <c r="K106" s="234">
        <v>433</v>
      </c>
      <c r="L106" s="234">
        <v>0</v>
      </c>
      <c r="M106" s="234">
        <v>830062853</v>
      </c>
      <c r="N106" s="185" t="s">
        <v>5229</v>
      </c>
      <c r="O106" s="187">
        <v>44748.516620370399</v>
      </c>
      <c r="P106" s="186">
        <v>3687</v>
      </c>
      <c r="Q106" s="185" t="s">
        <v>433</v>
      </c>
      <c r="R106" s="185" t="s">
        <v>1564</v>
      </c>
      <c r="U106" s="190" t="str">
        <f>VLOOKUP(E106,Valida!$A$2:$K$271,4,FALSE)</f>
        <v>Trade and other payables</v>
      </c>
      <c r="V106" s="185" t="s">
        <v>2024</v>
      </c>
      <c r="W106" s="185" t="s">
        <v>2025</v>
      </c>
      <c r="X106" s="185" t="s">
        <v>1789</v>
      </c>
    </row>
    <row r="107" spans="1:24" customFormat="1">
      <c r="A107" s="185" t="s">
        <v>5226</v>
      </c>
      <c r="B107" s="185" t="s">
        <v>5227</v>
      </c>
      <c r="C107" s="185" t="s">
        <v>1792</v>
      </c>
      <c r="D107" s="185" t="s">
        <v>5228</v>
      </c>
      <c r="E107" s="185">
        <v>24081001</v>
      </c>
      <c r="F107" s="185" t="s">
        <v>5246</v>
      </c>
      <c r="G107" s="185" t="s">
        <v>1515</v>
      </c>
      <c r="I107" s="221">
        <f t="shared" si="40"/>
        <v>181</v>
      </c>
      <c r="J107" s="221">
        <f t="shared" si="41"/>
        <v>6</v>
      </c>
      <c r="K107" s="234">
        <v>181</v>
      </c>
      <c r="L107" s="234">
        <v>0</v>
      </c>
      <c r="M107" s="234">
        <v>830062853</v>
      </c>
      <c r="N107" s="185" t="s">
        <v>5229</v>
      </c>
      <c r="O107" s="187">
        <v>44748.516620370399</v>
      </c>
      <c r="P107" s="186">
        <v>3689</v>
      </c>
      <c r="Q107" s="185" t="s">
        <v>433</v>
      </c>
      <c r="R107" s="185" t="s">
        <v>1564</v>
      </c>
      <c r="U107" s="190" t="str">
        <f>VLOOKUP(E107,Valida!$A$2:$K$271,4,FALSE)</f>
        <v>Trade and other payables</v>
      </c>
      <c r="V107" s="185" t="s">
        <v>2024</v>
      </c>
      <c r="W107" s="185" t="s">
        <v>2025</v>
      </c>
      <c r="X107" s="185" t="s">
        <v>1789</v>
      </c>
    </row>
    <row r="108" spans="1:24" customFormat="1">
      <c r="A108" s="185" t="s">
        <v>5226</v>
      </c>
      <c r="B108" s="185" t="s">
        <v>5227</v>
      </c>
      <c r="C108" s="185" t="s">
        <v>1792</v>
      </c>
      <c r="D108" s="185" t="s">
        <v>5228</v>
      </c>
      <c r="E108" s="185">
        <v>24081001</v>
      </c>
      <c r="F108" s="185" t="s">
        <v>5247</v>
      </c>
      <c r="G108" s="185" t="s">
        <v>1515</v>
      </c>
      <c r="I108" s="221">
        <f t="shared" si="40"/>
        <v>1220</v>
      </c>
      <c r="J108" s="221">
        <f t="shared" si="41"/>
        <v>6</v>
      </c>
      <c r="K108" s="234">
        <v>1220</v>
      </c>
      <c r="L108" s="234">
        <v>0</v>
      </c>
      <c r="M108" s="234">
        <v>830062853</v>
      </c>
      <c r="N108" s="185" t="s">
        <v>5229</v>
      </c>
      <c r="O108" s="187">
        <v>44748.516620370399</v>
      </c>
      <c r="P108" s="186">
        <v>3691</v>
      </c>
      <c r="Q108" s="185" t="s">
        <v>433</v>
      </c>
      <c r="R108" s="185" t="s">
        <v>1564</v>
      </c>
      <c r="U108" s="190" t="str">
        <f>VLOOKUP(E108,Valida!$A$2:$K$271,4,FALSE)</f>
        <v>Trade and other payables</v>
      </c>
      <c r="V108" s="185" t="s">
        <v>2024</v>
      </c>
      <c r="W108" s="185" t="s">
        <v>2025</v>
      </c>
      <c r="X108" s="185" t="s">
        <v>1789</v>
      </c>
    </row>
    <row r="109" spans="1:24" customFormat="1">
      <c r="A109" s="185" t="s">
        <v>5226</v>
      </c>
      <c r="B109" s="185" t="s">
        <v>5227</v>
      </c>
      <c r="C109" s="185" t="s">
        <v>1792</v>
      </c>
      <c r="D109" s="185" t="s">
        <v>5228</v>
      </c>
      <c r="E109" s="185">
        <v>24081001</v>
      </c>
      <c r="F109" s="185" t="s">
        <v>5248</v>
      </c>
      <c r="G109" s="185" t="s">
        <v>1515</v>
      </c>
      <c r="I109" s="221">
        <f t="shared" si="40"/>
        <v>633</v>
      </c>
      <c r="J109" s="221">
        <f t="shared" si="41"/>
        <v>6</v>
      </c>
      <c r="K109" s="234">
        <v>633</v>
      </c>
      <c r="L109" s="234">
        <v>0</v>
      </c>
      <c r="M109" s="234">
        <v>830062853</v>
      </c>
      <c r="N109" s="185" t="s">
        <v>5229</v>
      </c>
      <c r="O109" s="187">
        <v>44748.516631944403</v>
      </c>
      <c r="P109" s="186">
        <v>3693</v>
      </c>
      <c r="Q109" s="185" t="s">
        <v>433</v>
      </c>
      <c r="R109" s="185" t="s">
        <v>1564</v>
      </c>
      <c r="U109" s="190" t="str">
        <f>VLOOKUP(E109,Valida!$A$2:$K$271,4,FALSE)</f>
        <v>Trade and other payables</v>
      </c>
      <c r="V109" s="185" t="s">
        <v>2024</v>
      </c>
      <c r="W109" s="185" t="s">
        <v>2025</v>
      </c>
      <c r="X109" s="185" t="s">
        <v>1789</v>
      </c>
    </row>
    <row r="110" spans="1:24" customFormat="1">
      <c r="A110" s="185" t="s">
        <v>5226</v>
      </c>
      <c r="B110" s="185" t="s">
        <v>5227</v>
      </c>
      <c r="C110" s="185" t="s">
        <v>1792</v>
      </c>
      <c r="D110" s="185" t="s">
        <v>5228</v>
      </c>
      <c r="E110" s="185">
        <v>24081001</v>
      </c>
      <c r="F110" s="185" t="s">
        <v>5249</v>
      </c>
      <c r="G110" s="185" t="s">
        <v>1515</v>
      </c>
      <c r="I110" s="221">
        <f t="shared" si="40"/>
        <v>5257</v>
      </c>
      <c r="J110" s="221">
        <f t="shared" si="41"/>
        <v>6</v>
      </c>
      <c r="K110" s="234">
        <v>5257</v>
      </c>
      <c r="L110" s="234">
        <v>0</v>
      </c>
      <c r="M110" s="234">
        <v>830062853</v>
      </c>
      <c r="N110" s="185" t="s">
        <v>5229</v>
      </c>
      <c r="O110" s="187">
        <v>44748.516631944403</v>
      </c>
      <c r="P110" s="186">
        <v>3695</v>
      </c>
      <c r="Q110" s="185" t="s">
        <v>433</v>
      </c>
      <c r="R110" s="185" t="s">
        <v>1564</v>
      </c>
      <c r="S110" s="185"/>
      <c r="U110" s="190" t="str">
        <f>VLOOKUP(E110,Valida!$A$2:$K$271,4,FALSE)</f>
        <v>Trade and other payables</v>
      </c>
      <c r="V110" s="185" t="s">
        <v>2024</v>
      </c>
      <c r="W110" s="185" t="s">
        <v>2025</v>
      </c>
      <c r="X110" s="185" t="s">
        <v>1789</v>
      </c>
    </row>
    <row r="111" spans="1:24" customFormat="1">
      <c r="A111" s="185" t="s">
        <v>5226</v>
      </c>
      <c r="B111" s="185" t="s">
        <v>5227</v>
      </c>
      <c r="C111" s="185" t="s">
        <v>1792</v>
      </c>
      <c r="D111" s="185" t="s">
        <v>5228</v>
      </c>
      <c r="E111" s="185">
        <v>24081005</v>
      </c>
      <c r="F111" s="185" t="s">
        <v>5172</v>
      </c>
      <c r="G111" s="185" t="s">
        <v>1515</v>
      </c>
      <c r="I111" s="221">
        <f t="shared" si="40"/>
        <v>7120</v>
      </c>
      <c r="J111" s="221">
        <f t="shared" si="41"/>
        <v>6</v>
      </c>
      <c r="K111" s="234">
        <v>7120</v>
      </c>
      <c r="L111" s="234">
        <v>0</v>
      </c>
      <c r="M111" s="234">
        <v>830062853</v>
      </c>
      <c r="N111" s="185" t="s">
        <v>5229</v>
      </c>
      <c r="O111" s="187">
        <v>44748.516631944403</v>
      </c>
      <c r="P111" s="186">
        <v>3697</v>
      </c>
      <c r="Q111" s="185" t="s">
        <v>433</v>
      </c>
      <c r="R111" s="185" t="s">
        <v>1564</v>
      </c>
      <c r="U111" s="190" t="str">
        <f>VLOOKUP(E111,Valida!$A$2:$K$271,4,FALSE)</f>
        <v>Trade and other payables</v>
      </c>
      <c r="V111" s="185" t="s">
        <v>2024</v>
      </c>
      <c r="W111" t="s">
        <v>2025</v>
      </c>
      <c r="X111" s="185" t="s">
        <v>1789</v>
      </c>
    </row>
    <row r="112" spans="1:24" customFormat="1">
      <c r="A112" s="185" t="s">
        <v>5226</v>
      </c>
      <c r="B112" s="185" t="s">
        <v>5227</v>
      </c>
      <c r="C112" s="185" t="s">
        <v>1792</v>
      </c>
      <c r="D112" s="185" t="s">
        <v>5228</v>
      </c>
      <c r="E112" s="185">
        <v>24081005</v>
      </c>
      <c r="F112" s="185" t="s">
        <v>5137</v>
      </c>
      <c r="G112" s="185" t="s">
        <v>1515</v>
      </c>
      <c r="I112" s="221">
        <f t="shared" si="40"/>
        <v>15067</v>
      </c>
      <c r="J112" s="221">
        <f t="shared" si="41"/>
        <v>6</v>
      </c>
      <c r="K112" s="234">
        <v>15067</v>
      </c>
      <c r="L112" s="234">
        <v>0</v>
      </c>
      <c r="M112" s="234">
        <v>830062853</v>
      </c>
      <c r="N112" s="185" t="s">
        <v>5229</v>
      </c>
      <c r="O112" s="187">
        <v>44748.516631944403</v>
      </c>
      <c r="P112" s="186">
        <v>3699</v>
      </c>
      <c r="Q112" s="185" t="s">
        <v>433</v>
      </c>
      <c r="R112" s="185" t="s">
        <v>1564</v>
      </c>
      <c r="U112" s="190" t="str">
        <f>VLOOKUP(E112,Valida!$A$2:$K$271,4,FALSE)</f>
        <v>Trade and other payables</v>
      </c>
      <c r="V112" s="185" t="s">
        <v>2024</v>
      </c>
      <c r="W112" t="s">
        <v>2025</v>
      </c>
      <c r="X112" s="185" t="s">
        <v>1789</v>
      </c>
    </row>
    <row r="113" spans="1:24" customFormat="1">
      <c r="A113" s="185" t="s">
        <v>5226</v>
      </c>
      <c r="B113" s="185" t="s">
        <v>5227</v>
      </c>
      <c r="C113" s="185" t="s">
        <v>1792</v>
      </c>
      <c r="D113" s="185" t="s">
        <v>5228</v>
      </c>
      <c r="E113" s="185">
        <v>24081001</v>
      </c>
      <c r="F113" s="185" t="s">
        <v>5250</v>
      </c>
      <c r="G113" s="185" t="s">
        <v>1515</v>
      </c>
      <c r="I113" s="221">
        <f t="shared" si="40"/>
        <v>3055</v>
      </c>
      <c r="J113" s="221">
        <f t="shared" si="41"/>
        <v>6</v>
      </c>
      <c r="K113" s="234">
        <v>3055</v>
      </c>
      <c r="L113" s="234">
        <v>0</v>
      </c>
      <c r="M113" s="234">
        <v>830062853</v>
      </c>
      <c r="N113" s="185" t="s">
        <v>5229</v>
      </c>
      <c r="O113" s="187">
        <v>44748.516631944403</v>
      </c>
      <c r="P113" s="186">
        <v>3701</v>
      </c>
      <c r="Q113" s="185" t="s">
        <v>433</v>
      </c>
      <c r="R113" s="185" t="s">
        <v>1564</v>
      </c>
      <c r="U113" s="190" t="str">
        <f>VLOOKUP(E113,Valida!$A$2:$K$271,4,FALSE)</f>
        <v>Trade and other payables</v>
      </c>
      <c r="V113" s="185" t="s">
        <v>2024</v>
      </c>
      <c r="W113" t="s">
        <v>2025</v>
      </c>
      <c r="X113" s="185" t="s">
        <v>1789</v>
      </c>
    </row>
    <row r="114" spans="1:24" customFormat="1">
      <c r="A114" s="185" t="s">
        <v>5226</v>
      </c>
      <c r="B114" s="185" t="s">
        <v>5251</v>
      </c>
      <c r="C114" s="185" t="s">
        <v>1792</v>
      </c>
      <c r="D114" s="185" t="s">
        <v>5252</v>
      </c>
      <c r="E114" s="185">
        <v>24081002</v>
      </c>
      <c r="F114" s="185" t="s">
        <v>1812</v>
      </c>
      <c r="G114" s="185" t="s">
        <v>1515</v>
      </c>
      <c r="I114" s="221">
        <f t="shared" ref="I114:I121" si="42">K114-L114</f>
        <v>6960</v>
      </c>
      <c r="J114" s="221">
        <f t="shared" ref="J114:J121" si="43">MONTH(A114)</f>
        <v>6</v>
      </c>
      <c r="K114" s="234">
        <v>6960</v>
      </c>
      <c r="L114" s="234">
        <v>0</v>
      </c>
      <c r="M114" s="234">
        <v>800153993</v>
      </c>
      <c r="N114" s="185" t="s">
        <v>5253</v>
      </c>
      <c r="O114" s="187">
        <v>44748.654282407399</v>
      </c>
      <c r="P114" s="186">
        <v>3711</v>
      </c>
      <c r="Q114" s="185" t="s">
        <v>1814</v>
      </c>
      <c r="R114" s="185" t="s">
        <v>1556</v>
      </c>
      <c r="U114" s="190" t="str">
        <f>VLOOKUP(E114,Valida!$A$2:$K$271,4,FALSE)</f>
        <v>Trade and other payables</v>
      </c>
      <c r="V114" s="185" t="s">
        <v>1815</v>
      </c>
      <c r="W114" s="185"/>
      <c r="X114" s="185" t="s">
        <v>1789</v>
      </c>
    </row>
    <row r="115" spans="1:24" customFormat="1">
      <c r="A115" s="185" t="s">
        <v>5226</v>
      </c>
      <c r="B115" s="185" t="s">
        <v>5254</v>
      </c>
      <c r="C115" s="185" t="s">
        <v>1792</v>
      </c>
      <c r="D115" s="185" t="s">
        <v>5255</v>
      </c>
      <c r="E115" s="185">
        <v>24081002</v>
      </c>
      <c r="F115" s="185" t="s">
        <v>5256</v>
      </c>
      <c r="G115" s="185" t="s">
        <v>1515</v>
      </c>
      <c r="I115" s="221">
        <f t="shared" si="42"/>
        <v>848350</v>
      </c>
      <c r="J115" s="221">
        <f t="shared" si="43"/>
        <v>6</v>
      </c>
      <c r="K115" s="234">
        <v>848350</v>
      </c>
      <c r="L115" s="234">
        <v>0</v>
      </c>
      <c r="M115" s="234">
        <v>900471482</v>
      </c>
      <c r="N115" s="185" t="s">
        <v>5257</v>
      </c>
      <c r="O115" s="187">
        <v>44748.662256944401</v>
      </c>
      <c r="P115" s="186">
        <v>3721</v>
      </c>
      <c r="Q115" s="185" t="s">
        <v>6</v>
      </c>
      <c r="R115" s="185" t="s">
        <v>1600</v>
      </c>
      <c r="U115" s="190" t="str">
        <f>VLOOKUP(E115,Valida!$A$2:$K$271,4,FALSE)</f>
        <v>Trade and other payables</v>
      </c>
      <c r="V115" s="185" t="s">
        <v>1853</v>
      </c>
      <c r="W115" s="185" t="s">
        <v>1854</v>
      </c>
      <c r="X115" t="s">
        <v>1789</v>
      </c>
    </row>
    <row r="116" spans="1:24" customFormat="1">
      <c r="A116" s="185" t="s">
        <v>5258</v>
      </c>
      <c r="B116" s="185" t="s">
        <v>5259</v>
      </c>
      <c r="C116" s="185" t="s">
        <v>1792</v>
      </c>
      <c r="D116" s="185" t="s">
        <v>5260</v>
      </c>
      <c r="E116" s="185">
        <v>24081001</v>
      </c>
      <c r="F116" s="185" t="s">
        <v>5261</v>
      </c>
      <c r="G116" s="185" t="s">
        <v>1515</v>
      </c>
      <c r="I116" s="221">
        <f t="shared" si="42"/>
        <v>10026</v>
      </c>
      <c r="J116" s="221">
        <f t="shared" si="43"/>
        <v>6</v>
      </c>
      <c r="K116" s="234">
        <v>10026</v>
      </c>
      <c r="L116" s="234">
        <v>0</v>
      </c>
      <c r="M116" s="234">
        <v>830037946</v>
      </c>
      <c r="N116" s="185" t="s">
        <v>5262</v>
      </c>
      <c r="O116" s="187">
        <v>44748.665011574099</v>
      </c>
      <c r="P116" s="186">
        <v>3729</v>
      </c>
      <c r="Q116" s="185" t="s">
        <v>844</v>
      </c>
      <c r="R116" s="185" t="s">
        <v>4996</v>
      </c>
      <c r="U116" s="190" t="str">
        <f>VLOOKUP(E116,Valida!$A$2:$K$271,4,FALSE)</f>
        <v>Trade and other payables</v>
      </c>
      <c r="V116" s="185" t="s">
        <v>4997</v>
      </c>
      <c r="W116" s="185" t="s">
        <v>4998</v>
      </c>
      <c r="X116" s="185"/>
    </row>
    <row r="117" spans="1:24" customFormat="1">
      <c r="A117" s="185" t="s">
        <v>5258</v>
      </c>
      <c r="B117" s="185" t="s">
        <v>5263</v>
      </c>
      <c r="C117" s="185" t="s">
        <v>1792</v>
      </c>
      <c r="D117" s="185" t="s">
        <v>5264</v>
      </c>
      <c r="E117" s="185">
        <v>24081002</v>
      </c>
      <c r="F117" s="185" t="s">
        <v>1830</v>
      </c>
      <c r="G117" s="185" t="s">
        <v>1515</v>
      </c>
      <c r="I117" s="221">
        <f t="shared" si="42"/>
        <v>438900</v>
      </c>
      <c r="J117" s="221">
        <f t="shared" si="43"/>
        <v>6</v>
      </c>
      <c r="K117" s="234">
        <v>438900</v>
      </c>
      <c r="L117" s="234">
        <v>0</v>
      </c>
      <c r="M117" s="234">
        <v>800153993</v>
      </c>
      <c r="N117" s="185" t="s">
        <v>5265</v>
      </c>
      <c r="O117" s="187">
        <v>44748.666620370401</v>
      </c>
      <c r="P117" s="186">
        <v>3735</v>
      </c>
      <c r="Q117" s="185" t="s">
        <v>1814</v>
      </c>
      <c r="R117" s="185" t="s">
        <v>1556</v>
      </c>
      <c r="U117" s="190" t="str">
        <f>VLOOKUP(E117,Valida!$A$2:$K$271,4,FALSE)</f>
        <v>Trade and other payables</v>
      </c>
      <c r="V117" s="185" t="s">
        <v>1815</v>
      </c>
      <c r="W117" s="185"/>
      <c r="X117" s="185" t="s">
        <v>1789</v>
      </c>
    </row>
    <row r="118" spans="1:24" customFormat="1">
      <c r="A118" s="185" t="s">
        <v>5266</v>
      </c>
      <c r="B118" s="185" t="s">
        <v>5267</v>
      </c>
      <c r="C118" s="185" t="s">
        <v>1792</v>
      </c>
      <c r="D118" s="185" t="s">
        <v>5268</v>
      </c>
      <c r="E118" s="185">
        <v>24081002</v>
      </c>
      <c r="F118" s="185" t="s">
        <v>5269</v>
      </c>
      <c r="G118" s="185" t="s">
        <v>1515</v>
      </c>
      <c r="I118" s="221">
        <f t="shared" si="42"/>
        <v>16144</v>
      </c>
      <c r="J118" s="221">
        <f t="shared" si="43"/>
        <v>6</v>
      </c>
      <c r="K118" s="234">
        <v>16144</v>
      </c>
      <c r="L118" s="234">
        <v>0</v>
      </c>
      <c r="M118" s="234">
        <v>891700037</v>
      </c>
      <c r="N118" s="185" t="s">
        <v>5270</v>
      </c>
      <c r="O118" s="187">
        <v>44748.677939814799</v>
      </c>
      <c r="P118" s="186">
        <v>3741</v>
      </c>
      <c r="Q118" s="185" t="s">
        <v>1841</v>
      </c>
      <c r="R118" s="185" t="s">
        <v>4987</v>
      </c>
      <c r="S118" s="185"/>
      <c r="U118" s="190" t="str">
        <f>VLOOKUP(E118,Valida!$A$2:$K$271,4,FALSE)</f>
        <v>Trade and other payables</v>
      </c>
      <c r="V118" s="185" t="s">
        <v>2077</v>
      </c>
      <c r="W118" t="s">
        <v>2078</v>
      </c>
      <c r="X118" s="185" t="s">
        <v>1789</v>
      </c>
    </row>
    <row r="119" spans="1:24" customFormat="1">
      <c r="A119" s="185" t="s">
        <v>5266</v>
      </c>
      <c r="B119" s="185" t="s">
        <v>5271</v>
      </c>
      <c r="C119" s="185" t="s">
        <v>1792</v>
      </c>
      <c r="D119" s="185" t="s">
        <v>5272</v>
      </c>
      <c r="E119" s="185">
        <v>24081002</v>
      </c>
      <c r="F119" s="185" t="s">
        <v>5269</v>
      </c>
      <c r="G119" s="185" t="s">
        <v>1628</v>
      </c>
      <c r="I119" s="221">
        <f t="shared" si="42"/>
        <v>-10719</v>
      </c>
      <c r="J119" s="221">
        <f t="shared" si="43"/>
        <v>6</v>
      </c>
      <c r="K119" s="234">
        <v>0</v>
      </c>
      <c r="L119" s="234">
        <v>10719</v>
      </c>
      <c r="M119" s="234">
        <v>891700037</v>
      </c>
      <c r="N119" s="185" t="s">
        <v>5270</v>
      </c>
      <c r="O119" s="187">
        <v>44748.679791666698</v>
      </c>
      <c r="P119" s="186">
        <v>3744</v>
      </c>
      <c r="Q119" s="185" t="s">
        <v>1841</v>
      </c>
      <c r="R119" s="185" t="s">
        <v>4987</v>
      </c>
      <c r="S119" s="185"/>
      <c r="U119" s="190" t="str">
        <f>VLOOKUP(E119,Valida!$A$2:$K$271,4,FALSE)</f>
        <v>Trade and other payables</v>
      </c>
      <c r="V119" s="185" t="s">
        <v>2077</v>
      </c>
      <c r="W119" t="s">
        <v>2078</v>
      </c>
      <c r="X119" s="185" t="s">
        <v>1789</v>
      </c>
    </row>
    <row r="120" spans="1:24" customFormat="1">
      <c r="A120" s="185" t="s">
        <v>5266</v>
      </c>
      <c r="B120" s="185" t="s">
        <v>5273</v>
      </c>
      <c r="C120" s="185" t="s">
        <v>1952</v>
      </c>
      <c r="D120" s="185" t="s">
        <v>5274</v>
      </c>
      <c r="E120" s="185">
        <v>24081002</v>
      </c>
      <c r="F120" s="185" t="s">
        <v>1954</v>
      </c>
      <c r="G120" s="185" t="s">
        <v>1515</v>
      </c>
      <c r="I120" s="221">
        <f t="shared" si="42"/>
        <v>13148</v>
      </c>
      <c r="J120" s="221">
        <f t="shared" si="43"/>
        <v>6</v>
      </c>
      <c r="K120" s="234">
        <v>13148</v>
      </c>
      <c r="L120" s="234">
        <v>0</v>
      </c>
      <c r="M120" s="234">
        <v>890903938</v>
      </c>
      <c r="N120" s="185" t="s">
        <v>5273</v>
      </c>
      <c r="O120" s="187">
        <v>44748.686944444402</v>
      </c>
      <c r="P120" s="186">
        <v>3747</v>
      </c>
      <c r="Q120" s="185" t="s">
        <v>1827</v>
      </c>
      <c r="R120" s="185" t="s">
        <v>1580</v>
      </c>
      <c r="U120" s="190" t="str">
        <f>VLOOKUP(E120,Valida!$A$2:$K$271,4,FALSE)</f>
        <v>Trade and other payables</v>
      </c>
      <c r="V120" s="185" t="s">
        <v>1955</v>
      </c>
      <c r="W120" s="185"/>
      <c r="X120" s="185" t="s">
        <v>1844</v>
      </c>
    </row>
    <row r="121" spans="1:24" customFormat="1">
      <c r="A121" s="185" t="s">
        <v>5266</v>
      </c>
      <c r="B121" s="185" t="s">
        <v>5273</v>
      </c>
      <c r="C121" s="185" t="s">
        <v>1952</v>
      </c>
      <c r="D121" s="185" t="s">
        <v>5274</v>
      </c>
      <c r="E121" s="185">
        <v>24081002</v>
      </c>
      <c r="F121" s="185" t="s">
        <v>1957</v>
      </c>
      <c r="G121" s="185" t="s">
        <v>1515</v>
      </c>
      <c r="I121" s="221">
        <f t="shared" si="42"/>
        <v>10721.29</v>
      </c>
      <c r="J121" s="221">
        <f t="shared" si="43"/>
        <v>6</v>
      </c>
      <c r="K121" s="234">
        <v>10721.29</v>
      </c>
      <c r="L121" s="234">
        <v>0</v>
      </c>
      <c r="M121" s="234">
        <v>890903938</v>
      </c>
      <c r="N121" s="185" t="s">
        <v>5273</v>
      </c>
      <c r="O121" s="187">
        <v>44748.6869560185</v>
      </c>
      <c r="P121" s="186">
        <v>3751</v>
      </c>
      <c r="Q121" s="185" t="s">
        <v>1827</v>
      </c>
      <c r="R121" s="185" t="s">
        <v>1580</v>
      </c>
      <c r="U121" s="190" t="str">
        <f>VLOOKUP(E121,Valida!$A$2:$K$271,4,FALSE)</f>
        <v>Trade and other payables</v>
      </c>
      <c r="V121" s="185" t="s">
        <v>1955</v>
      </c>
      <c r="X121" s="185" t="s">
        <v>1844</v>
      </c>
    </row>
    <row r="122" spans="1:24" customFormat="1">
      <c r="A122" s="185" t="s">
        <v>5266</v>
      </c>
      <c r="B122" s="185" t="s">
        <v>5275</v>
      </c>
      <c r="C122" s="185" t="s">
        <v>1792</v>
      </c>
      <c r="D122" s="185" t="s">
        <v>5276</v>
      </c>
      <c r="E122" s="185">
        <v>24081002</v>
      </c>
      <c r="F122" s="185" t="s">
        <v>5216</v>
      </c>
      <c r="G122" s="185" t="s">
        <v>1628</v>
      </c>
      <c r="I122" s="221">
        <f t="shared" ref="I122" si="44">K122-L122</f>
        <v>-1180.9100000000001</v>
      </c>
      <c r="J122" s="221">
        <f t="shared" ref="J122" si="45">MONTH(A122)</f>
        <v>6</v>
      </c>
      <c r="K122" s="234">
        <v>0</v>
      </c>
      <c r="L122" s="234">
        <v>1180.9100000000001</v>
      </c>
      <c r="M122" s="234">
        <v>860010451</v>
      </c>
      <c r="N122" s="185" t="s">
        <v>5277</v>
      </c>
      <c r="O122" s="187">
        <v>44750.514756944402</v>
      </c>
      <c r="P122" s="186">
        <v>3901</v>
      </c>
      <c r="Q122" s="185" t="s">
        <v>6</v>
      </c>
      <c r="R122" s="185" t="s">
        <v>1568</v>
      </c>
      <c r="U122" s="190" t="str">
        <f>VLOOKUP(E122,Valida!$A$2:$K$271,4,FALSE)</f>
        <v>Trade and other payables</v>
      </c>
      <c r="V122" s="185" t="s">
        <v>2035</v>
      </c>
      <c r="W122" s="185" t="s">
        <v>2036</v>
      </c>
      <c r="X122" s="185" t="s">
        <v>1789</v>
      </c>
    </row>
    <row r="123" spans="1:24" customFormat="1">
      <c r="A123" s="185" t="s">
        <v>5266</v>
      </c>
      <c r="B123" s="185" t="s">
        <v>5278</v>
      </c>
      <c r="C123" s="185" t="s">
        <v>1785</v>
      </c>
      <c r="D123" s="185" t="s">
        <v>2434</v>
      </c>
      <c r="E123" s="185">
        <v>24081002</v>
      </c>
      <c r="F123" s="185" t="s">
        <v>5279</v>
      </c>
      <c r="G123" s="185" t="s">
        <v>1515</v>
      </c>
      <c r="I123" s="221">
        <f t="shared" ref="I123:I129" si="46">K123-L123</f>
        <v>2280000</v>
      </c>
      <c r="J123" s="221">
        <f t="shared" ref="J123:J129" si="47">MONTH(A123)</f>
        <v>6</v>
      </c>
      <c r="K123" s="234">
        <v>2280000</v>
      </c>
      <c r="L123" s="234">
        <v>0</v>
      </c>
      <c r="M123" s="234">
        <v>900471482</v>
      </c>
      <c r="N123" s="185" t="s">
        <v>5278</v>
      </c>
      <c r="O123" s="187">
        <v>44750.6418402778</v>
      </c>
      <c r="P123" s="186">
        <v>3926</v>
      </c>
      <c r="Q123" s="185" t="s">
        <v>6</v>
      </c>
      <c r="R123" s="185" t="s">
        <v>1600</v>
      </c>
      <c r="U123" s="190" t="str">
        <f>VLOOKUP(E123,Valida!$A$2:$K$271,4,FALSE)</f>
        <v>Trade and other payables</v>
      </c>
      <c r="V123" t="s">
        <v>1853</v>
      </c>
      <c r="W123" t="s">
        <v>1854</v>
      </c>
      <c r="X123" t="s">
        <v>1789</v>
      </c>
    </row>
    <row r="124" spans="1:24" customFormat="1">
      <c r="A124" s="185" t="s">
        <v>5280</v>
      </c>
      <c r="B124" s="185" t="s">
        <v>5281</v>
      </c>
      <c r="C124" s="185" t="s">
        <v>1792</v>
      </c>
      <c r="D124" s="185" t="s">
        <v>5282</v>
      </c>
      <c r="E124" s="185">
        <v>24081002</v>
      </c>
      <c r="F124" s="185" t="s">
        <v>5216</v>
      </c>
      <c r="G124" s="185" t="s">
        <v>1515</v>
      </c>
      <c r="I124" s="221">
        <f t="shared" si="46"/>
        <v>35427.1</v>
      </c>
      <c r="J124" s="221">
        <f t="shared" si="47"/>
        <v>7</v>
      </c>
      <c r="K124" s="234">
        <v>35427.1</v>
      </c>
      <c r="L124" s="234">
        <v>0</v>
      </c>
      <c r="M124" s="234">
        <v>860010451</v>
      </c>
      <c r="N124" s="185" t="s">
        <v>5283</v>
      </c>
      <c r="O124" s="187">
        <v>44760.530763888899</v>
      </c>
      <c r="P124" s="186">
        <v>3941</v>
      </c>
      <c r="Q124" s="185" t="s">
        <v>6</v>
      </c>
      <c r="R124" s="185" t="s">
        <v>1568</v>
      </c>
      <c r="U124" s="190" t="str">
        <f>VLOOKUP(E124,Valida!$A$2:$K$271,4,FALSE)</f>
        <v>Trade and other payables</v>
      </c>
      <c r="V124" s="185" t="s">
        <v>2035</v>
      </c>
      <c r="W124" s="185" t="s">
        <v>2036</v>
      </c>
      <c r="X124" s="185" t="s">
        <v>1789</v>
      </c>
    </row>
    <row r="125" spans="1:24" customFormat="1">
      <c r="A125" s="185" t="s">
        <v>5284</v>
      </c>
      <c r="B125" s="185" t="s">
        <v>5285</v>
      </c>
      <c r="C125" s="185" t="s">
        <v>1792</v>
      </c>
      <c r="D125" s="185" t="s">
        <v>5286</v>
      </c>
      <c r="E125" s="185">
        <v>24081002</v>
      </c>
      <c r="F125" s="185" t="s">
        <v>5287</v>
      </c>
      <c r="G125" s="185" t="s">
        <v>1515</v>
      </c>
      <c r="I125" s="221">
        <f t="shared" si="46"/>
        <v>1676</v>
      </c>
      <c r="J125" s="221">
        <f t="shared" si="47"/>
        <v>7</v>
      </c>
      <c r="K125" s="234">
        <v>1676</v>
      </c>
      <c r="L125" s="234">
        <v>0</v>
      </c>
      <c r="M125" s="234">
        <v>900803591</v>
      </c>
      <c r="N125" s="185" t="s">
        <v>5288</v>
      </c>
      <c r="O125" s="187">
        <v>44760.534039351798</v>
      </c>
      <c r="P125" s="186">
        <v>3946</v>
      </c>
      <c r="Q125" s="185" t="s">
        <v>433</v>
      </c>
      <c r="R125" s="185" t="s">
        <v>4957</v>
      </c>
      <c r="U125" s="190" t="str">
        <f>VLOOKUP(E125,Valida!$A$2:$K$271,4,FALSE)</f>
        <v>Trade and other payables</v>
      </c>
      <c r="V125" s="185" t="s">
        <v>4958</v>
      </c>
      <c r="X125" s="185" t="s">
        <v>1789</v>
      </c>
    </row>
    <row r="126" spans="1:24" customFormat="1">
      <c r="A126" s="185" t="s">
        <v>5284</v>
      </c>
      <c r="B126" s="185" t="s">
        <v>5289</v>
      </c>
      <c r="C126" s="185" t="s">
        <v>1792</v>
      </c>
      <c r="D126" s="185" t="s">
        <v>5290</v>
      </c>
      <c r="E126" s="185">
        <v>24081002</v>
      </c>
      <c r="F126" s="185" t="s">
        <v>1866</v>
      </c>
      <c r="G126" s="185" t="s">
        <v>1515</v>
      </c>
      <c r="I126" s="221">
        <f t="shared" si="46"/>
        <v>19000</v>
      </c>
      <c r="J126" s="221">
        <f t="shared" si="47"/>
        <v>7</v>
      </c>
      <c r="K126" s="234">
        <v>19000</v>
      </c>
      <c r="L126" s="234">
        <v>0</v>
      </c>
      <c r="M126" s="234">
        <v>900424409</v>
      </c>
      <c r="N126" s="185" t="s">
        <v>5291</v>
      </c>
      <c r="O126" s="187">
        <v>44760.535949074103</v>
      </c>
      <c r="P126" s="186">
        <v>3949</v>
      </c>
      <c r="Q126" s="185" t="s">
        <v>844</v>
      </c>
      <c r="R126" s="185" t="s">
        <v>1598</v>
      </c>
      <c r="U126" s="190" t="str">
        <f>VLOOKUP(E126,Valida!$A$2:$K$271,4,FALSE)</f>
        <v>Trade and other payables</v>
      </c>
      <c r="V126" s="185" t="s">
        <v>1864</v>
      </c>
      <c r="W126" s="185" t="s">
        <v>1865</v>
      </c>
      <c r="X126" s="185" t="s">
        <v>1789</v>
      </c>
    </row>
    <row r="127" spans="1:24" customFormat="1">
      <c r="A127" s="185" t="s">
        <v>5292</v>
      </c>
      <c r="B127" s="185" t="s">
        <v>5293</v>
      </c>
      <c r="C127" s="185" t="s">
        <v>1792</v>
      </c>
      <c r="D127" s="185" t="s">
        <v>5294</v>
      </c>
      <c r="E127" s="185">
        <v>24081002</v>
      </c>
      <c r="F127" s="185" t="s">
        <v>5295</v>
      </c>
      <c r="G127" s="185" t="s">
        <v>1515</v>
      </c>
      <c r="I127" s="221">
        <f t="shared" si="46"/>
        <v>95000</v>
      </c>
      <c r="J127" s="221">
        <f t="shared" si="47"/>
        <v>7</v>
      </c>
      <c r="K127" s="234">
        <v>95000</v>
      </c>
      <c r="L127" s="234">
        <v>0</v>
      </c>
      <c r="M127" s="234">
        <v>901248743</v>
      </c>
      <c r="N127" s="185" t="s">
        <v>5296</v>
      </c>
      <c r="O127" s="187">
        <v>44760.630775463003</v>
      </c>
      <c r="P127" s="186">
        <v>3954</v>
      </c>
      <c r="Q127" s="185" t="s">
        <v>1827</v>
      </c>
      <c r="R127" s="185" t="s">
        <v>5297</v>
      </c>
      <c r="U127" s="190" t="str">
        <f>VLOOKUP(E127,Valida!$A$2:$K$271,4,FALSE)</f>
        <v>Trade and other payables</v>
      </c>
      <c r="V127" s="185" t="s">
        <v>5298</v>
      </c>
      <c r="W127" s="185"/>
      <c r="X127" s="185" t="s">
        <v>5299</v>
      </c>
    </row>
    <row r="128" spans="1:24" customFormat="1">
      <c r="A128" s="185" t="s">
        <v>5284</v>
      </c>
      <c r="B128" s="185" t="s">
        <v>5300</v>
      </c>
      <c r="C128" s="185" t="s">
        <v>1792</v>
      </c>
      <c r="D128" s="185" t="s">
        <v>5301</v>
      </c>
      <c r="E128" s="185">
        <v>24081002</v>
      </c>
      <c r="F128" s="185" t="s">
        <v>5302</v>
      </c>
      <c r="G128" s="185" t="s">
        <v>1515</v>
      </c>
      <c r="I128" s="221">
        <f t="shared" si="46"/>
        <v>3976700</v>
      </c>
      <c r="J128" s="221">
        <f t="shared" si="47"/>
        <v>7</v>
      </c>
      <c r="K128" s="234">
        <v>3976700</v>
      </c>
      <c r="L128" s="234">
        <v>0</v>
      </c>
      <c r="M128" s="234">
        <v>900471482</v>
      </c>
      <c r="N128" s="185" t="s">
        <v>5303</v>
      </c>
      <c r="O128" s="187">
        <v>44760.637800925899</v>
      </c>
      <c r="P128" s="186">
        <v>3959</v>
      </c>
      <c r="Q128" s="185" t="s">
        <v>6</v>
      </c>
      <c r="R128" s="185" t="s">
        <v>1600</v>
      </c>
      <c r="U128" s="190" t="str">
        <f>VLOOKUP(E128,Valida!$A$2:$K$271,4,FALSE)</f>
        <v>Trade and other payables</v>
      </c>
      <c r="V128" s="185" t="s">
        <v>1853</v>
      </c>
      <c r="W128" s="185" t="s">
        <v>1854</v>
      </c>
      <c r="X128" s="185" t="s">
        <v>1789</v>
      </c>
    </row>
    <row r="129" spans="1:24" customFormat="1">
      <c r="A129" s="185" t="s">
        <v>5284</v>
      </c>
      <c r="B129" s="185" t="s">
        <v>5304</v>
      </c>
      <c r="C129" s="185" t="s">
        <v>1792</v>
      </c>
      <c r="D129" s="185" t="s">
        <v>5305</v>
      </c>
      <c r="E129" s="185">
        <v>24081002</v>
      </c>
      <c r="F129" s="185" t="s">
        <v>5306</v>
      </c>
      <c r="G129" s="185" t="s">
        <v>1515</v>
      </c>
      <c r="I129" s="221">
        <f t="shared" si="46"/>
        <v>3976700</v>
      </c>
      <c r="J129" s="221">
        <f t="shared" si="47"/>
        <v>7</v>
      </c>
      <c r="K129" s="234">
        <v>3976700</v>
      </c>
      <c r="L129" s="234">
        <v>0</v>
      </c>
      <c r="M129" s="234">
        <v>900471482</v>
      </c>
      <c r="N129" s="185" t="s">
        <v>5307</v>
      </c>
      <c r="O129" s="187">
        <v>44760.639513888898</v>
      </c>
      <c r="P129" s="186">
        <v>3965</v>
      </c>
      <c r="Q129" s="185" t="s">
        <v>6</v>
      </c>
      <c r="R129" s="185" t="s">
        <v>1600</v>
      </c>
      <c r="U129" s="190" t="str">
        <f>VLOOKUP(E129,Valida!$A$2:$K$271,4,FALSE)</f>
        <v>Trade and other payables</v>
      </c>
      <c r="V129" s="185" t="s">
        <v>1853</v>
      </c>
      <c r="W129" s="185" t="s">
        <v>1854</v>
      </c>
      <c r="X129" s="185" t="s">
        <v>1789</v>
      </c>
    </row>
    <row r="130" spans="1:24" customFormat="1">
      <c r="A130" s="185" t="s">
        <v>5284</v>
      </c>
      <c r="B130" s="185" t="s">
        <v>5308</v>
      </c>
      <c r="C130" s="185" t="s">
        <v>1792</v>
      </c>
      <c r="D130" s="185" t="s">
        <v>5309</v>
      </c>
      <c r="E130" s="185">
        <v>24081002</v>
      </c>
      <c r="F130" s="185" t="s">
        <v>5310</v>
      </c>
      <c r="G130" s="185" t="s">
        <v>1515</v>
      </c>
      <c r="I130" s="221">
        <f t="shared" ref="I130:I135" si="48">K130-L130</f>
        <v>3976700</v>
      </c>
      <c r="J130" s="221">
        <f t="shared" ref="J130:J135" si="49">MONTH(A130)</f>
        <v>7</v>
      </c>
      <c r="K130" s="234">
        <v>3976700</v>
      </c>
      <c r="L130" s="234">
        <v>0</v>
      </c>
      <c r="M130" s="234">
        <v>900471482</v>
      </c>
      <c r="N130" s="185" t="s">
        <v>5311</v>
      </c>
      <c r="O130" s="187">
        <v>44760.641678240703</v>
      </c>
      <c r="P130" s="186">
        <v>3970</v>
      </c>
      <c r="Q130" s="185" t="s">
        <v>6</v>
      </c>
      <c r="R130" s="185" t="s">
        <v>1600</v>
      </c>
      <c r="U130" s="190" t="str">
        <f>VLOOKUP(E130,Valida!$A$2:$K$271,4,FALSE)</f>
        <v>Trade and other payables</v>
      </c>
      <c r="V130" s="185" t="s">
        <v>1853</v>
      </c>
      <c r="W130" t="s">
        <v>1854</v>
      </c>
      <c r="X130" s="185" t="s">
        <v>1789</v>
      </c>
    </row>
    <row r="131" spans="1:24" customFormat="1">
      <c r="A131" s="185" t="s">
        <v>5284</v>
      </c>
      <c r="B131" s="185" t="s">
        <v>5312</v>
      </c>
      <c r="C131" s="185" t="s">
        <v>1792</v>
      </c>
      <c r="D131" s="185" t="s">
        <v>5313</v>
      </c>
      <c r="E131" s="185">
        <v>24081002</v>
      </c>
      <c r="F131" s="185" t="s">
        <v>5314</v>
      </c>
      <c r="G131" s="185" t="s">
        <v>1515</v>
      </c>
      <c r="I131" s="221">
        <f t="shared" si="48"/>
        <v>3976700</v>
      </c>
      <c r="J131" s="221">
        <f t="shared" si="49"/>
        <v>7</v>
      </c>
      <c r="K131" s="234">
        <v>3976700</v>
      </c>
      <c r="L131" s="234">
        <v>0</v>
      </c>
      <c r="M131" s="234">
        <v>900471482</v>
      </c>
      <c r="N131" s="185" t="s">
        <v>5315</v>
      </c>
      <c r="O131" s="187">
        <v>44760.643287036997</v>
      </c>
      <c r="P131" s="186">
        <v>3975</v>
      </c>
      <c r="Q131" s="185" t="s">
        <v>6</v>
      </c>
      <c r="R131" s="185" t="s">
        <v>1600</v>
      </c>
      <c r="U131" s="190" t="str">
        <f>VLOOKUP(E131,Valida!$A$2:$K$271,4,FALSE)</f>
        <v>Trade and other payables</v>
      </c>
      <c r="V131" s="185" t="s">
        <v>1853</v>
      </c>
      <c r="W131" t="s">
        <v>1854</v>
      </c>
      <c r="X131" s="185" t="s">
        <v>1789</v>
      </c>
    </row>
    <row r="132" spans="1:24" customFormat="1">
      <c r="A132" s="185" t="s">
        <v>5316</v>
      </c>
      <c r="B132" s="185" t="s">
        <v>5317</v>
      </c>
      <c r="C132" s="185" t="s">
        <v>1792</v>
      </c>
      <c r="D132" s="185" t="s">
        <v>5318</v>
      </c>
      <c r="E132" s="185">
        <v>24081002</v>
      </c>
      <c r="F132" s="185" t="s">
        <v>1830</v>
      </c>
      <c r="G132" s="185" t="s">
        <v>1515</v>
      </c>
      <c r="I132" s="221">
        <f t="shared" si="48"/>
        <v>438900</v>
      </c>
      <c r="J132" s="221">
        <f t="shared" si="49"/>
        <v>7</v>
      </c>
      <c r="K132" s="234">
        <v>438900</v>
      </c>
      <c r="L132" s="234">
        <v>0</v>
      </c>
      <c r="M132" s="234">
        <v>800153993</v>
      </c>
      <c r="N132" s="185" t="s">
        <v>5319</v>
      </c>
      <c r="O132" s="187">
        <v>44760.656458333302</v>
      </c>
      <c r="P132" s="186">
        <v>3980</v>
      </c>
      <c r="Q132" t="s">
        <v>1814</v>
      </c>
      <c r="R132" s="185" t="s">
        <v>1556</v>
      </c>
      <c r="S132" s="185"/>
      <c r="U132" s="190" t="str">
        <f>VLOOKUP(E132,Valida!$A$2:$K$271,4,FALSE)</f>
        <v>Trade and other payables</v>
      </c>
      <c r="V132" s="185" t="s">
        <v>1815</v>
      </c>
      <c r="W132" s="185"/>
      <c r="X132" s="185" t="s">
        <v>1789</v>
      </c>
    </row>
    <row r="133" spans="1:24" customFormat="1">
      <c r="A133" s="185" t="s">
        <v>5316</v>
      </c>
      <c r="B133" s="185" t="s">
        <v>5320</v>
      </c>
      <c r="C133" s="185" t="s">
        <v>1792</v>
      </c>
      <c r="D133" s="185" t="s">
        <v>5321</v>
      </c>
      <c r="E133" s="185">
        <v>24081002</v>
      </c>
      <c r="F133" s="185" t="s">
        <v>1812</v>
      </c>
      <c r="G133" s="185" t="s">
        <v>1515</v>
      </c>
      <c r="I133" s="221">
        <f t="shared" si="48"/>
        <v>6960</v>
      </c>
      <c r="J133" s="221">
        <f t="shared" si="49"/>
        <v>7</v>
      </c>
      <c r="K133" s="234">
        <v>6960</v>
      </c>
      <c r="L133" s="234">
        <v>0</v>
      </c>
      <c r="M133" s="234">
        <v>800153993</v>
      </c>
      <c r="N133" s="185" t="s">
        <v>5322</v>
      </c>
      <c r="O133" s="187">
        <v>44760.658773148098</v>
      </c>
      <c r="P133" s="186">
        <v>3985</v>
      </c>
      <c r="Q133" s="185" t="s">
        <v>1814</v>
      </c>
      <c r="R133" s="185" t="s">
        <v>1556</v>
      </c>
      <c r="U133" s="190" t="str">
        <f>VLOOKUP(E133,Valida!$A$2:$K$271,4,FALSE)</f>
        <v>Trade and other payables</v>
      </c>
      <c r="V133" s="185" t="s">
        <v>1815</v>
      </c>
      <c r="W133" s="185"/>
      <c r="X133" s="185" t="s">
        <v>1789</v>
      </c>
    </row>
    <row r="134" spans="1:24" customFormat="1">
      <c r="A134" s="185" t="s">
        <v>5316</v>
      </c>
      <c r="B134" s="185" t="s">
        <v>5323</v>
      </c>
      <c r="C134" s="185" t="s">
        <v>1792</v>
      </c>
      <c r="D134" s="185" t="s">
        <v>5324</v>
      </c>
      <c r="E134" s="185">
        <v>24081002</v>
      </c>
      <c r="F134" s="185" t="s">
        <v>1830</v>
      </c>
      <c r="G134" s="185" t="s">
        <v>1515</v>
      </c>
      <c r="I134" s="221">
        <f t="shared" si="48"/>
        <v>51431</v>
      </c>
      <c r="J134" s="221">
        <f t="shared" si="49"/>
        <v>7</v>
      </c>
      <c r="K134" s="234">
        <v>51431</v>
      </c>
      <c r="L134" s="234">
        <v>0</v>
      </c>
      <c r="M134" s="234">
        <v>900092385</v>
      </c>
      <c r="N134" s="185" t="s">
        <v>5325</v>
      </c>
      <c r="O134" s="187">
        <v>44760.704571759299</v>
      </c>
      <c r="P134" s="186">
        <v>3994</v>
      </c>
      <c r="Q134" s="185" t="s">
        <v>1841</v>
      </c>
      <c r="R134" s="185" t="s">
        <v>1590</v>
      </c>
      <c r="U134" s="190" t="str">
        <f>VLOOKUP(E134,Valida!$A$2:$K$271,4,FALSE)</f>
        <v>Trade and other payables</v>
      </c>
      <c r="V134" t="s">
        <v>1842</v>
      </c>
      <c r="W134" t="s">
        <v>1843</v>
      </c>
      <c r="X134" t="s">
        <v>1844</v>
      </c>
    </row>
    <row r="135" spans="1:24" customFormat="1">
      <c r="A135" s="185" t="s">
        <v>5316</v>
      </c>
      <c r="B135" s="185" t="s">
        <v>5326</v>
      </c>
      <c r="C135" s="185" t="s">
        <v>1792</v>
      </c>
      <c r="D135" s="185" t="s">
        <v>5327</v>
      </c>
      <c r="E135" s="185">
        <v>24081002</v>
      </c>
      <c r="F135" s="185" t="s">
        <v>1830</v>
      </c>
      <c r="G135" s="185" t="s">
        <v>1515</v>
      </c>
      <c r="I135" s="221">
        <f t="shared" si="48"/>
        <v>55991</v>
      </c>
      <c r="J135" s="221">
        <f t="shared" si="49"/>
        <v>7</v>
      </c>
      <c r="K135" s="234">
        <v>55991</v>
      </c>
      <c r="L135" s="234">
        <v>0</v>
      </c>
      <c r="M135" s="234">
        <v>900092385</v>
      </c>
      <c r="N135" s="185" t="s">
        <v>5328</v>
      </c>
      <c r="O135" s="187">
        <v>44760.721944444398</v>
      </c>
      <c r="P135" s="186">
        <v>3997</v>
      </c>
      <c r="Q135" s="185" t="s">
        <v>1841</v>
      </c>
      <c r="R135" s="185" t="s">
        <v>1590</v>
      </c>
      <c r="U135" s="190" t="str">
        <f>VLOOKUP(E135,Valida!$A$2:$K$271,4,FALSE)</f>
        <v>Trade and other payables</v>
      </c>
      <c r="V135" s="185" t="s">
        <v>1842</v>
      </c>
      <c r="W135" s="185" t="s">
        <v>1843</v>
      </c>
      <c r="X135" s="185" t="s">
        <v>1844</v>
      </c>
    </row>
    <row r="136" spans="1:24" customFormat="1">
      <c r="A136" s="185" t="s">
        <v>5329</v>
      </c>
      <c r="B136" s="185" t="s">
        <v>5330</v>
      </c>
      <c r="C136" s="185" t="s">
        <v>1792</v>
      </c>
      <c r="D136" s="185" t="s">
        <v>5331</v>
      </c>
      <c r="E136" s="185">
        <v>24081001</v>
      </c>
      <c r="F136" s="185" t="s">
        <v>1418</v>
      </c>
      <c r="G136" s="185" t="s">
        <v>1515</v>
      </c>
      <c r="I136" s="221">
        <f t="shared" ref="I136" si="50">K136-L136</f>
        <v>23789</v>
      </c>
      <c r="J136" s="221">
        <f t="shared" ref="J136" si="51">MONTH(A136)</f>
        <v>7</v>
      </c>
      <c r="K136" s="234">
        <v>23789</v>
      </c>
      <c r="L136" s="234">
        <v>0</v>
      </c>
      <c r="M136" s="234">
        <v>830037946</v>
      </c>
      <c r="N136" s="185" t="s">
        <v>5332</v>
      </c>
      <c r="O136" s="187">
        <v>44774.655150462997</v>
      </c>
      <c r="P136" s="186">
        <v>4148</v>
      </c>
      <c r="Q136" t="s">
        <v>844</v>
      </c>
      <c r="R136" s="185" t="s">
        <v>4996</v>
      </c>
      <c r="U136" s="190" t="str">
        <f>VLOOKUP(E136,Valida!$A$2:$K$271,4,FALSE)</f>
        <v>Trade and other payables</v>
      </c>
      <c r="V136" t="s">
        <v>4997</v>
      </c>
      <c r="W136" t="s">
        <v>4998</v>
      </c>
    </row>
    <row r="137" spans="1:24" customFormat="1">
      <c r="A137" s="185" t="s">
        <v>5333</v>
      </c>
      <c r="B137" s="185" t="s">
        <v>5334</v>
      </c>
      <c r="C137" s="185" t="s">
        <v>1952</v>
      </c>
      <c r="D137" s="185" t="s">
        <v>5335</v>
      </c>
      <c r="E137" s="185">
        <v>24081002</v>
      </c>
      <c r="F137" s="185" t="s">
        <v>1954</v>
      </c>
      <c r="G137" s="185" t="s">
        <v>1515</v>
      </c>
      <c r="I137" s="221">
        <f t="shared" ref="I137:I141" si="52">K137-L137</f>
        <v>13148</v>
      </c>
      <c r="J137" s="221">
        <f t="shared" ref="J137:J141" si="53">MONTH(A137)</f>
        <v>7</v>
      </c>
      <c r="K137" s="234">
        <v>13148</v>
      </c>
      <c r="L137" s="234">
        <v>0</v>
      </c>
      <c r="M137" s="234">
        <v>890903938</v>
      </c>
      <c r="N137" s="185" t="s">
        <v>5334</v>
      </c>
      <c r="O137" s="187">
        <v>44774.665023148104</v>
      </c>
      <c r="P137" s="186">
        <v>4166</v>
      </c>
      <c r="Q137" s="185" t="s">
        <v>1827</v>
      </c>
      <c r="R137" s="185" t="s">
        <v>1580</v>
      </c>
      <c r="S137" s="185"/>
      <c r="U137" s="190" t="str">
        <f>VLOOKUP(E137,Valida!$A$2:$K$271,4,FALSE)</f>
        <v>Trade and other payables</v>
      </c>
      <c r="V137" s="185" t="s">
        <v>1955</v>
      </c>
      <c r="X137" s="185" t="s">
        <v>1844</v>
      </c>
    </row>
    <row r="138" spans="1:24" customFormat="1">
      <c r="A138" s="185" t="s">
        <v>5333</v>
      </c>
      <c r="B138" s="185" t="s">
        <v>5334</v>
      </c>
      <c r="C138" s="185" t="s">
        <v>1952</v>
      </c>
      <c r="D138" s="185" t="s">
        <v>5335</v>
      </c>
      <c r="E138" s="185">
        <v>24081002</v>
      </c>
      <c r="F138" s="185" t="s">
        <v>1957</v>
      </c>
      <c r="G138" s="185" t="s">
        <v>1515</v>
      </c>
      <c r="I138" s="221">
        <f t="shared" si="52"/>
        <v>8262.82</v>
      </c>
      <c r="J138" s="221">
        <f t="shared" si="53"/>
        <v>7</v>
      </c>
      <c r="K138" s="234">
        <v>8262.82</v>
      </c>
      <c r="L138" s="234">
        <v>0</v>
      </c>
      <c r="M138" s="234">
        <v>890903938</v>
      </c>
      <c r="N138" s="185" t="s">
        <v>5334</v>
      </c>
      <c r="O138" s="187">
        <v>44774.665023148104</v>
      </c>
      <c r="P138" s="186">
        <v>4170</v>
      </c>
      <c r="Q138" s="185" t="s">
        <v>1827</v>
      </c>
      <c r="R138" s="185" t="s">
        <v>1580</v>
      </c>
      <c r="U138" s="190" t="str">
        <f>VLOOKUP(E138,Valida!$A$2:$K$271,4,FALSE)</f>
        <v>Trade and other payables</v>
      </c>
      <c r="V138" s="185" t="s">
        <v>1955</v>
      </c>
      <c r="W138" s="185"/>
      <c r="X138" s="185" t="s">
        <v>1844</v>
      </c>
    </row>
    <row r="139" spans="1:24" customFormat="1">
      <c r="A139" s="185" t="s">
        <v>5336</v>
      </c>
      <c r="B139" s="185" t="s">
        <v>5337</v>
      </c>
      <c r="C139" s="185" t="s">
        <v>1792</v>
      </c>
      <c r="D139" s="185" t="s">
        <v>5338</v>
      </c>
      <c r="E139" s="185">
        <v>24081001</v>
      </c>
      <c r="F139" s="185" t="s">
        <v>5339</v>
      </c>
      <c r="G139" s="185" t="s">
        <v>1515</v>
      </c>
      <c r="I139" s="221">
        <f t="shared" si="52"/>
        <v>103212</v>
      </c>
      <c r="J139" s="221">
        <f t="shared" si="53"/>
        <v>7</v>
      </c>
      <c r="K139" s="234">
        <v>103212</v>
      </c>
      <c r="L139" s="234">
        <v>0</v>
      </c>
      <c r="M139" s="234">
        <v>830062853</v>
      </c>
      <c r="N139" s="185" t="s">
        <v>5340</v>
      </c>
      <c r="O139" s="187">
        <v>44774.682962963001</v>
      </c>
      <c r="P139" s="186">
        <v>4180</v>
      </c>
      <c r="Q139" s="185" t="s">
        <v>433</v>
      </c>
      <c r="R139" s="185" t="s">
        <v>1564</v>
      </c>
      <c r="U139" s="190" t="str">
        <f>VLOOKUP(E139,Valida!$A$2:$K$271,4,FALSE)</f>
        <v>Trade and other payables</v>
      </c>
      <c r="V139" s="185" t="s">
        <v>2024</v>
      </c>
      <c r="W139" s="185" t="s">
        <v>2025</v>
      </c>
      <c r="X139" s="185" t="s">
        <v>1789</v>
      </c>
    </row>
    <row r="140" spans="1:24" customFormat="1">
      <c r="A140" s="185" t="s">
        <v>5336</v>
      </c>
      <c r="B140" s="185" t="s">
        <v>5337</v>
      </c>
      <c r="C140" s="185" t="s">
        <v>1792</v>
      </c>
      <c r="D140" s="185" t="s">
        <v>5338</v>
      </c>
      <c r="E140" s="185">
        <v>24081005</v>
      </c>
      <c r="F140" s="185" t="s">
        <v>5108</v>
      </c>
      <c r="G140" s="185" t="s">
        <v>1515</v>
      </c>
      <c r="I140" s="221">
        <f t="shared" si="52"/>
        <v>16390</v>
      </c>
      <c r="J140" s="221">
        <f t="shared" si="53"/>
        <v>7</v>
      </c>
      <c r="K140" s="234">
        <v>16390</v>
      </c>
      <c r="L140" s="234">
        <v>0</v>
      </c>
      <c r="M140" s="234">
        <v>830062853</v>
      </c>
      <c r="N140" s="185" t="s">
        <v>5340</v>
      </c>
      <c r="O140" s="187">
        <v>44774.682962963001</v>
      </c>
      <c r="P140" s="186">
        <v>4182</v>
      </c>
      <c r="Q140" t="s">
        <v>433</v>
      </c>
      <c r="R140" s="185" t="s">
        <v>1564</v>
      </c>
      <c r="U140" s="190" t="str">
        <f>VLOOKUP(E140,Valida!$A$2:$K$271,4,FALSE)</f>
        <v>Trade and other payables</v>
      </c>
      <c r="V140" s="185" t="s">
        <v>2024</v>
      </c>
      <c r="W140" t="s">
        <v>2025</v>
      </c>
      <c r="X140" t="s">
        <v>1789</v>
      </c>
    </row>
    <row r="141" spans="1:24" customFormat="1">
      <c r="A141" s="185" t="s">
        <v>5341</v>
      </c>
      <c r="B141" s="185" t="s">
        <v>5342</v>
      </c>
      <c r="C141" s="185" t="s">
        <v>1792</v>
      </c>
      <c r="D141" s="185" t="s">
        <v>5343</v>
      </c>
      <c r="E141" s="185">
        <v>24081002</v>
      </c>
      <c r="F141" s="185" t="s">
        <v>5344</v>
      </c>
      <c r="G141" s="185" t="s">
        <v>1515</v>
      </c>
      <c r="I141" s="221">
        <f t="shared" si="52"/>
        <v>1150</v>
      </c>
      <c r="J141" s="221">
        <f t="shared" si="53"/>
        <v>8</v>
      </c>
      <c r="K141" s="234">
        <v>1150</v>
      </c>
      <c r="L141" s="234">
        <v>0</v>
      </c>
      <c r="M141" s="234">
        <v>900803591</v>
      </c>
      <c r="N141" s="185" t="s">
        <v>5345</v>
      </c>
      <c r="O141" s="187">
        <v>44805.653055555602</v>
      </c>
      <c r="P141" s="186">
        <v>4228</v>
      </c>
      <c r="Q141" s="185" t="s">
        <v>433</v>
      </c>
      <c r="R141" s="185" t="s">
        <v>4957</v>
      </c>
      <c r="U141" s="190" t="str">
        <f>VLOOKUP(E141,Valida!$A$2:$K$271,4,FALSE)</f>
        <v>Trade and other payables</v>
      </c>
      <c r="V141" s="185" t="s">
        <v>4958</v>
      </c>
      <c r="X141" s="185" t="s">
        <v>1789</v>
      </c>
    </row>
    <row r="142" spans="1:24" customFormat="1">
      <c r="A142" s="185" t="s">
        <v>5341</v>
      </c>
      <c r="B142" s="185" t="s">
        <v>5346</v>
      </c>
      <c r="C142" s="185" t="s">
        <v>1792</v>
      </c>
      <c r="D142" s="185" t="s">
        <v>5347</v>
      </c>
      <c r="E142" s="185">
        <v>24081001</v>
      </c>
      <c r="F142" s="185" t="s">
        <v>5348</v>
      </c>
      <c r="G142" s="185" t="s">
        <v>1515</v>
      </c>
      <c r="I142" s="221">
        <f t="shared" ref="I142:I155" si="54">K142-L142</f>
        <v>1581</v>
      </c>
      <c r="J142" s="221">
        <f t="shared" ref="J142:J155" si="55">MONTH(A142)</f>
        <v>8</v>
      </c>
      <c r="K142" s="234">
        <v>1581</v>
      </c>
      <c r="L142" s="234">
        <v>0</v>
      </c>
      <c r="M142" s="234">
        <v>900803591</v>
      </c>
      <c r="N142" s="185" t="s">
        <v>5349</v>
      </c>
      <c r="O142" s="187">
        <v>44805.657662037003</v>
      </c>
      <c r="P142" s="186">
        <v>4233</v>
      </c>
      <c r="Q142" s="185" t="s">
        <v>433</v>
      </c>
      <c r="R142" s="185" t="s">
        <v>4957</v>
      </c>
      <c r="U142" s="190" t="str">
        <f>VLOOKUP(E142,Valida!$A$2:$K$271,4,FALSE)</f>
        <v>Trade and other payables</v>
      </c>
      <c r="V142" s="185" t="s">
        <v>4958</v>
      </c>
      <c r="W142" s="185"/>
      <c r="X142" s="185" t="s">
        <v>1789</v>
      </c>
    </row>
    <row r="143" spans="1:24" customFormat="1">
      <c r="A143" s="185" t="s">
        <v>5350</v>
      </c>
      <c r="B143" s="185" t="s">
        <v>5351</v>
      </c>
      <c r="C143" s="185" t="s">
        <v>1792</v>
      </c>
      <c r="D143" s="185" t="s">
        <v>5352</v>
      </c>
      <c r="E143" s="185">
        <v>24081005</v>
      </c>
      <c r="F143" s="185" t="s">
        <v>5353</v>
      </c>
      <c r="G143" s="185" t="s">
        <v>1515</v>
      </c>
      <c r="I143" s="221">
        <f t="shared" si="54"/>
        <v>1952</v>
      </c>
      <c r="J143" s="221">
        <f t="shared" si="55"/>
        <v>8</v>
      </c>
      <c r="K143" s="234">
        <v>1952</v>
      </c>
      <c r="L143" s="234">
        <v>0</v>
      </c>
      <c r="M143" s="234">
        <v>900803591</v>
      </c>
      <c r="N143" s="185" t="s">
        <v>5354</v>
      </c>
      <c r="O143" s="187">
        <v>44805.660324074102</v>
      </c>
      <c r="P143" s="186">
        <v>4237</v>
      </c>
      <c r="Q143" s="185" t="s">
        <v>433</v>
      </c>
      <c r="R143" s="185" t="s">
        <v>4957</v>
      </c>
      <c r="U143" s="190" t="str">
        <f>VLOOKUP(E143,Valida!$A$2:$K$271,4,FALSE)</f>
        <v>Trade and other payables</v>
      </c>
      <c r="V143" s="185" t="s">
        <v>4958</v>
      </c>
      <c r="W143" s="185"/>
      <c r="X143" s="185" t="s">
        <v>1789</v>
      </c>
    </row>
    <row r="144" spans="1:24" customFormat="1">
      <c r="A144" s="185" t="s">
        <v>5350</v>
      </c>
      <c r="B144" s="185" t="s">
        <v>5351</v>
      </c>
      <c r="C144" s="185" t="s">
        <v>1792</v>
      </c>
      <c r="D144" s="185" t="s">
        <v>5352</v>
      </c>
      <c r="E144" s="185">
        <v>24081001</v>
      </c>
      <c r="F144" s="185" t="s">
        <v>5355</v>
      </c>
      <c r="G144" s="185" t="s">
        <v>1515</v>
      </c>
      <c r="I144" s="221">
        <f t="shared" si="54"/>
        <v>766</v>
      </c>
      <c r="J144" s="221">
        <f t="shared" si="55"/>
        <v>8</v>
      </c>
      <c r="K144" s="234">
        <v>766</v>
      </c>
      <c r="L144" s="234">
        <v>0</v>
      </c>
      <c r="M144" s="234">
        <v>900803591</v>
      </c>
      <c r="N144" s="185" t="s">
        <v>5354</v>
      </c>
      <c r="O144" s="187">
        <v>44805.660324074102</v>
      </c>
      <c r="P144" s="186">
        <v>4239</v>
      </c>
      <c r="Q144" s="185" t="s">
        <v>433</v>
      </c>
      <c r="R144" s="185" t="s">
        <v>4957</v>
      </c>
      <c r="U144" s="190" t="str">
        <f>VLOOKUP(E144,Valida!$A$2:$K$271,4,FALSE)</f>
        <v>Trade and other payables</v>
      </c>
      <c r="V144" s="185" t="s">
        <v>4958</v>
      </c>
      <c r="W144" s="185"/>
      <c r="X144" s="185" t="s">
        <v>1789</v>
      </c>
    </row>
    <row r="145" spans="1:24" customFormat="1">
      <c r="A145" s="185" t="s">
        <v>5350</v>
      </c>
      <c r="B145" s="185" t="s">
        <v>5356</v>
      </c>
      <c r="C145" s="185" t="s">
        <v>1792</v>
      </c>
      <c r="D145" s="185" t="s">
        <v>5357</v>
      </c>
      <c r="E145" s="185">
        <v>24081002</v>
      </c>
      <c r="F145" s="185" t="s">
        <v>5216</v>
      </c>
      <c r="G145" s="185" t="s">
        <v>1515</v>
      </c>
      <c r="I145" s="221">
        <f t="shared" si="54"/>
        <v>35427.1</v>
      </c>
      <c r="J145" s="221">
        <f t="shared" si="55"/>
        <v>8</v>
      </c>
      <c r="K145" s="234">
        <v>35427.1</v>
      </c>
      <c r="L145" s="234">
        <v>0</v>
      </c>
      <c r="M145" s="234">
        <v>860010451</v>
      </c>
      <c r="N145" s="185" t="s">
        <v>5358</v>
      </c>
      <c r="O145" s="187">
        <v>44805.661064814798</v>
      </c>
      <c r="P145" s="186">
        <v>4243</v>
      </c>
      <c r="Q145" s="185" t="s">
        <v>6</v>
      </c>
      <c r="R145" s="185" t="s">
        <v>1568</v>
      </c>
      <c r="U145" s="190" t="str">
        <f>VLOOKUP(E145,Valida!$A$2:$K$271,4,FALSE)</f>
        <v>Trade and other payables</v>
      </c>
      <c r="V145" s="185" t="s">
        <v>2035</v>
      </c>
      <c r="W145" s="185" t="s">
        <v>2036</v>
      </c>
      <c r="X145" t="s">
        <v>1789</v>
      </c>
    </row>
    <row r="146" spans="1:24" customFormat="1">
      <c r="A146" s="185" t="s">
        <v>5350</v>
      </c>
      <c r="B146" s="185" t="s">
        <v>5359</v>
      </c>
      <c r="C146" s="185" t="s">
        <v>1792</v>
      </c>
      <c r="D146" s="185" t="s">
        <v>5360</v>
      </c>
      <c r="E146" s="185">
        <v>24081002</v>
      </c>
      <c r="F146" s="185" t="s">
        <v>1866</v>
      </c>
      <c r="G146" s="185" t="s">
        <v>1515</v>
      </c>
      <c r="I146" s="221">
        <f t="shared" si="54"/>
        <v>19000</v>
      </c>
      <c r="J146" s="221">
        <f t="shared" si="55"/>
        <v>8</v>
      </c>
      <c r="K146" s="234">
        <v>19000</v>
      </c>
      <c r="L146" s="234">
        <v>0</v>
      </c>
      <c r="M146" s="234">
        <v>900424409</v>
      </c>
      <c r="N146" s="185" t="s">
        <v>5361</v>
      </c>
      <c r="O146" s="187">
        <v>44805.661712963003</v>
      </c>
      <c r="P146" s="186">
        <v>4247</v>
      </c>
      <c r="Q146" s="185" t="s">
        <v>844</v>
      </c>
      <c r="R146" s="185" t="s">
        <v>1598</v>
      </c>
      <c r="U146" s="190" t="str">
        <f>VLOOKUP(E146,Valida!$A$2:$K$271,4,FALSE)</f>
        <v>Trade and other payables</v>
      </c>
      <c r="V146" s="185" t="s">
        <v>1864</v>
      </c>
      <c r="W146" s="185" t="s">
        <v>1865</v>
      </c>
      <c r="X146" s="185" t="s">
        <v>1789</v>
      </c>
    </row>
    <row r="147" spans="1:24" customFormat="1">
      <c r="A147" s="185" t="s">
        <v>5362</v>
      </c>
      <c r="B147" s="185" t="s">
        <v>5363</v>
      </c>
      <c r="C147" s="185" t="s">
        <v>1792</v>
      </c>
      <c r="D147" s="185" t="s">
        <v>5364</v>
      </c>
      <c r="E147" s="185">
        <v>24081001</v>
      </c>
      <c r="F147" s="185" t="s">
        <v>5365</v>
      </c>
      <c r="G147" s="185" t="s">
        <v>1515</v>
      </c>
      <c r="I147" s="221">
        <f t="shared" si="54"/>
        <v>8877</v>
      </c>
      <c r="J147" s="221">
        <f t="shared" si="55"/>
        <v>8</v>
      </c>
      <c r="K147" s="234">
        <v>8877</v>
      </c>
      <c r="L147" s="234">
        <v>0</v>
      </c>
      <c r="M147" s="234">
        <v>830037946</v>
      </c>
      <c r="N147" s="185" t="s">
        <v>5366</v>
      </c>
      <c r="O147" s="187">
        <v>44805.664363425902</v>
      </c>
      <c r="P147" s="186">
        <v>4254</v>
      </c>
      <c r="Q147" s="185" t="s">
        <v>844</v>
      </c>
      <c r="R147" s="185" t="s">
        <v>4996</v>
      </c>
      <c r="U147" s="190" t="str">
        <f>VLOOKUP(E147,Valida!$A$2:$K$271,4,FALSE)</f>
        <v>Trade and other payables</v>
      </c>
      <c r="V147" s="185" t="s">
        <v>4997</v>
      </c>
      <c r="W147" s="185" t="s">
        <v>4998</v>
      </c>
      <c r="X147" s="185"/>
    </row>
    <row r="148" spans="1:24" customFormat="1">
      <c r="A148" s="185" t="s">
        <v>5367</v>
      </c>
      <c r="B148" s="185" t="s">
        <v>5368</v>
      </c>
      <c r="C148" s="185" t="s">
        <v>1792</v>
      </c>
      <c r="D148" s="185" t="s">
        <v>5369</v>
      </c>
      <c r="E148" s="185">
        <v>24081001</v>
      </c>
      <c r="F148" s="185" t="s">
        <v>5370</v>
      </c>
      <c r="G148" s="185" t="s">
        <v>1515</v>
      </c>
      <c r="I148" s="221">
        <f t="shared" si="54"/>
        <v>151098</v>
      </c>
      <c r="J148" s="221">
        <f t="shared" si="55"/>
        <v>8</v>
      </c>
      <c r="K148" s="234">
        <v>151098</v>
      </c>
      <c r="L148" s="234">
        <v>0</v>
      </c>
      <c r="M148" s="234">
        <v>900521130</v>
      </c>
      <c r="N148" s="185" t="s">
        <v>5371</v>
      </c>
      <c r="O148" s="187">
        <v>44805.6705671296</v>
      </c>
      <c r="P148" s="186">
        <v>4257</v>
      </c>
      <c r="Q148" s="185" t="s">
        <v>6</v>
      </c>
      <c r="R148" s="185" t="s">
        <v>5372</v>
      </c>
      <c r="U148" s="190" t="str">
        <f>VLOOKUP(E148,Valida!$A$2:$K$271,4,FALSE)</f>
        <v>Trade and other payables</v>
      </c>
      <c r="V148" s="185" t="s">
        <v>5373</v>
      </c>
      <c r="W148" s="185" t="s">
        <v>5374</v>
      </c>
      <c r="X148" s="185" t="s">
        <v>1789</v>
      </c>
    </row>
    <row r="149" spans="1:24" customFormat="1">
      <c r="A149" s="185" t="s">
        <v>5367</v>
      </c>
      <c r="B149" s="185" t="s">
        <v>5375</v>
      </c>
      <c r="C149" s="185" t="s">
        <v>1792</v>
      </c>
      <c r="D149" s="185" t="s">
        <v>5376</v>
      </c>
      <c r="E149" s="185">
        <v>24081002</v>
      </c>
      <c r="F149" s="185" t="s">
        <v>5377</v>
      </c>
      <c r="G149" s="185" t="s">
        <v>1515</v>
      </c>
      <c r="I149" s="221">
        <f t="shared" si="54"/>
        <v>48543</v>
      </c>
      <c r="J149" s="221">
        <f t="shared" si="55"/>
        <v>8</v>
      </c>
      <c r="K149" s="234">
        <v>48543</v>
      </c>
      <c r="L149" s="234">
        <v>0</v>
      </c>
      <c r="M149" s="234">
        <v>900521130</v>
      </c>
      <c r="N149" s="185" t="s">
        <v>5378</v>
      </c>
      <c r="O149" s="187">
        <v>44805.679027777798</v>
      </c>
      <c r="P149" s="186">
        <v>4263</v>
      </c>
      <c r="Q149" s="185" t="s">
        <v>6</v>
      </c>
      <c r="R149" s="185" t="s">
        <v>5372</v>
      </c>
      <c r="U149" s="190" t="str">
        <f>VLOOKUP(E149,Valida!$A$2:$K$271,4,FALSE)</f>
        <v>Trade and other payables</v>
      </c>
      <c r="V149" s="185" t="s">
        <v>5373</v>
      </c>
      <c r="W149" s="185" t="s">
        <v>5374</v>
      </c>
      <c r="X149" s="185" t="s">
        <v>1789</v>
      </c>
    </row>
    <row r="150" spans="1:24" customFormat="1">
      <c r="A150" s="185" t="s">
        <v>5379</v>
      </c>
      <c r="B150" s="185" t="s">
        <v>5380</v>
      </c>
      <c r="C150" s="185" t="s">
        <v>1792</v>
      </c>
      <c r="D150" s="185" t="s">
        <v>5381</v>
      </c>
      <c r="E150" s="185">
        <v>24081002</v>
      </c>
      <c r="F150" s="185" t="s">
        <v>1830</v>
      </c>
      <c r="G150" s="185" t="s">
        <v>1515</v>
      </c>
      <c r="I150" s="221">
        <f t="shared" si="54"/>
        <v>438900</v>
      </c>
      <c r="J150" s="221">
        <f t="shared" si="55"/>
        <v>8</v>
      </c>
      <c r="K150" s="234">
        <v>438900</v>
      </c>
      <c r="L150" s="234">
        <v>0</v>
      </c>
      <c r="M150" s="234">
        <v>800153993</v>
      </c>
      <c r="N150" s="185" t="s">
        <v>5382</v>
      </c>
      <c r="O150" s="187">
        <v>44805.682453703703</v>
      </c>
      <c r="P150" s="186">
        <v>4270</v>
      </c>
      <c r="Q150" s="185" t="s">
        <v>1814</v>
      </c>
      <c r="R150" s="185" t="s">
        <v>1556</v>
      </c>
      <c r="U150" s="190" t="str">
        <f>VLOOKUP(E150,Valida!$A$2:$K$271,4,FALSE)</f>
        <v>Trade and other payables</v>
      </c>
      <c r="V150" s="185" t="s">
        <v>1815</v>
      </c>
      <c r="W150" s="185"/>
      <c r="X150" s="185" t="s">
        <v>1789</v>
      </c>
    </row>
    <row r="151" spans="1:24" customFormat="1">
      <c r="A151" s="185" t="s">
        <v>5383</v>
      </c>
      <c r="B151" s="185" t="s">
        <v>5384</v>
      </c>
      <c r="C151" s="185" t="s">
        <v>1792</v>
      </c>
      <c r="D151" s="185" t="s">
        <v>5385</v>
      </c>
      <c r="E151" s="185">
        <v>24081001</v>
      </c>
      <c r="F151" s="185" t="s">
        <v>2064</v>
      </c>
      <c r="G151" s="185" t="s">
        <v>1515</v>
      </c>
      <c r="I151" s="221">
        <f t="shared" si="54"/>
        <v>40765</v>
      </c>
      <c r="J151" s="221">
        <f t="shared" si="55"/>
        <v>8</v>
      </c>
      <c r="K151" s="234">
        <v>40765</v>
      </c>
      <c r="L151" s="234">
        <v>0</v>
      </c>
      <c r="M151" s="234">
        <v>901051438</v>
      </c>
      <c r="N151" s="185" t="s">
        <v>5386</v>
      </c>
      <c r="O151" s="187">
        <v>44805.688564814802</v>
      </c>
      <c r="P151" s="186">
        <v>4273</v>
      </c>
      <c r="Q151" s="185" t="s">
        <v>1841</v>
      </c>
      <c r="R151" s="185" t="s">
        <v>1608</v>
      </c>
      <c r="U151" s="190" t="str">
        <f>VLOOKUP(E151,Valida!$A$2:$K$271,4,FALSE)</f>
        <v>Trade and other payables</v>
      </c>
      <c r="V151" s="185" t="s">
        <v>1878</v>
      </c>
      <c r="W151" s="185" t="s">
        <v>1879</v>
      </c>
      <c r="X151" s="185" t="s">
        <v>1789</v>
      </c>
    </row>
    <row r="152" spans="1:24" customFormat="1">
      <c r="A152" s="185" t="s">
        <v>5387</v>
      </c>
      <c r="B152" s="185" t="s">
        <v>5388</v>
      </c>
      <c r="C152" s="185" t="s">
        <v>1792</v>
      </c>
      <c r="D152" s="185" t="s">
        <v>5389</v>
      </c>
      <c r="E152" s="185">
        <v>24081002</v>
      </c>
      <c r="F152" s="185" t="s">
        <v>5390</v>
      </c>
      <c r="G152" s="185" t="s">
        <v>1515</v>
      </c>
      <c r="I152" s="221">
        <f t="shared" si="54"/>
        <v>38000</v>
      </c>
      <c r="J152" s="221">
        <f t="shared" si="55"/>
        <v>8</v>
      </c>
      <c r="K152" s="234">
        <v>38000</v>
      </c>
      <c r="L152" s="234">
        <v>0</v>
      </c>
      <c r="M152" s="234">
        <v>800042928</v>
      </c>
      <c r="N152" s="185" t="s">
        <v>5391</v>
      </c>
      <c r="O152" s="187">
        <v>44805.690381944398</v>
      </c>
      <c r="P152" s="186">
        <v>4278</v>
      </c>
      <c r="Q152" s="185" t="s">
        <v>6</v>
      </c>
      <c r="R152" s="185" t="s">
        <v>1554</v>
      </c>
      <c r="U152" s="190" t="str">
        <f>VLOOKUP(E152,Valida!$A$2:$K$271,4,FALSE)</f>
        <v>Trade and other payables</v>
      </c>
      <c r="V152" s="185" t="s">
        <v>1820</v>
      </c>
      <c r="W152" t="s">
        <v>1821</v>
      </c>
      <c r="X152" s="185" t="s">
        <v>1789</v>
      </c>
    </row>
    <row r="153" spans="1:24" customFormat="1">
      <c r="A153" s="185" t="s">
        <v>5392</v>
      </c>
      <c r="B153" s="185" t="s">
        <v>5393</v>
      </c>
      <c r="C153" s="185" t="s">
        <v>1792</v>
      </c>
      <c r="D153" s="185" t="s">
        <v>5394</v>
      </c>
      <c r="E153" s="185">
        <v>24081001</v>
      </c>
      <c r="F153" s="185" t="s">
        <v>2052</v>
      </c>
      <c r="G153" s="185" t="s">
        <v>1515</v>
      </c>
      <c r="I153" s="221">
        <f t="shared" si="54"/>
        <v>81529</v>
      </c>
      <c r="J153" s="221">
        <f t="shared" si="55"/>
        <v>8</v>
      </c>
      <c r="K153" s="234">
        <v>81529</v>
      </c>
      <c r="L153" s="234">
        <v>0</v>
      </c>
      <c r="M153" s="234">
        <v>901051438</v>
      </c>
      <c r="N153" s="185" t="s">
        <v>5395</v>
      </c>
      <c r="O153" s="187">
        <v>44805.700717592597</v>
      </c>
      <c r="P153" s="186">
        <v>4281</v>
      </c>
      <c r="Q153" t="s">
        <v>1841</v>
      </c>
      <c r="R153" s="185" t="s">
        <v>1608</v>
      </c>
      <c r="U153" s="190" t="str">
        <f>VLOOKUP(E153,Valida!$A$2:$K$271,4,FALSE)</f>
        <v>Trade and other payables</v>
      </c>
      <c r="V153" t="s">
        <v>1878</v>
      </c>
      <c r="W153" t="s">
        <v>1879</v>
      </c>
      <c r="X153" t="s">
        <v>1789</v>
      </c>
    </row>
    <row r="154" spans="1:24" customFormat="1">
      <c r="A154" s="185" t="s">
        <v>5362</v>
      </c>
      <c r="B154" s="185" t="s">
        <v>5396</v>
      </c>
      <c r="C154" s="185" t="s">
        <v>1792</v>
      </c>
      <c r="D154" s="185" t="s">
        <v>5397</v>
      </c>
      <c r="E154" s="185">
        <v>24081001</v>
      </c>
      <c r="F154" s="185" t="s">
        <v>5398</v>
      </c>
      <c r="G154" s="185" t="s">
        <v>1515</v>
      </c>
      <c r="I154" s="221">
        <f t="shared" si="54"/>
        <v>37552</v>
      </c>
      <c r="J154" s="221">
        <f t="shared" si="55"/>
        <v>8</v>
      </c>
      <c r="K154" s="234">
        <v>37552</v>
      </c>
      <c r="L154" s="234">
        <v>0</v>
      </c>
      <c r="M154" s="234">
        <v>830037946</v>
      </c>
      <c r="N154" s="185" t="s">
        <v>5399</v>
      </c>
      <c r="O154" s="187">
        <v>44805.708807870396</v>
      </c>
      <c r="P154" s="186">
        <v>4286</v>
      </c>
      <c r="Q154" t="s">
        <v>844</v>
      </c>
      <c r="R154" s="185" t="s">
        <v>4996</v>
      </c>
      <c r="U154" s="190" t="str">
        <f>VLOOKUP(E154,Valida!$A$2:$K$271,4,FALSE)</f>
        <v>Trade and other payables</v>
      </c>
      <c r="V154" t="s">
        <v>4997</v>
      </c>
      <c r="W154" t="s">
        <v>4998</v>
      </c>
    </row>
    <row r="155" spans="1:24" customFormat="1">
      <c r="A155" s="185" t="s">
        <v>5400</v>
      </c>
      <c r="B155" s="185" t="s">
        <v>5401</v>
      </c>
      <c r="C155" s="185" t="s">
        <v>1792</v>
      </c>
      <c r="D155" s="185" t="s">
        <v>5402</v>
      </c>
      <c r="E155" s="185">
        <v>24081001</v>
      </c>
      <c r="F155" s="185" t="s">
        <v>5403</v>
      </c>
      <c r="G155" s="185" t="s">
        <v>1515</v>
      </c>
      <c r="I155" s="221">
        <f t="shared" si="54"/>
        <v>28740</v>
      </c>
      <c r="J155" s="221">
        <f t="shared" si="55"/>
        <v>8</v>
      </c>
      <c r="K155" s="234">
        <v>28740</v>
      </c>
      <c r="L155" s="234">
        <v>0</v>
      </c>
      <c r="M155" s="234">
        <v>901577075</v>
      </c>
      <c r="N155" s="185" t="s">
        <v>5404</v>
      </c>
      <c r="O155" s="187">
        <v>44805.712754629603</v>
      </c>
      <c r="P155" s="186">
        <v>4290</v>
      </c>
      <c r="Q155" t="s">
        <v>1814</v>
      </c>
      <c r="R155" s="185" t="s">
        <v>5405</v>
      </c>
      <c r="U155" s="190" t="str">
        <f>VLOOKUP(E155,Valida!$A$2:$K$271,4,FALSE)</f>
        <v>Trade and other payables</v>
      </c>
      <c r="V155" t="s">
        <v>5406</v>
      </c>
      <c r="X155" t="s">
        <v>1789</v>
      </c>
    </row>
    <row r="156" spans="1:24" customFormat="1">
      <c r="A156" s="185" t="s">
        <v>5367</v>
      </c>
      <c r="B156" s="185" t="s">
        <v>5407</v>
      </c>
      <c r="C156" s="185" t="s">
        <v>1792</v>
      </c>
      <c r="D156" s="185" t="s">
        <v>5408</v>
      </c>
      <c r="E156" s="185">
        <v>24081001</v>
      </c>
      <c r="F156" s="185" t="s">
        <v>5409</v>
      </c>
      <c r="G156" s="185" t="s">
        <v>1515</v>
      </c>
      <c r="I156" s="221">
        <f t="shared" ref="I156:I159" si="56">K156-L156</f>
        <v>136501</v>
      </c>
      <c r="J156" s="221">
        <f t="shared" ref="J156:J159" si="57">MONTH(A156)</f>
        <v>8</v>
      </c>
      <c r="K156" s="234">
        <v>136501</v>
      </c>
      <c r="L156" s="234">
        <v>0</v>
      </c>
      <c r="M156" s="234">
        <v>830062853</v>
      </c>
      <c r="N156" s="185" t="s">
        <v>5410</v>
      </c>
      <c r="O156" s="187">
        <v>44805.760474536997</v>
      </c>
      <c r="P156" s="186">
        <v>4308</v>
      </c>
      <c r="Q156" s="185" t="s">
        <v>433</v>
      </c>
      <c r="R156" s="185" t="s">
        <v>1564</v>
      </c>
      <c r="U156" s="190" t="str">
        <f>VLOOKUP(E156,Valida!$A$2:$K$271,4,FALSE)</f>
        <v>Trade and other payables</v>
      </c>
      <c r="V156" t="s">
        <v>2024</v>
      </c>
      <c r="W156" t="s">
        <v>2025</v>
      </c>
      <c r="X156" s="185" t="s">
        <v>1789</v>
      </c>
    </row>
    <row r="157" spans="1:24" customFormat="1">
      <c r="A157" s="185" t="s">
        <v>5367</v>
      </c>
      <c r="B157" s="185" t="s">
        <v>5407</v>
      </c>
      <c r="C157" s="185" t="s">
        <v>1792</v>
      </c>
      <c r="D157" s="185" t="s">
        <v>5408</v>
      </c>
      <c r="E157" s="185">
        <v>24081005</v>
      </c>
      <c r="F157" s="185" t="s">
        <v>5409</v>
      </c>
      <c r="G157" s="185" t="s">
        <v>1515</v>
      </c>
      <c r="I157" s="221">
        <f t="shared" si="56"/>
        <v>35099</v>
      </c>
      <c r="J157" s="221">
        <f t="shared" si="57"/>
        <v>8</v>
      </c>
      <c r="K157" s="234">
        <v>35099</v>
      </c>
      <c r="L157" s="234">
        <v>0</v>
      </c>
      <c r="M157" s="234">
        <v>830062853</v>
      </c>
      <c r="N157" s="185" t="s">
        <v>5410</v>
      </c>
      <c r="O157" s="187">
        <v>44805.760474536997</v>
      </c>
      <c r="P157" s="186">
        <v>4310</v>
      </c>
      <c r="Q157" t="s">
        <v>433</v>
      </c>
      <c r="R157" s="185" t="s">
        <v>1564</v>
      </c>
      <c r="S157" s="185"/>
      <c r="U157" s="190" t="str">
        <f>VLOOKUP(E157,Valida!$A$2:$K$271,4,FALSE)</f>
        <v>Trade and other payables</v>
      </c>
      <c r="V157" s="185" t="s">
        <v>2024</v>
      </c>
      <c r="W157" t="s">
        <v>2025</v>
      </c>
      <c r="X157" t="s">
        <v>1789</v>
      </c>
    </row>
    <row r="158" spans="1:24" customFormat="1">
      <c r="A158" s="185" t="s">
        <v>5411</v>
      </c>
      <c r="B158" s="185" t="s">
        <v>5412</v>
      </c>
      <c r="C158" s="185" t="s">
        <v>1792</v>
      </c>
      <c r="D158" s="185" t="s">
        <v>5413</v>
      </c>
      <c r="E158" s="185">
        <v>24081001</v>
      </c>
      <c r="F158" s="185" t="s">
        <v>5398</v>
      </c>
      <c r="G158" s="185" t="s">
        <v>1515</v>
      </c>
      <c r="I158" s="221">
        <f t="shared" si="56"/>
        <v>16222</v>
      </c>
      <c r="J158" s="221">
        <f t="shared" si="57"/>
        <v>8</v>
      </c>
      <c r="K158" s="234">
        <v>16222</v>
      </c>
      <c r="L158" s="234">
        <v>0</v>
      </c>
      <c r="M158" s="234">
        <v>830037946</v>
      </c>
      <c r="N158" s="185" t="s">
        <v>5414</v>
      </c>
      <c r="O158" s="187">
        <v>44805.762442129599</v>
      </c>
      <c r="P158" s="186">
        <v>4315</v>
      </c>
      <c r="Q158" t="s">
        <v>844</v>
      </c>
      <c r="R158" s="185" t="s">
        <v>4996</v>
      </c>
      <c r="S158" s="185"/>
      <c r="U158" s="190" t="str">
        <f>VLOOKUP(E158,Valida!$A$2:$K$271,4,FALSE)</f>
        <v>Trade and other payables</v>
      </c>
      <c r="V158" t="s">
        <v>4997</v>
      </c>
      <c r="W158" t="s">
        <v>4998</v>
      </c>
    </row>
    <row r="159" spans="1:24" customFormat="1">
      <c r="A159" s="185" t="s">
        <v>5415</v>
      </c>
      <c r="B159" s="185" t="s">
        <v>5416</v>
      </c>
      <c r="C159" s="185" t="s">
        <v>1792</v>
      </c>
      <c r="D159" s="185" t="s">
        <v>5417</v>
      </c>
      <c r="E159" s="185">
        <v>24081002</v>
      </c>
      <c r="F159" s="185" t="s">
        <v>1812</v>
      </c>
      <c r="G159" s="185" t="s">
        <v>1515</v>
      </c>
      <c r="I159" s="221">
        <f t="shared" si="56"/>
        <v>6960</v>
      </c>
      <c r="J159" s="221">
        <f t="shared" si="57"/>
        <v>8</v>
      </c>
      <c r="K159" s="234">
        <v>6960</v>
      </c>
      <c r="L159" s="234">
        <v>0</v>
      </c>
      <c r="M159" s="234">
        <v>800153993</v>
      </c>
      <c r="N159" s="185" t="s">
        <v>5416</v>
      </c>
      <c r="O159" s="187">
        <v>44805.774259259299</v>
      </c>
      <c r="P159" s="186">
        <v>4330</v>
      </c>
      <c r="Q159" t="s">
        <v>1814</v>
      </c>
      <c r="R159" s="185" t="s">
        <v>1556</v>
      </c>
      <c r="S159" s="185"/>
      <c r="U159" s="190" t="str">
        <f>VLOOKUP(E159,Valida!$A$2:$K$271,4,FALSE)</f>
        <v>Trade and other payables</v>
      </c>
      <c r="V159" t="s">
        <v>1815</v>
      </c>
      <c r="X159" t="s">
        <v>1789</v>
      </c>
    </row>
    <row r="160" spans="1:24" customFormat="1">
      <c r="A160" s="185" t="s">
        <v>5418</v>
      </c>
      <c r="B160" s="185" t="s">
        <v>5419</v>
      </c>
      <c r="C160" s="185" t="s">
        <v>1952</v>
      </c>
      <c r="D160" s="185" t="s">
        <v>5420</v>
      </c>
      <c r="E160" s="185">
        <v>24081002</v>
      </c>
      <c r="F160" s="185" t="s">
        <v>1954</v>
      </c>
      <c r="G160" s="185" t="s">
        <v>1515</v>
      </c>
      <c r="I160" s="221">
        <f t="shared" ref="I160:I161" si="58">K160-L160</f>
        <v>13148</v>
      </c>
      <c r="J160" s="221">
        <f t="shared" ref="J160:J161" si="59">MONTH(A160)</f>
        <v>8</v>
      </c>
      <c r="K160" s="234">
        <v>13148</v>
      </c>
      <c r="L160" s="234">
        <v>0</v>
      </c>
      <c r="M160" s="234">
        <v>890903938</v>
      </c>
      <c r="N160" s="185" t="s">
        <v>5419</v>
      </c>
      <c r="O160" s="187">
        <v>44813.468530092599</v>
      </c>
      <c r="P160" s="186">
        <v>4526</v>
      </c>
      <c r="Q160" s="185" t="s">
        <v>1827</v>
      </c>
      <c r="R160" s="185" t="s">
        <v>1580</v>
      </c>
      <c r="S160" s="185"/>
      <c r="U160" s="190" t="str">
        <f>VLOOKUP(E160,Valida!$A$2:$K$271,4,FALSE)</f>
        <v>Trade and other payables</v>
      </c>
      <c r="V160" s="185" t="s">
        <v>1955</v>
      </c>
      <c r="X160" s="185" t="s">
        <v>1844</v>
      </c>
    </row>
    <row r="161" spans="1:24" customFormat="1">
      <c r="A161" s="185" t="s">
        <v>5418</v>
      </c>
      <c r="B161" s="185" t="s">
        <v>5419</v>
      </c>
      <c r="C161" s="185" t="s">
        <v>1952</v>
      </c>
      <c r="D161" s="185" t="s">
        <v>5420</v>
      </c>
      <c r="E161" s="185">
        <v>24081002</v>
      </c>
      <c r="F161" s="185" t="s">
        <v>1957</v>
      </c>
      <c r="G161" s="185" t="s">
        <v>1515</v>
      </c>
      <c r="I161" s="221">
        <f t="shared" si="58"/>
        <v>14625.62</v>
      </c>
      <c r="J161" s="221">
        <f t="shared" si="59"/>
        <v>8</v>
      </c>
      <c r="K161" s="234">
        <v>14625.62</v>
      </c>
      <c r="L161" s="234">
        <v>0</v>
      </c>
      <c r="M161" s="234">
        <v>890903938</v>
      </c>
      <c r="N161" s="185" t="s">
        <v>5419</v>
      </c>
      <c r="O161" s="187">
        <v>44813.468541666698</v>
      </c>
      <c r="P161" s="186">
        <v>4530</v>
      </c>
      <c r="Q161" s="185" t="s">
        <v>1827</v>
      </c>
      <c r="R161" s="185" t="s">
        <v>1580</v>
      </c>
      <c r="U161" s="190" t="str">
        <f>VLOOKUP(E161,Valida!$A$2:$K$271,4,FALSE)</f>
        <v>Trade and other payables</v>
      </c>
      <c r="V161" s="185" t="s">
        <v>1955</v>
      </c>
      <c r="W161" s="185"/>
      <c r="X161" s="185" t="s">
        <v>1844</v>
      </c>
    </row>
    <row r="162" spans="1:24" customFormat="1">
      <c r="A162" s="185" t="s">
        <v>5421</v>
      </c>
      <c r="B162" s="185" t="s">
        <v>5422</v>
      </c>
      <c r="C162" s="185" t="s">
        <v>1792</v>
      </c>
      <c r="D162" s="185" t="s">
        <v>5423</v>
      </c>
      <c r="E162" s="185">
        <v>24081002</v>
      </c>
      <c r="F162" s="185" t="s">
        <v>1830</v>
      </c>
      <c r="G162" s="185" t="s">
        <v>1515</v>
      </c>
      <c r="I162" s="221">
        <f t="shared" ref="I162:I166" si="60">K162-L162</f>
        <v>55990.34</v>
      </c>
      <c r="J162" s="221">
        <f t="shared" ref="J162:J166" si="61">MONTH(A162)</f>
        <v>9</v>
      </c>
      <c r="K162" s="234">
        <v>55990.34</v>
      </c>
      <c r="L162" s="234">
        <v>0</v>
      </c>
      <c r="M162" s="234">
        <v>900092385</v>
      </c>
      <c r="N162" s="185" t="s">
        <v>2286</v>
      </c>
      <c r="O162" s="187">
        <v>44841.396828703699</v>
      </c>
      <c r="P162" s="186">
        <v>4595</v>
      </c>
      <c r="Q162" s="185" t="s">
        <v>1841</v>
      </c>
      <c r="R162" s="185" t="s">
        <v>1590</v>
      </c>
      <c r="U162" s="190" t="str">
        <f>VLOOKUP(E162,Valida!$A$2:$K$271,4,FALSE)</f>
        <v>Trade and other payables</v>
      </c>
      <c r="V162" s="185" t="s">
        <v>1842</v>
      </c>
      <c r="W162" s="185" t="s">
        <v>1843</v>
      </c>
      <c r="X162" s="185" t="s">
        <v>1844</v>
      </c>
    </row>
    <row r="163" spans="1:24" customFormat="1">
      <c r="A163" s="185" t="s">
        <v>5424</v>
      </c>
      <c r="B163" s="185" t="s">
        <v>5425</v>
      </c>
      <c r="C163" s="185" t="s">
        <v>1792</v>
      </c>
      <c r="D163" s="185" t="s">
        <v>5426</v>
      </c>
      <c r="E163" s="185">
        <v>24081001</v>
      </c>
      <c r="F163" s="185" t="s">
        <v>2127</v>
      </c>
      <c r="G163" s="185" t="s">
        <v>1515</v>
      </c>
      <c r="I163" s="221">
        <f t="shared" si="60"/>
        <v>257904</v>
      </c>
      <c r="J163" s="221">
        <f t="shared" si="61"/>
        <v>9</v>
      </c>
      <c r="K163" s="234">
        <v>257904</v>
      </c>
      <c r="L163" s="234">
        <v>0</v>
      </c>
      <c r="M163" s="234">
        <v>830062853</v>
      </c>
      <c r="N163" s="185" t="s">
        <v>5427</v>
      </c>
      <c r="O163" s="187">
        <v>44841.419212963003</v>
      </c>
      <c r="P163" s="186">
        <v>4601</v>
      </c>
      <c r="Q163" s="185" t="s">
        <v>433</v>
      </c>
      <c r="R163" s="185" t="s">
        <v>1564</v>
      </c>
      <c r="S163" s="185"/>
      <c r="U163" s="190" t="str">
        <f>VLOOKUP(E163,Valida!$A$2:$K$271,4,FALSE)</f>
        <v>Trade and other payables</v>
      </c>
      <c r="V163" s="185" t="s">
        <v>2024</v>
      </c>
      <c r="W163" s="185" t="s">
        <v>2025</v>
      </c>
      <c r="X163" s="185" t="s">
        <v>1789</v>
      </c>
    </row>
    <row r="164" spans="1:24" customFormat="1">
      <c r="A164" s="185" t="s">
        <v>5424</v>
      </c>
      <c r="B164" s="185" t="s">
        <v>5425</v>
      </c>
      <c r="C164" s="185" t="s">
        <v>1792</v>
      </c>
      <c r="D164" s="185" t="s">
        <v>5426</v>
      </c>
      <c r="E164" s="185">
        <v>24081005</v>
      </c>
      <c r="F164" s="185" t="s">
        <v>2129</v>
      </c>
      <c r="G164" s="185" t="s">
        <v>1515</v>
      </c>
      <c r="I164" s="221">
        <f t="shared" si="60"/>
        <v>57795</v>
      </c>
      <c r="J164" s="221">
        <f t="shared" si="61"/>
        <v>9</v>
      </c>
      <c r="K164" s="234">
        <v>57795</v>
      </c>
      <c r="L164" s="234">
        <v>0</v>
      </c>
      <c r="M164" s="234">
        <v>830062853</v>
      </c>
      <c r="N164" s="185" t="s">
        <v>5427</v>
      </c>
      <c r="O164" s="187">
        <v>44841.419212963003</v>
      </c>
      <c r="P164" s="186">
        <v>4603</v>
      </c>
      <c r="Q164" s="185" t="s">
        <v>433</v>
      </c>
      <c r="R164" s="185" t="s">
        <v>1564</v>
      </c>
      <c r="U164" s="190" t="str">
        <f>VLOOKUP(E164,Valida!$A$2:$K$271,4,FALSE)</f>
        <v>Trade and other payables</v>
      </c>
      <c r="V164" t="s">
        <v>2024</v>
      </c>
      <c r="W164" t="s">
        <v>2025</v>
      </c>
      <c r="X164" t="s">
        <v>1789</v>
      </c>
    </row>
    <row r="165" spans="1:24" customFormat="1">
      <c r="A165" s="185" t="s">
        <v>5424</v>
      </c>
      <c r="B165" s="185" t="s">
        <v>5425</v>
      </c>
      <c r="C165" s="185" t="s">
        <v>1792</v>
      </c>
      <c r="D165" s="185" t="s">
        <v>5426</v>
      </c>
      <c r="E165" s="185">
        <v>24081001</v>
      </c>
      <c r="F165" s="185" t="s">
        <v>2129</v>
      </c>
      <c r="G165" s="185" t="s">
        <v>1515</v>
      </c>
      <c r="I165" s="221">
        <f t="shared" si="60"/>
        <v>20705</v>
      </c>
      <c r="J165" s="221">
        <f t="shared" si="61"/>
        <v>9</v>
      </c>
      <c r="K165" s="234">
        <v>20705</v>
      </c>
      <c r="L165" s="234">
        <v>0</v>
      </c>
      <c r="M165" s="234">
        <v>830062853</v>
      </c>
      <c r="N165" s="185" t="s">
        <v>5427</v>
      </c>
      <c r="O165" s="187">
        <v>44841.419212963003</v>
      </c>
      <c r="P165" s="186">
        <v>4605</v>
      </c>
      <c r="Q165" s="185" t="s">
        <v>433</v>
      </c>
      <c r="R165" s="185" t="s">
        <v>1564</v>
      </c>
      <c r="U165" s="190" t="str">
        <f>VLOOKUP(E165,Valida!$A$2:$K$271,4,FALSE)</f>
        <v>Trade and other payables</v>
      </c>
      <c r="V165" s="185" t="s">
        <v>2024</v>
      </c>
      <c r="W165" t="s">
        <v>2025</v>
      </c>
      <c r="X165" s="185" t="s">
        <v>1789</v>
      </c>
    </row>
    <row r="166" spans="1:24" customFormat="1">
      <c r="A166" s="185" t="s">
        <v>5428</v>
      </c>
      <c r="B166" s="185" t="s">
        <v>5429</v>
      </c>
      <c r="C166" s="185" t="s">
        <v>1792</v>
      </c>
      <c r="D166" s="185" t="s">
        <v>5430</v>
      </c>
      <c r="E166" s="185">
        <v>24081002</v>
      </c>
      <c r="F166" s="185" t="s">
        <v>5216</v>
      </c>
      <c r="G166" s="185" t="s">
        <v>1515</v>
      </c>
      <c r="I166" s="221">
        <f t="shared" si="60"/>
        <v>35427.1</v>
      </c>
      <c r="J166" s="221">
        <f t="shared" si="61"/>
        <v>9</v>
      </c>
      <c r="K166" s="234">
        <v>35427.1</v>
      </c>
      <c r="L166" s="234">
        <v>0</v>
      </c>
      <c r="M166" s="234">
        <v>860010451</v>
      </c>
      <c r="N166" s="185" t="s">
        <v>5431</v>
      </c>
      <c r="O166" s="187">
        <v>44841.432696759301</v>
      </c>
      <c r="P166" s="186">
        <v>4620</v>
      </c>
      <c r="Q166" s="185" t="s">
        <v>6</v>
      </c>
      <c r="R166" s="185" t="s">
        <v>1568</v>
      </c>
      <c r="U166" s="190" t="str">
        <f>VLOOKUP(E166,Valida!$A$2:$K$271,4,FALSE)</f>
        <v>Trade and other payables</v>
      </c>
      <c r="V166" s="185" t="s">
        <v>2035</v>
      </c>
      <c r="W166" s="185" t="s">
        <v>2036</v>
      </c>
      <c r="X166" s="185" t="s">
        <v>1789</v>
      </c>
    </row>
    <row r="167" spans="1:24" customFormat="1">
      <c r="A167" s="185" t="s">
        <v>5432</v>
      </c>
      <c r="B167" s="185" t="s">
        <v>5433</v>
      </c>
      <c r="C167" s="185" t="s">
        <v>1792</v>
      </c>
      <c r="D167" s="185" t="s">
        <v>5434</v>
      </c>
      <c r="E167" s="185">
        <v>24081002</v>
      </c>
      <c r="F167" s="185" t="s">
        <v>1830</v>
      </c>
      <c r="G167" s="185" t="s">
        <v>1515</v>
      </c>
      <c r="I167" s="221">
        <f t="shared" ref="I167:I169" si="62">K167-L167</f>
        <v>438900</v>
      </c>
      <c r="J167" s="221">
        <f t="shared" ref="J167:J169" si="63">MONTH(A167)</f>
        <v>9</v>
      </c>
      <c r="K167" s="234">
        <v>438900</v>
      </c>
      <c r="L167" s="234">
        <v>0</v>
      </c>
      <c r="M167" s="234">
        <v>800153993</v>
      </c>
      <c r="N167" s="185" t="s">
        <v>5435</v>
      </c>
      <c r="O167" s="187">
        <v>44841.447858796302</v>
      </c>
      <c r="P167" s="186">
        <v>4655</v>
      </c>
      <c r="Q167" t="s">
        <v>1814</v>
      </c>
      <c r="R167" s="185" t="s">
        <v>1556</v>
      </c>
      <c r="S167" s="185"/>
      <c r="U167" s="190" t="str">
        <f>VLOOKUP(E167,Valida!$A$2:$K$271,4,FALSE)</f>
        <v>Trade and other payables</v>
      </c>
      <c r="V167" s="185" t="s">
        <v>1815</v>
      </c>
      <c r="X167" s="185" t="s">
        <v>1789</v>
      </c>
    </row>
    <row r="168" spans="1:24" customFormat="1">
      <c r="A168" s="185" t="s">
        <v>5432</v>
      </c>
      <c r="B168" s="185" t="s">
        <v>5436</v>
      </c>
      <c r="C168" s="185" t="s">
        <v>1792</v>
      </c>
      <c r="D168" s="185" t="s">
        <v>5437</v>
      </c>
      <c r="E168" s="185">
        <v>24081002</v>
      </c>
      <c r="F168" s="185" t="s">
        <v>1830</v>
      </c>
      <c r="G168" s="185" t="s">
        <v>1515</v>
      </c>
      <c r="I168" s="221">
        <f t="shared" si="62"/>
        <v>55990.34</v>
      </c>
      <c r="J168" s="221">
        <f t="shared" si="63"/>
        <v>9</v>
      </c>
      <c r="K168" s="234">
        <v>55990.34</v>
      </c>
      <c r="L168" s="234">
        <v>0</v>
      </c>
      <c r="M168" s="234">
        <v>900092385</v>
      </c>
      <c r="N168" s="185" t="s">
        <v>2286</v>
      </c>
      <c r="O168" s="187">
        <v>44841.449374999997</v>
      </c>
      <c r="P168" s="186">
        <v>4663</v>
      </c>
      <c r="Q168" s="185" t="s">
        <v>1841</v>
      </c>
      <c r="R168" s="185" t="s">
        <v>1590</v>
      </c>
      <c r="S168" s="185"/>
      <c r="U168" s="190" t="str">
        <f>VLOOKUP(E168,Valida!$A$2:$K$271,4,FALSE)</f>
        <v>Trade and other payables</v>
      </c>
      <c r="V168" s="185" t="s">
        <v>1842</v>
      </c>
      <c r="W168" s="185" t="s">
        <v>1843</v>
      </c>
      <c r="X168" s="185" t="s">
        <v>1844</v>
      </c>
    </row>
    <row r="169" spans="1:24" customFormat="1">
      <c r="A169" s="185" t="s">
        <v>5438</v>
      </c>
      <c r="B169" s="185" t="s">
        <v>5439</v>
      </c>
      <c r="C169" s="185" t="s">
        <v>1792</v>
      </c>
      <c r="D169" s="185" t="s">
        <v>5440</v>
      </c>
      <c r="E169" s="185">
        <v>24081002</v>
      </c>
      <c r="F169" s="185" t="s">
        <v>1866</v>
      </c>
      <c r="G169" s="185" t="s">
        <v>1515</v>
      </c>
      <c r="I169" s="221">
        <f t="shared" si="62"/>
        <v>19000</v>
      </c>
      <c r="J169" s="221">
        <f t="shared" si="63"/>
        <v>9</v>
      </c>
      <c r="K169" s="234">
        <v>19000</v>
      </c>
      <c r="L169" s="234">
        <v>0</v>
      </c>
      <c r="M169" s="234">
        <v>900424409</v>
      </c>
      <c r="N169" s="185" t="s">
        <v>5441</v>
      </c>
      <c r="O169" s="187">
        <v>44841.456793981502</v>
      </c>
      <c r="P169" s="186">
        <v>4681</v>
      </c>
      <c r="Q169" s="185" t="s">
        <v>844</v>
      </c>
      <c r="R169" s="185" t="s">
        <v>1598</v>
      </c>
      <c r="U169" s="190" t="str">
        <f>VLOOKUP(E169,Valida!$A$2:$K$271,4,FALSE)</f>
        <v>Trade and other payables</v>
      </c>
      <c r="V169" s="185" t="s">
        <v>1864</v>
      </c>
      <c r="W169" s="185" t="s">
        <v>1865</v>
      </c>
      <c r="X169" s="185" t="s">
        <v>1789</v>
      </c>
    </row>
    <row r="170" spans="1:24" customFormat="1">
      <c r="A170" s="185" t="s">
        <v>5442</v>
      </c>
      <c r="B170" s="185" t="s">
        <v>5443</v>
      </c>
      <c r="C170" s="185" t="s">
        <v>1792</v>
      </c>
      <c r="D170" s="185" t="s">
        <v>5444</v>
      </c>
      <c r="E170" s="185">
        <v>24081001</v>
      </c>
      <c r="F170" s="185" t="s">
        <v>5445</v>
      </c>
      <c r="G170" s="185" t="s">
        <v>1515</v>
      </c>
      <c r="I170" s="221">
        <f t="shared" ref="I170:I171" si="64">K170-L170</f>
        <v>373743</v>
      </c>
      <c r="J170" s="221">
        <f t="shared" ref="J170:J171" si="65">MONTH(A170)</f>
        <v>9</v>
      </c>
      <c r="K170" s="234">
        <v>373743</v>
      </c>
      <c r="L170" s="234">
        <v>0</v>
      </c>
      <c r="M170" s="234">
        <v>860451666</v>
      </c>
      <c r="N170" s="185" t="s">
        <v>5446</v>
      </c>
      <c r="O170" s="187">
        <v>44841.480578703697</v>
      </c>
      <c r="P170" s="186">
        <v>4692</v>
      </c>
      <c r="Q170" s="185" t="s">
        <v>6</v>
      </c>
      <c r="R170" s="185" t="s">
        <v>5447</v>
      </c>
      <c r="U170" s="190" t="str">
        <f>VLOOKUP(E170,Valida!$A$2:$K$271,4,FALSE)</f>
        <v>Trade and other payables</v>
      </c>
      <c r="V170" s="185" t="s">
        <v>5448</v>
      </c>
      <c r="W170" s="185" t="s">
        <v>5449</v>
      </c>
      <c r="X170" s="185" t="s">
        <v>1789</v>
      </c>
    </row>
    <row r="171" spans="1:24" customFormat="1">
      <c r="A171" s="185" t="s">
        <v>5450</v>
      </c>
      <c r="B171" s="185" t="s">
        <v>5451</v>
      </c>
      <c r="C171" s="185" t="s">
        <v>1792</v>
      </c>
      <c r="D171" s="185" t="s">
        <v>5452</v>
      </c>
      <c r="E171" s="185">
        <v>24081002</v>
      </c>
      <c r="F171" s="185" t="s">
        <v>5453</v>
      </c>
      <c r="G171" s="185" t="s">
        <v>1515</v>
      </c>
      <c r="I171" s="221">
        <f t="shared" si="64"/>
        <v>31292.52</v>
      </c>
      <c r="J171" s="221">
        <f t="shared" si="65"/>
        <v>9</v>
      </c>
      <c r="K171" s="234">
        <v>31292.52</v>
      </c>
      <c r="L171" s="234">
        <v>0</v>
      </c>
      <c r="M171" s="234">
        <v>900293637</v>
      </c>
      <c r="N171" s="185" t="s">
        <v>5454</v>
      </c>
      <c r="O171" s="187">
        <v>44841.4863078704</v>
      </c>
      <c r="P171" s="186">
        <v>4703</v>
      </c>
      <c r="Q171" t="s">
        <v>433</v>
      </c>
      <c r="R171" s="185" t="s">
        <v>1596</v>
      </c>
      <c r="U171" s="190" t="str">
        <f>VLOOKUP(E171,Valida!$A$2:$K$271,4,FALSE)</f>
        <v>Trade and other payables</v>
      </c>
      <c r="V171" t="s">
        <v>3400</v>
      </c>
      <c r="W171" t="s">
        <v>3401</v>
      </c>
      <c r="X171" t="s">
        <v>1789</v>
      </c>
    </row>
    <row r="172" spans="1:24" customFormat="1">
      <c r="A172" s="185" t="s">
        <v>5455</v>
      </c>
      <c r="B172" s="185" t="s">
        <v>5456</v>
      </c>
      <c r="C172" s="185" t="s">
        <v>1952</v>
      </c>
      <c r="D172" s="185" t="s">
        <v>5457</v>
      </c>
      <c r="E172" s="185">
        <v>24081002</v>
      </c>
      <c r="F172" s="185" t="s">
        <v>1954</v>
      </c>
      <c r="G172" s="185" t="s">
        <v>1515</v>
      </c>
      <c r="I172" s="221">
        <f t="shared" ref="I172:I174" si="66">K172-L172</f>
        <v>13148</v>
      </c>
      <c r="J172" s="221">
        <f t="shared" ref="J172:J174" si="67">MONTH(A172)</f>
        <v>9</v>
      </c>
      <c r="K172" s="234">
        <v>13148</v>
      </c>
      <c r="L172" s="234">
        <v>0</v>
      </c>
      <c r="M172" s="234">
        <v>890903938</v>
      </c>
      <c r="N172" s="185" t="s">
        <v>5456</v>
      </c>
      <c r="O172" s="187">
        <v>44841.585335648102</v>
      </c>
      <c r="P172" s="186">
        <v>4841</v>
      </c>
      <c r="Q172" s="185" t="s">
        <v>1827</v>
      </c>
      <c r="R172" s="185" t="s">
        <v>1580</v>
      </c>
      <c r="S172" s="185"/>
      <c r="U172" s="190" t="str">
        <f>VLOOKUP(E172,Valida!$A$2:$K$271,4,FALSE)</f>
        <v>Trade and other payables</v>
      </c>
      <c r="V172" s="185" t="s">
        <v>1955</v>
      </c>
      <c r="W172" s="185"/>
      <c r="X172" s="185" t="s">
        <v>1844</v>
      </c>
    </row>
    <row r="173" spans="1:24" customFormat="1">
      <c r="A173" s="185" t="s">
        <v>5455</v>
      </c>
      <c r="B173" s="185" t="s">
        <v>5456</v>
      </c>
      <c r="C173" s="185" t="s">
        <v>1952</v>
      </c>
      <c r="D173" s="185" t="s">
        <v>5457</v>
      </c>
      <c r="E173" s="185">
        <v>24081002</v>
      </c>
      <c r="F173" s="185" t="s">
        <v>1957</v>
      </c>
      <c r="G173" s="185" t="s">
        <v>1515</v>
      </c>
      <c r="I173" s="221">
        <f t="shared" si="66"/>
        <v>10113.34</v>
      </c>
      <c r="J173" s="221">
        <f t="shared" si="67"/>
        <v>9</v>
      </c>
      <c r="K173" s="234">
        <v>10113.34</v>
      </c>
      <c r="L173" s="234">
        <v>0</v>
      </c>
      <c r="M173" s="234">
        <v>890903938</v>
      </c>
      <c r="N173" s="185" t="s">
        <v>5456</v>
      </c>
      <c r="O173" s="187">
        <v>44841.585335648102</v>
      </c>
      <c r="P173" s="186">
        <v>4845</v>
      </c>
      <c r="Q173" s="185" t="s">
        <v>1827</v>
      </c>
      <c r="R173" s="185" t="s">
        <v>1580</v>
      </c>
      <c r="U173" s="190" t="str">
        <f>VLOOKUP(E173,Valida!$A$2:$K$271,4,FALSE)</f>
        <v>Trade and other payables</v>
      </c>
      <c r="V173" s="185" t="s">
        <v>1955</v>
      </c>
      <c r="X173" s="185" t="s">
        <v>1844</v>
      </c>
    </row>
    <row r="174" spans="1:24" customFormat="1">
      <c r="A174" s="185" t="s">
        <v>5458</v>
      </c>
      <c r="B174" s="185" t="s">
        <v>5459</v>
      </c>
      <c r="C174" s="185" t="s">
        <v>1792</v>
      </c>
      <c r="D174" s="185" t="s">
        <v>5460</v>
      </c>
      <c r="E174" s="185">
        <v>24081002</v>
      </c>
      <c r="F174" s="185" t="s">
        <v>1812</v>
      </c>
      <c r="G174" s="185" t="s">
        <v>1515</v>
      </c>
      <c r="I174" s="221">
        <f t="shared" si="66"/>
        <v>6960</v>
      </c>
      <c r="J174" s="221">
        <f t="shared" si="67"/>
        <v>9</v>
      </c>
      <c r="K174" s="234">
        <v>6960</v>
      </c>
      <c r="L174" s="234">
        <v>0</v>
      </c>
      <c r="M174" s="234">
        <v>800153993</v>
      </c>
      <c r="N174" s="185" t="s">
        <v>5459</v>
      </c>
      <c r="O174" s="187">
        <v>44841.602048611101</v>
      </c>
      <c r="P174" s="186">
        <v>4856</v>
      </c>
      <c r="Q174" s="185" t="s">
        <v>1814</v>
      </c>
      <c r="R174" s="185" t="s">
        <v>1556</v>
      </c>
      <c r="U174" s="190" t="str">
        <f>VLOOKUP(E174,Valida!$A$2:$K$271,4,FALSE)</f>
        <v>Trade and other payables</v>
      </c>
      <c r="V174" s="185" t="s">
        <v>1815</v>
      </c>
      <c r="W174" s="185"/>
      <c r="X174" s="185" t="s">
        <v>1789</v>
      </c>
    </row>
    <row r="175" spans="1:24" customFormat="1">
      <c r="A175" s="185" t="s">
        <v>5461</v>
      </c>
      <c r="B175" s="185" t="s">
        <v>5462</v>
      </c>
      <c r="C175" s="185" t="s">
        <v>1792</v>
      </c>
      <c r="D175" s="185" t="s">
        <v>5463</v>
      </c>
      <c r="E175" s="185">
        <v>24081002</v>
      </c>
      <c r="F175" s="185" t="s">
        <v>5216</v>
      </c>
      <c r="G175" s="185" t="s">
        <v>1515</v>
      </c>
      <c r="I175" s="221">
        <f t="shared" ref="I175:I181" si="68">K175-L175</f>
        <v>35427.1</v>
      </c>
      <c r="J175" s="221">
        <f t="shared" ref="J175:J181" si="69">MONTH(A175)</f>
        <v>10</v>
      </c>
      <c r="K175" s="234">
        <v>35427.1</v>
      </c>
      <c r="L175" s="234">
        <v>0</v>
      </c>
      <c r="M175" s="234">
        <v>860010451</v>
      </c>
      <c r="N175" s="185" t="s">
        <v>5464</v>
      </c>
      <c r="O175" s="187">
        <v>44861.648321759298</v>
      </c>
      <c r="P175" s="186">
        <v>4906</v>
      </c>
      <c r="Q175" s="185" t="s">
        <v>6</v>
      </c>
      <c r="R175" s="185" t="s">
        <v>1568</v>
      </c>
      <c r="U175" s="190" t="str">
        <f>VLOOKUP(E175,Valida!$A$2:$K$271,4,FALSE)</f>
        <v>Trade and other payables</v>
      </c>
      <c r="V175" t="s">
        <v>2035</v>
      </c>
      <c r="W175" t="s">
        <v>2036</v>
      </c>
      <c r="X175" t="s">
        <v>1789</v>
      </c>
    </row>
    <row r="176" spans="1:24" customFormat="1">
      <c r="A176" s="185" t="s">
        <v>5465</v>
      </c>
      <c r="B176" s="185" t="s">
        <v>5466</v>
      </c>
      <c r="C176" s="185" t="s">
        <v>1792</v>
      </c>
      <c r="D176" s="185" t="s">
        <v>5467</v>
      </c>
      <c r="E176" s="185">
        <v>24081002</v>
      </c>
      <c r="F176" s="185" t="s">
        <v>5468</v>
      </c>
      <c r="G176" s="185" t="s">
        <v>1515</v>
      </c>
      <c r="I176" s="221">
        <f t="shared" si="68"/>
        <v>179170</v>
      </c>
      <c r="J176" s="221">
        <f t="shared" si="69"/>
        <v>10</v>
      </c>
      <c r="K176" s="234">
        <v>179170</v>
      </c>
      <c r="L176" s="234">
        <v>0</v>
      </c>
      <c r="M176" s="234">
        <v>984645274</v>
      </c>
      <c r="N176" s="185" t="s">
        <v>5469</v>
      </c>
      <c r="O176" s="187">
        <v>44861.6546296296</v>
      </c>
      <c r="P176" s="186">
        <v>4912</v>
      </c>
      <c r="Q176" s="185"/>
      <c r="R176" s="185" t="s">
        <v>5470</v>
      </c>
      <c r="U176" s="190" t="str">
        <f>VLOOKUP(E176,Valida!$A$2:$K$271,4,FALSE)</f>
        <v>Trade and other payables</v>
      </c>
      <c r="V176" s="185" t="s">
        <v>5471</v>
      </c>
      <c r="W176" s="185"/>
      <c r="X176" s="185"/>
    </row>
    <row r="177" spans="1:24" customFormat="1">
      <c r="A177" s="185" t="s">
        <v>5472</v>
      </c>
      <c r="B177" s="185" t="s">
        <v>5473</v>
      </c>
      <c r="C177" s="185" t="s">
        <v>1792</v>
      </c>
      <c r="D177" s="185" t="s">
        <v>5474</v>
      </c>
      <c r="E177" s="185">
        <v>24081002</v>
      </c>
      <c r="F177" s="185" t="s">
        <v>1412</v>
      </c>
      <c r="G177" s="185" t="s">
        <v>1515</v>
      </c>
      <c r="I177" s="221">
        <f t="shared" si="68"/>
        <v>244800</v>
      </c>
      <c r="J177" s="221">
        <f t="shared" si="69"/>
        <v>10</v>
      </c>
      <c r="K177" s="234">
        <v>244800</v>
      </c>
      <c r="L177" s="234">
        <v>0</v>
      </c>
      <c r="M177" s="234">
        <v>830062853</v>
      </c>
      <c r="N177" s="185" t="s">
        <v>5475</v>
      </c>
      <c r="O177" s="187">
        <v>44861.708472222199</v>
      </c>
      <c r="P177" s="186">
        <v>4924</v>
      </c>
      <c r="Q177" s="185" t="s">
        <v>433</v>
      </c>
      <c r="R177" s="185" t="s">
        <v>1564</v>
      </c>
      <c r="U177" s="190" t="str">
        <f>VLOOKUP(E177,Valida!$A$2:$K$271,4,FALSE)</f>
        <v>Trade and other payables</v>
      </c>
      <c r="V177" s="185" t="s">
        <v>2024</v>
      </c>
      <c r="W177" s="185" t="s">
        <v>2025</v>
      </c>
      <c r="X177" s="185" t="s">
        <v>1789</v>
      </c>
    </row>
    <row r="178" spans="1:24" customFormat="1">
      <c r="A178" s="185" t="s">
        <v>5472</v>
      </c>
      <c r="B178" s="185" t="s">
        <v>5473</v>
      </c>
      <c r="C178" s="185" t="s">
        <v>1792</v>
      </c>
      <c r="D178" s="185" t="s">
        <v>5474</v>
      </c>
      <c r="E178" s="185">
        <v>24081005</v>
      </c>
      <c r="F178" s="185" t="s">
        <v>1414</v>
      </c>
      <c r="G178" s="185" t="s">
        <v>1515</v>
      </c>
      <c r="I178" s="221">
        <f t="shared" si="68"/>
        <v>60466</v>
      </c>
      <c r="J178" s="221">
        <f t="shared" si="69"/>
        <v>10</v>
      </c>
      <c r="K178" s="234">
        <v>60466</v>
      </c>
      <c r="L178" s="234">
        <v>0</v>
      </c>
      <c r="M178" s="234">
        <v>830062853</v>
      </c>
      <c r="N178" s="185" t="s">
        <v>5475</v>
      </c>
      <c r="O178" s="187">
        <v>44861.708472222199</v>
      </c>
      <c r="P178" s="186">
        <v>4926</v>
      </c>
      <c r="Q178" s="185" t="s">
        <v>433</v>
      </c>
      <c r="R178" s="185" t="s">
        <v>1564</v>
      </c>
      <c r="U178" s="190" t="str">
        <f>VLOOKUP(E178,Valida!$A$2:$K$271,4,FALSE)</f>
        <v>Trade and other payables</v>
      </c>
      <c r="V178" s="185" t="s">
        <v>2024</v>
      </c>
      <c r="W178" s="185" t="s">
        <v>2025</v>
      </c>
      <c r="X178" s="185" t="s">
        <v>1789</v>
      </c>
    </row>
    <row r="179" spans="1:24" customFormat="1">
      <c r="A179" s="185" t="s">
        <v>5472</v>
      </c>
      <c r="B179" s="185" t="s">
        <v>5473</v>
      </c>
      <c r="C179" s="185" t="s">
        <v>1792</v>
      </c>
      <c r="D179" s="185" t="s">
        <v>5474</v>
      </c>
      <c r="E179" s="185">
        <v>24081002</v>
      </c>
      <c r="F179" s="185" t="s">
        <v>1414</v>
      </c>
      <c r="G179" s="185" t="s">
        <v>1515</v>
      </c>
      <c r="I179" s="221">
        <f t="shared" si="68"/>
        <v>20705</v>
      </c>
      <c r="J179" s="221">
        <f t="shared" si="69"/>
        <v>10</v>
      </c>
      <c r="K179" s="234">
        <v>20705</v>
      </c>
      <c r="L179" s="234">
        <v>0</v>
      </c>
      <c r="M179" s="234">
        <v>830062853</v>
      </c>
      <c r="N179" s="185" t="s">
        <v>5475</v>
      </c>
      <c r="O179" s="187">
        <v>44861.708472222199</v>
      </c>
      <c r="P179" s="186">
        <v>4928</v>
      </c>
      <c r="Q179" s="185" t="s">
        <v>433</v>
      </c>
      <c r="R179" s="185" t="s">
        <v>1564</v>
      </c>
      <c r="U179" s="190" t="str">
        <f>VLOOKUP(E179,Valida!$A$2:$K$271,4,FALSE)</f>
        <v>Trade and other payables</v>
      </c>
      <c r="V179" s="185" t="s">
        <v>2024</v>
      </c>
      <c r="W179" s="185" t="s">
        <v>2025</v>
      </c>
      <c r="X179" s="185" t="s">
        <v>1789</v>
      </c>
    </row>
    <row r="180" spans="1:24" customFormat="1">
      <c r="A180" s="185" t="s">
        <v>5476</v>
      </c>
      <c r="B180" s="185" t="s">
        <v>5477</v>
      </c>
      <c r="C180" s="185" t="s">
        <v>1792</v>
      </c>
      <c r="D180" s="185" t="s">
        <v>5478</v>
      </c>
      <c r="E180" s="185">
        <v>24081002</v>
      </c>
      <c r="F180" s="185" t="s">
        <v>1866</v>
      </c>
      <c r="G180" s="185" t="s">
        <v>1515</v>
      </c>
      <c r="I180" s="221">
        <f t="shared" si="68"/>
        <v>19000</v>
      </c>
      <c r="J180" s="221">
        <f t="shared" si="69"/>
        <v>10</v>
      </c>
      <c r="K180" s="234">
        <v>19000</v>
      </c>
      <c r="L180" s="234">
        <v>0</v>
      </c>
      <c r="M180" s="234">
        <v>900424409</v>
      </c>
      <c r="N180" s="185" t="s">
        <v>5479</v>
      </c>
      <c r="O180" s="187">
        <v>44861.736782407403</v>
      </c>
      <c r="P180" s="186">
        <v>4937</v>
      </c>
      <c r="Q180" s="185" t="s">
        <v>844</v>
      </c>
      <c r="R180" s="185" t="s">
        <v>1598</v>
      </c>
      <c r="S180" s="185"/>
      <c r="U180" s="190" t="str">
        <f>VLOOKUP(E180,Valida!$A$2:$K$271,4,FALSE)</f>
        <v>Trade and other payables</v>
      </c>
      <c r="V180" s="185" t="s">
        <v>1864</v>
      </c>
      <c r="W180" s="185" t="s">
        <v>1865</v>
      </c>
      <c r="X180" s="185" t="s">
        <v>1789</v>
      </c>
    </row>
    <row r="181" spans="1:24" customFormat="1">
      <c r="A181" s="185" t="s">
        <v>5480</v>
      </c>
      <c r="B181" s="185" t="s">
        <v>5481</v>
      </c>
      <c r="C181" s="185" t="s">
        <v>1792</v>
      </c>
      <c r="D181" s="185" t="s">
        <v>5482</v>
      </c>
      <c r="E181" s="185">
        <v>24081002</v>
      </c>
      <c r="F181" s="185" t="s">
        <v>1830</v>
      </c>
      <c r="G181" s="185" t="s">
        <v>1515</v>
      </c>
      <c r="I181" s="221">
        <f t="shared" si="68"/>
        <v>55990</v>
      </c>
      <c r="J181" s="221">
        <f t="shared" si="69"/>
        <v>10</v>
      </c>
      <c r="K181" s="234">
        <v>55990</v>
      </c>
      <c r="L181" s="234">
        <v>0</v>
      </c>
      <c r="M181" s="234">
        <v>900092385</v>
      </c>
      <c r="N181" s="185" t="s">
        <v>5483</v>
      </c>
      <c r="O181" s="187">
        <v>44861.740555555603</v>
      </c>
      <c r="P181" s="186">
        <v>4946</v>
      </c>
      <c r="Q181" t="s">
        <v>1841</v>
      </c>
      <c r="R181" s="185" t="s">
        <v>1590</v>
      </c>
      <c r="U181" s="190" t="str">
        <f>VLOOKUP(E181,Valida!$A$2:$K$271,4,FALSE)</f>
        <v>Trade and other payables</v>
      </c>
      <c r="V181" s="185" t="s">
        <v>1842</v>
      </c>
      <c r="W181" t="s">
        <v>1843</v>
      </c>
      <c r="X181" s="185" t="s">
        <v>1844</v>
      </c>
    </row>
    <row r="182" spans="1:24" customFormat="1">
      <c r="A182" s="185" t="s">
        <v>5480</v>
      </c>
      <c r="B182" s="185" t="s">
        <v>5484</v>
      </c>
      <c r="C182" s="185" t="s">
        <v>1792</v>
      </c>
      <c r="D182" s="185" t="s">
        <v>5485</v>
      </c>
      <c r="E182" s="185">
        <v>24081002</v>
      </c>
      <c r="F182" s="185" t="s">
        <v>1830</v>
      </c>
      <c r="G182" s="185" t="s">
        <v>1515</v>
      </c>
      <c r="I182" s="221">
        <f t="shared" ref="I182" si="70">K182-L182</f>
        <v>667913.32999999996</v>
      </c>
      <c r="J182" s="221">
        <f t="shared" ref="J182" si="71">MONTH(A182)</f>
        <v>10</v>
      </c>
      <c r="K182" s="234">
        <v>667913.32999999996</v>
      </c>
      <c r="L182" s="234">
        <v>0</v>
      </c>
      <c r="M182" s="234">
        <v>800153993</v>
      </c>
      <c r="N182" s="185" t="s">
        <v>5486</v>
      </c>
      <c r="O182" s="187">
        <v>44861.743159722202</v>
      </c>
      <c r="P182" s="186">
        <v>4951</v>
      </c>
      <c r="Q182" t="s">
        <v>1814</v>
      </c>
      <c r="R182" s="185" t="s">
        <v>1556</v>
      </c>
      <c r="U182" s="190" t="str">
        <f>VLOOKUP(E182,Valida!$A$2:$K$271,4,FALSE)</f>
        <v>Trade and other payables</v>
      </c>
      <c r="V182" s="185" t="s">
        <v>1815</v>
      </c>
      <c r="X182" s="185" t="s">
        <v>1789</v>
      </c>
    </row>
    <row r="183" spans="1:24" customFormat="1">
      <c r="A183" s="185" t="s">
        <v>5487</v>
      </c>
      <c r="B183" s="185" t="s">
        <v>5488</v>
      </c>
      <c r="C183" s="185" t="s">
        <v>1952</v>
      </c>
      <c r="D183" s="185" t="s">
        <v>5489</v>
      </c>
      <c r="E183" s="185">
        <v>24081002</v>
      </c>
      <c r="F183" s="185" t="s">
        <v>1954</v>
      </c>
      <c r="G183" s="185" t="s">
        <v>1515</v>
      </c>
      <c r="I183" s="221">
        <f t="shared" ref="I183:I191" si="72">K183-L183</f>
        <v>13148</v>
      </c>
      <c r="J183" s="221">
        <f t="shared" ref="J183:J191" si="73">MONTH(A183)</f>
        <v>10</v>
      </c>
      <c r="K183" s="234">
        <v>13148</v>
      </c>
      <c r="L183" s="234">
        <v>0</v>
      </c>
      <c r="M183" s="234">
        <v>890903938</v>
      </c>
      <c r="N183" s="185" t="s">
        <v>5488</v>
      </c>
      <c r="O183" s="187">
        <v>44874.652488425898</v>
      </c>
      <c r="P183" s="186">
        <v>5170</v>
      </c>
      <c r="Q183" s="185" t="s">
        <v>1827</v>
      </c>
      <c r="R183" s="185" t="s">
        <v>1580</v>
      </c>
      <c r="U183" s="190" t="str">
        <f>VLOOKUP(E183,Valida!$A$2:$K$271,4,FALSE)</f>
        <v>Trade and other payables</v>
      </c>
      <c r="V183" t="s">
        <v>1955</v>
      </c>
      <c r="X183" t="s">
        <v>1844</v>
      </c>
    </row>
    <row r="184" spans="1:24" customFormat="1">
      <c r="A184" s="185" t="s">
        <v>5487</v>
      </c>
      <c r="B184" s="185" t="s">
        <v>5488</v>
      </c>
      <c r="C184" s="185" t="s">
        <v>1952</v>
      </c>
      <c r="D184" s="185" t="s">
        <v>5489</v>
      </c>
      <c r="E184" s="185">
        <v>24081002</v>
      </c>
      <c r="F184" s="185" t="s">
        <v>1957</v>
      </c>
      <c r="G184" s="185" t="s">
        <v>1515</v>
      </c>
      <c r="I184" s="221">
        <f t="shared" si="72"/>
        <v>7687.23</v>
      </c>
      <c r="J184" s="221">
        <f t="shared" si="73"/>
        <v>10</v>
      </c>
      <c r="K184" s="234">
        <v>7687.23</v>
      </c>
      <c r="L184" s="234">
        <v>0</v>
      </c>
      <c r="M184" s="234">
        <v>890903938</v>
      </c>
      <c r="N184" s="185" t="s">
        <v>5488</v>
      </c>
      <c r="O184" s="187">
        <v>44874.652488425898</v>
      </c>
      <c r="P184" s="186">
        <v>5174</v>
      </c>
      <c r="Q184" s="185" t="s">
        <v>1827</v>
      </c>
      <c r="R184" s="185" t="s">
        <v>1580</v>
      </c>
      <c r="U184" s="190" t="str">
        <f>VLOOKUP(E184,Valida!$A$2:$K$271,4,FALSE)</f>
        <v>Trade and other payables</v>
      </c>
      <c r="V184" t="s">
        <v>1955</v>
      </c>
      <c r="X184" t="s">
        <v>1844</v>
      </c>
    </row>
    <row r="185" spans="1:24" customFormat="1">
      <c r="A185" s="185" t="s">
        <v>5490</v>
      </c>
      <c r="B185" s="185" t="s">
        <v>5491</v>
      </c>
      <c r="C185" s="185" t="s">
        <v>1792</v>
      </c>
      <c r="D185" s="185" t="s">
        <v>5492</v>
      </c>
      <c r="E185" s="185">
        <v>24081002</v>
      </c>
      <c r="F185" s="185" t="s">
        <v>1866</v>
      </c>
      <c r="G185" s="185" t="s">
        <v>1515</v>
      </c>
      <c r="I185" s="221">
        <f t="shared" si="72"/>
        <v>19000</v>
      </c>
      <c r="J185" s="221">
        <f t="shared" si="73"/>
        <v>11</v>
      </c>
      <c r="K185" s="234">
        <v>19000</v>
      </c>
      <c r="L185" s="234">
        <v>0</v>
      </c>
      <c r="M185" s="234">
        <v>900424409</v>
      </c>
      <c r="N185" s="185" t="s">
        <v>5493</v>
      </c>
      <c r="O185" s="187">
        <v>44893.408125000002</v>
      </c>
      <c r="P185" s="186">
        <v>5191</v>
      </c>
      <c r="Q185" s="185" t="s">
        <v>844</v>
      </c>
      <c r="R185" s="185" t="s">
        <v>1598</v>
      </c>
      <c r="U185" s="190" t="str">
        <f>VLOOKUP(E185,Valida!$A$2:$K$271,4,FALSE)</f>
        <v>Trade and other payables</v>
      </c>
      <c r="V185" s="185" t="s">
        <v>1864</v>
      </c>
      <c r="W185" s="185" t="s">
        <v>1865</v>
      </c>
      <c r="X185" s="185" t="s">
        <v>1789</v>
      </c>
    </row>
    <row r="186" spans="1:24" customFormat="1">
      <c r="A186" s="185" t="s">
        <v>5490</v>
      </c>
      <c r="B186" s="185" t="s">
        <v>5494</v>
      </c>
      <c r="C186" s="185" t="s">
        <v>1792</v>
      </c>
      <c r="D186" s="185" t="s">
        <v>5495</v>
      </c>
      <c r="E186" s="185">
        <v>24081002</v>
      </c>
      <c r="F186" s="185" t="s">
        <v>1830</v>
      </c>
      <c r="G186" s="185" t="s">
        <v>1515</v>
      </c>
      <c r="I186" s="221">
        <f t="shared" si="72"/>
        <v>55990</v>
      </c>
      <c r="J186" s="221">
        <f t="shared" si="73"/>
        <v>11</v>
      </c>
      <c r="K186" s="234">
        <v>55990</v>
      </c>
      <c r="L186" s="234">
        <v>0</v>
      </c>
      <c r="M186" s="234">
        <v>900092385</v>
      </c>
      <c r="N186" s="185" t="s">
        <v>2286</v>
      </c>
      <c r="O186" s="187">
        <v>44893.416898148098</v>
      </c>
      <c r="P186" s="186">
        <v>5198</v>
      </c>
      <c r="Q186" s="185" t="s">
        <v>1841</v>
      </c>
      <c r="R186" s="185" t="s">
        <v>1590</v>
      </c>
      <c r="U186" s="190" t="str">
        <f>VLOOKUP(E186,Valida!$A$2:$K$271,4,FALSE)</f>
        <v>Trade and other payables</v>
      </c>
      <c r="V186" s="185" t="s">
        <v>1842</v>
      </c>
      <c r="W186" t="s">
        <v>1843</v>
      </c>
      <c r="X186" s="185" t="s">
        <v>1844</v>
      </c>
    </row>
    <row r="187" spans="1:24" customFormat="1">
      <c r="A187" s="185" t="s">
        <v>5496</v>
      </c>
      <c r="B187" s="185" t="s">
        <v>5497</v>
      </c>
      <c r="C187" s="185" t="s">
        <v>1792</v>
      </c>
      <c r="D187" s="185" t="s">
        <v>5498</v>
      </c>
      <c r="E187" s="185">
        <v>24081002</v>
      </c>
      <c r="F187" s="185" t="s">
        <v>5216</v>
      </c>
      <c r="G187" s="185" t="s">
        <v>1515</v>
      </c>
      <c r="I187" s="221">
        <f t="shared" si="72"/>
        <v>35427.1</v>
      </c>
      <c r="J187" s="221">
        <f t="shared" si="73"/>
        <v>11</v>
      </c>
      <c r="K187" s="234">
        <v>35427.1</v>
      </c>
      <c r="L187" s="234">
        <v>0</v>
      </c>
      <c r="M187" s="234">
        <v>860010451</v>
      </c>
      <c r="N187" s="185" t="s">
        <v>5499</v>
      </c>
      <c r="O187" s="187">
        <v>44893.420115740701</v>
      </c>
      <c r="P187" s="186">
        <v>5204</v>
      </c>
      <c r="Q187" s="185" t="s">
        <v>6</v>
      </c>
      <c r="R187" s="185" t="s">
        <v>1568</v>
      </c>
      <c r="U187" s="190" t="str">
        <f>VLOOKUP(E187,Valida!$A$2:$K$271,4,FALSE)</f>
        <v>Trade and other payables</v>
      </c>
      <c r="V187" s="185" t="s">
        <v>2035</v>
      </c>
      <c r="W187" t="s">
        <v>2036</v>
      </c>
      <c r="X187" s="185" t="s">
        <v>1789</v>
      </c>
    </row>
    <row r="188" spans="1:24" customFormat="1">
      <c r="A188" s="185" t="s">
        <v>5496</v>
      </c>
      <c r="B188" s="185" t="s">
        <v>5500</v>
      </c>
      <c r="C188" s="185" t="s">
        <v>1792</v>
      </c>
      <c r="D188" s="185" t="s">
        <v>5501</v>
      </c>
      <c r="E188" s="185">
        <v>24081002</v>
      </c>
      <c r="F188" s="185" t="s">
        <v>1830</v>
      </c>
      <c r="G188" s="185" t="s">
        <v>1515</v>
      </c>
      <c r="I188" s="221">
        <f t="shared" si="72"/>
        <v>610660</v>
      </c>
      <c r="J188" s="221">
        <f t="shared" si="73"/>
        <v>11</v>
      </c>
      <c r="K188" s="234">
        <v>610660</v>
      </c>
      <c r="L188" s="234">
        <v>0</v>
      </c>
      <c r="M188" s="234">
        <v>800153993</v>
      </c>
      <c r="N188" s="185" t="s">
        <v>5502</v>
      </c>
      <c r="O188" s="187">
        <v>44893.422974537003</v>
      </c>
      <c r="P188" s="186">
        <v>5210</v>
      </c>
      <c r="Q188" s="185" t="s">
        <v>1814</v>
      </c>
      <c r="R188" s="185" t="s">
        <v>1556</v>
      </c>
      <c r="U188" s="190" t="str">
        <f>VLOOKUP(E188,Valida!$A$2:$K$271,4,FALSE)</f>
        <v>Trade and other payables</v>
      </c>
      <c r="V188" s="185" t="s">
        <v>1815</v>
      </c>
      <c r="X188" s="185" t="s">
        <v>1789</v>
      </c>
    </row>
    <row r="189" spans="1:24" customFormat="1">
      <c r="A189" s="185" t="s">
        <v>5496</v>
      </c>
      <c r="B189" s="185" t="s">
        <v>5503</v>
      </c>
      <c r="C189" s="185" t="s">
        <v>1792</v>
      </c>
      <c r="D189" s="185" t="s">
        <v>5504</v>
      </c>
      <c r="E189" s="185">
        <v>24081002</v>
      </c>
      <c r="F189" s="185" t="s">
        <v>1812</v>
      </c>
      <c r="G189" s="185" t="s">
        <v>1515</v>
      </c>
      <c r="I189" s="221">
        <f t="shared" si="72"/>
        <v>6960</v>
      </c>
      <c r="J189" s="221">
        <f t="shared" si="73"/>
        <v>11</v>
      </c>
      <c r="K189" s="234">
        <v>6960</v>
      </c>
      <c r="L189" s="234">
        <v>0</v>
      </c>
      <c r="M189" s="234">
        <v>800153993</v>
      </c>
      <c r="N189" s="185" t="s">
        <v>5505</v>
      </c>
      <c r="O189" s="187">
        <v>44893.424525463</v>
      </c>
      <c r="P189" s="186">
        <v>5215</v>
      </c>
      <c r="Q189" s="185" t="s">
        <v>1814</v>
      </c>
      <c r="R189" s="185" t="s">
        <v>1556</v>
      </c>
      <c r="U189" s="190" t="str">
        <f>VLOOKUP(E189,Valida!$A$2:$K$271,4,FALSE)</f>
        <v>Trade and other payables</v>
      </c>
      <c r="V189" s="185" t="s">
        <v>1815</v>
      </c>
      <c r="X189" s="185" t="s">
        <v>1789</v>
      </c>
    </row>
    <row r="190" spans="1:24" customFormat="1">
      <c r="A190" s="185" t="s">
        <v>5496</v>
      </c>
      <c r="B190" s="185" t="s">
        <v>5506</v>
      </c>
      <c r="C190" s="185" t="s">
        <v>1792</v>
      </c>
      <c r="D190" s="185" t="s">
        <v>5507</v>
      </c>
      <c r="E190" s="185">
        <v>24081002</v>
      </c>
      <c r="F190" s="185" t="s">
        <v>1830</v>
      </c>
      <c r="G190" s="185" t="s">
        <v>1515</v>
      </c>
      <c r="I190" s="221">
        <f t="shared" si="72"/>
        <v>7504.39</v>
      </c>
      <c r="J190" s="221">
        <f t="shared" si="73"/>
        <v>11</v>
      </c>
      <c r="K190" s="234">
        <v>7504.39</v>
      </c>
      <c r="L190" s="234">
        <v>0</v>
      </c>
      <c r="M190" s="234">
        <v>899999115</v>
      </c>
      <c r="N190" s="185" t="s">
        <v>5508</v>
      </c>
      <c r="O190" s="187">
        <v>44893.454097222202</v>
      </c>
      <c r="P190" s="186">
        <v>5218</v>
      </c>
      <c r="Q190" s="185" t="s">
        <v>1827</v>
      </c>
      <c r="R190" s="185" t="s">
        <v>1586</v>
      </c>
      <c r="U190" s="190" t="str">
        <f>VLOOKUP(E190,Valida!$A$2:$K$271,4,FALSE)</f>
        <v>Trade and other payables</v>
      </c>
      <c r="V190" s="185" t="s">
        <v>1828</v>
      </c>
      <c r="W190" t="s">
        <v>1829</v>
      </c>
      <c r="X190" s="185" t="s">
        <v>1789</v>
      </c>
    </row>
    <row r="191" spans="1:24" customFormat="1">
      <c r="A191" s="185" t="s">
        <v>5509</v>
      </c>
      <c r="B191" s="185" t="s">
        <v>5510</v>
      </c>
      <c r="C191" s="185" t="s">
        <v>1792</v>
      </c>
      <c r="D191" s="185" t="s">
        <v>5511</v>
      </c>
      <c r="E191" s="185">
        <v>24081002</v>
      </c>
      <c r="F191" s="185" t="s">
        <v>1412</v>
      </c>
      <c r="G191" s="185" t="s">
        <v>1515</v>
      </c>
      <c r="I191" s="221">
        <f t="shared" si="72"/>
        <v>7632</v>
      </c>
      <c r="J191" s="221">
        <f t="shared" si="73"/>
        <v>11</v>
      </c>
      <c r="K191" s="234">
        <v>7632</v>
      </c>
      <c r="L191" s="234">
        <v>0</v>
      </c>
      <c r="M191" s="234">
        <v>900803591</v>
      </c>
      <c r="N191" s="185" t="s">
        <v>5512</v>
      </c>
      <c r="O191" s="187">
        <v>44893.463738425897</v>
      </c>
      <c r="P191" s="186">
        <v>5222</v>
      </c>
      <c r="Q191" s="185" t="s">
        <v>433</v>
      </c>
      <c r="R191" s="185" t="s">
        <v>4957</v>
      </c>
      <c r="U191" s="190" t="str">
        <f>VLOOKUP(E191,Valida!$A$2:$K$271,4,FALSE)</f>
        <v>Trade and other payables</v>
      </c>
      <c r="V191" t="s">
        <v>4958</v>
      </c>
      <c r="W191" s="185"/>
      <c r="X191" t="s">
        <v>1789</v>
      </c>
    </row>
    <row r="192" spans="1:24" customFormat="1">
      <c r="A192" s="185" t="s">
        <v>5509</v>
      </c>
      <c r="B192" s="185" t="s">
        <v>5510</v>
      </c>
      <c r="C192" s="185" t="s">
        <v>1792</v>
      </c>
      <c r="D192" s="185" t="s">
        <v>5511</v>
      </c>
      <c r="E192" s="185">
        <v>24081005</v>
      </c>
      <c r="F192" s="185" t="s">
        <v>1414</v>
      </c>
      <c r="G192" s="185" t="s">
        <v>1515</v>
      </c>
      <c r="I192" s="221">
        <f t="shared" ref="I192:I194" si="74">K192-L192</f>
        <v>3333</v>
      </c>
      <c r="J192" s="221">
        <f t="shared" ref="J192:J194" si="75">MONTH(A192)</f>
        <v>11</v>
      </c>
      <c r="K192" s="234">
        <v>3333</v>
      </c>
      <c r="L192" s="234">
        <v>0</v>
      </c>
      <c r="M192" s="234">
        <v>900803591</v>
      </c>
      <c r="N192" s="185" t="s">
        <v>5512</v>
      </c>
      <c r="O192" s="187">
        <v>44893.463738425897</v>
      </c>
      <c r="P192" s="186">
        <v>5224</v>
      </c>
      <c r="Q192" t="s">
        <v>433</v>
      </c>
      <c r="R192" s="185" t="s">
        <v>4957</v>
      </c>
      <c r="U192" s="190" t="str">
        <f>VLOOKUP(E192,Valida!$A$2:$K$271,4,FALSE)</f>
        <v>Trade and other payables</v>
      </c>
      <c r="V192" s="185" t="s">
        <v>4958</v>
      </c>
      <c r="X192" s="185" t="s">
        <v>1789</v>
      </c>
    </row>
    <row r="193" spans="1:24" customFormat="1">
      <c r="A193" s="185" t="s">
        <v>5513</v>
      </c>
      <c r="B193" s="185" t="s">
        <v>5514</v>
      </c>
      <c r="C193" s="185" t="s">
        <v>1792</v>
      </c>
      <c r="D193" s="185" t="s">
        <v>5515</v>
      </c>
      <c r="E193" s="185">
        <v>24081002</v>
      </c>
      <c r="F193" s="185" t="s">
        <v>5516</v>
      </c>
      <c r="G193" s="185" t="s">
        <v>1515</v>
      </c>
      <c r="I193" s="221">
        <f t="shared" si="74"/>
        <v>4354486</v>
      </c>
      <c r="J193" s="221">
        <f t="shared" si="75"/>
        <v>11</v>
      </c>
      <c r="K193" s="234">
        <v>4354486</v>
      </c>
      <c r="L193" s="234">
        <v>0</v>
      </c>
      <c r="M193" s="234">
        <v>900471482</v>
      </c>
      <c r="N193" s="185" t="s">
        <v>5517</v>
      </c>
      <c r="O193" s="187">
        <v>44893.762094907397</v>
      </c>
      <c r="P193" s="186">
        <v>5281</v>
      </c>
      <c r="Q193" s="185" t="s">
        <v>6</v>
      </c>
      <c r="R193" s="185" t="s">
        <v>1600</v>
      </c>
      <c r="U193" s="190" t="str">
        <f>VLOOKUP(E193,Valida!$A$2:$K$271,4,FALSE)</f>
        <v>Trade and other payables</v>
      </c>
      <c r="V193" s="185" t="s">
        <v>1853</v>
      </c>
      <c r="W193" t="s">
        <v>1854</v>
      </c>
      <c r="X193" s="185" t="s">
        <v>1789</v>
      </c>
    </row>
    <row r="194" spans="1:24" customFormat="1">
      <c r="A194" s="185" t="s">
        <v>5513</v>
      </c>
      <c r="B194" s="185" t="s">
        <v>5518</v>
      </c>
      <c r="C194" s="185" t="s">
        <v>1792</v>
      </c>
      <c r="D194" s="185" t="s">
        <v>5519</v>
      </c>
      <c r="E194" s="185">
        <v>24081001</v>
      </c>
      <c r="F194" s="185" t="s">
        <v>5520</v>
      </c>
      <c r="G194" s="185" t="s">
        <v>1515</v>
      </c>
      <c r="I194" s="221">
        <f t="shared" si="74"/>
        <v>82878</v>
      </c>
      <c r="J194" s="221">
        <f t="shared" si="75"/>
        <v>11</v>
      </c>
      <c r="K194" s="234">
        <v>82878</v>
      </c>
      <c r="L194" s="234">
        <v>0</v>
      </c>
      <c r="M194" s="234">
        <v>900304223</v>
      </c>
      <c r="N194" s="185" t="s">
        <v>5521</v>
      </c>
      <c r="O194" s="187">
        <v>44893.767488425903</v>
      </c>
      <c r="P194" s="186">
        <v>5286</v>
      </c>
      <c r="Q194" s="185" t="s">
        <v>1901</v>
      </c>
      <c r="R194" s="185" t="s">
        <v>5522</v>
      </c>
      <c r="U194" s="190" t="str">
        <f>VLOOKUP(E194,Valida!$A$2:$K$271,4,FALSE)</f>
        <v>Trade and other payables</v>
      </c>
      <c r="V194" s="185" t="s">
        <v>5523</v>
      </c>
      <c r="W194" s="185" t="s">
        <v>5524</v>
      </c>
      <c r="X194" s="185" t="s">
        <v>1789</v>
      </c>
    </row>
    <row r="195" spans="1:24" customFormat="1">
      <c r="A195" s="185" t="s">
        <v>5525</v>
      </c>
      <c r="B195" s="185" t="s">
        <v>5526</v>
      </c>
      <c r="C195" s="185" t="s">
        <v>1792</v>
      </c>
      <c r="D195" s="185" t="s">
        <v>5527</v>
      </c>
      <c r="E195" s="185">
        <v>24081002</v>
      </c>
      <c r="F195" s="185" t="s">
        <v>5528</v>
      </c>
      <c r="G195" s="185" t="s">
        <v>1515</v>
      </c>
      <c r="I195" s="221">
        <f t="shared" ref="I195:I199" si="76">K195-L195</f>
        <v>91200</v>
      </c>
      <c r="J195" s="221">
        <f t="shared" ref="J195:J199" si="77">MONTH(A195)</f>
        <v>11</v>
      </c>
      <c r="K195" s="234">
        <v>91200</v>
      </c>
      <c r="L195" s="234">
        <v>0</v>
      </c>
      <c r="M195" s="234">
        <v>901546277</v>
      </c>
      <c r="N195" s="185" t="s">
        <v>5529</v>
      </c>
      <c r="O195" s="187">
        <v>44893.773645833302</v>
      </c>
      <c r="P195" s="186">
        <v>5291</v>
      </c>
      <c r="Q195" s="185" t="s">
        <v>1067</v>
      </c>
      <c r="R195" s="185" t="s">
        <v>5530</v>
      </c>
      <c r="U195" s="190" t="str">
        <f>VLOOKUP(E195,Valida!$A$2:$K$271,4,FALSE)</f>
        <v>Trade and other payables</v>
      </c>
      <c r="V195" s="185" t="s">
        <v>5531</v>
      </c>
      <c r="W195" s="185"/>
      <c r="X195" s="185" t="s">
        <v>1789</v>
      </c>
    </row>
    <row r="196" spans="1:24" customFormat="1">
      <c r="A196" s="185" t="s">
        <v>5532</v>
      </c>
      <c r="B196" s="185" t="s">
        <v>5533</v>
      </c>
      <c r="C196" s="185" t="s">
        <v>1792</v>
      </c>
      <c r="D196" s="185" t="s">
        <v>5534</v>
      </c>
      <c r="E196" s="185">
        <v>24081002</v>
      </c>
      <c r="F196" s="185" t="s">
        <v>1412</v>
      </c>
      <c r="G196" s="185" t="s">
        <v>1515</v>
      </c>
      <c r="I196" s="221">
        <f t="shared" si="76"/>
        <v>111785</v>
      </c>
      <c r="J196" s="221">
        <f t="shared" si="77"/>
        <v>11</v>
      </c>
      <c r="K196" s="234">
        <v>111785</v>
      </c>
      <c r="L196" s="234">
        <v>0</v>
      </c>
      <c r="M196" s="234">
        <v>830062853</v>
      </c>
      <c r="N196" s="185" t="s">
        <v>5535</v>
      </c>
      <c r="O196" s="187">
        <v>44893.780763888899</v>
      </c>
      <c r="P196" s="186">
        <v>5297</v>
      </c>
      <c r="Q196" s="185" t="s">
        <v>433</v>
      </c>
      <c r="R196" s="185" t="s">
        <v>1564</v>
      </c>
      <c r="U196" s="190" t="str">
        <f>VLOOKUP(E196,Valida!$A$2:$K$271,4,FALSE)</f>
        <v>Trade and other payables</v>
      </c>
      <c r="V196" s="185" t="s">
        <v>2024</v>
      </c>
      <c r="W196" t="s">
        <v>2025</v>
      </c>
      <c r="X196" s="185" t="s">
        <v>1789</v>
      </c>
    </row>
    <row r="197" spans="1:24" customFormat="1">
      <c r="A197" s="185" t="s">
        <v>5532</v>
      </c>
      <c r="B197" s="185" t="s">
        <v>5533</v>
      </c>
      <c r="C197" s="185" t="s">
        <v>1792</v>
      </c>
      <c r="D197" s="185" t="s">
        <v>5534</v>
      </c>
      <c r="E197" s="185">
        <v>24081005</v>
      </c>
      <c r="F197" s="185" t="s">
        <v>1414</v>
      </c>
      <c r="G197" s="185" t="s">
        <v>1515</v>
      </c>
      <c r="I197" s="221">
        <f t="shared" si="76"/>
        <v>49067</v>
      </c>
      <c r="J197" s="221">
        <f t="shared" si="77"/>
        <v>11</v>
      </c>
      <c r="K197" s="234">
        <v>49067</v>
      </c>
      <c r="L197" s="234">
        <v>0</v>
      </c>
      <c r="M197" s="234">
        <v>830062853</v>
      </c>
      <c r="N197" s="185" t="s">
        <v>5535</v>
      </c>
      <c r="O197" s="187">
        <v>44893.780763888899</v>
      </c>
      <c r="P197" s="186">
        <v>5299</v>
      </c>
      <c r="Q197" t="s">
        <v>433</v>
      </c>
      <c r="R197" s="185" t="s">
        <v>1564</v>
      </c>
      <c r="U197" s="190" t="str">
        <f>VLOOKUP(E197,Valida!$A$2:$K$271,4,FALSE)</f>
        <v>Trade and other payables</v>
      </c>
      <c r="V197" s="185" t="s">
        <v>2024</v>
      </c>
      <c r="W197" s="185" t="s">
        <v>2025</v>
      </c>
      <c r="X197" s="185" t="s">
        <v>1789</v>
      </c>
    </row>
    <row r="198" spans="1:24" customFormat="1">
      <c r="A198" s="185" t="s">
        <v>5532</v>
      </c>
      <c r="B198" s="185" t="s">
        <v>5533</v>
      </c>
      <c r="C198" s="185" t="s">
        <v>1792</v>
      </c>
      <c r="D198" s="185" t="s">
        <v>5534</v>
      </c>
      <c r="E198" s="185">
        <v>24081002</v>
      </c>
      <c r="F198" s="185" t="s">
        <v>1414</v>
      </c>
      <c r="G198" s="185" t="s">
        <v>1515</v>
      </c>
      <c r="I198" s="221">
        <f t="shared" si="76"/>
        <v>55214</v>
      </c>
      <c r="J198" s="221">
        <f t="shared" si="77"/>
        <v>11</v>
      </c>
      <c r="K198" s="234">
        <v>55214</v>
      </c>
      <c r="L198" s="234">
        <v>0</v>
      </c>
      <c r="M198" s="234">
        <v>830062853</v>
      </c>
      <c r="N198" s="185" t="s">
        <v>5535</v>
      </c>
      <c r="O198" s="187">
        <v>44893.780763888899</v>
      </c>
      <c r="P198" s="186">
        <v>5301</v>
      </c>
      <c r="Q198" t="s">
        <v>433</v>
      </c>
      <c r="R198" s="185" t="s">
        <v>1564</v>
      </c>
      <c r="U198" s="190" t="str">
        <f>VLOOKUP(E198,Valida!$A$2:$K$271,4,FALSE)</f>
        <v>Trade and other payables</v>
      </c>
      <c r="V198" t="s">
        <v>2024</v>
      </c>
      <c r="W198" t="s">
        <v>2025</v>
      </c>
      <c r="X198" t="s">
        <v>1789</v>
      </c>
    </row>
    <row r="199" spans="1:24" customFormat="1">
      <c r="A199" s="185" t="s">
        <v>5536</v>
      </c>
      <c r="B199" s="185" t="s">
        <v>5537</v>
      </c>
      <c r="C199" s="185" t="s">
        <v>1792</v>
      </c>
      <c r="D199" s="185" t="s">
        <v>5538</v>
      </c>
      <c r="E199" s="185">
        <v>24081001</v>
      </c>
      <c r="F199" s="185" t="s">
        <v>5539</v>
      </c>
      <c r="G199" s="185" t="s">
        <v>1515</v>
      </c>
      <c r="I199" s="221">
        <f t="shared" si="76"/>
        <v>291227</v>
      </c>
      <c r="J199" s="221">
        <f t="shared" si="77"/>
        <v>11</v>
      </c>
      <c r="K199" s="234">
        <v>291227</v>
      </c>
      <c r="L199" s="234">
        <v>0</v>
      </c>
      <c r="M199" s="234">
        <v>901565187</v>
      </c>
      <c r="N199" s="185" t="s">
        <v>5540</v>
      </c>
      <c r="O199" s="187">
        <v>44893.792384259301</v>
      </c>
      <c r="P199" s="186">
        <v>5314</v>
      </c>
      <c r="Q199" t="s">
        <v>6</v>
      </c>
      <c r="R199" s="185" t="s">
        <v>5541</v>
      </c>
      <c r="U199" s="190" t="str">
        <f>VLOOKUP(E199,Valida!$A$2:$K$271,4,FALSE)</f>
        <v>Trade and other payables</v>
      </c>
      <c r="V199" s="185" t="s">
        <v>5542</v>
      </c>
      <c r="W199" s="185"/>
      <c r="X199" s="185" t="s">
        <v>1789</v>
      </c>
    </row>
    <row r="200" spans="1:24" customFormat="1">
      <c r="A200" s="185" t="s">
        <v>5543</v>
      </c>
      <c r="B200" s="185" t="s">
        <v>5544</v>
      </c>
      <c r="C200" s="185" t="s">
        <v>1952</v>
      </c>
      <c r="D200" s="185" t="s">
        <v>5545</v>
      </c>
      <c r="E200" s="185">
        <v>24081002</v>
      </c>
      <c r="F200" s="185" t="s">
        <v>1954</v>
      </c>
      <c r="G200" s="185" t="s">
        <v>1515</v>
      </c>
      <c r="I200" s="221">
        <f t="shared" ref="I200:I207" si="78">K200-L200</f>
        <v>13148</v>
      </c>
      <c r="J200" s="221">
        <f t="shared" ref="J200:J207" si="79">MONTH(A200)</f>
        <v>11</v>
      </c>
      <c r="K200" s="234">
        <v>13148</v>
      </c>
      <c r="L200" s="234">
        <v>0</v>
      </c>
      <c r="M200" s="234">
        <v>890903938</v>
      </c>
      <c r="O200" s="187">
        <v>44904.493738425903</v>
      </c>
      <c r="P200" s="186">
        <v>5609</v>
      </c>
      <c r="Q200" s="185" t="s">
        <v>1827</v>
      </c>
      <c r="R200" s="185" t="s">
        <v>1580</v>
      </c>
      <c r="U200" s="190" t="str">
        <f>VLOOKUP(E200,Valida!$A$2:$K$271,4,FALSE)</f>
        <v>Trade and other payables</v>
      </c>
      <c r="V200" s="185" t="s">
        <v>1955</v>
      </c>
      <c r="W200" s="185"/>
      <c r="X200" s="185" t="s">
        <v>1844</v>
      </c>
    </row>
    <row r="201" spans="1:24" customFormat="1">
      <c r="A201" s="185" t="s">
        <v>5543</v>
      </c>
      <c r="B201" s="185" t="s">
        <v>5544</v>
      </c>
      <c r="C201" s="185" t="s">
        <v>1952</v>
      </c>
      <c r="D201" s="185" t="s">
        <v>5545</v>
      </c>
      <c r="E201" s="185">
        <v>24081002</v>
      </c>
      <c r="F201" s="185" t="s">
        <v>1957</v>
      </c>
      <c r="G201" s="185" t="s">
        <v>1515</v>
      </c>
      <c r="I201" s="221">
        <f t="shared" si="78"/>
        <v>15454</v>
      </c>
      <c r="J201" s="221">
        <f t="shared" si="79"/>
        <v>11</v>
      </c>
      <c r="K201" s="234">
        <v>15454</v>
      </c>
      <c r="L201" s="234">
        <v>0</v>
      </c>
      <c r="M201" s="234">
        <v>890903938</v>
      </c>
      <c r="O201" s="187">
        <v>44904.493738425903</v>
      </c>
      <c r="P201" s="186">
        <v>5613</v>
      </c>
      <c r="Q201" s="185" t="s">
        <v>1827</v>
      </c>
      <c r="R201" s="185" t="s">
        <v>1580</v>
      </c>
      <c r="U201" s="190" t="str">
        <f>VLOOKUP(E201,Valida!$A$2:$K$271,4,FALSE)</f>
        <v>Trade and other payables</v>
      </c>
      <c r="V201" s="185" t="s">
        <v>1955</v>
      </c>
      <c r="W201" s="185"/>
      <c r="X201" s="185" t="s">
        <v>1844</v>
      </c>
    </row>
    <row r="202" spans="1:24" customFormat="1">
      <c r="A202" s="185" t="s">
        <v>5546</v>
      </c>
      <c r="B202" s="185" t="s">
        <v>5547</v>
      </c>
      <c r="C202" s="185" t="s">
        <v>1792</v>
      </c>
      <c r="D202" s="185" t="s">
        <v>5548</v>
      </c>
      <c r="E202" s="185">
        <v>24081002</v>
      </c>
      <c r="F202" s="185" t="s">
        <v>1830</v>
      </c>
      <c r="G202" s="185" t="s">
        <v>1515</v>
      </c>
      <c r="I202" s="221">
        <f t="shared" si="78"/>
        <v>55990</v>
      </c>
      <c r="J202" s="221">
        <f t="shared" si="79"/>
        <v>12</v>
      </c>
      <c r="K202" s="234">
        <v>55990</v>
      </c>
      <c r="L202" s="234">
        <v>0</v>
      </c>
      <c r="M202" s="234">
        <v>900092385</v>
      </c>
      <c r="N202" t="s">
        <v>5549</v>
      </c>
      <c r="O202" s="187">
        <v>44917.322789351798</v>
      </c>
      <c r="P202" s="186">
        <v>5629</v>
      </c>
      <c r="Q202" s="185" t="s">
        <v>1841</v>
      </c>
      <c r="R202" s="185" t="s">
        <v>1590</v>
      </c>
      <c r="U202" s="190" t="str">
        <f>VLOOKUP(E202,Valida!$A$2:$K$271,4,FALSE)</f>
        <v>Trade and other payables</v>
      </c>
      <c r="V202" t="s">
        <v>1842</v>
      </c>
      <c r="W202" t="s">
        <v>1843</v>
      </c>
      <c r="X202" t="s">
        <v>1844</v>
      </c>
    </row>
    <row r="203" spans="1:24" customFormat="1">
      <c r="A203" s="185" t="s">
        <v>5550</v>
      </c>
      <c r="B203" s="185" t="s">
        <v>5551</v>
      </c>
      <c r="C203" s="185" t="s">
        <v>1792</v>
      </c>
      <c r="D203" s="185" t="s">
        <v>5552</v>
      </c>
      <c r="E203" s="185">
        <v>24081002</v>
      </c>
      <c r="F203" s="185" t="s">
        <v>5216</v>
      </c>
      <c r="G203" s="185" t="s">
        <v>1515</v>
      </c>
      <c r="I203" s="221">
        <f t="shared" si="78"/>
        <v>35427.1</v>
      </c>
      <c r="J203" s="221">
        <f t="shared" si="79"/>
        <v>12</v>
      </c>
      <c r="K203" s="234">
        <v>35427.1</v>
      </c>
      <c r="L203" s="234">
        <v>0</v>
      </c>
      <c r="M203" s="234">
        <v>860010451</v>
      </c>
      <c r="N203" t="s">
        <v>5553</v>
      </c>
      <c r="O203" s="187">
        <v>44917.340300925898</v>
      </c>
      <c r="P203" s="186">
        <v>5635</v>
      </c>
      <c r="Q203" s="185" t="s">
        <v>6</v>
      </c>
      <c r="R203" s="185" t="s">
        <v>1568</v>
      </c>
      <c r="U203" s="190" t="str">
        <f>VLOOKUP(E203,Valida!$A$2:$K$271,4,FALSE)</f>
        <v>Trade and other payables</v>
      </c>
      <c r="V203" t="s">
        <v>2035</v>
      </c>
      <c r="W203" t="s">
        <v>2036</v>
      </c>
      <c r="X203" t="s">
        <v>1789</v>
      </c>
    </row>
    <row r="204" spans="1:24" customFormat="1">
      <c r="A204" s="185" t="s">
        <v>5550</v>
      </c>
      <c r="B204" s="185" t="s">
        <v>5554</v>
      </c>
      <c r="C204" s="185" t="s">
        <v>1792</v>
      </c>
      <c r="D204" s="185" t="s">
        <v>5555</v>
      </c>
      <c r="E204" s="185">
        <v>24081002</v>
      </c>
      <c r="F204" s="185" t="s">
        <v>1866</v>
      </c>
      <c r="G204" s="185" t="s">
        <v>1515</v>
      </c>
      <c r="I204" s="221">
        <f t="shared" si="78"/>
        <v>19000</v>
      </c>
      <c r="J204" s="221">
        <f t="shared" si="79"/>
        <v>12</v>
      </c>
      <c r="K204" s="234">
        <v>19000</v>
      </c>
      <c r="L204" s="234">
        <v>0</v>
      </c>
      <c r="M204" s="234">
        <v>900424409</v>
      </c>
      <c r="N204" t="s">
        <v>5556</v>
      </c>
      <c r="O204" s="187">
        <v>44917.343460648102</v>
      </c>
      <c r="P204" s="186">
        <v>5639</v>
      </c>
      <c r="Q204" s="185" t="s">
        <v>844</v>
      </c>
      <c r="R204" s="185" t="s">
        <v>1598</v>
      </c>
      <c r="U204" s="190" t="str">
        <f>VLOOKUP(E204,Valida!$A$2:$K$271,4,FALSE)</f>
        <v>Trade and other payables</v>
      </c>
      <c r="V204" t="s">
        <v>1864</v>
      </c>
      <c r="W204" t="s">
        <v>1865</v>
      </c>
      <c r="X204" t="s">
        <v>1789</v>
      </c>
    </row>
    <row r="205" spans="1:24" customFormat="1">
      <c r="A205" s="185" t="s">
        <v>5557</v>
      </c>
      <c r="B205" s="185" t="s">
        <v>5558</v>
      </c>
      <c r="C205" s="185" t="s">
        <v>1792</v>
      </c>
      <c r="D205" s="185" t="s">
        <v>5559</v>
      </c>
      <c r="E205" s="185">
        <v>24081002</v>
      </c>
      <c r="F205" s="185" t="s">
        <v>1812</v>
      </c>
      <c r="G205" s="185" t="s">
        <v>1515</v>
      </c>
      <c r="I205" s="221">
        <f t="shared" si="78"/>
        <v>6960</v>
      </c>
      <c r="J205" s="221">
        <f t="shared" si="79"/>
        <v>12</v>
      </c>
      <c r="K205" s="234">
        <v>6960</v>
      </c>
      <c r="L205" s="234">
        <v>0</v>
      </c>
      <c r="M205" s="234">
        <v>800153993</v>
      </c>
      <c r="N205" t="s">
        <v>5560</v>
      </c>
      <c r="O205" s="187">
        <v>44917.358738425901</v>
      </c>
      <c r="P205" s="186">
        <v>5651</v>
      </c>
      <c r="Q205" s="185" t="s">
        <v>1814</v>
      </c>
      <c r="R205" s="185" t="s">
        <v>1556</v>
      </c>
      <c r="U205" s="190" t="str">
        <f>VLOOKUP(E205,Valida!$A$2:$K$271,4,FALSE)</f>
        <v>Trade and other payables</v>
      </c>
      <c r="V205" t="s">
        <v>1815</v>
      </c>
      <c r="X205" t="s">
        <v>1789</v>
      </c>
    </row>
    <row r="206" spans="1:24" customFormat="1">
      <c r="A206" s="185" t="s">
        <v>5557</v>
      </c>
      <c r="B206" s="185" t="s">
        <v>5561</v>
      </c>
      <c r="C206" s="185" t="s">
        <v>1792</v>
      </c>
      <c r="D206" s="185" t="s">
        <v>5562</v>
      </c>
      <c r="E206" s="185">
        <v>24081002</v>
      </c>
      <c r="F206" s="185" t="s">
        <v>1830</v>
      </c>
      <c r="G206" s="185" t="s">
        <v>1515</v>
      </c>
      <c r="I206" s="221">
        <f t="shared" si="78"/>
        <v>610660</v>
      </c>
      <c r="J206" s="221">
        <f t="shared" si="79"/>
        <v>12</v>
      </c>
      <c r="K206" s="234">
        <v>610660</v>
      </c>
      <c r="L206" s="234">
        <v>0</v>
      </c>
      <c r="M206" s="234">
        <v>800153993</v>
      </c>
      <c r="N206" t="s">
        <v>5563</v>
      </c>
      <c r="O206" s="187">
        <v>44917.362939814797</v>
      </c>
      <c r="P206" s="186">
        <v>5654</v>
      </c>
      <c r="Q206" s="185" t="s">
        <v>1814</v>
      </c>
      <c r="R206" s="185" t="s">
        <v>1556</v>
      </c>
      <c r="U206" s="190" t="str">
        <f>VLOOKUP(E206,Valida!$A$2:$K$271,4,FALSE)</f>
        <v>Trade and other payables</v>
      </c>
      <c r="V206" t="s">
        <v>1815</v>
      </c>
      <c r="X206" t="s">
        <v>1789</v>
      </c>
    </row>
    <row r="207" spans="1:24" customFormat="1">
      <c r="A207" s="185" t="s">
        <v>5564</v>
      </c>
      <c r="B207" s="185" t="s">
        <v>5565</v>
      </c>
      <c r="C207" s="185" t="s">
        <v>1792</v>
      </c>
      <c r="D207" s="185" t="s">
        <v>5566</v>
      </c>
      <c r="E207" s="185">
        <v>24081002</v>
      </c>
      <c r="F207" s="185" t="s">
        <v>5516</v>
      </c>
      <c r="G207" s="185" t="s">
        <v>1515</v>
      </c>
      <c r="I207" s="221">
        <f t="shared" si="78"/>
        <v>4354486</v>
      </c>
      <c r="J207" s="221">
        <f t="shared" si="79"/>
        <v>12</v>
      </c>
      <c r="K207" s="234">
        <v>4354486</v>
      </c>
      <c r="L207" s="234">
        <v>0</v>
      </c>
      <c r="M207" s="234">
        <v>900471482</v>
      </c>
      <c r="N207" t="s">
        <v>5567</v>
      </c>
      <c r="O207" s="187">
        <v>44917.365671296298</v>
      </c>
      <c r="P207" s="186">
        <v>5657</v>
      </c>
      <c r="Q207" s="185" t="s">
        <v>6</v>
      </c>
      <c r="R207" s="185" t="s">
        <v>1600</v>
      </c>
      <c r="U207" s="190" t="str">
        <f>VLOOKUP(E207,Valida!$A$2:$K$271,4,FALSE)</f>
        <v>Trade and other payables</v>
      </c>
      <c r="V207" t="s">
        <v>1853</v>
      </c>
      <c r="W207" t="s">
        <v>1854</v>
      </c>
      <c r="X207" t="s">
        <v>1789</v>
      </c>
    </row>
    <row r="208" spans="1:24" customFormat="1">
      <c r="A208" s="185" t="s">
        <v>5568</v>
      </c>
      <c r="B208" s="185" t="s">
        <v>5569</v>
      </c>
      <c r="C208" s="185" t="s">
        <v>1792</v>
      </c>
      <c r="D208" s="185" t="s">
        <v>5570</v>
      </c>
      <c r="E208" s="185">
        <v>24081002</v>
      </c>
      <c r="F208" s="185" t="s">
        <v>1830</v>
      </c>
      <c r="G208" s="185" t="s">
        <v>1515</v>
      </c>
      <c r="I208" s="221">
        <f t="shared" ref="I208" si="80">K208-L208</f>
        <v>232636</v>
      </c>
      <c r="J208" s="221">
        <f t="shared" ref="J208" si="81">MONTH(A208)</f>
        <v>12</v>
      </c>
      <c r="K208" s="234">
        <v>232636</v>
      </c>
      <c r="L208" s="234">
        <v>0</v>
      </c>
      <c r="M208" s="234">
        <v>899999115</v>
      </c>
      <c r="N208" t="s">
        <v>5571</v>
      </c>
      <c r="O208" s="187">
        <v>44917.3734722222</v>
      </c>
      <c r="P208" s="186">
        <v>5666</v>
      </c>
      <c r="Q208" s="185" t="s">
        <v>1827</v>
      </c>
      <c r="R208" s="185" t="s">
        <v>1586</v>
      </c>
      <c r="U208" s="190" t="str">
        <f>VLOOKUP(E208,Valida!$A$2:$K$271,4,FALSE)</f>
        <v>Trade and other payables</v>
      </c>
      <c r="V208" t="s">
        <v>1828</v>
      </c>
      <c r="W208" t="s">
        <v>1829</v>
      </c>
      <c r="X208" t="s">
        <v>1789</v>
      </c>
    </row>
    <row r="209" spans="1:25" customFormat="1">
      <c r="A209" s="185" t="s">
        <v>5572</v>
      </c>
      <c r="B209" s="185" t="s">
        <v>5573</v>
      </c>
      <c r="C209" s="185" t="s">
        <v>1792</v>
      </c>
      <c r="D209" s="185" t="s">
        <v>5574</v>
      </c>
      <c r="E209" s="185">
        <v>24081002</v>
      </c>
      <c r="F209" s="185" t="s">
        <v>5216</v>
      </c>
      <c r="G209" s="185" t="s">
        <v>1628</v>
      </c>
      <c r="I209" s="221">
        <f t="shared" ref="I209" si="82">K209-L209</f>
        <v>-1180.9100000000001</v>
      </c>
      <c r="J209" s="221">
        <f t="shared" ref="J209" si="83">MONTH(A209)</f>
        <v>12</v>
      </c>
      <c r="K209" s="234">
        <v>0</v>
      </c>
      <c r="L209" s="234">
        <v>1180.9100000000001</v>
      </c>
      <c r="M209" s="234">
        <v>860010451</v>
      </c>
      <c r="N209" t="s">
        <v>5575</v>
      </c>
      <c r="O209" s="187">
        <v>44921.280775462998</v>
      </c>
      <c r="P209" s="186">
        <v>5812</v>
      </c>
      <c r="Q209" s="185" t="s">
        <v>6</v>
      </c>
      <c r="R209" s="185" t="s">
        <v>1568</v>
      </c>
      <c r="U209" s="190" t="str">
        <f>VLOOKUP(E209,Valida!$A$2:$K$271,4,FALSE)</f>
        <v>Trade and other payables</v>
      </c>
      <c r="V209" t="s">
        <v>2035</v>
      </c>
      <c r="W209" t="s">
        <v>2036</v>
      </c>
      <c r="X209" t="s">
        <v>1789</v>
      </c>
    </row>
    <row r="210" spans="1:25" customFormat="1">
      <c r="A210" s="185" t="s">
        <v>5576</v>
      </c>
      <c r="B210" s="185" t="s">
        <v>5577</v>
      </c>
      <c r="C210" s="185" t="s">
        <v>1792</v>
      </c>
      <c r="D210" s="185" t="s">
        <v>5578</v>
      </c>
      <c r="E210" s="185">
        <v>24081001</v>
      </c>
      <c r="F210" s="185" t="s">
        <v>4050</v>
      </c>
      <c r="G210" s="185" t="s">
        <v>1515</v>
      </c>
      <c r="I210" s="221">
        <f t="shared" ref="I210:I212" si="84">K210-L210</f>
        <v>47500</v>
      </c>
      <c r="J210" s="221">
        <f t="shared" ref="J210:J212" si="85">MONTH(A210)</f>
        <v>12</v>
      </c>
      <c r="K210" s="234">
        <v>47500</v>
      </c>
      <c r="L210" s="234">
        <v>0</v>
      </c>
      <c r="M210" s="234">
        <v>800042928</v>
      </c>
      <c r="N210" t="s">
        <v>5579</v>
      </c>
      <c r="O210" s="187">
        <v>44921.289282407401</v>
      </c>
      <c r="P210" s="186">
        <v>5819</v>
      </c>
      <c r="Q210" s="185" t="s">
        <v>6</v>
      </c>
      <c r="R210" s="185" t="s">
        <v>1554</v>
      </c>
      <c r="U210" s="190" t="str">
        <f>VLOOKUP(E210,Valida!$A$2:$K$271,4,FALSE)</f>
        <v>Trade and other payables</v>
      </c>
      <c r="V210" t="s">
        <v>1820</v>
      </c>
      <c r="W210" t="s">
        <v>1821</v>
      </c>
      <c r="X210" t="s">
        <v>1789</v>
      </c>
    </row>
    <row r="211" spans="1:25" customFormat="1">
      <c r="A211" s="185" t="s">
        <v>5580</v>
      </c>
      <c r="B211" s="185" t="s">
        <v>5581</v>
      </c>
      <c r="C211" s="185" t="s">
        <v>1792</v>
      </c>
      <c r="D211" s="185" t="s">
        <v>5582</v>
      </c>
      <c r="E211" s="185">
        <v>24081002</v>
      </c>
      <c r="F211" s="185" t="s">
        <v>5583</v>
      </c>
      <c r="G211" s="185" t="s">
        <v>1628</v>
      </c>
      <c r="I211" s="221">
        <f t="shared" si="84"/>
        <v>-8266.33</v>
      </c>
      <c r="J211" s="221">
        <f t="shared" si="85"/>
        <v>12</v>
      </c>
      <c r="K211" s="234">
        <v>0</v>
      </c>
      <c r="L211" s="234">
        <v>8266.33</v>
      </c>
      <c r="M211" s="234">
        <v>860010451</v>
      </c>
      <c r="N211" t="s">
        <v>5584</v>
      </c>
      <c r="O211" s="187">
        <v>44924.339444444398</v>
      </c>
      <c r="P211" s="186">
        <v>5929</v>
      </c>
      <c r="Q211" s="185" t="s">
        <v>6</v>
      </c>
      <c r="R211" s="185" t="s">
        <v>1568</v>
      </c>
      <c r="U211" s="190" t="str">
        <f>VLOOKUP(E211,Valida!$A$2:$K$271,4,FALSE)</f>
        <v>Trade and other payables</v>
      </c>
      <c r="V211" t="s">
        <v>2035</v>
      </c>
      <c r="W211" t="s">
        <v>2036</v>
      </c>
      <c r="X211" t="s">
        <v>1789</v>
      </c>
    </row>
    <row r="212" spans="1:25" customFormat="1">
      <c r="A212" s="185" t="s">
        <v>5585</v>
      </c>
      <c r="B212" s="185" t="s">
        <v>5586</v>
      </c>
      <c r="C212" s="185" t="s">
        <v>1792</v>
      </c>
      <c r="D212" s="185" t="s">
        <v>5587</v>
      </c>
      <c r="E212" s="185">
        <v>24081002</v>
      </c>
      <c r="F212" s="185" t="s">
        <v>1794</v>
      </c>
      <c r="G212" s="185" t="s">
        <v>1515</v>
      </c>
      <c r="I212" s="221">
        <f t="shared" si="84"/>
        <v>7359</v>
      </c>
      <c r="J212" s="221">
        <f t="shared" si="85"/>
        <v>12</v>
      </c>
      <c r="K212" s="234">
        <v>7359</v>
      </c>
      <c r="L212" s="234">
        <v>0</v>
      </c>
      <c r="M212" s="234">
        <v>900994552</v>
      </c>
      <c r="N212" t="s">
        <v>5588</v>
      </c>
      <c r="O212" s="187">
        <v>44924.384780092601</v>
      </c>
      <c r="P212" s="186">
        <v>5934</v>
      </c>
      <c r="Q212" s="185" t="s">
        <v>844</v>
      </c>
      <c r="R212" s="185" t="s">
        <v>1606</v>
      </c>
      <c r="U212" s="190" t="str">
        <f>VLOOKUP(E212,Valida!$A$2:$K$271,4,FALSE)</f>
        <v>Trade and other payables</v>
      </c>
      <c r="V212" t="s">
        <v>1796</v>
      </c>
      <c r="W212" t="s">
        <v>1797</v>
      </c>
      <c r="X212" t="s">
        <v>1789</v>
      </c>
    </row>
    <row r="213" spans="1:25" customFormat="1">
      <c r="A213" s="185" t="s">
        <v>5576</v>
      </c>
      <c r="B213" s="185" t="s">
        <v>5589</v>
      </c>
      <c r="C213" s="185" t="s">
        <v>1792</v>
      </c>
      <c r="D213" s="185" t="s">
        <v>5590</v>
      </c>
      <c r="E213" s="185">
        <v>24081002</v>
      </c>
      <c r="F213" s="185" t="s">
        <v>1412</v>
      </c>
      <c r="G213" s="185" t="s">
        <v>1515</v>
      </c>
      <c r="I213" s="221">
        <f t="shared" ref="I213:I215" si="86">K213-L213</f>
        <v>133374</v>
      </c>
      <c r="J213" s="221">
        <f t="shared" ref="J213:J215" si="87">MONTH(A213)</f>
        <v>12</v>
      </c>
      <c r="K213" s="234">
        <v>133374</v>
      </c>
      <c r="L213" s="234">
        <v>0</v>
      </c>
      <c r="M213" s="234">
        <v>830062853</v>
      </c>
      <c r="N213" t="s">
        <v>5591</v>
      </c>
      <c r="O213" s="187">
        <v>44921.429479166698</v>
      </c>
      <c r="P213" s="186">
        <v>5914</v>
      </c>
      <c r="Q213" s="185" t="s">
        <v>433</v>
      </c>
      <c r="R213" s="185" t="s">
        <v>1564</v>
      </c>
      <c r="U213" s="190" t="str">
        <f>VLOOKUP(E213,Valida!$A$2:$K$271,4,FALSE)</f>
        <v>Trade and other payables</v>
      </c>
      <c r="V213" t="s">
        <v>2024</v>
      </c>
      <c r="W213" t="s">
        <v>2025</v>
      </c>
      <c r="X213" t="s">
        <v>1789</v>
      </c>
    </row>
    <row r="214" spans="1:25" customFormat="1">
      <c r="A214" s="185" t="s">
        <v>5576</v>
      </c>
      <c r="B214" s="185" t="s">
        <v>5589</v>
      </c>
      <c r="C214" s="185" t="s">
        <v>1792</v>
      </c>
      <c r="D214" s="185" t="s">
        <v>5590</v>
      </c>
      <c r="E214" s="185">
        <v>24081005</v>
      </c>
      <c r="F214" s="185" t="s">
        <v>1414</v>
      </c>
      <c r="G214" s="185" t="s">
        <v>1515</v>
      </c>
      <c r="I214" s="221">
        <f t="shared" si="86"/>
        <v>58528</v>
      </c>
      <c r="J214" s="221">
        <f t="shared" si="87"/>
        <v>12</v>
      </c>
      <c r="K214" s="234">
        <v>58528</v>
      </c>
      <c r="L214" s="234">
        <v>0</v>
      </c>
      <c r="M214" s="234">
        <v>830062853</v>
      </c>
      <c r="N214" t="s">
        <v>5591</v>
      </c>
      <c r="O214" s="187">
        <v>44921.429479166698</v>
      </c>
      <c r="P214" s="186">
        <v>5916</v>
      </c>
      <c r="Q214" s="185" t="s">
        <v>433</v>
      </c>
      <c r="R214" s="185" t="s">
        <v>1564</v>
      </c>
      <c r="U214" s="190" t="str">
        <f>VLOOKUP(E214,Valida!$A$2:$K$271,4,FALSE)</f>
        <v>Trade and other payables</v>
      </c>
      <c r="V214" t="s">
        <v>2024</v>
      </c>
      <c r="W214" t="s">
        <v>2025</v>
      </c>
      <c r="X214" t="s">
        <v>1789</v>
      </c>
    </row>
    <row r="215" spans="1:25" customFormat="1">
      <c r="A215" s="185" t="s">
        <v>5576</v>
      </c>
      <c r="B215" s="185" t="s">
        <v>5589</v>
      </c>
      <c r="C215" s="185" t="s">
        <v>1792</v>
      </c>
      <c r="D215" s="185" t="s">
        <v>5590</v>
      </c>
      <c r="E215" s="185">
        <v>24081002</v>
      </c>
      <c r="F215" s="185" t="s">
        <v>1414</v>
      </c>
      <c r="G215" s="185" t="s">
        <v>1515</v>
      </c>
      <c r="I215" s="221">
        <f t="shared" si="86"/>
        <v>27607</v>
      </c>
      <c r="J215" s="221">
        <f t="shared" si="87"/>
        <v>12</v>
      </c>
      <c r="K215" s="234">
        <v>27607</v>
      </c>
      <c r="L215" s="234">
        <v>0</v>
      </c>
      <c r="M215" s="234">
        <v>830062853</v>
      </c>
      <c r="N215" t="s">
        <v>5591</v>
      </c>
      <c r="O215" s="187">
        <v>44921.429479166698</v>
      </c>
      <c r="P215" s="186">
        <v>5918</v>
      </c>
      <c r="Q215" s="185" t="s">
        <v>433</v>
      </c>
      <c r="R215" s="185" t="s">
        <v>1564</v>
      </c>
      <c r="U215" s="190" t="str">
        <f>VLOOKUP(E215,Valida!$A$2:$K$271,4,FALSE)</f>
        <v>Trade and other payables</v>
      </c>
      <c r="V215" t="s">
        <v>2024</v>
      </c>
      <c r="W215" t="s">
        <v>2025</v>
      </c>
      <c r="X215" t="s">
        <v>1789</v>
      </c>
    </row>
    <row r="216" spans="1:25" customFormat="1">
      <c r="A216" s="185" t="s">
        <v>5592</v>
      </c>
      <c r="B216" s="185" t="s">
        <v>5593</v>
      </c>
      <c r="C216" s="185" t="s">
        <v>1952</v>
      </c>
      <c r="D216" s="185" t="s">
        <v>5594</v>
      </c>
      <c r="E216" s="185">
        <v>24081002</v>
      </c>
      <c r="F216" s="185" t="s">
        <v>1954</v>
      </c>
      <c r="G216" s="185" t="s">
        <v>1515</v>
      </c>
      <c r="I216" s="221">
        <f t="shared" ref="I216:I217" si="88">K216-L216</f>
        <v>13148</v>
      </c>
      <c r="J216" s="221">
        <f t="shared" ref="J216:J217" si="89">MONTH(A216)</f>
        <v>12</v>
      </c>
      <c r="K216" s="234">
        <v>13148</v>
      </c>
      <c r="L216" s="234">
        <v>0</v>
      </c>
      <c r="M216" s="234">
        <v>890903938</v>
      </c>
      <c r="O216" s="187">
        <v>44929.731064814798</v>
      </c>
      <c r="P216" s="186">
        <v>5983</v>
      </c>
      <c r="Q216" s="185" t="s">
        <v>1827</v>
      </c>
      <c r="R216" s="185" t="s">
        <v>1580</v>
      </c>
      <c r="U216" s="190" t="str">
        <f>VLOOKUP(E216,Valida!$A$2:$K$271,4,FALSE)</f>
        <v>Trade and other payables</v>
      </c>
      <c r="V216" t="s">
        <v>1955</v>
      </c>
      <c r="X216" t="s">
        <v>1844</v>
      </c>
    </row>
    <row r="217" spans="1:25" customFormat="1">
      <c r="A217" s="185" t="s">
        <v>5592</v>
      </c>
      <c r="B217" s="185" t="s">
        <v>5593</v>
      </c>
      <c r="C217" s="185" t="s">
        <v>1952</v>
      </c>
      <c r="D217" s="185" t="s">
        <v>5594</v>
      </c>
      <c r="E217" s="185">
        <v>24081002</v>
      </c>
      <c r="F217" s="185" t="s">
        <v>1957</v>
      </c>
      <c r="G217" s="185" t="s">
        <v>1515</v>
      </c>
      <c r="I217" s="221">
        <f t="shared" si="88"/>
        <v>11963.86</v>
      </c>
      <c r="J217" s="221">
        <f t="shared" si="89"/>
        <v>12</v>
      </c>
      <c r="K217" s="234">
        <v>11963.86</v>
      </c>
      <c r="L217" s="234">
        <v>0</v>
      </c>
      <c r="M217" s="234">
        <v>890903938</v>
      </c>
      <c r="O217" s="187">
        <v>44929.731064814798</v>
      </c>
      <c r="P217" s="186">
        <v>5987</v>
      </c>
      <c r="Q217" s="185" t="s">
        <v>1827</v>
      </c>
      <c r="R217" s="185" t="s">
        <v>1580</v>
      </c>
      <c r="U217" s="190" t="str">
        <f>VLOOKUP(E217,Valida!$A$2:$K$271,4,FALSE)</f>
        <v>Trade and other payables</v>
      </c>
      <c r="V217" t="s">
        <v>1955</v>
      </c>
      <c r="X217" t="s">
        <v>1844</v>
      </c>
    </row>
    <row r="218" spans="1:25">
      <c r="A218" s="185"/>
      <c r="B218" s="185"/>
      <c r="C218" s="185"/>
      <c r="D218" s="185"/>
      <c r="E218" s="185"/>
      <c r="F218" s="185"/>
      <c r="G218" s="185"/>
      <c r="H218"/>
      <c r="I218" s="184"/>
      <c r="J218" s="184"/>
      <c r="K218" s="188"/>
      <c r="L218" s="188"/>
      <c r="M218" s="189"/>
      <c r="N218"/>
      <c r="O218" s="187"/>
      <c r="P218" s="186"/>
      <c r="Q218"/>
      <c r="R218" s="185"/>
      <c r="S218"/>
      <c r="T218"/>
      <c r="V218" s="185"/>
      <c r="W218" s="185"/>
      <c r="X218" s="185"/>
      <c r="Y218"/>
    </row>
    <row r="219" spans="1:25" ht="15.75" thickBot="1">
      <c r="A219" s="185"/>
      <c r="B219" s="185"/>
      <c r="C219" s="185"/>
      <c r="D219" s="185"/>
      <c r="E219" s="185"/>
      <c r="F219" s="185"/>
      <c r="G219" s="185"/>
      <c r="H219"/>
      <c r="I219" s="192">
        <f>SUBTOTAL(9,I1:I218)</f>
        <v>46253449.890000001</v>
      </c>
      <c r="J219" s="193"/>
      <c r="K219" s="194">
        <f>SUM(K2:K218)</f>
        <v>46274797.039999999</v>
      </c>
      <c r="L219" s="194">
        <f>SUM(L2:L218)</f>
        <v>21347.15</v>
      </c>
      <c r="M219" s="189"/>
      <c r="N219"/>
      <c r="O219" s="187"/>
      <c r="P219" s="186"/>
      <c r="Q219"/>
      <c r="R219" s="185"/>
      <c r="S219"/>
      <c r="T219"/>
      <c r="V219" s="185"/>
      <c r="W219" s="185"/>
      <c r="X219" s="185"/>
      <c r="Y219"/>
    </row>
    <row r="220" spans="1:25" ht="15.75" thickTop="1">
      <c r="A220" s="172"/>
      <c r="B220" s="172"/>
      <c r="C220" s="172"/>
      <c r="D220" s="172"/>
      <c r="E220" s="172"/>
      <c r="F220" s="172"/>
      <c r="G220" s="172"/>
      <c r="I220" s="184"/>
      <c r="J220" s="173"/>
      <c r="K220" s="174"/>
      <c r="L220" s="174"/>
      <c r="M220" s="174"/>
      <c r="N220" s="172"/>
      <c r="O220" s="175"/>
      <c r="P220" s="173"/>
      <c r="R220" s="172"/>
      <c r="X220" s="172"/>
    </row>
    <row r="221" spans="1:25">
      <c r="A221" s="172"/>
      <c r="B221" s="172"/>
      <c r="C221" s="172"/>
      <c r="D221" s="172"/>
      <c r="E221" s="172"/>
      <c r="F221" s="172"/>
      <c r="G221" s="172"/>
      <c r="I221" s="223"/>
      <c r="J221" s="173"/>
      <c r="K221" s="174"/>
      <c r="L221" s="174"/>
      <c r="M221" s="174"/>
      <c r="N221" s="172"/>
      <c r="O221" s="175"/>
      <c r="P221" s="173"/>
      <c r="R221" s="172"/>
      <c r="X221" s="172"/>
    </row>
    <row r="222" spans="1:25">
      <c r="A222" s="172"/>
      <c r="B222" s="172"/>
      <c r="C222" s="172"/>
      <c r="D222" s="172"/>
      <c r="E222" s="172"/>
      <c r="F222" s="172"/>
      <c r="G222" s="172"/>
      <c r="I222" s="184"/>
      <c r="J222" s="173"/>
      <c r="K222" s="174"/>
      <c r="L222" s="174"/>
      <c r="M222" s="174"/>
      <c r="N222" s="172"/>
      <c r="O222" s="175"/>
      <c r="P222" s="173"/>
      <c r="R222" s="172"/>
      <c r="X222" s="172"/>
    </row>
    <row r="223" spans="1:25">
      <c r="A223" s="172"/>
      <c r="B223" s="172"/>
      <c r="C223" s="172"/>
      <c r="D223" s="172"/>
      <c r="E223" s="172"/>
      <c r="F223" s="172"/>
      <c r="G223" s="172"/>
      <c r="I223" s="184"/>
      <c r="J223" s="173"/>
      <c r="K223" s="174"/>
      <c r="L223" s="174"/>
      <c r="M223" s="174"/>
      <c r="N223" s="172"/>
      <c r="O223" s="175"/>
      <c r="P223" s="173"/>
      <c r="R223" s="172"/>
      <c r="X223" s="172"/>
    </row>
    <row r="224" spans="1:25">
      <c r="A224" s="172"/>
      <c r="B224" s="172"/>
      <c r="C224" s="172"/>
      <c r="D224" s="172"/>
      <c r="E224" s="172"/>
      <c r="F224" s="172"/>
      <c r="G224" s="172"/>
      <c r="I224" s="184"/>
      <c r="J224" s="173"/>
      <c r="K224" s="174"/>
      <c r="L224" s="174"/>
      <c r="M224" s="174"/>
      <c r="N224" s="172"/>
      <c r="O224" s="175"/>
      <c r="P224" s="173"/>
      <c r="R224" s="172"/>
      <c r="X224" s="172"/>
    </row>
    <row r="225" spans="1:24">
      <c r="A225" s="172"/>
      <c r="B225" s="172"/>
      <c r="C225" s="172"/>
      <c r="D225" s="172"/>
      <c r="E225" s="172"/>
      <c r="F225" s="172"/>
      <c r="G225" s="172"/>
      <c r="I225" s="184"/>
      <c r="J225" s="173"/>
      <c r="K225" s="174"/>
      <c r="L225" s="174"/>
      <c r="M225" s="174"/>
      <c r="N225" s="172"/>
      <c r="O225" s="175"/>
      <c r="P225" s="173"/>
      <c r="R225" s="172"/>
      <c r="X225" s="172"/>
    </row>
    <row r="226" spans="1:24">
      <c r="A226" s="172"/>
      <c r="B226" s="172"/>
      <c r="C226" s="172"/>
      <c r="D226" s="172"/>
      <c r="E226" s="172"/>
      <c r="F226" s="172"/>
      <c r="G226" s="172"/>
      <c r="I226" s="184"/>
      <c r="J226" s="173"/>
      <c r="K226" s="174"/>
      <c r="L226" s="174"/>
      <c r="M226" s="174"/>
      <c r="N226" s="172"/>
      <c r="O226" s="175"/>
      <c r="P226" s="173"/>
      <c r="R226" s="172"/>
      <c r="X226" s="172"/>
    </row>
    <row r="227" spans="1:24">
      <c r="A227" s="172"/>
      <c r="B227" s="172"/>
      <c r="C227" s="172"/>
      <c r="D227" s="172"/>
      <c r="E227" s="172"/>
      <c r="F227" s="172"/>
      <c r="G227" s="172"/>
      <c r="I227" s="184"/>
      <c r="J227" s="173"/>
      <c r="K227" s="174"/>
      <c r="L227" s="174"/>
      <c r="M227" s="174"/>
      <c r="N227" s="172"/>
      <c r="O227" s="175"/>
      <c r="P227" s="173"/>
      <c r="R227" s="172"/>
      <c r="X227" s="172"/>
    </row>
    <row r="228" spans="1:24">
      <c r="A228" s="172"/>
      <c r="B228" s="172"/>
      <c r="C228" s="172"/>
      <c r="D228" s="172"/>
      <c r="E228" s="172"/>
      <c r="F228" s="172"/>
      <c r="G228" s="172"/>
      <c r="J228" s="173"/>
      <c r="K228" s="174"/>
      <c r="L228" s="174"/>
      <c r="M228" s="174"/>
      <c r="N228" s="172"/>
      <c r="O228" s="175"/>
      <c r="P228" s="173"/>
      <c r="R228" s="172"/>
      <c r="X228" s="172"/>
    </row>
    <row r="229" spans="1:24">
      <c r="A229" s="172"/>
      <c r="B229" s="172"/>
      <c r="C229" s="172"/>
      <c r="D229" s="172"/>
      <c r="E229" s="172"/>
      <c r="F229" s="172"/>
      <c r="G229" s="172"/>
      <c r="J229" s="173"/>
      <c r="K229" s="174"/>
      <c r="L229" s="174"/>
      <c r="M229" s="174"/>
      <c r="N229" s="172"/>
      <c r="O229" s="175"/>
      <c r="P229" s="173"/>
      <c r="R229" s="172"/>
      <c r="X229" s="172"/>
    </row>
    <row r="230" spans="1:24">
      <c r="K230" s="174"/>
      <c r="L230" s="174"/>
    </row>
    <row r="231" spans="1:24">
      <c r="K231" s="174"/>
      <c r="L231" s="174"/>
    </row>
    <row r="232" spans="1:24">
      <c r="K232" s="174"/>
      <c r="L232" s="174"/>
    </row>
    <row r="233" spans="1:24">
      <c r="K233" s="174"/>
      <c r="L233" s="174"/>
    </row>
  </sheetData>
  <autoFilter ref="A1:Y218" xr:uid="{95FD9AF5-623B-414F-8D92-B15BA2291631}"/>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4C480-A6F4-42E2-86FA-EBA348E3D368}">
  <dimension ref="A1:G30"/>
  <sheetViews>
    <sheetView showGridLines="0" workbookViewId="0">
      <selection activeCell="F5" sqref="F5"/>
    </sheetView>
  </sheetViews>
  <sheetFormatPr baseColWidth="10" defaultColWidth="11.42578125" defaultRowHeight="15"/>
  <cols>
    <col min="2" max="2" width="82.7109375" customWidth="1"/>
    <col min="3" max="4" width="10.7109375" customWidth="1"/>
    <col min="5" max="5" width="12.7109375" bestFit="1" customWidth="1"/>
    <col min="6" max="6" width="15.140625" bestFit="1" customWidth="1"/>
    <col min="7" max="7" width="12.7109375" bestFit="1" customWidth="1"/>
  </cols>
  <sheetData>
    <row r="1" spans="1:7" ht="30">
      <c r="A1" s="124"/>
      <c r="B1" s="243"/>
      <c r="C1" s="246" t="s">
        <v>5595</v>
      </c>
      <c r="D1" s="246" t="s">
        <v>5596</v>
      </c>
      <c r="E1" s="246" t="s">
        <v>5597</v>
      </c>
      <c r="F1" s="244" t="s">
        <v>5598</v>
      </c>
      <c r="G1" s="245" t="s">
        <v>5599</v>
      </c>
    </row>
    <row r="2" spans="1:7" ht="106.5">
      <c r="A2" s="366" t="s">
        <v>5600</v>
      </c>
      <c r="B2" s="367" t="s">
        <v>5601</v>
      </c>
      <c r="C2" s="368">
        <v>38004</v>
      </c>
      <c r="D2" s="368">
        <v>92000</v>
      </c>
      <c r="E2" s="369">
        <f>C2*D2</f>
        <v>3496368000</v>
      </c>
      <c r="F2" s="370">
        <f>SUMIF(Bce!A:A,4,Bce!J:J)+400000000</f>
        <v>1168361532.98</v>
      </c>
      <c r="G2" s="371" t="str">
        <f>IF(F2&lt;E2,"Cuatrimestral","Bimestral")</f>
        <v>Cuatrimestral</v>
      </c>
    </row>
    <row r="3" spans="1:7">
      <c r="F3" s="3"/>
      <c r="G3" s="3"/>
    </row>
    <row r="4" spans="1:7">
      <c r="F4" s="3"/>
      <c r="G4" s="3"/>
    </row>
    <row r="5" spans="1:7" ht="30">
      <c r="C5" s="246" t="s">
        <v>5595</v>
      </c>
      <c r="D5" s="246" t="s">
        <v>5596</v>
      </c>
      <c r="E5" s="246" t="s">
        <v>5597</v>
      </c>
      <c r="F5" s="244" t="s">
        <v>5602</v>
      </c>
      <c r="G5" s="245" t="s">
        <v>5603</v>
      </c>
    </row>
    <row r="6" spans="1:7" ht="45">
      <c r="A6" s="366" t="s">
        <v>4373</v>
      </c>
      <c r="B6" s="372" t="str">
        <f>"Por regla general, los contribuyentes del régimen común declaran y pagan bimestralmente, pero deben hacerlo de forma anual si durante el año anterior han declarado o pagado un ICA que no exceda a $14.859.564 (391 UVT)"</f>
        <v>Por regla general, los contribuyentes del régimen común declaran y pagan bimestralmente, pero deben hacerlo de forma anual si durante el año anterior han declarado o pagado un ICA que no exceda a $14.859.564 (391 UVT)</v>
      </c>
      <c r="C6" s="368">
        <f>C2</f>
        <v>38004</v>
      </c>
      <c r="D6" s="368">
        <v>391</v>
      </c>
      <c r="E6" s="369">
        <f>C6*D6</f>
        <v>14859564</v>
      </c>
      <c r="F6" s="369">
        <f>F2*0.966%</f>
        <v>11286372.4085868</v>
      </c>
      <c r="G6" s="371" t="str">
        <f>IF(F6&lt;E6,"Anual","Bimestral")</f>
        <v>Anual</v>
      </c>
    </row>
    <row r="7" spans="1:7">
      <c r="F7" s="3"/>
      <c r="G7" s="3"/>
    </row>
    <row r="8" spans="1:7">
      <c r="F8" s="3"/>
      <c r="G8" s="3"/>
    </row>
    <row r="9" spans="1:7">
      <c r="F9" s="3"/>
      <c r="G9" s="3"/>
    </row>
    <row r="10" spans="1:7">
      <c r="F10" s="3"/>
      <c r="G10" s="3"/>
    </row>
    <row r="11" spans="1:7">
      <c r="F11" s="3"/>
      <c r="G11" s="3"/>
    </row>
    <row r="12" spans="1:7">
      <c r="E12" s="242"/>
      <c r="F12" s="3"/>
      <c r="G12" s="3"/>
    </row>
    <row r="13" spans="1:7">
      <c r="F13" s="3"/>
      <c r="G13" s="3"/>
    </row>
    <row r="14" spans="1:7">
      <c r="E14" s="3"/>
      <c r="F14" s="3"/>
      <c r="G14" s="3"/>
    </row>
    <row r="15" spans="1:7">
      <c r="E15" s="3"/>
      <c r="F15" s="3"/>
      <c r="G15" s="3"/>
    </row>
    <row r="16" spans="1:7">
      <c r="E16" s="3"/>
      <c r="F16" s="3"/>
      <c r="G16" s="3"/>
    </row>
    <row r="17" spans="5:7">
      <c r="E17" s="3"/>
      <c r="F17" s="3"/>
      <c r="G17" s="3"/>
    </row>
    <row r="18" spans="5:7">
      <c r="E18" s="3"/>
      <c r="F18" s="3"/>
      <c r="G18" s="3"/>
    </row>
    <row r="19" spans="5:7">
      <c r="E19" s="3"/>
      <c r="F19" s="3"/>
      <c r="G19" s="3"/>
    </row>
    <row r="20" spans="5:7">
      <c r="E20" s="3"/>
      <c r="F20" s="3"/>
      <c r="G20" s="3"/>
    </row>
    <row r="21" spans="5:7">
      <c r="E21" s="3"/>
      <c r="F21" s="3"/>
      <c r="G21" s="3"/>
    </row>
    <row r="22" spans="5:7">
      <c r="E22" s="3"/>
      <c r="F22" s="3"/>
      <c r="G22" s="3"/>
    </row>
    <row r="23" spans="5:7">
      <c r="E23" s="3"/>
      <c r="F23" s="3"/>
      <c r="G23" s="3"/>
    </row>
    <row r="24" spans="5:7">
      <c r="E24" s="3"/>
      <c r="F24" s="3"/>
      <c r="G24" s="3"/>
    </row>
    <row r="25" spans="5:7">
      <c r="E25" s="3"/>
      <c r="F25" s="3"/>
      <c r="G25" s="3"/>
    </row>
    <row r="26" spans="5:7">
      <c r="E26" s="3"/>
      <c r="F26" s="3"/>
      <c r="G26" s="3"/>
    </row>
    <row r="27" spans="5:7">
      <c r="E27" s="3"/>
      <c r="F27" s="3"/>
      <c r="G27" s="3"/>
    </row>
    <row r="28" spans="5:7">
      <c r="E28" s="3"/>
      <c r="F28" s="3"/>
      <c r="G28" s="3"/>
    </row>
    <row r="29" spans="5:7">
      <c r="E29" s="3"/>
      <c r="F29" s="3"/>
      <c r="G29" s="3"/>
    </row>
    <row r="30" spans="5:7">
      <c r="E30" s="3"/>
      <c r="F30" s="3"/>
      <c r="G3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E107-01BF-4365-839B-F643D3C59904}">
  <dimension ref="A1:J752"/>
  <sheetViews>
    <sheetView showGridLines="0" workbookViewId="0">
      <selection activeCell="B2" sqref="B2"/>
    </sheetView>
  </sheetViews>
  <sheetFormatPr baseColWidth="10" defaultColWidth="11.42578125" defaultRowHeight="12.75"/>
  <cols>
    <col min="1" max="1" width="18.42578125" style="182" customWidth="1"/>
    <col min="2" max="3" width="8.7109375" style="182" customWidth="1"/>
    <col min="4" max="4" width="40.7109375" style="182" customWidth="1"/>
    <col min="5" max="5" width="7.140625" style="182" customWidth="1"/>
    <col min="6" max="6" width="14.28515625" style="182" customWidth="1"/>
    <col min="7" max="10" width="18.5703125" style="182" customWidth="1"/>
    <col min="11" max="256" width="11.5703125" style="292"/>
    <col min="257" max="257" width="14.28515625" style="292" customWidth="1"/>
    <col min="258" max="258" width="14" style="292" customWidth="1"/>
    <col min="259" max="259" width="7.28515625" style="292" customWidth="1"/>
    <col min="260" max="260" width="50.7109375" style="292" customWidth="1"/>
    <col min="261" max="261" width="7.140625" style="292" customWidth="1"/>
    <col min="262" max="262" width="5.42578125" style="292" customWidth="1"/>
    <col min="263" max="263" width="18.5703125" style="292" customWidth="1"/>
    <col min="264" max="264" width="18" style="292" customWidth="1"/>
    <col min="265" max="266" width="18.5703125" style="292" customWidth="1"/>
    <col min="267" max="512" width="11.5703125" style="292"/>
    <col min="513" max="513" width="14.28515625" style="292" customWidth="1"/>
    <col min="514" max="514" width="14" style="292" customWidth="1"/>
    <col min="515" max="515" width="7.28515625" style="292" customWidth="1"/>
    <col min="516" max="516" width="50.7109375" style="292" customWidth="1"/>
    <col min="517" max="517" width="7.140625" style="292" customWidth="1"/>
    <col min="518" max="518" width="5.42578125" style="292" customWidth="1"/>
    <col min="519" max="519" width="18.5703125" style="292" customWidth="1"/>
    <col min="520" max="520" width="18" style="292" customWidth="1"/>
    <col min="521" max="522" width="18.5703125" style="292" customWidth="1"/>
    <col min="523" max="768" width="11.5703125" style="292"/>
    <col min="769" max="769" width="14.28515625" style="292" customWidth="1"/>
    <col min="770" max="770" width="14" style="292" customWidth="1"/>
    <col min="771" max="771" width="7.28515625" style="292" customWidth="1"/>
    <col min="772" max="772" width="50.7109375" style="292" customWidth="1"/>
    <col min="773" max="773" width="7.140625" style="292" customWidth="1"/>
    <col min="774" max="774" width="5.42578125" style="292" customWidth="1"/>
    <col min="775" max="775" width="18.5703125" style="292" customWidth="1"/>
    <col min="776" max="776" width="18" style="292" customWidth="1"/>
    <col min="777" max="778" width="18.5703125" style="292" customWidth="1"/>
    <col min="779" max="1024" width="11.5703125" style="292"/>
    <col min="1025" max="1025" width="14.28515625" style="292" customWidth="1"/>
    <col min="1026" max="1026" width="14" style="292" customWidth="1"/>
    <col min="1027" max="1027" width="7.28515625" style="292" customWidth="1"/>
    <col min="1028" max="1028" width="50.7109375" style="292" customWidth="1"/>
    <col min="1029" max="1029" width="7.140625" style="292" customWidth="1"/>
    <col min="1030" max="1030" width="5.42578125" style="292" customWidth="1"/>
    <col min="1031" max="1031" width="18.5703125" style="292" customWidth="1"/>
    <col min="1032" max="1032" width="18" style="292" customWidth="1"/>
    <col min="1033" max="1034" width="18.5703125" style="292" customWidth="1"/>
    <col min="1035" max="1280" width="11.5703125" style="292"/>
    <col min="1281" max="1281" width="14.28515625" style="292" customWidth="1"/>
    <col min="1282" max="1282" width="14" style="292" customWidth="1"/>
    <col min="1283" max="1283" width="7.28515625" style="292" customWidth="1"/>
    <col min="1284" max="1284" width="50.7109375" style="292" customWidth="1"/>
    <col min="1285" max="1285" width="7.140625" style="292" customWidth="1"/>
    <col min="1286" max="1286" width="5.42578125" style="292" customWidth="1"/>
    <col min="1287" max="1287" width="18.5703125" style="292" customWidth="1"/>
    <col min="1288" max="1288" width="18" style="292" customWidth="1"/>
    <col min="1289" max="1290" width="18.5703125" style="292" customWidth="1"/>
    <col min="1291" max="1536" width="11.5703125" style="292"/>
    <col min="1537" max="1537" width="14.28515625" style="292" customWidth="1"/>
    <col min="1538" max="1538" width="14" style="292" customWidth="1"/>
    <col min="1539" max="1539" width="7.28515625" style="292" customWidth="1"/>
    <col min="1540" max="1540" width="50.7109375" style="292" customWidth="1"/>
    <col min="1541" max="1541" width="7.140625" style="292" customWidth="1"/>
    <col min="1542" max="1542" width="5.42578125" style="292" customWidth="1"/>
    <col min="1543" max="1543" width="18.5703125" style="292" customWidth="1"/>
    <col min="1544" max="1544" width="18" style="292" customWidth="1"/>
    <col min="1545" max="1546" width="18.5703125" style="292" customWidth="1"/>
    <col min="1547" max="1792" width="11.5703125" style="292"/>
    <col min="1793" max="1793" width="14.28515625" style="292" customWidth="1"/>
    <col min="1794" max="1794" width="14" style="292" customWidth="1"/>
    <col min="1795" max="1795" width="7.28515625" style="292" customWidth="1"/>
    <col min="1796" max="1796" width="50.7109375" style="292" customWidth="1"/>
    <col min="1797" max="1797" width="7.140625" style="292" customWidth="1"/>
    <col min="1798" max="1798" width="5.42578125" style="292" customWidth="1"/>
    <col min="1799" max="1799" width="18.5703125" style="292" customWidth="1"/>
    <col min="1800" max="1800" width="18" style="292" customWidth="1"/>
    <col min="1801" max="1802" width="18.5703125" style="292" customWidth="1"/>
    <col min="1803" max="2048" width="11.5703125" style="292"/>
    <col min="2049" max="2049" width="14.28515625" style="292" customWidth="1"/>
    <col min="2050" max="2050" width="14" style="292" customWidth="1"/>
    <col min="2051" max="2051" width="7.28515625" style="292" customWidth="1"/>
    <col min="2052" max="2052" width="50.7109375" style="292" customWidth="1"/>
    <col min="2053" max="2053" width="7.140625" style="292" customWidth="1"/>
    <col min="2054" max="2054" width="5.42578125" style="292" customWidth="1"/>
    <col min="2055" max="2055" width="18.5703125" style="292" customWidth="1"/>
    <col min="2056" max="2056" width="18" style="292" customWidth="1"/>
    <col min="2057" max="2058" width="18.5703125" style="292" customWidth="1"/>
    <col min="2059" max="2304" width="11.5703125" style="292"/>
    <col min="2305" max="2305" width="14.28515625" style="292" customWidth="1"/>
    <col min="2306" max="2306" width="14" style="292" customWidth="1"/>
    <col min="2307" max="2307" width="7.28515625" style="292" customWidth="1"/>
    <col min="2308" max="2308" width="50.7109375" style="292" customWidth="1"/>
    <col min="2309" max="2309" width="7.140625" style="292" customWidth="1"/>
    <col min="2310" max="2310" width="5.42578125" style="292" customWidth="1"/>
    <col min="2311" max="2311" width="18.5703125" style="292" customWidth="1"/>
    <col min="2312" max="2312" width="18" style="292" customWidth="1"/>
    <col min="2313" max="2314" width="18.5703125" style="292" customWidth="1"/>
    <col min="2315" max="2560" width="11.5703125" style="292"/>
    <col min="2561" max="2561" width="14.28515625" style="292" customWidth="1"/>
    <col min="2562" max="2562" width="14" style="292" customWidth="1"/>
    <col min="2563" max="2563" width="7.28515625" style="292" customWidth="1"/>
    <col min="2564" max="2564" width="50.7109375" style="292" customWidth="1"/>
    <col min="2565" max="2565" width="7.140625" style="292" customWidth="1"/>
    <col min="2566" max="2566" width="5.42578125" style="292" customWidth="1"/>
    <col min="2567" max="2567" width="18.5703125" style="292" customWidth="1"/>
    <col min="2568" max="2568" width="18" style="292" customWidth="1"/>
    <col min="2569" max="2570" width="18.5703125" style="292" customWidth="1"/>
    <col min="2571" max="2816" width="11.5703125" style="292"/>
    <col min="2817" max="2817" width="14.28515625" style="292" customWidth="1"/>
    <col min="2818" max="2818" width="14" style="292" customWidth="1"/>
    <col min="2819" max="2819" width="7.28515625" style="292" customWidth="1"/>
    <col min="2820" max="2820" width="50.7109375" style="292" customWidth="1"/>
    <col min="2821" max="2821" width="7.140625" style="292" customWidth="1"/>
    <col min="2822" max="2822" width="5.42578125" style="292" customWidth="1"/>
    <col min="2823" max="2823" width="18.5703125" style="292" customWidth="1"/>
    <col min="2824" max="2824" width="18" style="292" customWidth="1"/>
    <col min="2825" max="2826" width="18.5703125" style="292" customWidth="1"/>
    <col min="2827" max="3072" width="11.5703125" style="292"/>
    <col min="3073" max="3073" width="14.28515625" style="292" customWidth="1"/>
    <col min="3074" max="3074" width="14" style="292" customWidth="1"/>
    <col min="3075" max="3075" width="7.28515625" style="292" customWidth="1"/>
    <col min="3076" max="3076" width="50.7109375" style="292" customWidth="1"/>
    <col min="3077" max="3077" width="7.140625" style="292" customWidth="1"/>
    <col min="3078" max="3078" width="5.42578125" style="292" customWidth="1"/>
    <col min="3079" max="3079" width="18.5703125" style="292" customWidth="1"/>
    <col min="3080" max="3080" width="18" style="292" customWidth="1"/>
    <col min="3081" max="3082" width="18.5703125" style="292" customWidth="1"/>
    <col min="3083" max="3328" width="11.5703125" style="292"/>
    <col min="3329" max="3329" width="14.28515625" style="292" customWidth="1"/>
    <col min="3330" max="3330" width="14" style="292" customWidth="1"/>
    <col min="3331" max="3331" width="7.28515625" style="292" customWidth="1"/>
    <col min="3332" max="3332" width="50.7109375" style="292" customWidth="1"/>
    <col min="3333" max="3333" width="7.140625" style="292" customWidth="1"/>
    <col min="3334" max="3334" width="5.42578125" style="292" customWidth="1"/>
    <col min="3335" max="3335" width="18.5703125" style="292" customWidth="1"/>
    <col min="3336" max="3336" width="18" style="292" customWidth="1"/>
    <col min="3337" max="3338" width="18.5703125" style="292" customWidth="1"/>
    <col min="3339" max="3584" width="11.5703125" style="292"/>
    <col min="3585" max="3585" width="14.28515625" style="292" customWidth="1"/>
    <col min="3586" max="3586" width="14" style="292" customWidth="1"/>
    <col min="3587" max="3587" width="7.28515625" style="292" customWidth="1"/>
    <col min="3588" max="3588" width="50.7109375" style="292" customWidth="1"/>
    <col min="3589" max="3589" width="7.140625" style="292" customWidth="1"/>
    <col min="3590" max="3590" width="5.42578125" style="292" customWidth="1"/>
    <col min="3591" max="3591" width="18.5703125" style="292" customWidth="1"/>
    <col min="3592" max="3592" width="18" style="292" customWidth="1"/>
    <col min="3593" max="3594" width="18.5703125" style="292" customWidth="1"/>
    <col min="3595" max="3840" width="11.5703125" style="292"/>
    <col min="3841" max="3841" width="14.28515625" style="292" customWidth="1"/>
    <col min="3842" max="3842" width="14" style="292" customWidth="1"/>
    <col min="3843" max="3843" width="7.28515625" style="292" customWidth="1"/>
    <col min="3844" max="3844" width="50.7109375" style="292" customWidth="1"/>
    <col min="3845" max="3845" width="7.140625" style="292" customWidth="1"/>
    <col min="3846" max="3846" width="5.42578125" style="292" customWidth="1"/>
    <col min="3847" max="3847" width="18.5703125" style="292" customWidth="1"/>
    <col min="3848" max="3848" width="18" style="292" customWidth="1"/>
    <col min="3849" max="3850" width="18.5703125" style="292" customWidth="1"/>
    <col min="3851" max="4096" width="11.5703125" style="292"/>
    <col min="4097" max="4097" width="14.28515625" style="292" customWidth="1"/>
    <col min="4098" max="4098" width="14" style="292" customWidth="1"/>
    <col min="4099" max="4099" width="7.28515625" style="292" customWidth="1"/>
    <col min="4100" max="4100" width="50.7109375" style="292" customWidth="1"/>
    <col min="4101" max="4101" width="7.140625" style="292" customWidth="1"/>
    <col min="4102" max="4102" width="5.42578125" style="292" customWidth="1"/>
    <col min="4103" max="4103" width="18.5703125" style="292" customWidth="1"/>
    <col min="4104" max="4104" width="18" style="292" customWidth="1"/>
    <col min="4105" max="4106" width="18.5703125" style="292" customWidth="1"/>
    <col min="4107" max="4352" width="11.5703125" style="292"/>
    <col min="4353" max="4353" width="14.28515625" style="292" customWidth="1"/>
    <col min="4354" max="4354" width="14" style="292" customWidth="1"/>
    <col min="4355" max="4355" width="7.28515625" style="292" customWidth="1"/>
    <col min="4356" max="4356" width="50.7109375" style="292" customWidth="1"/>
    <col min="4357" max="4357" width="7.140625" style="292" customWidth="1"/>
    <col min="4358" max="4358" width="5.42578125" style="292" customWidth="1"/>
    <col min="4359" max="4359" width="18.5703125" style="292" customWidth="1"/>
    <col min="4360" max="4360" width="18" style="292" customWidth="1"/>
    <col min="4361" max="4362" width="18.5703125" style="292" customWidth="1"/>
    <col min="4363" max="4608" width="11.5703125" style="292"/>
    <col min="4609" max="4609" width="14.28515625" style="292" customWidth="1"/>
    <col min="4610" max="4610" width="14" style="292" customWidth="1"/>
    <col min="4611" max="4611" width="7.28515625" style="292" customWidth="1"/>
    <col min="4612" max="4612" width="50.7109375" style="292" customWidth="1"/>
    <col min="4613" max="4613" width="7.140625" style="292" customWidth="1"/>
    <col min="4614" max="4614" width="5.42578125" style="292" customWidth="1"/>
    <col min="4615" max="4615" width="18.5703125" style="292" customWidth="1"/>
    <col min="4616" max="4616" width="18" style="292" customWidth="1"/>
    <col min="4617" max="4618" width="18.5703125" style="292" customWidth="1"/>
    <col min="4619" max="4864" width="11.5703125" style="292"/>
    <col min="4865" max="4865" width="14.28515625" style="292" customWidth="1"/>
    <col min="4866" max="4866" width="14" style="292" customWidth="1"/>
    <col min="4867" max="4867" width="7.28515625" style="292" customWidth="1"/>
    <col min="4868" max="4868" width="50.7109375" style="292" customWidth="1"/>
    <col min="4869" max="4869" width="7.140625" style="292" customWidth="1"/>
    <col min="4870" max="4870" width="5.42578125" style="292" customWidth="1"/>
    <col min="4871" max="4871" width="18.5703125" style="292" customWidth="1"/>
    <col min="4872" max="4872" width="18" style="292" customWidth="1"/>
    <col min="4873" max="4874" width="18.5703125" style="292" customWidth="1"/>
    <col min="4875" max="5120" width="11.5703125" style="292"/>
    <col min="5121" max="5121" width="14.28515625" style="292" customWidth="1"/>
    <col min="5122" max="5122" width="14" style="292" customWidth="1"/>
    <col min="5123" max="5123" width="7.28515625" style="292" customWidth="1"/>
    <col min="5124" max="5124" width="50.7109375" style="292" customWidth="1"/>
    <col min="5125" max="5125" width="7.140625" style="292" customWidth="1"/>
    <col min="5126" max="5126" width="5.42578125" style="292" customWidth="1"/>
    <col min="5127" max="5127" width="18.5703125" style="292" customWidth="1"/>
    <col min="5128" max="5128" width="18" style="292" customWidth="1"/>
    <col min="5129" max="5130" width="18.5703125" style="292" customWidth="1"/>
    <col min="5131" max="5376" width="11.5703125" style="292"/>
    <col min="5377" max="5377" width="14.28515625" style="292" customWidth="1"/>
    <col min="5378" max="5378" width="14" style="292" customWidth="1"/>
    <col min="5379" max="5379" width="7.28515625" style="292" customWidth="1"/>
    <col min="5380" max="5380" width="50.7109375" style="292" customWidth="1"/>
    <col min="5381" max="5381" width="7.140625" style="292" customWidth="1"/>
    <col min="5382" max="5382" width="5.42578125" style="292" customWidth="1"/>
    <col min="5383" max="5383" width="18.5703125" style="292" customWidth="1"/>
    <col min="5384" max="5384" width="18" style="292" customWidth="1"/>
    <col min="5385" max="5386" width="18.5703125" style="292" customWidth="1"/>
    <col min="5387" max="5632" width="11.5703125" style="292"/>
    <col min="5633" max="5633" width="14.28515625" style="292" customWidth="1"/>
    <col min="5634" max="5634" width="14" style="292" customWidth="1"/>
    <col min="5635" max="5635" width="7.28515625" style="292" customWidth="1"/>
    <col min="5636" max="5636" width="50.7109375" style="292" customWidth="1"/>
    <col min="5637" max="5637" width="7.140625" style="292" customWidth="1"/>
    <col min="5638" max="5638" width="5.42578125" style="292" customWidth="1"/>
    <col min="5639" max="5639" width="18.5703125" style="292" customWidth="1"/>
    <col min="5640" max="5640" width="18" style="292" customWidth="1"/>
    <col min="5641" max="5642" width="18.5703125" style="292" customWidth="1"/>
    <col min="5643" max="5888" width="11.5703125" style="292"/>
    <col min="5889" max="5889" width="14.28515625" style="292" customWidth="1"/>
    <col min="5890" max="5890" width="14" style="292" customWidth="1"/>
    <col min="5891" max="5891" width="7.28515625" style="292" customWidth="1"/>
    <col min="5892" max="5892" width="50.7109375" style="292" customWidth="1"/>
    <col min="5893" max="5893" width="7.140625" style="292" customWidth="1"/>
    <col min="5894" max="5894" width="5.42578125" style="292" customWidth="1"/>
    <col min="5895" max="5895" width="18.5703125" style="292" customWidth="1"/>
    <col min="5896" max="5896" width="18" style="292" customWidth="1"/>
    <col min="5897" max="5898" width="18.5703125" style="292" customWidth="1"/>
    <col min="5899" max="6144" width="11.5703125" style="292"/>
    <col min="6145" max="6145" width="14.28515625" style="292" customWidth="1"/>
    <col min="6146" max="6146" width="14" style="292" customWidth="1"/>
    <col min="6147" max="6147" width="7.28515625" style="292" customWidth="1"/>
    <col min="6148" max="6148" width="50.7109375" style="292" customWidth="1"/>
    <col min="6149" max="6149" width="7.140625" style="292" customWidth="1"/>
    <col min="6150" max="6150" width="5.42578125" style="292" customWidth="1"/>
    <col min="6151" max="6151" width="18.5703125" style="292" customWidth="1"/>
    <col min="6152" max="6152" width="18" style="292" customWidth="1"/>
    <col min="6153" max="6154" width="18.5703125" style="292" customWidth="1"/>
    <col min="6155" max="6400" width="11.5703125" style="292"/>
    <col min="6401" max="6401" width="14.28515625" style="292" customWidth="1"/>
    <col min="6402" max="6402" width="14" style="292" customWidth="1"/>
    <col min="6403" max="6403" width="7.28515625" style="292" customWidth="1"/>
    <col min="6404" max="6404" width="50.7109375" style="292" customWidth="1"/>
    <col min="6405" max="6405" width="7.140625" style="292" customWidth="1"/>
    <col min="6406" max="6406" width="5.42578125" style="292" customWidth="1"/>
    <col min="6407" max="6407" width="18.5703125" style="292" customWidth="1"/>
    <col min="6408" max="6408" width="18" style="292" customWidth="1"/>
    <col min="6409" max="6410" width="18.5703125" style="292" customWidth="1"/>
    <col min="6411" max="6656" width="11.5703125" style="292"/>
    <col min="6657" max="6657" width="14.28515625" style="292" customWidth="1"/>
    <col min="6658" max="6658" width="14" style="292" customWidth="1"/>
    <col min="6659" max="6659" width="7.28515625" style="292" customWidth="1"/>
    <col min="6660" max="6660" width="50.7109375" style="292" customWidth="1"/>
    <col min="6661" max="6661" width="7.140625" style="292" customWidth="1"/>
    <col min="6662" max="6662" width="5.42578125" style="292" customWidth="1"/>
    <col min="6663" max="6663" width="18.5703125" style="292" customWidth="1"/>
    <col min="6664" max="6664" width="18" style="292" customWidth="1"/>
    <col min="6665" max="6666" width="18.5703125" style="292" customWidth="1"/>
    <col min="6667" max="6912" width="11.5703125" style="292"/>
    <col min="6913" max="6913" width="14.28515625" style="292" customWidth="1"/>
    <col min="6914" max="6914" width="14" style="292" customWidth="1"/>
    <col min="6915" max="6915" width="7.28515625" style="292" customWidth="1"/>
    <col min="6916" max="6916" width="50.7109375" style="292" customWidth="1"/>
    <col min="6917" max="6917" width="7.140625" style="292" customWidth="1"/>
    <col min="6918" max="6918" width="5.42578125" style="292" customWidth="1"/>
    <col min="6919" max="6919" width="18.5703125" style="292" customWidth="1"/>
    <col min="6920" max="6920" width="18" style="292" customWidth="1"/>
    <col min="6921" max="6922" width="18.5703125" style="292" customWidth="1"/>
    <col min="6923" max="7168" width="11.5703125" style="292"/>
    <col min="7169" max="7169" width="14.28515625" style="292" customWidth="1"/>
    <col min="7170" max="7170" width="14" style="292" customWidth="1"/>
    <col min="7171" max="7171" width="7.28515625" style="292" customWidth="1"/>
    <col min="7172" max="7172" width="50.7109375" style="292" customWidth="1"/>
    <col min="7173" max="7173" width="7.140625" style="292" customWidth="1"/>
    <col min="7174" max="7174" width="5.42578125" style="292" customWidth="1"/>
    <col min="7175" max="7175" width="18.5703125" style="292" customWidth="1"/>
    <col min="7176" max="7176" width="18" style="292" customWidth="1"/>
    <col min="7177" max="7178" width="18.5703125" style="292" customWidth="1"/>
    <col min="7179" max="7424" width="11.5703125" style="292"/>
    <col min="7425" max="7425" width="14.28515625" style="292" customWidth="1"/>
    <col min="7426" max="7426" width="14" style="292" customWidth="1"/>
    <col min="7427" max="7427" width="7.28515625" style="292" customWidth="1"/>
    <col min="7428" max="7428" width="50.7109375" style="292" customWidth="1"/>
    <col min="7429" max="7429" width="7.140625" style="292" customWidth="1"/>
    <col min="7430" max="7430" width="5.42578125" style="292" customWidth="1"/>
    <col min="7431" max="7431" width="18.5703125" style="292" customWidth="1"/>
    <col min="7432" max="7432" width="18" style="292" customWidth="1"/>
    <col min="7433" max="7434" width="18.5703125" style="292" customWidth="1"/>
    <col min="7435" max="7680" width="11.5703125" style="292"/>
    <col min="7681" max="7681" width="14.28515625" style="292" customWidth="1"/>
    <col min="7682" max="7682" width="14" style="292" customWidth="1"/>
    <col min="7683" max="7683" width="7.28515625" style="292" customWidth="1"/>
    <col min="7684" max="7684" width="50.7109375" style="292" customWidth="1"/>
    <col min="7685" max="7685" width="7.140625" style="292" customWidth="1"/>
    <col min="7686" max="7686" width="5.42578125" style="292" customWidth="1"/>
    <col min="7687" max="7687" width="18.5703125" style="292" customWidth="1"/>
    <col min="7688" max="7688" width="18" style="292" customWidth="1"/>
    <col min="7689" max="7690" width="18.5703125" style="292" customWidth="1"/>
    <col min="7691" max="7936" width="11.5703125" style="292"/>
    <col min="7937" max="7937" width="14.28515625" style="292" customWidth="1"/>
    <col min="7938" max="7938" width="14" style="292" customWidth="1"/>
    <col min="7939" max="7939" width="7.28515625" style="292" customWidth="1"/>
    <col min="7940" max="7940" width="50.7109375" style="292" customWidth="1"/>
    <col min="7941" max="7941" width="7.140625" style="292" customWidth="1"/>
    <col min="7942" max="7942" width="5.42578125" style="292" customWidth="1"/>
    <col min="7943" max="7943" width="18.5703125" style="292" customWidth="1"/>
    <col min="7944" max="7944" width="18" style="292" customWidth="1"/>
    <col min="7945" max="7946" width="18.5703125" style="292" customWidth="1"/>
    <col min="7947" max="8192" width="11.5703125" style="292"/>
    <col min="8193" max="8193" width="14.28515625" style="292" customWidth="1"/>
    <col min="8194" max="8194" width="14" style="292" customWidth="1"/>
    <col min="8195" max="8195" width="7.28515625" style="292" customWidth="1"/>
    <col min="8196" max="8196" width="50.7109375" style="292" customWidth="1"/>
    <col min="8197" max="8197" width="7.140625" style="292" customWidth="1"/>
    <col min="8198" max="8198" width="5.42578125" style="292" customWidth="1"/>
    <col min="8199" max="8199" width="18.5703125" style="292" customWidth="1"/>
    <col min="8200" max="8200" width="18" style="292" customWidth="1"/>
    <col min="8201" max="8202" width="18.5703125" style="292" customWidth="1"/>
    <col min="8203" max="8448" width="11.5703125" style="292"/>
    <col min="8449" max="8449" width="14.28515625" style="292" customWidth="1"/>
    <col min="8450" max="8450" width="14" style="292" customWidth="1"/>
    <col min="8451" max="8451" width="7.28515625" style="292" customWidth="1"/>
    <col min="8452" max="8452" width="50.7109375" style="292" customWidth="1"/>
    <col min="8453" max="8453" width="7.140625" style="292" customWidth="1"/>
    <col min="8454" max="8454" width="5.42578125" style="292" customWidth="1"/>
    <col min="8455" max="8455" width="18.5703125" style="292" customWidth="1"/>
    <col min="8456" max="8456" width="18" style="292" customWidth="1"/>
    <col min="8457" max="8458" width="18.5703125" style="292" customWidth="1"/>
    <col min="8459" max="8704" width="11.5703125" style="292"/>
    <col min="8705" max="8705" width="14.28515625" style="292" customWidth="1"/>
    <col min="8706" max="8706" width="14" style="292" customWidth="1"/>
    <col min="8707" max="8707" width="7.28515625" style="292" customWidth="1"/>
    <col min="8708" max="8708" width="50.7109375" style="292" customWidth="1"/>
    <col min="8709" max="8709" width="7.140625" style="292" customWidth="1"/>
    <col min="8710" max="8710" width="5.42578125" style="292" customWidth="1"/>
    <col min="8711" max="8711" width="18.5703125" style="292" customWidth="1"/>
    <col min="8712" max="8712" width="18" style="292" customWidth="1"/>
    <col min="8713" max="8714" width="18.5703125" style="292" customWidth="1"/>
    <col min="8715" max="8960" width="11.5703125" style="292"/>
    <col min="8961" max="8961" width="14.28515625" style="292" customWidth="1"/>
    <col min="8962" max="8962" width="14" style="292" customWidth="1"/>
    <col min="8963" max="8963" width="7.28515625" style="292" customWidth="1"/>
    <col min="8964" max="8964" width="50.7109375" style="292" customWidth="1"/>
    <col min="8965" max="8965" width="7.140625" style="292" customWidth="1"/>
    <col min="8966" max="8966" width="5.42578125" style="292" customWidth="1"/>
    <col min="8967" max="8967" width="18.5703125" style="292" customWidth="1"/>
    <col min="8968" max="8968" width="18" style="292" customWidth="1"/>
    <col min="8969" max="8970" width="18.5703125" style="292" customWidth="1"/>
    <col min="8971" max="9216" width="11.5703125" style="292"/>
    <col min="9217" max="9217" width="14.28515625" style="292" customWidth="1"/>
    <col min="9218" max="9218" width="14" style="292" customWidth="1"/>
    <col min="9219" max="9219" width="7.28515625" style="292" customWidth="1"/>
    <col min="9220" max="9220" width="50.7109375" style="292" customWidth="1"/>
    <col min="9221" max="9221" width="7.140625" style="292" customWidth="1"/>
    <col min="9222" max="9222" width="5.42578125" style="292" customWidth="1"/>
    <col min="9223" max="9223" width="18.5703125" style="292" customWidth="1"/>
    <col min="9224" max="9224" width="18" style="292" customWidth="1"/>
    <col min="9225" max="9226" width="18.5703125" style="292" customWidth="1"/>
    <col min="9227" max="9472" width="11.5703125" style="292"/>
    <col min="9473" max="9473" width="14.28515625" style="292" customWidth="1"/>
    <col min="9474" max="9474" width="14" style="292" customWidth="1"/>
    <col min="9475" max="9475" width="7.28515625" style="292" customWidth="1"/>
    <col min="9476" max="9476" width="50.7109375" style="292" customWidth="1"/>
    <col min="9477" max="9477" width="7.140625" style="292" customWidth="1"/>
    <col min="9478" max="9478" width="5.42578125" style="292" customWidth="1"/>
    <col min="9479" max="9479" width="18.5703125" style="292" customWidth="1"/>
    <col min="9480" max="9480" width="18" style="292" customWidth="1"/>
    <col min="9481" max="9482" width="18.5703125" style="292" customWidth="1"/>
    <col min="9483" max="9728" width="11.5703125" style="292"/>
    <col min="9729" max="9729" width="14.28515625" style="292" customWidth="1"/>
    <col min="9730" max="9730" width="14" style="292" customWidth="1"/>
    <col min="9731" max="9731" width="7.28515625" style="292" customWidth="1"/>
    <col min="9732" max="9732" width="50.7109375" style="292" customWidth="1"/>
    <col min="9733" max="9733" width="7.140625" style="292" customWidth="1"/>
    <col min="9734" max="9734" width="5.42578125" style="292" customWidth="1"/>
    <col min="9735" max="9735" width="18.5703125" style="292" customWidth="1"/>
    <col min="9736" max="9736" width="18" style="292" customWidth="1"/>
    <col min="9737" max="9738" width="18.5703125" style="292" customWidth="1"/>
    <col min="9739" max="9984" width="11.5703125" style="292"/>
    <col min="9985" max="9985" width="14.28515625" style="292" customWidth="1"/>
    <col min="9986" max="9986" width="14" style="292" customWidth="1"/>
    <col min="9987" max="9987" width="7.28515625" style="292" customWidth="1"/>
    <col min="9988" max="9988" width="50.7109375" style="292" customWidth="1"/>
    <col min="9989" max="9989" width="7.140625" style="292" customWidth="1"/>
    <col min="9990" max="9990" width="5.42578125" style="292" customWidth="1"/>
    <col min="9991" max="9991" width="18.5703125" style="292" customWidth="1"/>
    <col min="9992" max="9992" width="18" style="292" customWidth="1"/>
    <col min="9993" max="9994" width="18.5703125" style="292" customWidth="1"/>
    <col min="9995" max="10240" width="11.5703125" style="292"/>
    <col min="10241" max="10241" width="14.28515625" style="292" customWidth="1"/>
    <col min="10242" max="10242" width="14" style="292" customWidth="1"/>
    <col min="10243" max="10243" width="7.28515625" style="292" customWidth="1"/>
    <col min="10244" max="10244" width="50.7109375" style="292" customWidth="1"/>
    <col min="10245" max="10245" width="7.140625" style="292" customWidth="1"/>
    <col min="10246" max="10246" width="5.42578125" style="292" customWidth="1"/>
    <col min="10247" max="10247" width="18.5703125" style="292" customWidth="1"/>
    <col min="10248" max="10248" width="18" style="292" customWidth="1"/>
    <col min="10249" max="10250" width="18.5703125" style="292" customWidth="1"/>
    <col min="10251" max="10496" width="11.5703125" style="292"/>
    <col min="10497" max="10497" width="14.28515625" style="292" customWidth="1"/>
    <col min="10498" max="10498" width="14" style="292" customWidth="1"/>
    <col min="10499" max="10499" width="7.28515625" style="292" customWidth="1"/>
    <col min="10500" max="10500" width="50.7109375" style="292" customWidth="1"/>
    <col min="10501" max="10501" width="7.140625" style="292" customWidth="1"/>
    <col min="10502" max="10502" width="5.42578125" style="292" customWidth="1"/>
    <col min="10503" max="10503" width="18.5703125" style="292" customWidth="1"/>
    <col min="10504" max="10504" width="18" style="292" customWidth="1"/>
    <col min="10505" max="10506" width="18.5703125" style="292" customWidth="1"/>
    <col min="10507" max="10752" width="11.5703125" style="292"/>
    <col min="10753" max="10753" width="14.28515625" style="292" customWidth="1"/>
    <col min="10754" max="10754" width="14" style="292" customWidth="1"/>
    <col min="10755" max="10755" width="7.28515625" style="292" customWidth="1"/>
    <col min="10756" max="10756" width="50.7109375" style="292" customWidth="1"/>
    <col min="10757" max="10757" width="7.140625" style="292" customWidth="1"/>
    <col min="10758" max="10758" width="5.42578125" style="292" customWidth="1"/>
    <col min="10759" max="10759" width="18.5703125" style="292" customWidth="1"/>
    <col min="10760" max="10760" width="18" style="292" customWidth="1"/>
    <col min="10761" max="10762" width="18.5703125" style="292" customWidth="1"/>
    <col min="10763" max="11008" width="11.5703125" style="292"/>
    <col min="11009" max="11009" width="14.28515625" style="292" customWidth="1"/>
    <col min="11010" max="11010" width="14" style="292" customWidth="1"/>
    <col min="11011" max="11011" width="7.28515625" style="292" customWidth="1"/>
    <col min="11012" max="11012" width="50.7109375" style="292" customWidth="1"/>
    <col min="11013" max="11013" width="7.140625" style="292" customWidth="1"/>
    <col min="11014" max="11014" width="5.42578125" style="292" customWidth="1"/>
    <col min="11015" max="11015" width="18.5703125" style="292" customWidth="1"/>
    <col min="11016" max="11016" width="18" style="292" customWidth="1"/>
    <col min="11017" max="11018" width="18.5703125" style="292" customWidth="1"/>
    <col min="11019" max="11264" width="11.5703125" style="292"/>
    <col min="11265" max="11265" width="14.28515625" style="292" customWidth="1"/>
    <col min="11266" max="11266" width="14" style="292" customWidth="1"/>
    <col min="11267" max="11267" width="7.28515625" style="292" customWidth="1"/>
    <col min="11268" max="11268" width="50.7109375" style="292" customWidth="1"/>
    <col min="11269" max="11269" width="7.140625" style="292" customWidth="1"/>
    <col min="11270" max="11270" width="5.42578125" style="292" customWidth="1"/>
    <col min="11271" max="11271" width="18.5703125" style="292" customWidth="1"/>
    <col min="11272" max="11272" width="18" style="292" customWidth="1"/>
    <col min="11273" max="11274" width="18.5703125" style="292" customWidth="1"/>
    <col min="11275" max="11520" width="11.5703125" style="292"/>
    <col min="11521" max="11521" width="14.28515625" style="292" customWidth="1"/>
    <col min="11522" max="11522" width="14" style="292" customWidth="1"/>
    <col min="11523" max="11523" width="7.28515625" style="292" customWidth="1"/>
    <col min="11524" max="11524" width="50.7109375" style="292" customWidth="1"/>
    <col min="11525" max="11525" width="7.140625" style="292" customWidth="1"/>
    <col min="11526" max="11526" width="5.42578125" style="292" customWidth="1"/>
    <col min="11527" max="11527" width="18.5703125" style="292" customWidth="1"/>
    <col min="11528" max="11528" width="18" style="292" customWidth="1"/>
    <col min="11529" max="11530" width="18.5703125" style="292" customWidth="1"/>
    <col min="11531" max="11776" width="11.5703125" style="292"/>
    <col min="11777" max="11777" width="14.28515625" style="292" customWidth="1"/>
    <col min="11778" max="11778" width="14" style="292" customWidth="1"/>
    <col min="11779" max="11779" width="7.28515625" style="292" customWidth="1"/>
    <col min="11780" max="11780" width="50.7109375" style="292" customWidth="1"/>
    <col min="11781" max="11781" width="7.140625" style="292" customWidth="1"/>
    <col min="11782" max="11782" width="5.42578125" style="292" customWidth="1"/>
    <col min="11783" max="11783" width="18.5703125" style="292" customWidth="1"/>
    <col min="11784" max="11784" width="18" style="292" customWidth="1"/>
    <col min="11785" max="11786" width="18.5703125" style="292" customWidth="1"/>
    <col min="11787" max="12032" width="11.5703125" style="292"/>
    <col min="12033" max="12033" width="14.28515625" style="292" customWidth="1"/>
    <col min="12034" max="12034" width="14" style="292" customWidth="1"/>
    <col min="12035" max="12035" width="7.28515625" style="292" customWidth="1"/>
    <col min="12036" max="12036" width="50.7109375" style="292" customWidth="1"/>
    <col min="12037" max="12037" width="7.140625" style="292" customWidth="1"/>
    <col min="12038" max="12038" width="5.42578125" style="292" customWidth="1"/>
    <col min="12039" max="12039" width="18.5703125" style="292" customWidth="1"/>
    <col min="12040" max="12040" width="18" style="292" customWidth="1"/>
    <col min="12041" max="12042" width="18.5703125" style="292" customWidth="1"/>
    <col min="12043" max="12288" width="11.5703125" style="292"/>
    <col min="12289" max="12289" width="14.28515625" style="292" customWidth="1"/>
    <col min="12290" max="12290" width="14" style="292" customWidth="1"/>
    <col min="12291" max="12291" width="7.28515625" style="292" customWidth="1"/>
    <col min="12292" max="12292" width="50.7109375" style="292" customWidth="1"/>
    <col min="12293" max="12293" width="7.140625" style="292" customWidth="1"/>
    <col min="12294" max="12294" width="5.42578125" style="292" customWidth="1"/>
    <col min="12295" max="12295" width="18.5703125" style="292" customWidth="1"/>
    <col min="12296" max="12296" width="18" style="292" customWidth="1"/>
    <col min="12297" max="12298" width="18.5703125" style="292" customWidth="1"/>
    <col min="12299" max="12544" width="11.5703125" style="292"/>
    <col min="12545" max="12545" width="14.28515625" style="292" customWidth="1"/>
    <col min="12546" max="12546" width="14" style="292" customWidth="1"/>
    <col min="12547" max="12547" width="7.28515625" style="292" customWidth="1"/>
    <col min="12548" max="12548" width="50.7109375" style="292" customWidth="1"/>
    <col min="12549" max="12549" width="7.140625" style="292" customWidth="1"/>
    <col min="12550" max="12550" width="5.42578125" style="292" customWidth="1"/>
    <col min="12551" max="12551" width="18.5703125" style="292" customWidth="1"/>
    <col min="12552" max="12552" width="18" style="292" customWidth="1"/>
    <col min="12553" max="12554" width="18.5703125" style="292" customWidth="1"/>
    <col min="12555" max="12800" width="11.5703125" style="292"/>
    <col min="12801" max="12801" width="14.28515625" style="292" customWidth="1"/>
    <col min="12802" max="12802" width="14" style="292" customWidth="1"/>
    <col min="12803" max="12803" width="7.28515625" style="292" customWidth="1"/>
    <col min="12804" max="12804" width="50.7109375" style="292" customWidth="1"/>
    <col min="12805" max="12805" width="7.140625" style="292" customWidth="1"/>
    <col min="12806" max="12806" width="5.42578125" style="292" customWidth="1"/>
    <col min="12807" max="12807" width="18.5703125" style="292" customWidth="1"/>
    <col min="12808" max="12808" width="18" style="292" customWidth="1"/>
    <col min="12809" max="12810" width="18.5703125" style="292" customWidth="1"/>
    <col min="12811" max="13056" width="11.5703125" style="292"/>
    <col min="13057" max="13057" width="14.28515625" style="292" customWidth="1"/>
    <col min="13058" max="13058" width="14" style="292" customWidth="1"/>
    <col min="13059" max="13059" width="7.28515625" style="292" customWidth="1"/>
    <col min="13060" max="13060" width="50.7109375" style="292" customWidth="1"/>
    <col min="13061" max="13061" width="7.140625" style="292" customWidth="1"/>
    <col min="13062" max="13062" width="5.42578125" style="292" customWidth="1"/>
    <col min="13063" max="13063" width="18.5703125" style="292" customWidth="1"/>
    <col min="13064" max="13064" width="18" style="292" customWidth="1"/>
    <col min="13065" max="13066" width="18.5703125" style="292" customWidth="1"/>
    <col min="13067" max="13312" width="11.5703125" style="292"/>
    <col min="13313" max="13313" width="14.28515625" style="292" customWidth="1"/>
    <col min="13314" max="13314" width="14" style="292" customWidth="1"/>
    <col min="13315" max="13315" width="7.28515625" style="292" customWidth="1"/>
    <col min="13316" max="13316" width="50.7109375" style="292" customWidth="1"/>
    <col min="13317" max="13317" width="7.140625" style="292" customWidth="1"/>
    <col min="13318" max="13318" width="5.42578125" style="292" customWidth="1"/>
    <col min="13319" max="13319" width="18.5703125" style="292" customWidth="1"/>
    <col min="13320" max="13320" width="18" style="292" customWidth="1"/>
    <col min="13321" max="13322" width="18.5703125" style="292" customWidth="1"/>
    <col min="13323" max="13568" width="11.5703125" style="292"/>
    <col min="13569" max="13569" width="14.28515625" style="292" customWidth="1"/>
    <col min="13570" max="13570" width="14" style="292" customWidth="1"/>
    <col min="13571" max="13571" width="7.28515625" style="292" customWidth="1"/>
    <col min="13572" max="13572" width="50.7109375" style="292" customWidth="1"/>
    <col min="13573" max="13573" width="7.140625" style="292" customWidth="1"/>
    <col min="13574" max="13574" width="5.42578125" style="292" customWidth="1"/>
    <col min="13575" max="13575" width="18.5703125" style="292" customWidth="1"/>
    <col min="13576" max="13576" width="18" style="292" customWidth="1"/>
    <col min="13577" max="13578" width="18.5703125" style="292" customWidth="1"/>
    <col min="13579" max="13824" width="11.5703125" style="292"/>
    <col min="13825" max="13825" width="14.28515625" style="292" customWidth="1"/>
    <col min="13826" max="13826" width="14" style="292" customWidth="1"/>
    <col min="13827" max="13827" width="7.28515625" style="292" customWidth="1"/>
    <col min="13828" max="13828" width="50.7109375" style="292" customWidth="1"/>
    <col min="13829" max="13829" width="7.140625" style="292" customWidth="1"/>
    <col min="13830" max="13830" width="5.42578125" style="292" customWidth="1"/>
    <col min="13831" max="13831" width="18.5703125" style="292" customWidth="1"/>
    <col min="13832" max="13832" width="18" style="292" customWidth="1"/>
    <col min="13833" max="13834" width="18.5703125" style="292" customWidth="1"/>
    <col min="13835" max="14080" width="11.5703125" style="292"/>
    <col min="14081" max="14081" width="14.28515625" style="292" customWidth="1"/>
    <col min="14082" max="14082" width="14" style="292" customWidth="1"/>
    <col min="14083" max="14083" width="7.28515625" style="292" customWidth="1"/>
    <col min="14084" max="14084" width="50.7109375" style="292" customWidth="1"/>
    <col min="14085" max="14085" width="7.140625" style="292" customWidth="1"/>
    <col min="14086" max="14086" width="5.42578125" style="292" customWidth="1"/>
    <col min="14087" max="14087" width="18.5703125" style="292" customWidth="1"/>
    <col min="14088" max="14088" width="18" style="292" customWidth="1"/>
    <col min="14089" max="14090" width="18.5703125" style="292" customWidth="1"/>
    <col min="14091" max="14336" width="11.5703125" style="292"/>
    <col min="14337" max="14337" width="14.28515625" style="292" customWidth="1"/>
    <col min="14338" max="14338" width="14" style="292" customWidth="1"/>
    <col min="14339" max="14339" width="7.28515625" style="292" customWidth="1"/>
    <col min="14340" max="14340" width="50.7109375" style="292" customWidth="1"/>
    <col min="14341" max="14341" width="7.140625" style="292" customWidth="1"/>
    <col min="14342" max="14342" width="5.42578125" style="292" customWidth="1"/>
    <col min="14343" max="14343" width="18.5703125" style="292" customWidth="1"/>
    <col min="14344" max="14344" width="18" style="292" customWidth="1"/>
    <col min="14345" max="14346" width="18.5703125" style="292" customWidth="1"/>
    <col min="14347" max="14592" width="11.5703125" style="292"/>
    <col min="14593" max="14593" width="14.28515625" style="292" customWidth="1"/>
    <col min="14594" max="14594" width="14" style="292" customWidth="1"/>
    <col min="14595" max="14595" width="7.28515625" style="292" customWidth="1"/>
    <col min="14596" max="14596" width="50.7109375" style="292" customWidth="1"/>
    <col min="14597" max="14597" width="7.140625" style="292" customWidth="1"/>
    <col min="14598" max="14598" width="5.42578125" style="292" customWidth="1"/>
    <col min="14599" max="14599" width="18.5703125" style="292" customWidth="1"/>
    <col min="14600" max="14600" width="18" style="292" customWidth="1"/>
    <col min="14601" max="14602" width="18.5703125" style="292" customWidth="1"/>
    <col min="14603" max="14848" width="11.5703125" style="292"/>
    <col min="14849" max="14849" width="14.28515625" style="292" customWidth="1"/>
    <col min="14850" max="14850" width="14" style="292" customWidth="1"/>
    <col min="14851" max="14851" width="7.28515625" style="292" customWidth="1"/>
    <col min="14852" max="14852" width="50.7109375" style="292" customWidth="1"/>
    <col min="14853" max="14853" width="7.140625" style="292" customWidth="1"/>
    <col min="14854" max="14854" width="5.42578125" style="292" customWidth="1"/>
    <col min="14855" max="14855" width="18.5703125" style="292" customWidth="1"/>
    <col min="14856" max="14856" width="18" style="292" customWidth="1"/>
    <col min="14857" max="14858" width="18.5703125" style="292" customWidth="1"/>
    <col min="14859" max="15104" width="11.5703125" style="292"/>
    <col min="15105" max="15105" width="14.28515625" style="292" customWidth="1"/>
    <col min="15106" max="15106" width="14" style="292" customWidth="1"/>
    <col min="15107" max="15107" width="7.28515625" style="292" customWidth="1"/>
    <col min="15108" max="15108" width="50.7109375" style="292" customWidth="1"/>
    <col min="15109" max="15109" width="7.140625" style="292" customWidth="1"/>
    <col min="15110" max="15110" width="5.42578125" style="292" customWidth="1"/>
    <col min="15111" max="15111" width="18.5703125" style="292" customWidth="1"/>
    <col min="15112" max="15112" width="18" style="292" customWidth="1"/>
    <col min="15113" max="15114" width="18.5703125" style="292" customWidth="1"/>
    <col min="15115" max="15360" width="11.5703125" style="292"/>
    <col min="15361" max="15361" width="14.28515625" style="292" customWidth="1"/>
    <col min="15362" max="15362" width="14" style="292" customWidth="1"/>
    <col min="15363" max="15363" width="7.28515625" style="292" customWidth="1"/>
    <col min="15364" max="15364" width="50.7109375" style="292" customWidth="1"/>
    <col min="15365" max="15365" width="7.140625" style="292" customWidth="1"/>
    <col min="15366" max="15366" width="5.42578125" style="292" customWidth="1"/>
    <col min="15367" max="15367" width="18.5703125" style="292" customWidth="1"/>
    <col min="15368" max="15368" width="18" style="292" customWidth="1"/>
    <col min="15369" max="15370" width="18.5703125" style="292" customWidth="1"/>
    <col min="15371" max="15616" width="11.5703125" style="292"/>
    <col min="15617" max="15617" width="14.28515625" style="292" customWidth="1"/>
    <col min="15618" max="15618" width="14" style="292" customWidth="1"/>
    <col min="15619" max="15619" width="7.28515625" style="292" customWidth="1"/>
    <col min="15620" max="15620" width="50.7109375" style="292" customWidth="1"/>
    <col min="15621" max="15621" width="7.140625" style="292" customWidth="1"/>
    <col min="15622" max="15622" width="5.42578125" style="292" customWidth="1"/>
    <col min="15623" max="15623" width="18.5703125" style="292" customWidth="1"/>
    <col min="15624" max="15624" width="18" style="292" customWidth="1"/>
    <col min="15625" max="15626" width="18.5703125" style="292" customWidth="1"/>
    <col min="15627" max="15872" width="11.5703125" style="292"/>
    <col min="15873" max="15873" width="14.28515625" style="292" customWidth="1"/>
    <col min="15874" max="15874" width="14" style="292" customWidth="1"/>
    <col min="15875" max="15875" width="7.28515625" style="292" customWidth="1"/>
    <col min="15876" max="15876" width="50.7109375" style="292" customWidth="1"/>
    <col min="15877" max="15877" width="7.140625" style="292" customWidth="1"/>
    <col min="15878" max="15878" width="5.42578125" style="292" customWidth="1"/>
    <col min="15879" max="15879" width="18.5703125" style="292" customWidth="1"/>
    <col min="15880" max="15880" width="18" style="292" customWidth="1"/>
    <col min="15881" max="15882" width="18.5703125" style="292" customWidth="1"/>
    <col min="15883" max="16128" width="11.5703125" style="292"/>
    <col min="16129" max="16129" width="14.28515625" style="292" customWidth="1"/>
    <col min="16130" max="16130" width="14" style="292" customWidth="1"/>
    <col min="16131" max="16131" width="7.28515625" style="292" customWidth="1"/>
    <col min="16132" max="16132" width="50.7109375" style="292" customWidth="1"/>
    <col min="16133" max="16133" width="7.140625" style="292" customWidth="1"/>
    <col min="16134" max="16134" width="5.42578125" style="292" customWidth="1"/>
    <col min="16135" max="16135" width="18.5703125" style="292" customWidth="1"/>
    <col min="16136" max="16136" width="18" style="292" customWidth="1"/>
    <col min="16137" max="16138" width="18.5703125" style="292" customWidth="1"/>
    <col min="16139" max="16384" width="11.5703125" style="292"/>
  </cols>
  <sheetData>
    <row r="1" spans="1:10" ht="25.5">
      <c r="A1" s="183" t="s">
        <v>0</v>
      </c>
      <c r="B1" s="183" t="s">
        <v>1507</v>
      </c>
      <c r="C1" s="183" t="s">
        <v>1508</v>
      </c>
      <c r="D1" s="183" t="s">
        <v>1</v>
      </c>
      <c r="E1" s="183" t="s">
        <v>1509</v>
      </c>
      <c r="F1" s="183" t="s">
        <v>1510</v>
      </c>
      <c r="G1" s="183" t="s">
        <v>1511</v>
      </c>
      <c r="H1" s="183" t="s">
        <v>1512</v>
      </c>
      <c r="I1" s="183" t="s">
        <v>1513</v>
      </c>
      <c r="J1" s="183" t="s">
        <v>1514</v>
      </c>
    </row>
    <row r="2" spans="1:10">
      <c r="A2" s="239" t="s">
        <v>6</v>
      </c>
      <c r="B2" s="239"/>
      <c r="C2" s="239"/>
      <c r="D2" s="239" t="s">
        <v>7</v>
      </c>
      <c r="E2" s="240">
        <v>1</v>
      </c>
      <c r="F2" s="239" t="s">
        <v>1515</v>
      </c>
      <c r="G2" s="241">
        <v>280741100.38999999</v>
      </c>
      <c r="H2" s="241">
        <v>2014495291.1500001</v>
      </c>
      <c r="I2" s="241">
        <v>2129780750.53</v>
      </c>
      <c r="J2" s="241">
        <v>165455641.00999999</v>
      </c>
    </row>
    <row r="3" spans="1:10">
      <c r="A3" s="239" t="s">
        <v>10</v>
      </c>
      <c r="B3" s="239"/>
      <c r="C3" s="239"/>
      <c r="D3" s="239" t="s">
        <v>11</v>
      </c>
      <c r="E3" s="240">
        <v>2</v>
      </c>
      <c r="F3" s="239" t="s">
        <v>1515</v>
      </c>
      <c r="G3" s="241">
        <v>39647234.509999998</v>
      </c>
      <c r="H3" s="241">
        <v>862859330.30999994</v>
      </c>
      <c r="I3" s="241">
        <v>853726693.80999994</v>
      </c>
      <c r="J3" s="241">
        <v>48779871.009999998</v>
      </c>
    </row>
    <row r="4" spans="1:10">
      <c r="A4" s="239" t="s">
        <v>12</v>
      </c>
      <c r="B4" s="239"/>
      <c r="C4" s="239"/>
      <c r="D4" s="239" t="s">
        <v>13</v>
      </c>
      <c r="E4" s="240">
        <v>3</v>
      </c>
      <c r="F4" s="239" t="s">
        <v>1515</v>
      </c>
      <c r="G4" s="241">
        <v>38</v>
      </c>
      <c r="H4" s="241">
        <v>0</v>
      </c>
      <c r="I4" s="241">
        <v>38</v>
      </c>
      <c r="J4" s="241">
        <v>0</v>
      </c>
    </row>
    <row r="5" spans="1:10">
      <c r="A5" s="239" t="s">
        <v>14</v>
      </c>
      <c r="B5" s="239"/>
      <c r="C5" s="239"/>
      <c r="D5" s="239" t="s">
        <v>15</v>
      </c>
      <c r="E5" s="240">
        <v>4</v>
      </c>
      <c r="F5" s="239" t="s">
        <v>1515</v>
      </c>
      <c r="G5" s="241">
        <v>38</v>
      </c>
      <c r="H5" s="241">
        <v>0</v>
      </c>
      <c r="I5" s="241">
        <v>38</v>
      </c>
      <c r="J5" s="241">
        <v>0</v>
      </c>
    </row>
    <row r="6" spans="1:10" ht="25.5">
      <c r="A6" s="239" t="s">
        <v>14</v>
      </c>
      <c r="B6" s="239" t="s">
        <v>1516</v>
      </c>
      <c r="C6" s="239" t="s">
        <v>1517</v>
      </c>
      <c r="D6" s="239" t="s">
        <v>1518</v>
      </c>
      <c r="E6" s="240">
        <v>4</v>
      </c>
      <c r="F6" s="239" t="s">
        <v>1515</v>
      </c>
      <c r="G6" s="241">
        <v>38</v>
      </c>
      <c r="H6" s="241">
        <v>0</v>
      </c>
      <c r="I6" s="241">
        <v>38</v>
      </c>
      <c r="J6" s="241">
        <v>0</v>
      </c>
    </row>
    <row r="7" spans="1:10">
      <c r="A7" s="239" t="s">
        <v>34</v>
      </c>
      <c r="B7" s="239"/>
      <c r="C7" s="239"/>
      <c r="D7" s="239" t="s">
        <v>35</v>
      </c>
      <c r="E7" s="240">
        <v>3</v>
      </c>
      <c r="F7" s="239" t="s">
        <v>1515</v>
      </c>
      <c r="G7" s="241">
        <v>39647196.509999998</v>
      </c>
      <c r="H7" s="241">
        <v>862859330.30999994</v>
      </c>
      <c r="I7" s="241">
        <v>853726655.80999994</v>
      </c>
      <c r="J7" s="241">
        <v>48779871.009999998</v>
      </c>
    </row>
    <row r="8" spans="1:10">
      <c r="A8" s="239" t="s">
        <v>36</v>
      </c>
      <c r="B8" s="239"/>
      <c r="C8" s="239"/>
      <c r="D8" s="239" t="s">
        <v>24</v>
      </c>
      <c r="E8" s="240">
        <v>4</v>
      </c>
      <c r="F8" s="239" t="s">
        <v>1515</v>
      </c>
      <c r="G8" s="241">
        <v>39647196.509999998</v>
      </c>
      <c r="H8" s="241">
        <v>862859330.30999994</v>
      </c>
      <c r="I8" s="241">
        <v>853726655.80999994</v>
      </c>
      <c r="J8" s="241">
        <v>48779871.009999998</v>
      </c>
    </row>
    <row r="9" spans="1:10">
      <c r="A9" s="239" t="s">
        <v>36</v>
      </c>
      <c r="B9" s="239" t="s">
        <v>1519</v>
      </c>
      <c r="C9" s="239" t="s">
        <v>1517</v>
      </c>
      <c r="D9" s="239" t="s">
        <v>1520</v>
      </c>
      <c r="E9" s="240">
        <v>4</v>
      </c>
      <c r="F9" s="239" t="s">
        <v>1515</v>
      </c>
      <c r="G9" s="241">
        <v>0</v>
      </c>
      <c r="H9" s="241">
        <v>0</v>
      </c>
      <c r="I9" s="241">
        <v>2390567.63</v>
      </c>
      <c r="J9" s="241">
        <v>-2390567.63</v>
      </c>
    </row>
    <row r="10" spans="1:10" ht="25.5">
      <c r="A10" s="239" t="s">
        <v>36</v>
      </c>
      <c r="B10" s="239" t="s">
        <v>1521</v>
      </c>
      <c r="C10" s="239" t="s">
        <v>1517</v>
      </c>
      <c r="D10" s="239" t="s">
        <v>1522</v>
      </c>
      <c r="E10" s="240">
        <v>4</v>
      </c>
      <c r="F10" s="239" t="s">
        <v>1515</v>
      </c>
      <c r="G10" s="241">
        <v>0</v>
      </c>
      <c r="H10" s="241">
        <v>0</v>
      </c>
      <c r="I10" s="241">
        <v>17965612</v>
      </c>
      <c r="J10" s="241">
        <v>-17965612</v>
      </c>
    </row>
    <row r="11" spans="1:10" ht="25.5">
      <c r="A11" s="239" t="s">
        <v>36</v>
      </c>
      <c r="B11" s="239" t="s">
        <v>1523</v>
      </c>
      <c r="C11" s="239" t="s">
        <v>1517</v>
      </c>
      <c r="D11" s="239" t="s">
        <v>1524</v>
      </c>
      <c r="E11" s="240">
        <v>4</v>
      </c>
      <c r="F11" s="239" t="s">
        <v>1515</v>
      </c>
      <c r="G11" s="241">
        <v>0</v>
      </c>
      <c r="H11" s="241">
        <v>0</v>
      </c>
      <c r="I11" s="241">
        <v>26916439</v>
      </c>
      <c r="J11" s="241">
        <v>-26916439</v>
      </c>
    </row>
    <row r="12" spans="1:10" ht="25.5">
      <c r="A12" s="239" t="s">
        <v>36</v>
      </c>
      <c r="B12" s="239" t="s">
        <v>1525</v>
      </c>
      <c r="C12" s="239" t="s">
        <v>1517</v>
      </c>
      <c r="D12" s="239" t="s">
        <v>1526</v>
      </c>
      <c r="E12" s="240">
        <v>4</v>
      </c>
      <c r="F12" s="239" t="s">
        <v>1515</v>
      </c>
      <c r="G12" s="241">
        <v>0</v>
      </c>
      <c r="H12" s="241">
        <v>0</v>
      </c>
      <c r="I12" s="241">
        <v>5703909</v>
      </c>
      <c r="J12" s="241">
        <v>-5703909</v>
      </c>
    </row>
    <row r="13" spans="1:10" ht="25.5">
      <c r="A13" s="239" t="s">
        <v>36</v>
      </c>
      <c r="B13" s="239" t="s">
        <v>1527</v>
      </c>
      <c r="C13" s="239" t="s">
        <v>1517</v>
      </c>
      <c r="D13" s="239" t="s">
        <v>1528</v>
      </c>
      <c r="E13" s="240">
        <v>4</v>
      </c>
      <c r="F13" s="239" t="s">
        <v>1515</v>
      </c>
      <c r="G13" s="241">
        <v>0</v>
      </c>
      <c r="H13" s="241">
        <v>0</v>
      </c>
      <c r="I13" s="241">
        <v>25046013</v>
      </c>
      <c r="J13" s="241">
        <v>-25046013</v>
      </c>
    </row>
    <row r="14" spans="1:10" ht="25.5">
      <c r="A14" s="239" t="s">
        <v>36</v>
      </c>
      <c r="B14" s="239" t="s">
        <v>1529</v>
      </c>
      <c r="C14" s="239" t="s">
        <v>1517</v>
      </c>
      <c r="D14" s="239" t="s">
        <v>1530</v>
      </c>
      <c r="E14" s="240">
        <v>4</v>
      </c>
      <c r="F14" s="239" t="s">
        <v>1515</v>
      </c>
      <c r="G14" s="241">
        <v>0</v>
      </c>
      <c r="H14" s="241">
        <v>0</v>
      </c>
      <c r="I14" s="241">
        <v>238229</v>
      </c>
      <c r="J14" s="241">
        <v>-238229</v>
      </c>
    </row>
    <row r="15" spans="1:10" ht="25.5">
      <c r="A15" s="239" t="s">
        <v>36</v>
      </c>
      <c r="B15" s="239" t="s">
        <v>1531</v>
      </c>
      <c r="C15" s="239" t="s">
        <v>1517</v>
      </c>
      <c r="D15" s="239" t="s">
        <v>1532</v>
      </c>
      <c r="E15" s="240">
        <v>4</v>
      </c>
      <c r="F15" s="239" t="s">
        <v>1515</v>
      </c>
      <c r="G15" s="241">
        <v>0</v>
      </c>
      <c r="H15" s="241">
        <v>0</v>
      </c>
      <c r="I15" s="241">
        <v>15890120</v>
      </c>
      <c r="J15" s="241">
        <v>-15890120</v>
      </c>
    </row>
    <row r="16" spans="1:10" ht="25.5">
      <c r="A16" s="239" t="s">
        <v>36</v>
      </c>
      <c r="B16" s="239" t="s">
        <v>1533</v>
      </c>
      <c r="C16" s="239" t="s">
        <v>1517</v>
      </c>
      <c r="D16" s="239" t="s">
        <v>1534</v>
      </c>
      <c r="E16" s="240">
        <v>4</v>
      </c>
      <c r="F16" s="239" t="s">
        <v>1515</v>
      </c>
      <c r="G16" s="241">
        <v>0</v>
      </c>
      <c r="H16" s="241">
        <v>0</v>
      </c>
      <c r="I16" s="241">
        <v>1966713</v>
      </c>
      <c r="J16" s="241">
        <v>-1966713</v>
      </c>
    </row>
    <row r="17" spans="1:10" ht="25.5">
      <c r="A17" s="239" t="s">
        <v>36</v>
      </c>
      <c r="B17" s="239" t="s">
        <v>1535</v>
      </c>
      <c r="C17" s="239" t="s">
        <v>1517</v>
      </c>
      <c r="D17" s="239" t="s">
        <v>1536</v>
      </c>
      <c r="E17" s="240">
        <v>4</v>
      </c>
      <c r="F17" s="239" t="s">
        <v>1515</v>
      </c>
      <c r="G17" s="241">
        <v>0</v>
      </c>
      <c r="H17" s="241">
        <v>0</v>
      </c>
      <c r="I17" s="241">
        <v>4254162</v>
      </c>
      <c r="J17" s="241">
        <v>-4254162</v>
      </c>
    </row>
    <row r="18" spans="1:10" ht="25.5">
      <c r="A18" s="239" t="s">
        <v>36</v>
      </c>
      <c r="B18" s="239" t="s">
        <v>1537</v>
      </c>
      <c r="C18" s="239" t="s">
        <v>1517</v>
      </c>
      <c r="D18" s="239" t="s">
        <v>1538</v>
      </c>
      <c r="E18" s="240">
        <v>4</v>
      </c>
      <c r="F18" s="239" t="s">
        <v>1515</v>
      </c>
      <c r="G18" s="241">
        <v>0</v>
      </c>
      <c r="H18" s="241">
        <v>0</v>
      </c>
      <c r="I18" s="241">
        <v>64276820</v>
      </c>
      <c r="J18" s="241">
        <v>-64276820</v>
      </c>
    </row>
    <row r="19" spans="1:10" ht="25.5">
      <c r="A19" s="239" t="s">
        <v>36</v>
      </c>
      <c r="B19" s="239" t="s">
        <v>1539</v>
      </c>
      <c r="C19" s="239" t="s">
        <v>1517</v>
      </c>
      <c r="D19" s="239" t="s">
        <v>1540</v>
      </c>
      <c r="E19" s="240">
        <v>4</v>
      </c>
      <c r="F19" s="239" t="s">
        <v>1515</v>
      </c>
      <c r="G19" s="241">
        <v>78120000</v>
      </c>
      <c r="H19" s="241">
        <v>0</v>
      </c>
      <c r="I19" s="241">
        <v>113519670</v>
      </c>
      <c r="J19" s="241">
        <v>-35399670</v>
      </c>
    </row>
    <row r="20" spans="1:10" ht="25.5">
      <c r="A20" s="239" t="s">
        <v>36</v>
      </c>
      <c r="B20" s="239" t="s">
        <v>1541</v>
      </c>
      <c r="C20" s="239" t="s">
        <v>1517</v>
      </c>
      <c r="D20" s="239" t="s">
        <v>1542</v>
      </c>
      <c r="E20" s="240">
        <v>4</v>
      </c>
      <c r="F20" s="239" t="s">
        <v>1515</v>
      </c>
      <c r="G20" s="241">
        <v>-78120000</v>
      </c>
      <c r="H20" s="241">
        <v>0</v>
      </c>
      <c r="I20" s="241">
        <v>0</v>
      </c>
      <c r="J20" s="241">
        <v>-78120000</v>
      </c>
    </row>
    <row r="21" spans="1:10">
      <c r="A21" s="239" t="s">
        <v>36</v>
      </c>
      <c r="B21" s="239" t="s">
        <v>1543</v>
      </c>
      <c r="C21" s="239" t="s">
        <v>1517</v>
      </c>
      <c r="D21" s="239" t="s">
        <v>1544</v>
      </c>
      <c r="E21" s="240">
        <v>4</v>
      </c>
      <c r="F21" s="239" t="s">
        <v>1515</v>
      </c>
      <c r="G21" s="241">
        <v>0</v>
      </c>
      <c r="H21" s="241">
        <v>782160976</v>
      </c>
      <c r="I21" s="241">
        <v>0</v>
      </c>
      <c r="J21" s="241">
        <v>782160976</v>
      </c>
    </row>
    <row r="22" spans="1:10" ht="25.5">
      <c r="A22" s="239" t="s">
        <v>36</v>
      </c>
      <c r="B22" s="239" t="s">
        <v>1545</v>
      </c>
      <c r="C22" s="239" t="s">
        <v>1517</v>
      </c>
      <c r="D22" s="239" t="s">
        <v>1546</v>
      </c>
      <c r="E22" s="240">
        <v>4</v>
      </c>
      <c r="F22" s="239" t="s">
        <v>1515</v>
      </c>
      <c r="G22" s="241">
        <v>0</v>
      </c>
      <c r="H22" s="241">
        <v>0</v>
      </c>
      <c r="I22" s="241">
        <v>1263907.6299999999</v>
      </c>
      <c r="J22" s="241">
        <v>-1263907.6299999999</v>
      </c>
    </row>
    <row r="23" spans="1:10" ht="25.5">
      <c r="A23" s="239" t="s">
        <v>36</v>
      </c>
      <c r="B23" s="239" t="s">
        <v>1547</v>
      </c>
      <c r="C23" s="239" t="s">
        <v>1517</v>
      </c>
      <c r="D23" s="239" t="s">
        <v>1548</v>
      </c>
      <c r="E23" s="240">
        <v>4</v>
      </c>
      <c r="F23" s="239" t="s">
        <v>1515</v>
      </c>
      <c r="G23" s="241">
        <v>0</v>
      </c>
      <c r="H23" s="241">
        <v>0</v>
      </c>
      <c r="I23" s="241">
        <v>4048351.38</v>
      </c>
      <c r="J23" s="241">
        <v>-4048351.38</v>
      </c>
    </row>
    <row r="24" spans="1:10" ht="25.5">
      <c r="A24" s="239" t="s">
        <v>36</v>
      </c>
      <c r="B24" s="239" t="s">
        <v>1549</v>
      </c>
      <c r="C24" s="239" t="s">
        <v>1517</v>
      </c>
      <c r="D24" s="239" t="s">
        <v>1550</v>
      </c>
      <c r="E24" s="240">
        <v>4</v>
      </c>
      <c r="F24" s="239" t="s">
        <v>1515</v>
      </c>
      <c r="G24" s="241">
        <v>0</v>
      </c>
      <c r="H24" s="241">
        <v>0</v>
      </c>
      <c r="I24" s="241">
        <v>260476.79999999999</v>
      </c>
      <c r="J24" s="241">
        <v>-260476.79999999999</v>
      </c>
    </row>
    <row r="25" spans="1:10" ht="25.5">
      <c r="A25" s="239" t="s">
        <v>36</v>
      </c>
      <c r="B25" s="239" t="s">
        <v>1551</v>
      </c>
      <c r="C25" s="239" t="s">
        <v>1517</v>
      </c>
      <c r="D25" s="239" t="s">
        <v>1552</v>
      </c>
      <c r="E25" s="240">
        <v>4</v>
      </c>
      <c r="F25" s="239" t="s">
        <v>1515</v>
      </c>
      <c r="G25" s="241">
        <v>0</v>
      </c>
      <c r="H25" s="241">
        <v>0</v>
      </c>
      <c r="I25" s="241">
        <v>2229633</v>
      </c>
      <c r="J25" s="241">
        <v>-2229633</v>
      </c>
    </row>
    <row r="26" spans="1:10" ht="25.5">
      <c r="A26" s="239" t="s">
        <v>36</v>
      </c>
      <c r="B26" s="239" t="s">
        <v>1553</v>
      </c>
      <c r="C26" s="239" t="s">
        <v>1517</v>
      </c>
      <c r="D26" s="239" t="s">
        <v>1554</v>
      </c>
      <c r="E26" s="240">
        <v>4</v>
      </c>
      <c r="F26" s="239" t="s">
        <v>1515</v>
      </c>
      <c r="G26" s="241">
        <v>0</v>
      </c>
      <c r="H26" s="241">
        <v>0</v>
      </c>
      <c r="I26" s="241">
        <v>5231650</v>
      </c>
      <c r="J26" s="241">
        <v>-5231650</v>
      </c>
    </row>
    <row r="27" spans="1:10" ht="25.5">
      <c r="A27" s="239" t="s">
        <v>36</v>
      </c>
      <c r="B27" s="239" t="s">
        <v>1555</v>
      </c>
      <c r="C27" s="239" t="s">
        <v>1517</v>
      </c>
      <c r="D27" s="239" t="s">
        <v>1556</v>
      </c>
      <c r="E27" s="240">
        <v>4</v>
      </c>
      <c r="F27" s="239" t="s">
        <v>1515</v>
      </c>
      <c r="G27" s="241">
        <v>0</v>
      </c>
      <c r="H27" s="241">
        <v>0</v>
      </c>
      <c r="I27" s="241">
        <v>50963819.420000002</v>
      </c>
      <c r="J27" s="241">
        <v>-50963819.420000002</v>
      </c>
    </row>
    <row r="28" spans="1:10" ht="25.5">
      <c r="A28" s="239" t="s">
        <v>36</v>
      </c>
      <c r="B28" s="239" t="s">
        <v>1557</v>
      </c>
      <c r="C28" s="239" t="s">
        <v>1517</v>
      </c>
      <c r="D28" s="239" t="s">
        <v>1558</v>
      </c>
      <c r="E28" s="240">
        <v>4</v>
      </c>
      <c r="F28" s="239" t="s">
        <v>1515</v>
      </c>
      <c r="G28" s="241">
        <v>0</v>
      </c>
      <c r="H28" s="241">
        <v>68733000</v>
      </c>
      <c r="I28" s="241">
        <v>17607000</v>
      </c>
      <c r="J28" s="241">
        <v>51126000</v>
      </c>
    </row>
    <row r="29" spans="1:10" ht="25.5">
      <c r="A29" s="239" t="s">
        <v>36</v>
      </c>
      <c r="B29" s="239" t="s">
        <v>1559</v>
      </c>
      <c r="C29" s="239" t="s">
        <v>1517</v>
      </c>
      <c r="D29" s="239" t="s">
        <v>1560</v>
      </c>
      <c r="E29" s="240">
        <v>4</v>
      </c>
      <c r="F29" s="239" t="s">
        <v>1515</v>
      </c>
      <c r="G29" s="241">
        <v>0</v>
      </c>
      <c r="H29" s="241">
        <v>6882666</v>
      </c>
      <c r="I29" s="241">
        <v>0</v>
      </c>
      <c r="J29" s="241">
        <v>6882666</v>
      </c>
    </row>
    <row r="30" spans="1:10" ht="25.5">
      <c r="A30" s="239" t="s">
        <v>36</v>
      </c>
      <c r="B30" s="239" t="s">
        <v>1561</v>
      </c>
      <c r="C30" s="239" t="s">
        <v>1517</v>
      </c>
      <c r="D30" s="239" t="s">
        <v>1562</v>
      </c>
      <c r="E30" s="240">
        <v>4</v>
      </c>
      <c r="F30" s="239" t="s">
        <v>1515</v>
      </c>
      <c r="G30" s="241">
        <v>0</v>
      </c>
      <c r="H30" s="241">
        <v>0</v>
      </c>
      <c r="I30" s="241">
        <v>5071522</v>
      </c>
      <c r="J30" s="241">
        <v>-5071522</v>
      </c>
    </row>
    <row r="31" spans="1:10" ht="25.5">
      <c r="A31" s="239" t="s">
        <v>36</v>
      </c>
      <c r="B31" s="239" t="s">
        <v>1563</v>
      </c>
      <c r="C31" s="239" t="s">
        <v>1517</v>
      </c>
      <c r="D31" s="239" t="s">
        <v>1564</v>
      </c>
      <c r="E31" s="240">
        <v>4</v>
      </c>
      <c r="F31" s="239" t="s">
        <v>1515</v>
      </c>
      <c r="G31" s="241">
        <v>0</v>
      </c>
      <c r="H31" s="241">
        <v>0</v>
      </c>
      <c r="I31" s="241">
        <v>51596481</v>
      </c>
      <c r="J31" s="241">
        <v>-51596481</v>
      </c>
    </row>
    <row r="32" spans="1:10" ht="25.5">
      <c r="A32" s="239" t="s">
        <v>36</v>
      </c>
      <c r="B32" s="239" t="s">
        <v>1565</v>
      </c>
      <c r="C32" s="239" t="s">
        <v>1517</v>
      </c>
      <c r="D32" s="239" t="s">
        <v>1566</v>
      </c>
      <c r="E32" s="240">
        <v>4</v>
      </c>
      <c r="F32" s="239" t="s">
        <v>1515</v>
      </c>
      <c r="G32" s="241">
        <v>0</v>
      </c>
      <c r="H32" s="241">
        <v>0</v>
      </c>
      <c r="I32" s="241">
        <v>2759200</v>
      </c>
      <c r="J32" s="241">
        <v>-2759200</v>
      </c>
    </row>
    <row r="33" spans="1:10" ht="25.5">
      <c r="A33" s="239" t="s">
        <v>36</v>
      </c>
      <c r="B33" s="239" t="s">
        <v>1567</v>
      </c>
      <c r="C33" s="239" t="s">
        <v>1517</v>
      </c>
      <c r="D33" s="239" t="s">
        <v>1568</v>
      </c>
      <c r="E33" s="240">
        <v>4</v>
      </c>
      <c r="F33" s="239" t="s">
        <v>1515</v>
      </c>
      <c r="G33" s="241">
        <v>0</v>
      </c>
      <c r="H33" s="241">
        <v>0</v>
      </c>
      <c r="I33" s="241">
        <v>1391973.08</v>
      </c>
      <c r="J33" s="241">
        <v>-1391973.08</v>
      </c>
    </row>
    <row r="34" spans="1:10" ht="25.5">
      <c r="A34" s="239" t="s">
        <v>36</v>
      </c>
      <c r="B34" s="239" t="s">
        <v>1569</v>
      </c>
      <c r="C34" s="239" t="s">
        <v>1517</v>
      </c>
      <c r="D34" s="239" t="s">
        <v>1570</v>
      </c>
      <c r="E34" s="240">
        <v>4</v>
      </c>
      <c r="F34" s="239" t="s">
        <v>1515</v>
      </c>
      <c r="G34" s="241">
        <v>0</v>
      </c>
      <c r="H34" s="241">
        <v>5000000</v>
      </c>
      <c r="I34" s="241">
        <v>39550880</v>
      </c>
      <c r="J34" s="241">
        <v>-34550880</v>
      </c>
    </row>
    <row r="35" spans="1:10" ht="25.5">
      <c r="A35" s="239" t="s">
        <v>36</v>
      </c>
      <c r="B35" s="239" t="s">
        <v>1571</v>
      </c>
      <c r="C35" s="239" t="s">
        <v>1517</v>
      </c>
      <c r="D35" s="239" t="s">
        <v>1572</v>
      </c>
      <c r="E35" s="240">
        <v>4</v>
      </c>
      <c r="F35" s="239" t="s">
        <v>1515</v>
      </c>
      <c r="G35" s="241">
        <v>0</v>
      </c>
      <c r="H35" s="241">
        <v>0</v>
      </c>
      <c r="I35" s="241">
        <v>69080510</v>
      </c>
      <c r="J35" s="241">
        <v>-69080510</v>
      </c>
    </row>
    <row r="36" spans="1:10" ht="25.5">
      <c r="A36" s="239" t="s">
        <v>36</v>
      </c>
      <c r="B36" s="239" t="s">
        <v>1573</v>
      </c>
      <c r="C36" s="239" t="s">
        <v>1517</v>
      </c>
      <c r="D36" s="239" t="s">
        <v>1574</v>
      </c>
      <c r="E36" s="240">
        <v>4</v>
      </c>
      <c r="F36" s="239" t="s">
        <v>1515</v>
      </c>
      <c r="G36" s="241">
        <v>0</v>
      </c>
      <c r="H36" s="241">
        <v>0</v>
      </c>
      <c r="I36" s="241">
        <v>23639297</v>
      </c>
      <c r="J36" s="241">
        <v>-23639297</v>
      </c>
    </row>
    <row r="37" spans="1:10" ht="25.5">
      <c r="A37" s="239" t="s">
        <v>36</v>
      </c>
      <c r="B37" s="239" t="s">
        <v>1575</v>
      </c>
      <c r="C37" s="239" t="s">
        <v>1517</v>
      </c>
      <c r="D37" s="239" t="s">
        <v>1576</v>
      </c>
      <c r="E37" s="240">
        <v>4</v>
      </c>
      <c r="F37" s="239" t="s">
        <v>1515</v>
      </c>
      <c r="G37" s="241">
        <v>0</v>
      </c>
      <c r="H37" s="241">
        <v>0</v>
      </c>
      <c r="I37" s="241">
        <v>11600000</v>
      </c>
      <c r="J37" s="241">
        <v>-11600000</v>
      </c>
    </row>
    <row r="38" spans="1:10" ht="25.5">
      <c r="A38" s="239" t="s">
        <v>36</v>
      </c>
      <c r="B38" s="239" t="s">
        <v>1577</v>
      </c>
      <c r="C38" s="239" t="s">
        <v>1517</v>
      </c>
      <c r="D38" s="239" t="s">
        <v>1578</v>
      </c>
      <c r="E38" s="240">
        <v>4</v>
      </c>
      <c r="F38" s="239" t="s">
        <v>1515</v>
      </c>
      <c r="G38" s="241">
        <v>0</v>
      </c>
      <c r="H38" s="241">
        <v>0</v>
      </c>
      <c r="I38" s="241">
        <v>3175450</v>
      </c>
      <c r="J38" s="241">
        <v>-3175450</v>
      </c>
    </row>
    <row r="39" spans="1:10" ht="25.5">
      <c r="A39" s="239" t="s">
        <v>36</v>
      </c>
      <c r="B39" s="239" t="s">
        <v>1579</v>
      </c>
      <c r="C39" s="239" t="s">
        <v>1517</v>
      </c>
      <c r="D39" s="239" t="s">
        <v>1580</v>
      </c>
      <c r="E39" s="240">
        <v>4</v>
      </c>
      <c r="F39" s="239" t="s">
        <v>1515</v>
      </c>
      <c r="G39" s="241">
        <v>0</v>
      </c>
      <c r="H39" s="241">
        <v>82688.31</v>
      </c>
      <c r="I39" s="241">
        <v>6206931.79</v>
      </c>
      <c r="J39" s="241">
        <v>-6124243.4800000004</v>
      </c>
    </row>
    <row r="40" spans="1:10" ht="25.5">
      <c r="A40" s="239" t="s">
        <v>36</v>
      </c>
      <c r="B40" s="239" t="s">
        <v>1581</v>
      </c>
      <c r="C40" s="239" t="s">
        <v>1517</v>
      </c>
      <c r="D40" s="239" t="s">
        <v>1582</v>
      </c>
      <c r="E40" s="240">
        <v>4</v>
      </c>
      <c r="F40" s="239" t="s">
        <v>1515</v>
      </c>
      <c r="G40" s="241">
        <v>0</v>
      </c>
      <c r="H40" s="241">
        <v>0</v>
      </c>
      <c r="I40" s="241">
        <v>365382</v>
      </c>
      <c r="J40" s="241">
        <v>-365382</v>
      </c>
    </row>
    <row r="41" spans="1:10" ht="25.5">
      <c r="A41" s="239" t="s">
        <v>36</v>
      </c>
      <c r="B41" s="239" t="s">
        <v>1583</v>
      </c>
      <c r="C41" s="239" t="s">
        <v>1517</v>
      </c>
      <c r="D41" s="239" t="s">
        <v>1584</v>
      </c>
      <c r="E41" s="240">
        <v>4</v>
      </c>
      <c r="F41" s="239" t="s">
        <v>1515</v>
      </c>
      <c r="G41" s="241">
        <v>0</v>
      </c>
      <c r="H41" s="241">
        <v>0</v>
      </c>
      <c r="I41" s="241">
        <v>4711000</v>
      </c>
      <c r="J41" s="241">
        <v>-4711000</v>
      </c>
    </row>
    <row r="42" spans="1:10" ht="25.5">
      <c r="A42" s="239" t="s">
        <v>36</v>
      </c>
      <c r="B42" s="239" t="s">
        <v>1585</v>
      </c>
      <c r="C42" s="239" t="s">
        <v>1517</v>
      </c>
      <c r="D42" s="239" t="s">
        <v>1586</v>
      </c>
      <c r="E42" s="240">
        <v>4</v>
      </c>
      <c r="F42" s="239" t="s">
        <v>1515</v>
      </c>
      <c r="G42" s="241">
        <v>0</v>
      </c>
      <c r="H42" s="241">
        <v>0</v>
      </c>
      <c r="I42" s="241">
        <v>16027440</v>
      </c>
      <c r="J42" s="241">
        <v>-16027440</v>
      </c>
    </row>
    <row r="43" spans="1:10" ht="25.5">
      <c r="A43" s="239" t="s">
        <v>36</v>
      </c>
      <c r="B43" s="239" t="s">
        <v>1587</v>
      </c>
      <c r="C43" s="239" t="s">
        <v>1517</v>
      </c>
      <c r="D43" s="239" t="s">
        <v>1588</v>
      </c>
      <c r="E43" s="240">
        <v>4</v>
      </c>
      <c r="F43" s="239" t="s">
        <v>1515</v>
      </c>
      <c r="G43" s="241">
        <v>0</v>
      </c>
      <c r="H43" s="241">
        <v>0</v>
      </c>
      <c r="I43" s="241">
        <v>89950</v>
      </c>
      <c r="J43" s="241">
        <v>-89950</v>
      </c>
    </row>
    <row r="44" spans="1:10" ht="25.5">
      <c r="A44" s="239" t="s">
        <v>36</v>
      </c>
      <c r="B44" s="239" t="s">
        <v>1589</v>
      </c>
      <c r="C44" s="239" t="s">
        <v>1517</v>
      </c>
      <c r="D44" s="239" t="s">
        <v>1590</v>
      </c>
      <c r="E44" s="240">
        <v>4</v>
      </c>
      <c r="F44" s="239" t="s">
        <v>1515</v>
      </c>
      <c r="G44" s="241">
        <v>0</v>
      </c>
      <c r="H44" s="241">
        <v>0</v>
      </c>
      <c r="I44" s="241">
        <v>2890719</v>
      </c>
      <c r="J44" s="241">
        <v>-2890719</v>
      </c>
    </row>
    <row r="45" spans="1:10" ht="25.5">
      <c r="A45" s="239" t="s">
        <v>36</v>
      </c>
      <c r="B45" s="239" t="s">
        <v>1591</v>
      </c>
      <c r="C45" s="239" t="s">
        <v>1517</v>
      </c>
      <c r="D45" s="239" t="s">
        <v>1592</v>
      </c>
      <c r="E45" s="240">
        <v>4</v>
      </c>
      <c r="F45" s="239" t="s">
        <v>1515</v>
      </c>
      <c r="G45" s="241">
        <v>0</v>
      </c>
      <c r="H45" s="241">
        <v>0</v>
      </c>
      <c r="I45" s="241">
        <v>855000</v>
      </c>
      <c r="J45" s="241">
        <v>-855000</v>
      </c>
    </row>
    <row r="46" spans="1:10" ht="25.5">
      <c r="A46" s="239" t="s">
        <v>36</v>
      </c>
      <c r="B46" s="239" t="s">
        <v>1593</v>
      </c>
      <c r="C46" s="239" t="s">
        <v>1517</v>
      </c>
      <c r="D46" s="239" t="s">
        <v>1594</v>
      </c>
      <c r="E46" s="240">
        <v>4</v>
      </c>
      <c r="F46" s="239" t="s">
        <v>1515</v>
      </c>
      <c r="G46" s="241">
        <v>0</v>
      </c>
      <c r="H46" s="241">
        <v>0</v>
      </c>
      <c r="I46" s="241">
        <v>74000</v>
      </c>
      <c r="J46" s="241">
        <v>-74000</v>
      </c>
    </row>
    <row r="47" spans="1:10" ht="25.5">
      <c r="A47" s="239" t="s">
        <v>36</v>
      </c>
      <c r="B47" s="239" t="s">
        <v>1595</v>
      </c>
      <c r="C47" s="239" t="s">
        <v>1517</v>
      </c>
      <c r="D47" s="239" t="s">
        <v>1596</v>
      </c>
      <c r="E47" s="240">
        <v>4</v>
      </c>
      <c r="F47" s="239" t="s">
        <v>1515</v>
      </c>
      <c r="G47" s="241">
        <v>0</v>
      </c>
      <c r="H47" s="241">
        <v>0</v>
      </c>
      <c r="I47" s="241">
        <v>204990</v>
      </c>
      <c r="J47" s="241">
        <v>-204990</v>
      </c>
    </row>
    <row r="48" spans="1:10" ht="25.5">
      <c r="A48" s="239" t="s">
        <v>36</v>
      </c>
      <c r="B48" s="239" t="s">
        <v>1597</v>
      </c>
      <c r="C48" s="239" t="s">
        <v>1517</v>
      </c>
      <c r="D48" s="239" t="s">
        <v>1598</v>
      </c>
      <c r="E48" s="240">
        <v>4</v>
      </c>
      <c r="F48" s="239" t="s">
        <v>1515</v>
      </c>
      <c r="G48" s="241">
        <v>0</v>
      </c>
      <c r="H48" s="241">
        <v>0</v>
      </c>
      <c r="I48" s="241">
        <v>1578226</v>
      </c>
      <c r="J48" s="241">
        <v>-1578226</v>
      </c>
    </row>
    <row r="49" spans="1:10" ht="25.5">
      <c r="A49" s="239" t="s">
        <v>36</v>
      </c>
      <c r="B49" s="239" t="s">
        <v>1599</v>
      </c>
      <c r="C49" s="239" t="s">
        <v>1517</v>
      </c>
      <c r="D49" s="239" t="s">
        <v>1600</v>
      </c>
      <c r="E49" s="240">
        <v>4</v>
      </c>
      <c r="F49" s="239" t="s">
        <v>1515</v>
      </c>
      <c r="G49" s="241">
        <v>0</v>
      </c>
      <c r="H49" s="241">
        <v>0</v>
      </c>
      <c r="I49" s="241">
        <v>206304042.5</v>
      </c>
      <c r="J49" s="241">
        <v>-206304042.5</v>
      </c>
    </row>
    <row r="50" spans="1:10" ht="25.5">
      <c r="A50" s="239" t="s">
        <v>36</v>
      </c>
      <c r="B50" s="239" t="s">
        <v>1601</v>
      </c>
      <c r="C50" s="239" t="s">
        <v>1517</v>
      </c>
      <c r="D50" s="239" t="s">
        <v>1602</v>
      </c>
      <c r="E50" s="240">
        <v>4</v>
      </c>
      <c r="F50" s="239" t="s">
        <v>1515</v>
      </c>
      <c r="G50" s="241">
        <v>0</v>
      </c>
      <c r="H50" s="241">
        <v>0</v>
      </c>
      <c r="I50" s="241">
        <v>8825886</v>
      </c>
      <c r="J50" s="241">
        <v>-8825886</v>
      </c>
    </row>
    <row r="51" spans="1:10" ht="25.5">
      <c r="A51" s="239" t="s">
        <v>36</v>
      </c>
      <c r="B51" s="239" t="s">
        <v>1603</v>
      </c>
      <c r="C51" s="239" t="s">
        <v>1517</v>
      </c>
      <c r="D51" s="239" t="s">
        <v>1604</v>
      </c>
      <c r="E51" s="240">
        <v>4</v>
      </c>
      <c r="F51" s="239" t="s">
        <v>1515</v>
      </c>
      <c r="G51" s="241">
        <v>0</v>
      </c>
      <c r="H51" s="241">
        <v>0</v>
      </c>
      <c r="I51" s="241">
        <v>248506</v>
      </c>
      <c r="J51" s="241">
        <v>-248506</v>
      </c>
    </row>
    <row r="52" spans="1:10" ht="25.5">
      <c r="A52" s="239" t="s">
        <v>36</v>
      </c>
      <c r="B52" s="239" t="s">
        <v>1605</v>
      </c>
      <c r="C52" s="239" t="s">
        <v>1517</v>
      </c>
      <c r="D52" s="239" t="s">
        <v>1606</v>
      </c>
      <c r="E52" s="240">
        <v>4</v>
      </c>
      <c r="F52" s="239" t="s">
        <v>1515</v>
      </c>
      <c r="G52" s="241">
        <v>0</v>
      </c>
      <c r="H52" s="241">
        <v>0</v>
      </c>
      <c r="I52" s="241">
        <v>31069882.579999998</v>
      </c>
      <c r="J52" s="241">
        <v>-31069882.579999998</v>
      </c>
    </row>
    <row r="53" spans="1:10" ht="25.5">
      <c r="A53" s="239" t="s">
        <v>36</v>
      </c>
      <c r="B53" s="239" t="s">
        <v>1607</v>
      </c>
      <c r="C53" s="239" t="s">
        <v>1517</v>
      </c>
      <c r="D53" s="239" t="s">
        <v>1608</v>
      </c>
      <c r="E53" s="240">
        <v>4</v>
      </c>
      <c r="F53" s="239" t="s">
        <v>1515</v>
      </c>
      <c r="G53" s="241">
        <v>0</v>
      </c>
      <c r="H53" s="241">
        <v>0</v>
      </c>
      <c r="I53" s="241">
        <v>2553145</v>
      </c>
      <c r="J53" s="241">
        <v>-2553145</v>
      </c>
    </row>
    <row r="54" spans="1:10" ht="25.5">
      <c r="A54" s="239" t="s">
        <v>36</v>
      </c>
      <c r="B54" s="239" t="s">
        <v>1609</v>
      </c>
      <c r="C54" s="239" t="s">
        <v>1517</v>
      </c>
      <c r="D54" s="239" t="s">
        <v>1610</v>
      </c>
      <c r="E54" s="240">
        <v>4</v>
      </c>
      <c r="F54" s="239" t="s">
        <v>1515</v>
      </c>
      <c r="G54" s="241">
        <v>0</v>
      </c>
      <c r="H54" s="241">
        <v>0</v>
      </c>
      <c r="I54" s="241">
        <v>379134</v>
      </c>
      <c r="J54" s="241">
        <v>-379134</v>
      </c>
    </row>
    <row r="55" spans="1:10" ht="25.5">
      <c r="A55" s="239" t="s">
        <v>36</v>
      </c>
      <c r="B55" s="239" t="s">
        <v>1516</v>
      </c>
      <c r="C55" s="239" t="s">
        <v>1517</v>
      </c>
      <c r="D55" s="239" t="s">
        <v>1518</v>
      </c>
      <c r="E55" s="240">
        <v>4</v>
      </c>
      <c r="F55" s="239" t="s">
        <v>1515</v>
      </c>
      <c r="G55" s="241">
        <v>39647196.509999998</v>
      </c>
      <c r="H55" s="241">
        <v>0</v>
      </c>
      <c r="I55" s="241">
        <v>0</v>
      </c>
      <c r="J55" s="241">
        <v>39647196.509999998</v>
      </c>
    </row>
    <row r="56" spans="1:10" ht="25.5">
      <c r="A56" s="239" t="s">
        <v>36</v>
      </c>
      <c r="B56" s="239" t="s">
        <v>1611</v>
      </c>
      <c r="C56" s="239" t="s">
        <v>1517</v>
      </c>
      <c r="D56" s="239" t="s">
        <v>1612</v>
      </c>
      <c r="E56" s="240">
        <v>4</v>
      </c>
      <c r="F56" s="239" t="s">
        <v>1515</v>
      </c>
      <c r="G56" s="241">
        <v>0</v>
      </c>
      <c r="H56" s="241">
        <v>0</v>
      </c>
      <c r="I56" s="241">
        <v>3704015</v>
      </c>
      <c r="J56" s="241">
        <v>-3704015</v>
      </c>
    </row>
    <row r="57" spans="1:10">
      <c r="A57" s="239" t="s">
        <v>56</v>
      </c>
      <c r="B57" s="239"/>
      <c r="C57" s="239"/>
      <c r="D57" s="239" t="s">
        <v>57</v>
      </c>
      <c r="E57" s="240">
        <v>2</v>
      </c>
      <c r="F57" s="239" t="s">
        <v>1515</v>
      </c>
      <c r="G57" s="241">
        <v>104090497.88</v>
      </c>
      <c r="H57" s="241">
        <v>1151635960.8399999</v>
      </c>
      <c r="I57" s="241">
        <v>1216533458.72</v>
      </c>
      <c r="J57" s="241">
        <v>39193000</v>
      </c>
    </row>
    <row r="58" spans="1:10">
      <c r="A58" s="239" t="s">
        <v>58</v>
      </c>
      <c r="B58" s="239"/>
      <c r="C58" s="239"/>
      <c r="D58" s="239" t="s">
        <v>59</v>
      </c>
      <c r="E58" s="240">
        <v>3</v>
      </c>
      <c r="F58" s="239" t="s">
        <v>1515</v>
      </c>
      <c r="G58" s="241">
        <v>35250626.880000003</v>
      </c>
      <c r="H58" s="241">
        <v>885414488.84000003</v>
      </c>
      <c r="I58" s="241">
        <v>920665115.72000003</v>
      </c>
      <c r="J58" s="241">
        <v>0</v>
      </c>
    </row>
    <row r="59" spans="1:10">
      <c r="A59" s="239" t="s">
        <v>60</v>
      </c>
      <c r="B59" s="239"/>
      <c r="C59" s="239"/>
      <c r="D59" s="239" t="s">
        <v>61</v>
      </c>
      <c r="E59" s="240">
        <v>4</v>
      </c>
      <c r="F59" s="239" t="s">
        <v>1515</v>
      </c>
      <c r="G59" s="241">
        <v>0</v>
      </c>
      <c r="H59" s="241">
        <v>129085600</v>
      </c>
      <c r="I59" s="241">
        <v>129085600</v>
      </c>
      <c r="J59" s="241">
        <v>0</v>
      </c>
    </row>
    <row r="60" spans="1:10">
      <c r="A60" s="239" t="s">
        <v>60</v>
      </c>
      <c r="B60" s="239" t="s">
        <v>1543</v>
      </c>
      <c r="C60" s="239" t="s">
        <v>1517</v>
      </c>
      <c r="D60" s="239" t="s">
        <v>1544</v>
      </c>
      <c r="E60" s="240">
        <v>4</v>
      </c>
      <c r="F60" s="239" t="s">
        <v>1515</v>
      </c>
      <c r="G60" s="241">
        <v>0</v>
      </c>
      <c r="H60" s="241">
        <v>129085600</v>
      </c>
      <c r="I60" s="241">
        <v>129085600</v>
      </c>
      <c r="J60" s="241">
        <v>0</v>
      </c>
    </row>
    <row r="61" spans="1:10">
      <c r="A61" s="239" t="s">
        <v>63</v>
      </c>
      <c r="B61" s="239"/>
      <c r="C61" s="239"/>
      <c r="D61" s="239" t="s">
        <v>64</v>
      </c>
      <c r="E61" s="240">
        <v>4</v>
      </c>
      <c r="F61" s="239" t="s">
        <v>1515</v>
      </c>
      <c r="G61" s="241">
        <v>35250626.880000003</v>
      </c>
      <c r="H61" s="241">
        <v>756328888.84000003</v>
      </c>
      <c r="I61" s="241">
        <v>791579515.72000003</v>
      </c>
      <c r="J61" s="241">
        <v>0</v>
      </c>
    </row>
    <row r="62" spans="1:10">
      <c r="A62" s="239" t="s">
        <v>63</v>
      </c>
      <c r="B62" s="239" t="s">
        <v>1543</v>
      </c>
      <c r="C62" s="239" t="s">
        <v>1517</v>
      </c>
      <c r="D62" s="239" t="s">
        <v>1544</v>
      </c>
      <c r="E62" s="240">
        <v>4</v>
      </c>
      <c r="F62" s="239" t="s">
        <v>1515</v>
      </c>
      <c r="G62" s="241">
        <v>35250626.880000003</v>
      </c>
      <c r="H62" s="241">
        <v>756328888.84000003</v>
      </c>
      <c r="I62" s="241">
        <v>791579515.72000003</v>
      </c>
      <c r="J62" s="241">
        <v>0</v>
      </c>
    </row>
    <row r="63" spans="1:10">
      <c r="A63" s="239" t="s">
        <v>68</v>
      </c>
      <c r="B63" s="239"/>
      <c r="C63" s="239"/>
      <c r="D63" s="239" t="s">
        <v>69</v>
      </c>
      <c r="E63" s="240">
        <v>3</v>
      </c>
      <c r="F63" s="239" t="s">
        <v>1515</v>
      </c>
      <c r="G63" s="241">
        <v>0</v>
      </c>
      <c r="H63" s="241">
        <v>100600000</v>
      </c>
      <c r="I63" s="241">
        <v>100600000</v>
      </c>
      <c r="J63" s="241">
        <v>0</v>
      </c>
    </row>
    <row r="64" spans="1:10">
      <c r="A64" s="239" t="s">
        <v>76</v>
      </c>
      <c r="B64" s="239"/>
      <c r="C64" s="239"/>
      <c r="D64" s="239" t="s">
        <v>77</v>
      </c>
      <c r="E64" s="240">
        <v>4</v>
      </c>
      <c r="F64" s="239" t="s">
        <v>1515</v>
      </c>
      <c r="G64" s="241">
        <v>0</v>
      </c>
      <c r="H64" s="241">
        <v>100600000</v>
      </c>
      <c r="I64" s="241">
        <v>100600000</v>
      </c>
      <c r="J64" s="241">
        <v>0</v>
      </c>
    </row>
    <row r="65" spans="1:10" ht="25.5">
      <c r="A65" s="239" t="s">
        <v>76</v>
      </c>
      <c r="B65" s="239" t="s">
        <v>1537</v>
      </c>
      <c r="C65" s="239" t="s">
        <v>1517</v>
      </c>
      <c r="D65" s="239" t="s">
        <v>1538</v>
      </c>
      <c r="E65" s="240">
        <v>4</v>
      </c>
      <c r="F65" s="239" t="s">
        <v>1515</v>
      </c>
      <c r="G65" s="241">
        <v>0</v>
      </c>
      <c r="H65" s="241">
        <v>100600000</v>
      </c>
      <c r="I65" s="241">
        <v>100600000</v>
      </c>
      <c r="J65" s="241">
        <v>0</v>
      </c>
    </row>
    <row r="66" spans="1:10" ht="25.5">
      <c r="A66" s="239" t="s">
        <v>110</v>
      </c>
      <c r="B66" s="239"/>
      <c r="C66" s="239"/>
      <c r="D66" s="239" t="s">
        <v>111</v>
      </c>
      <c r="E66" s="240">
        <v>3</v>
      </c>
      <c r="F66" s="239" t="s">
        <v>1515</v>
      </c>
      <c r="G66" s="241">
        <v>400000</v>
      </c>
      <c r="H66" s="241">
        <v>0</v>
      </c>
      <c r="I66" s="241">
        <v>400000</v>
      </c>
      <c r="J66" s="241">
        <v>0</v>
      </c>
    </row>
    <row r="67" spans="1:10">
      <c r="A67" s="239" t="s">
        <v>115</v>
      </c>
      <c r="B67" s="239"/>
      <c r="C67" s="239"/>
      <c r="D67" s="239" t="s">
        <v>116</v>
      </c>
      <c r="E67" s="240">
        <v>4</v>
      </c>
      <c r="F67" s="239" t="s">
        <v>1515</v>
      </c>
      <c r="G67" s="241">
        <v>400000</v>
      </c>
      <c r="H67" s="241">
        <v>0</v>
      </c>
      <c r="I67" s="241">
        <v>400000</v>
      </c>
      <c r="J67" s="241">
        <v>0</v>
      </c>
    </row>
    <row r="68" spans="1:10" ht="25.5">
      <c r="A68" s="239" t="s">
        <v>115</v>
      </c>
      <c r="B68" s="239" t="s">
        <v>1537</v>
      </c>
      <c r="C68" s="239" t="s">
        <v>1517</v>
      </c>
      <c r="D68" s="239" t="s">
        <v>1538</v>
      </c>
      <c r="E68" s="240">
        <v>4</v>
      </c>
      <c r="F68" s="239" t="s">
        <v>1515</v>
      </c>
      <c r="G68" s="241">
        <v>400000</v>
      </c>
      <c r="H68" s="241">
        <v>0</v>
      </c>
      <c r="I68" s="241">
        <v>400000</v>
      </c>
      <c r="J68" s="241">
        <v>0</v>
      </c>
    </row>
    <row r="69" spans="1:10">
      <c r="A69" s="239" t="s">
        <v>120</v>
      </c>
      <c r="B69" s="239"/>
      <c r="C69" s="239"/>
      <c r="D69" s="239" t="s">
        <v>121</v>
      </c>
      <c r="E69" s="240">
        <v>3</v>
      </c>
      <c r="F69" s="239" t="s">
        <v>1515</v>
      </c>
      <c r="G69" s="241">
        <v>27042</v>
      </c>
      <c r="H69" s="241">
        <v>24563930</v>
      </c>
      <c r="I69" s="241">
        <v>24590972</v>
      </c>
      <c r="J69" s="241">
        <v>0</v>
      </c>
    </row>
    <row r="70" spans="1:10">
      <c r="A70" s="239" t="s">
        <v>122</v>
      </c>
      <c r="B70" s="239"/>
      <c r="C70" s="239"/>
      <c r="D70" s="239" t="s">
        <v>123</v>
      </c>
      <c r="E70" s="240">
        <v>4</v>
      </c>
      <c r="F70" s="239" t="s">
        <v>1515</v>
      </c>
      <c r="G70" s="241">
        <v>27042</v>
      </c>
      <c r="H70" s="241">
        <v>21563930</v>
      </c>
      <c r="I70" s="241">
        <v>21590972</v>
      </c>
      <c r="J70" s="241">
        <v>0</v>
      </c>
    </row>
    <row r="71" spans="1:10">
      <c r="A71" s="239" t="s">
        <v>128</v>
      </c>
      <c r="B71" s="239"/>
      <c r="C71" s="239"/>
      <c r="D71" s="239" t="s">
        <v>129</v>
      </c>
      <c r="E71" s="240">
        <v>5</v>
      </c>
      <c r="F71" s="239" t="s">
        <v>1515</v>
      </c>
      <c r="G71" s="241">
        <v>27042</v>
      </c>
      <c r="H71" s="241">
        <v>21563930</v>
      </c>
      <c r="I71" s="241">
        <v>21590972</v>
      </c>
      <c r="J71" s="241">
        <v>0</v>
      </c>
    </row>
    <row r="72" spans="1:10" ht="25.5">
      <c r="A72" s="239" t="s">
        <v>128</v>
      </c>
      <c r="B72" s="239" t="s">
        <v>1553</v>
      </c>
      <c r="C72" s="239" t="s">
        <v>1517</v>
      </c>
      <c r="D72" s="239" t="s">
        <v>1554</v>
      </c>
      <c r="E72" s="240">
        <v>5</v>
      </c>
      <c r="F72" s="239" t="s">
        <v>1515</v>
      </c>
      <c r="G72" s="241">
        <v>0</v>
      </c>
      <c r="H72" s="241">
        <v>297500</v>
      </c>
      <c r="I72" s="241">
        <v>297500</v>
      </c>
      <c r="J72" s="241">
        <v>0</v>
      </c>
    </row>
    <row r="73" spans="1:10" ht="25.5">
      <c r="A73" s="239" t="s">
        <v>128</v>
      </c>
      <c r="B73" s="239" t="s">
        <v>1563</v>
      </c>
      <c r="C73" s="239" t="s">
        <v>1517</v>
      </c>
      <c r="D73" s="239" t="s">
        <v>1564</v>
      </c>
      <c r="E73" s="240">
        <v>5</v>
      </c>
      <c r="F73" s="239" t="s">
        <v>1515</v>
      </c>
      <c r="G73" s="241">
        <v>27042</v>
      </c>
      <c r="H73" s="241">
        <v>20811042</v>
      </c>
      <c r="I73" s="241">
        <v>20838084</v>
      </c>
      <c r="J73" s="241">
        <v>0</v>
      </c>
    </row>
    <row r="74" spans="1:10" ht="25.5">
      <c r="A74" s="239" t="s">
        <v>128</v>
      </c>
      <c r="B74" s="239" t="s">
        <v>1609</v>
      </c>
      <c r="C74" s="239" t="s">
        <v>1517</v>
      </c>
      <c r="D74" s="239" t="s">
        <v>1610</v>
      </c>
      <c r="E74" s="240">
        <v>5</v>
      </c>
      <c r="F74" s="239" t="s">
        <v>1515</v>
      </c>
      <c r="G74" s="241">
        <v>0</v>
      </c>
      <c r="H74" s="241">
        <v>379134</v>
      </c>
      <c r="I74" s="241">
        <v>379134</v>
      </c>
      <c r="J74" s="241">
        <v>0</v>
      </c>
    </row>
    <row r="75" spans="1:10" ht="25.5">
      <c r="A75" s="239" t="s">
        <v>128</v>
      </c>
      <c r="B75" s="239" t="s">
        <v>1611</v>
      </c>
      <c r="C75" s="239" t="s">
        <v>1517</v>
      </c>
      <c r="D75" s="239" t="s">
        <v>1612</v>
      </c>
      <c r="E75" s="240">
        <v>5</v>
      </c>
      <c r="F75" s="239" t="s">
        <v>1515</v>
      </c>
      <c r="G75" s="241">
        <v>0</v>
      </c>
      <c r="H75" s="241">
        <v>76254</v>
      </c>
      <c r="I75" s="241">
        <v>76254</v>
      </c>
      <c r="J75" s="241">
        <v>0</v>
      </c>
    </row>
    <row r="76" spans="1:10">
      <c r="A76" s="239" t="s">
        <v>137</v>
      </c>
      <c r="B76" s="239"/>
      <c r="C76" s="239"/>
      <c r="D76" s="239" t="s">
        <v>138</v>
      </c>
      <c r="E76" s="240">
        <v>4</v>
      </c>
      <c r="F76" s="239" t="s">
        <v>1515</v>
      </c>
      <c r="G76" s="241">
        <v>0</v>
      </c>
      <c r="H76" s="241">
        <v>3000000</v>
      </c>
      <c r="I76" s="241">
        <v>3000000</v>
      </c>
      <c r="J76" s="241">
        <v>0</v>
      </c>
    </row>
    <row r="77" spans="1:10" ht="25.5">
      <c r="A77" s="239" t="s">
        <v>137</v>
      </c>
      <c r="B77" s="239" t="s">
        <v>1521</v>
      </c>
      <c r="C77" s="239" t="s">
        <v>1517</v>
      </c>
      <c r="D77" s="239" t="s">
        <v>1522</v>
      </c>
      <c r="E77" s="240">
        <v>4</v>
      </c>
      <c r="F77" s="239" t="s">
        <v>1515</v>
      </c>
      <c r="G77" s="241">
        <v>0</v>
      </c>
      <c r="H77" s="241">
        <v>800000</v>
      </c>
      <c r="I77" s="241">
        <v>800000</v>
      </c>
      <c r="J77" s="241">
        <v>0</v>
      </c>
    </row>
    <row r="78" spans="1:10" ht="25.5">
      <c r="A78" s="239" t="s">
        <v>137</v>
      </c>
      <c r="B78" s="239" t="s">
        <v>1523</v>
      </c>
      <c r="C78" s="239" t="s">
        <v>1517</v>
      </c>
      <c r="D78" s="239" t="s">
        <v>1524</v>
      </c>
      <c r="E78" s="240">
        <v>4</v>
      </c>
      <c r="F78" s="239" t="s">
        <v>1515</v>
      </c>
      <c r="G78" s="241">
        <v>0</v>
      </c>
      <c r="H78" s="241">
        <v>600000</v>
      </c>
      <c r="I78" s="241">
        <v>600000</v>
      </c>
      <c r="J78" s="241">
        <v>0</v>
      </c>
    </row>
    <row r="79" spans="1:10" ht="25.5">
      <c r="A79" s="239" t="s">
        <v>137</v>
      </c>
      <c r="B79" s="239" t="s">
        <v>1525</v>
      </c>
      <c r="C79" s="239" t="s">
        <v>1517</v>
      </c>
      <c r="D79" s="239" t="s">
        <v>1526</v>
      </c>
      <c r="E79" s="240">
        <v>4</v>
      </c>
      <c r="F79" s="239" t="s">
        <v>1515</v>
      </c>
      <c r="G79" s="241">
        <v>0</v>
      </c>
      <c r="H79" s="241">
        <v>200000</v>
      </c>
      <c r="I79" s="241">
        <v>200000</v>
      </c>
      <c r="J79" s="241">
        <v>0</v>
      </c>
    </row>
    <row r="80" spans="1:10" ht="25.5">
      <c r="A80" s="239" t="s">
        <v>137</v>
      </c>
      <c r="B80" s="239" t="s">
        <v>1527</v>
      </c>
      <c r="C80" s="239" t="s">
        <v>1517</v>
      </c>
      <c r="D80" s="239" t="s">
        <v>1528</v>
      </c>
      <c r="E80" s="240">
        <v>4</v>
      </c>
      <c r="F80" s="239" t="s">
        <v>1515</v>
      </c>
      <c r="G80" s="241">
        <v>0</v>
      </c>
      <c r="H80" s="241">
        <v>600000</v>
      </c>
      <c r="I80" s="241">
        <v>600000</v>
      </c>
      <c r="J80" s="241">
        <v>0</v>
      </c>
    </row>
    <row r="81" spans="1:10" ht="25.5">
      <c r="A81" s="239" t="s">
        <v>137</v>
      </c>
      <c r="B81" s="239" t="s">
        <v>1531</v>
      </c>
      <c r="C81" s="239" t="s">
        <v>1517</v>
      </c>
      <c r="D81" s="239" t="s">
        <v>1532</v>
      </c>
      <c r="E81" s="240">
        <v>4</v>
      </c>
      <c r="F81" s="239" t="s">
        <v>1515</v>
      </c>
      <c r="G81" s="241">
        <v>0</v>
      </c>
      <c r="H81" s="241">
        <v>200000</v>
      </c>
      <c r="I81" s="241">
        <v>200000</v>
      </c>
      <c r="J81" s="241">
        <v>0</v>
      </c>
    </row>
    <row r="82" spans="1:10" ht="25.5">
      <c r="A82" s="239" t="s">
        <v>137</v>
      </c>
      <c r="B82" s="239" t="s">
        <v>1537</v>
      </c>
      <c r="C82" s="239" t="s">
        <v>1517</v>
      </c>
      <c r="D82" s="239" t="s">
        <v>1538</v>
      </c>
      <c r="E82" s="240">
        <v>4</v>
      </c>
      <c r="F82" s="239" t="s">
        <v>1515</v>
      </c>
      <c r="G82" s="241">
        <v>0</v>
      </c>
      <c r="H82" s="241">
        <v>600000</v>
      </c>
      <c r="I82" s="241">
        <v>600000</v>
      </c>
      <c r="J82" s="241">
        <v>0</v>
      </c>
    </row>
    <row r="83" spans="1:10">
      <c r="A83" s="239" t="s">
        <v>205</v>
      </c>
      <c r="B83" s="239"/>
      <c r="C83" s="239"/>
      <c r="D83" s="239" t="s">
        <v>206</v>
      </c>
      <c r="E83" s="240">
        <v>3</v>
      </c>
      <c r="F83" s="239" t="s">
        <v>1515</v>
      </c>
      <c r="G83" s="241">
        <v>0</v>
      </c>
      <c r="H83" s="241">
        <v>70104960</v>
      </c>
      <c r="I83" s="241">
        <v>70104960</v>
      </c>
      <c r="J83" s="241">
        <v>0</v>
      </c>
    </row>
    <row r="84" spans="1:10">
      <c r="A84" s="239" t="s">
        <v>219</v>
      </c>
      <c r="B84" s="239"/>
      <c r="C84" s="239"/>
      <c r="D84" s="239" t="s">
        <v>132</v>
      </c>
      <c r="E84" s="240">
        <v>4</v>
      </c>
      <c r="F84" s="239" t="s">
        <v>1515</v>
      </c>
      <c r="G84" s="241">
        <v>0</v>
      </c>
      <c r="H84" s="241">
        <v>70104960</v>
      </c>
      <c r="I84" s="241">
        <v>70104960</v>
      </c>
      <c r="J84" s="241">
        <v>0</v>
      </c>
    </row>
    <row r="85" spans="1:10">
      <c r="A85" s="239" t="s">
        <v>219</v>
      </c>
      <c r="B85" s="239" t="s">
        <v>1543</v>
      </c>
      <c r="C85" s="239" t="s">
        <v>1517</v>
      </c>
      <c r="D85" s="239" t="s">
        <v>1544</v>
      </c>
      <c r="E85" s="240">
        <v>4</v>
      </c>
      <c r="F85" s="239" t="s">
        <v>1515</v>
      </c>
      <c r="G85" s="241">
        <v>0</v>
      </c>
      <c r="H85" s="241">
        <v>70104960</v>
      </c>
      <c r="I85" s="241">
        <v>70104960</v>
      </c>
      <c r="J85" s="241">
        <v>0</v>
      </c>
    </row>
    <row r="86" spans="1:10" ht="25.5">
      <c r="A86" s="239" t="s">
        <v>229</v>
      </c>
      <c r="B86" s="239"/>
      <c r="C86" s="239"/>
      <c r="D86" s="239" t="s">
        <v>230</v>
      </c>
      <c r="E86" s="240">
        <v>3</v>
      </c>
      <c r="F86" s="239" t="s">
        <v>1515</v>
      </c>
      <c r="G86" s="241">
        <v>48351000</v>
      </c>
      <c r="H86" s="241">
        <v>70952582</v>
      </c>
      <c r="I86" s="241">
        <v>80110582</v>
      </c>
      <c r="J86" s="241">
        <v>39193000</v>
      </c>
    </row>
    <row r="87" spans="1:10">
      <c r="A87" s="239" t="s">
        <v>268</v>
      </c>
      <c r="B87" s="239"/>
      <c r="C87" s="239"/>
      <c r="D87" s="239" t="s">
        <v>269</v>
      </c>
      <c r="E87" s="240">
        <v>4</v>
      </c>
      <c r="F87" s="239" t="s">
        <v>1515</v>
      </c>
      <c r="G87" s="241">
        <v>0</v>
      </c>
      <c r="H87" s="241">
        <v>8242582</v>
      </c>
      <c r="I87" s="241">
        <v>8242582</v>
      </c>
      <c r="J87" s="241">
        <v>0</v>
      </c>
    </row>
    <row r="88" spans="1:10">
      <c r="A88" s="239" t="s">
        <v>270</v>
      </c>
      <c r="B88" s="239"/>
      <c r="C88" s="239"/>
      <c r="D88" s="239" t="s">
        <v>271</v>
      </c>
      <c r="E88" s="240">
        <v>5</v>
      </c>
      <c r="F88" s="239" t="s">
        <v>1515</v>
      </c>
      <c r="G88" s="241">
        <v>0</v>
      </c>
      <c r="H88" s="241">
        <v>3466583</v>
      </c>
      <c r="I88" s="241">
        <v>3466583</v>
      </c>
      <c r="J88" s="241">
        <v>0</v>
      </c>
    </row>
    <row r="89" spans="1:10" ht="25.5">
      <c r="A89" s="239" t="s">
        <v>270</v>
      </c>
      <c r="B89" s="239" t="s">
        <v>1557</v>
      </c>
      <c r="C89" s="239" t="s">
        <v>1517</v>
      </c>
      <c r="D89" s="239" t="s">
        <v>1558</v>
      </c>
      <c r="E89" s="240">
        <v>5</v>
      </c>
      <c r="F89" s="239" t="s">
        <v>1515</v>
      </c>
      <c r="G89" s="241">
        <v>0</v>
      </c>
      <c r="H89" s="241">
        <v>3466583</v>
      </c>
      <c r="I89" s="241">
        <v>3466583</v>
      </c>
      <c r="J89" s="241">
        <v>0</v>
      </c>
    </row>
    <row r="90" spans="1:10">
      <c r="A90" s="239" t="s">
        <v>1613</v>
      </c>
      <c r="B90" s="239"/>
      <c r="C90" s="239"/>
      <c r="D90" s="239" t="s">
        <v>1614</v>
      </c>
      <c r="E90" s="240">
        <v>5</v>
      </c>
      <c r="F90" s="239" t="s">
        <v>1515</v>
      </c>
      <c r="G90" s="241">
        <v>0</v>
      </c>
      <c r="H90" s="241">
        <v>4775999</v>
      </c>
      <c r="I90" s="241">
        <v>4775999</v>
      </c>
      <c r="J90" s="241">
        <v>0</v>
      </c>
    </row>
    <row r="91" spans="1:10" ht="25.5">
      <c r="A91" s="239" t="s">
        <v>1613</v>
      </c>
      <c r="B91" s="239" t="s">
        <v>1557</v>
      </c>
      <c r="C91" s="239" t="s">
        <v>1517</v>
      </c>
      <c r="D91" s="239" t="s">
        <v>1558</v>
      </c>
      <c r="E91" s="240">
        <v>5</v>
      </c>
      <c r="F91" s="239" t="s">
        <v>1515</v>
      </c>
      <c r="G91" s="241">
        <v>0</v>
      </c>
      <c r="H91" s="241">
        <v>4775999</v>
      </c>
      <c r="I91" s="241">
        <v>4775999</v>
      </c>
      <c r="J91" s="241">
        <v>0</v>
      </c>
    </row>
    <row r="92" spans="1:10" ht="25.5">
      <c r="A92" s="239" t="s">
        <v>273</v>
      </c>
      <c r="B92" s="239"/>
      <c r="C92" s="239"/>
      <c r="D92" s="239" t="s">
        <v>274</v>
      </c>
      <c r="E92" s="240">
        <v>4</v>
      </c>
      <c r="F92" s="239" t="s">
        <v>1515</v>
      </c>
      <c r="G92" s="241">
        <v>48351000</v>
      </c>
      <c r="H92" s="241">
        <v>62710000</v>
      </c>
      <c r="I92" s="241">
        <v>71868000</v>
      </c>
      <c r="J92" s="241">
        <v>39193000</v>
      </c>
    </row>
    <row r="93" spans="1:10" ht="25.5">
      <c r="A93" s="239" t="s">
        <v>275</v>
      </c>
      <c r="B93" s="239"/>
      <c r="C93" s="239"/>
      <c r="D93" s="239" t="s">
        <v>276</v>
      </c>
      <c r="E93" s="240">
        <v>5</v>
      </c>
      <c r="F93" s="239" t="s">
        <v>1515</v>
      </c>
      <c r="G93" s="241">
        <v>44863000</v>
      </c>
      <c r="H93" s="241">
        <v>54467000</v>
      </c>
      <c r="I93" s="241">
        <v>71868000</v>
      </c>
      <c r="J93" s="241">
        <v>27462000</v>
      </c>
    </row>
    <row r="94" spans="1:10" ht="25.5">
      <c r="A94" s="239" t="s">
        <v>275</v>
      </c>
      <c r="B94" s="239" t="s">
        <v>1557</v>
      </c>
      <c r="C94" s="239" t="s">
        <v>1517</v>
      </c>
      <c r="D94" s="239" t="s">
        <v>1558</v>
      </c>
      <c r="E94" s="240">
        <v>5</v>
      </c>
      <c r="F94" s="239" t="s">
        <v>1515</v>
      </c>
      <c r="G94" s="241">
        <v>44863000</v>
      </c>
      <c r="H94" s="241">
        <v>54467000</v>
      </c>
      <c r="I94" s="241">
        <v>71868000</v>
      </c>
      <c r="J94" s="241">
        <v>27462000</v>
      </c>
    </row>
    <row r="95" spans="1:10">
      <c r="A95" s="239" t="s">
        <v>5610</v>
      </c>
      <c r="B95" s="239"/>
      <c r="C95" s="239"/>
      <c r="D95" s="239" t="s">
        <v>5611</v>
      </c>
      <c r="E95" s="240">
        <v>5</v>
      </c>
      <c r="F95" s="239" t="s">
        <v>1515</v>
      </c>
      <c r="G95" s="241">
        <v>3488000</v>
      </c>
      <c r="H95" s="241">
        <v>8243000</v>
      </c>
      <c r="I95" s="241">
        <v>0</v>
      </c>
      <c r="J95" s="241">
        <v>11731000</v>
      </c>
    </row>
    <row r="96" spans="1:10" ht="25.5">
      <c r="A96" s="239" t="s">
        <v>5610</v>
      </c>
      <c r="B96" s="239" t="s">
        <v>1557</v>
      </c>
      <c r="C96" s="239" t="s">
        <v>1517</v>
      </c>
      <c r="D96" s="239" t="s">
        <v>1558</v>
      </c>
      <c r="E96" s="240">
        <v>5</v>
      </c>
      <c r="F96" s="239" t="s">
        <v>1515</v>
      </c>
      <c r="G96" s="241">
        <v>3488000</v>
      </c>
      <c r="H96" s="241">
        <v>8243000</v>
      </c>
      <c r="I96" s="241">
        <v>0</v>
      </c>
      <c r="J96" s="241">
        <v>11731000</v>
      </c>
    </row>
    <row r="97" spans="1:10">
      <c r="A97" s="239" t="s">
        <v>318</v>
      </c>
      <c r="B97" s="239"/>
      <c r="C97" s="239"/>
      <c r="D97" s="239" t="s">
        <v>319</v>
      </c>
      <c r="E97" s="240">
        <v>3</v>
      </c>
      <c r="F97" s="239" t="s">
        <v>1515</v>
      </c>
      <c r="G97" s="241">
        <v>20000000</v>
      </c>
      <c r="H97" s="241">
        <v>0</v>
      </c>
      <c r="I97" s="241">
        <v>20000000</v>
      </c>
      <c r="J97" s="241">
        <v>0</v>
      </c>
    </row>
    <row r="98" spans="1:10">
      <c r="A98" s="239" t="s">
        <v>323</v>
      </c>
      <c r="B98" s="239"/>
      <c r="C98" s="239"/>
      <c r="D98" s="239" t="s">
        <v>324</v>
      </c>
      <c r="E98" s="240">
        <v>4</v>
      </c>
      <c r="F98" s="239" t="s">
        <v>1515</v>
      </c>
      <c r="G98" s="241">
        <v>20000000</v>
      </c>
      <c r="H98" s="241">
        <v>0</v>
      </c>
      <c r="I98" s="241">
        <v>20000000</v>
      </c>
      <c r="J98" s="241">
        <v>0</v>
      </c>
    </row>
    <row r="99" spans="1:10" ht="25.5">
      <c r="A99" s="239" t="s">
        <v>323</v>
      </c>
      <c r="B99" s="239" t="s">
        <v>1537</v>
      </c>
      <c r="C99" s="239" t="s">
        <v>1517</v>
      </c>
      <c r="D99" s="239" t="s">
        <v>1538</v>
      </c>
      <c r="E99" s="240">
        <v>4</v>
      </c>
      <c r="F99" s="239" t="s">
        <v>1515</v>
      </c>
      <c r="G99" s="241">
        <v>20000000</v>
      </c>
      <c r="H99" s="241">
        <v>0</v>
      </c>
      <c r="I99" s="241">
        <v>20000000</v>
      </c>
      <c r="J99" s="241">
        <v>0</v>
      </c>
    </row>
    <row r="100" spans="1:10">
      <c r="A100" s="239" t="s">
        <v>326</v>
      </c>
      <c r="B100" s="239"/>
      <c r="C100" s="239"/>
      <c r="D100" s="239" t="s">
        <v>327</v>
      </c>
      <c r="E100" s="240">
        <v>3</v>
      </c>
      <c r="F100" s="239" t="s">
        <v>1515</v>
      </c>
      <c r="G100" s="241">
        <v>61829</v>
      </c>
      <c r="H100" s="241">
        <v>0</v>
      </c>
      <c r="I100" s="241">
        <v>61829</v>
      </c>
      <c r="J100" s="241">
        <v>0</v>
      </c>
    </row>
    <row r="101" spans="1:10">
      <c r="A101" s="239" t="s">
        <v>349</v>
      </c>
      <c r="B101" s="239"/>
      <c r="C101" s="239"/>
      <c r="D101" s="239" t="s">
        <v>150</v>
      </c>
      <c r="E101" s="240">
        <v>4</v>
      </c>
      <c r="F101" s="239" t="s">
        <v>1515</v>
      </c>
      <c r="G101" s="241">
        <v>61829</v>
      </c>
      <c r="H101" s="241">
        <v>0</v>
      </c>
      <c r="I101" s="241">
        <v>61829</v>
      </c>
      <c r="J101" s="241">
        <v>0</v>
      </c>
    </row>
    <row r="102" spans="1:10" ht="25.5">
      <c r="A102" s="239" t="s">
        <v>349</v>
      </c>
      <c r="B102" s="239" t="s">
        <v>1557</v>
      </c>
      <c r="C102" s="239" t="s">
        <v>1517</v>
      </c>
      <c r="D102" s="239" t="s">
        <v>1558</v>
      </c>
      <c r="E102" s="240">
        <v>4</v>
      </c>
      <c r="F102" s="239" t="s">
        <v>1515</v>
      </c>
      <c r="G102" s="241">
        <v>61829</v>
      </c>
      <c r="H102" s="241">
        <v>0</v>
      </c>
      <c r="I102" s="241">
        <v>61829</v>
      </c>
      <c r="J102" s="241">
        <v>0</v>
      </c>
    </row>
    <row r="103" spans="1:10">
      <c r="A103" s="239" t="s">
        <v>389</v>
      </c>
      <c r="B103" s="239"/>
      <c r="C103" s="239"/>
      <c r="D103" s="239" t="s">
        <v>390</v>
      </c>
      <c r="E103" s="240">
        <v>2</v>
      </c>
      <c r="F103" s="239" t="s">
        <v>1515</v>
      </c>
      <c r="G103" s="241">
        <v>84328430</v>
      </c>
      <c r="H103" s="241">
        <v>0</v>
      </c>
      <c r="I103" s="241">
        <v>21126660</v>
      </c>
      <c r="J103" s="241">
        <v>63201770</v>
      </c>
    </row>
    <row r="104" spans="1:10" ht="25.5">
      <c r="A104" s="239" t="s">
        <v>391</v>
      </c>
      <c r="B104" s="239"/>
      <c r="C104" s="239"/>
      <c r="D104" s="239" t="s">
        <v>392</v>
      </c>
      <c r="E104" s="240">
        <v>3</v>
      </c>
      <c r="F104" s="239" t="s">
        <v>1515</v>
      </c>
      <c r="G104" s="241">
        <v>105633276</v>
      </c>
      <c r="H104" s="241">
        <v>0</v>
      </c>
      <c r="I104" s="241">
        <v>0</v>
      </c>
      <c r="J104" s="241">
        <v>105633276</v>
      </c>
    </row>
    <row r="105" spans="1:10">
      <c r="A105" s="239" t="s">
        <v>393</v>
      </c>
      <c r="B105" s="239"/>
      <c r="C105" s="239"/>
      <c r="D105" s="239" t="s">
        <v>394</v>
      </c>
      <c r="E105" s="240">
        <v>4</v>
      </c>
      <c r="F105" s="239" t="s">
        <v>1515</v>
      </c>
      <c r="G105" s="241">
        <v>105633276</v>
      </c>
      <c r="H105" s="241">
        <v>0</v>
      </c>
      <c r="I105" s="241">
        <v>0</v>
      </c>
      <c r="J105" s="241">
        <v>105633276</v>
      </c>
    </row>
    <row r="106" spans="1:10">
      <c r="A106" s="239" t="s">
        <v>395</v>
      </c>
      <c r="B106" s="239"/>
      <c r="C106" s="239"/>
      <c r="D106" s="239" t="s">
        <v>396</v>
      </c>
      <c r="E106" s="240">
        <v>5</v>
      </c>
      <c r="F106" s="239" t="s">
        <v>1515</v>
      </c>
      <c r="G106" s="241">
        <v>95805676</v>
      </c>
      <c r="H106" s="241">
        <v>0</v>
      </c>
      <c r="I106" s="241">
        <v>0</v>
      </c>
      <c r="J106" s="241">
        <v>95805676</v>
      </c>
    </row>
    <row r="107" spans="1:10" ht="25.5">
      <c r="A107" s="239" t="s">
        <v>395</v>
      </c>
      <c r="B107" s="239" t="s">
        <v>1615</v>
      </c>
      <c r="C107" s="239" t="s">
        <v>1517</v>
      </c>
      <c r="D107" s="239" t="s">
        <v>1616</v>
      </c>
      <c r="E107" s="240">
        <v>5</v>
      </c>
      <c r="F107" s="239" t="s">
        <v>1515</v>
      </c>
      <c r="G107" s="241">
        <v>9075000</v>
      </c>
      <c r="H107" s="241">
        <v>0</v>
      </c>
      <c r="I107" s="241">
        <v>0</v>
      </c>
      <c r="J107" s="241">
        <v>9075000</v>
      </c>
    </row>
    <row r="108" spans="1:10" ht="25.5">
      <c r="A108" s="239" t="s">
        <v>395</v>
      </c>
      <c r="B108" s="239" t="s">
        <v>1617</v>
      </c>
      <c r="C108" s="239" t="s">
        <v>1517</v>
      </c>
      <c r="D108" s="239" t="s">
        <v>1618</v>
      </c>
      <c r="E108" s="240">
        <v>5</v>
      </c>
      <c r="F108" s="239" t="s">
        <v>1515</v>
      </c>
      <c r="G108" s="241">
        <v>16805676</v>
      </c>
      <c r="H108" s="241">
        <v>0</v>
      </c>
      <c r="I108" s="241">
        <v>0</v>
      </c>
      <c r="J108" s="241">
        <v>16805676</v>
      </c>
    </row>
    <row r="109" spans="1:10" ht="25.5">
      <c r="A109" s="239" t="s">
        <v>395</v>
      </c>
      <c r="B109" s="239" t="s">
        <v>1619</v>
      </c>
      <c r="C109" s="239" t="s">
        <v>1517</v>
      </c>
      <c r="D109" s="239" t="s">
        <v>1620</v>
      </c>
      <c r="E109" s="240">
        <v>5</v>
      </c>
      <c r="F109" s="239" t="s">
        <v>1515</v>
      </c>
      <c r="G109" s="241">
        <v>69925000</v>
      </c>
      <c r="H109" s="241">
        <v>0</v>
      </c>
      <c r="I109" s="241">
        <v>0</v>
      </c>
      <c r="J109" s="241">
        <v>69925000</v>
      </c>
    </row>
    <row r="110" spans="1:10">
      <c r="A110" s="239" t="s">
        <v>403</v>
      </c>
      <c r="B110" s="239"/>
      <c r="C110" s="239"/>
      <c r="D110" s="239" t="s">
        <v>404</v>
      </c>
      <c r="E110" s="240">
        <v>5</v>
      </c>
      <c r="F110" s="239" t="s">
        <v>1515</v>
      </c>
      <c r="G110" s="241">
        <v>9827600</v>
      </c>
      <c r="H110" s="241">
        <v>0</v>
      </c>
      <c r="I110" s="241">
        <v>0</v>
      </c>
      <c r="J110" s="241">
        <v>9827600</v>
      </c>
    </row>
    <row r="111" spans="1:10" ht="25.5">
      <c r="A111" s="239" t="s">
        <v>403</v>
      </c>
      <c r="B111" s="239" t="s">
        <v>1621</v>
      </c>
      <c r="C111" s="239" t="s">
        <v>1517</v>
      </c>
      <c r="D111" s="239" t="s">
        <v>1622</v>
      </c>
      <c r="E111" s="240">
        <v>5</v>
      </c>
      <c r="F111" s="239" t="s">
        <v>1515</v>
      </c>
      <c r="G111" s="241">
        <v>1550000</v>
      </c>
      <c r="H111" s="241">
        <v>0</v>
      </c>
      <c r="I111" s="241">
        <v>0</v>
      </c>
      <c r="J111" s="241">
        <v>1550000</v>
      </c>
    </row>
    <row r="112" spans="1:10" ht="25.5">
      <c r="A112" s="239" t="s">
        <v>403</v>
      </c>
      <c r="B112" s="239" t="s">
        <v>1623</v>
      </c>
      <c r="C112" s="239" t="s">
        <v>1517</v>
      </c>
      <c r="D112" s="239" t="s">
        <v>1624</v>
      </c>
      <c r="E112" s="240">
        <v>5</v>
      </c>
      <c r="F112" s="239" t="s">
        <v>1515</v>
      </c>
      <c r="G112" s="241">
        <v>5712000</v>
      </c>
      <c r="H112" s="241">
        <v>0</v>
      </c>
      <c r="I112" s="241">
        <v>0</v>
      </c>
      <c r="J112" s="241">
        <v>5712000</v>
      </c>
    </row>
    <row r="113" spans="1:10" ht="25.5">
      <c r="A113" s="239" t="s">
        <v>403</v>
      </c>
      <c r="B113" s="239" t="s">
        <v>1619</v>
      </c>
      <c r="C113" s="239" t="s">
        <v>1517</v>
      </c>
      <c r="D113" s="239" t="s">
        <v>1620</v>
      </c>
      <c r="E113" s="240">
        <v>5</v>
      </c>
      <c r="F113" s="239" t="s">
        <v>1515</v>
      </c>
      <c r="G113" s="241">
        <v>2565600</v>
      </c>
      <c r="H113" s="241">
        <v>0</v>
      </c>
      <c r="I113" s="241">
        <v>0</v>
      </c>
      <c r="J113" s="241">
        <v>2565600</v>
      </c>
    </row>
    <row r="114" spans="1:10">
      <c r="A114" s="239" t="s">
        <v>411</v>
      </c>
      <c r="B114" s="239"/>
      <c r="C114" s="239"/>
      <c r="D114" s="239" t="s">
        <v>412</v>
      </c>
      <c r="E114" s="240">
        <v>3</v>
      </c>
      <c r="F114" s="239" t="s">
        <v>1515</v>
      </c>
      <c r="G114" s="241">
        <v>-21304846</v>
      </c>
      <c r="H114" s="241">
        <v>0</v>
      </c>
      <c r="I114" s="241">
        <v>21126660</v>
      </c>
      <c r="J114" s="241">
        <v>-42431506</v>
      </c>
    </row>
    <row r="115" spans="1:10">
      <c r="A115" s="239" t="s">
        <v>413</v>
      </c>
      <c r="B115" s="239"/>
      <c r="C115" s="239"/>
      <c r="D115" s="239" t="s">
        <v>414</v>
      </c>
      <c r="E115" s="240">
        <v>4</v>
      </c>
      <c r="F115" s="239" t="s">
        <v>1515</v>
      </c>
      <c r="G115" s="241">
        <v>-21304846</v>
      </c>
      <c r="H115" s="241">
        <v>0</v>
      </c>
      <c r="I115" s="241">
        <v>21126660</v>
      </c>
      <c r="J115" s="241">
        <v>-42431506</v>
      </c>
    </row>
    <row r="116" spans="1:10">
      <c r="A116" s="239" t="s">
        <v>415</v>
      </c>
      <c r="B116" s="239"/>
      <c r="C116" s="239"/>
      <c r="D116" s="239" t="s">
        <v>416</v>
      </c>
      <c r="E116" s="240">
        <v>5</v>
      </c>
      <c r="F116" s="239" t="s">
        <v>1515</v>
      </c>
      <c r="G116" s="241">
        <v>-19559895</v>
      </c>
      <c r="H116" s="241">
        <v>0</v>
      </c>
      <c r="I116" s="241">
        <v>19161144</v>
      </c>
      <c r="J116" s="241">
        <v>-38721039</v>
      </c>
    </row>
    <row r="117" spans="1:10" ht="25.5">
      <c r="A117" s="239" t="s">
        <v>415</v>
      </c>
      <c r="B117" s="239" t="s">
        <v>1516</v>
      </c>
      <c r="C117" s="239" t="s">
        <v>1517</v>
      </c>
      <c r="D117" s="239" t="s">
        <v>1518</v>
      </c>
      <c r="E117" s="240">
        <v>5</v>
      </c>
      <c r="F117" s="239" t="s">
        <v>1515</v>
      </c>
      <c r="G117" s="241">
        <v>-19559895</v>
      </c>
      <c r="H117" s="241">
        <v>0</v>
      </c>
      <c r="I117" s="241">
        <v>19161144</v>
      </c>
      <c r="J117" s="241">
        <v>-38721039</v>
      </c>
    </row>
    <row r="118" spans="1:10">
      <c r="A118" s="239" t="s">
        <v>421</v>
      </c>
      <c r="B118" s="239"/>
      <c r="C118" s="239"/>
      <c r="D118" s="239" t="s">
        <v>404</v>
      </c>
      <c r="E118" s="240">
        <v>5</v>
      </c>
      <c r="F118" s="239" t="s">
        <v>1515</v>
      </c>
      <c r="G118" s="241">
        <v>-1744951</v>
      </c>
      <c r="H118" s="241">
        <v>0</v>
      </c>
      <c r="I118" s="241">
        <v>1965516</v>
      </c>
      <c r="J118" s="241">
        <v>-3710467</v>
      </c>
    </row>
    <row r="119" spans="1:10" ht="25.5">
      <c r="A119" s="239" t="s">
        <v>421</v>
      </c>
      <c r="B119" s="239" t="s">
        <v>1516</v>
      </c>
      <c r="C119" s="239" t="s">
        <v>1517</v>
      </c>
      <c r="D119" s="239" t="s">
        <v>1518</v>
      </c>
      <c r="E119" s="240">
        <v>5</v>
      </c>
      <c r="F119" s="239" t="s">
        <v>1515</v>
      </c>
      <c r="G119" s="241">
        <v>-1744951</v>
      </c>
      <c r="H119" s="241">
        <v>0</v>
      </c>
      <c r="I119" s="241">
        <v>1965516</v>
      </c>
      <c r="J119" s="241">
        <v>-3710467</v>
      </c>
    </row>
    <row r="120" spans="1:10">
      <c r="A120" s="239" t="s">
        <v>423</v>
      </c>
      <c r="B120" s="239"/>
      <c r="C120" s="239"/>
      <c r="D120" s="239" t="s">
        <v>424</v>
      </c>
      <c r="E120" s="240">
        <v>2</v>
      </c>
      <c r="F120" s="239" t="s">
        <v>1515</v>
      </c>
      <c r="G120" s="241">
        <v>52674938</v>
      </c>
      <c r="H120" s="241">
        <v>0</v>
      </c>
      <c r="I120" s="241">
        <v>38393938</v>
      </c>
      <c r="J120" s="241">
        <v>14281000</v>
      </c>
    </row>
    <row r="121" spans="1:10">
      <c r="A121" s="239" t="s">
        <v>1625</v>
      </c>
      <c r="B121" s="239"/>
      <c r="C121" s="239"/>
      <c r="D121" s="239" t="s">
        <v>1385</v>
      </c>
      <c r="E121" s="240">
        <v>3</v>
      </c>
      <c r="F121" s="239" t="s">
        <v>1515</v>
      </c>
      <c r="G121" s="241">
        <v>52674938</v>
      </c>
      <c r="H121" s="241">
        <v>0</v>
      </c>
      <c r="I121" s="241">
        <v>38393938</v>
      </c>
      <c r="J121" s="241">
        <v>14281000</v>
      </c>
    </row>
    <row r="122" spans="1:10">
      <c r="A122" s="239" t="s">
        <v>1626</v>
      </c>
      <c r="B122" s="239"/>
      <c r="C122" s="239"/>
      <c r="D122" s="239" t="s">
        <v>1627</v>
      </c>
      <c r="E122" s="240">
        <v>4</v>
      </c>
      <c r="F122" s="239" t="s">
        <v>1515</v>
      </c>
      <c r="G122" s="241">
        <v>52674938</v>
      </c>
      <c r="H122" s="241">
        <v>0</v>
      </c>
      <c r="I122" s="241">
        <v>38393938</v>
      </c>
      <c r="J122" s="241">
        <v>14281000</v>
      </c>
    </row>
    <row r="123" spans="1:10" ht="25.5">
      <c r="A123" s="239" t="s">
        <v>1626</v>
      </c>
      <c r="B123" s="239" t="s">
        <v>1557</v>
      </c>
      <c r="C123" s="239" t="s">
        <v>1517</v>
      </c>
      <c r="D123" s="239" t="s">
        <v>1558</v>
      </c>
      <c r="E123" s="240">
        <v>4</v>
      </c>
      <c r="F123" s="239" t="s">
        <v>1515</v>
      </c>
      <c r="G123" s="241">
        <v>52674938</v>
      </c>
      <c r="H123" s="241">
        <v>0</v>
      </c>
      <c r="I123" s="241">
        <v>38393938</v>
      </c>
      <c r="J123" s="241">
        <v>14281000</v>
      </c>
    </row>
    <row r="124" spans="1:10">
      <c r="A124" s="239" t="s">
        <v>433</v>
      </c>
      <c r="B124" s="239"/>
      <c r="C124" s="239"/>
      <c r="D124" s="239" t="s">
        <v>434</v>
      </c>
      <c r="E124" s="240">
        <v>1</v>
      </c>
      <c r="F124" s="239" t="s">
        <v>1628</v>
      </c>
      <c r="G124" s="241">
        <v>400992008.07999998</v>
      </c>
      <c r="H124" s="241">
        <v>1268933986.4000001</v>
      </c>
      <c r="I124" s="241">
        <v>1003285126.9400001</v>
      </c>
      <c r="J124" s="241">
        <v>135343148.62</v>
      </c>
    </row>
    <row r="125" spans="1:10">
      <c r="A125" s="239" t="s">
        <v>435</v>
      </c>
      <c r="B125" s="239"/>
      <c r="C125" s="239"/>
      <c r="D125" s="239" t="s">
        <v>436</v>
      </c>
      <c r="E125" s="240">
        <v>2</v>
      </c>
      <c r="F125" s="239" t="s">
        <v>1628</v>
      </c>
      <c r="G125" s="241">
        <v>392705400</v>
      </c>
      <c r="H125" s="241">
        <v>267213680</v>
      </c>
      <c r="I125" s="241">
        <v>0</v>
      </c>
      <c r="J125" s="241">
        <v>125491720</v>
      </c>
    </row>
    <row r="126" spans="1:10">
      <c r="A126" s="239" t="s">
        <v>437</v>
      </c>
      <c r="B126" s="239"/>
      <c r="C126" s="239"/>
      <c r="D126" s="239" t="s">
        <v>438</v>
      </c>
      <c r="E126" s="240">
        <v>3</v>
      </c>
      <c r="F126" s="239" t="s">
        <v>1628</v>
      </c>
      <c r="G126" s="241">
        <v>392705400</v>
      </c>
      <c r="H126" s="241">
        <v>267213680</v>
      </c>
      <c r="I126" s="241">
        <v>0</v>
      </c>
      <c r="J126" s="241">
        <v>125491720</v>
      </c>
    </row>
    <row r="127" spans="1:10">
      <c r="A127" s="239" t="s">
        <v>1629</v>
      </c>
      <c r="B127" s="239"/>
      <c r="C127" s="239"/>
      <c r="D127" s="239" t="s">
        <v>1630</v>
      </c>
      <c r="E127" s="240">
        <v>4</v>
      </c>
      <c r="F127" s="239" t="s">
        <v>1628</v>
      </c>
      <c r="G127" s="241">
        <v>286703000</v>
      </c>
      <c r="H127" s="241">
        <v>239331280</v>
      </c>
      <c r="I127" s="241">
        <v>0</v>
      </c>
      <c r="J127" s="241">
        <v>47371720</v>
      </c>
    </row>
    <row r="128" spans="1:10" ht="25.5">
      <c r="A128" s="239" t="s">
        <v>1629</v>
      </c>
      <c r="B128" s="239" t="s">
        <v>1537</v>
      </c>
      <c r="C128" s="239" t="s">
        <v>1517</v>
      </c>
      <c r="D128" s="239" t="s">
        <v>1538</v>
      </c>
      <c r="E128" s="240">
        <v>4</v>
      </c>
      <c r="F128" s="239" t="s">
        <v>1628</v>
      </c>
      <c r="G128" s="241">
        <v>286703000</v>
      </c>
      <c r="H128" s="241">
        <v>161211280</v>
      </c>
      <c r="I128" s="241">
        <v>0</v>
      </c>
      <c r="J128" s="241">
        <v>125491720</v>
      </c>
    </row>
    <row r="129" spans="1:10" ht="25.5">
      <c r="A129" s="239" t="s">
        <v>1629</v>
      </c>
      <c r="B129" s="239" t="s">
        <v>1539</v>
      </c>
      <c r="C129" s="239" t="s">
        <v>1517</v>
      </c>
      <c r="D129" s="239" t="s">
        <v>1540</v>
      </c>
      <c r="E129" s="240">
        <v>4</v>
      </c>
      <c r="F129" s="239" t="s">
        <v>1628</v>
      </c>
      <c r="G129" s="241">
        <v>0</v>
      </c>
      <c r="H129" s="241">
        <v>78120000</v>
      </c>
      <c r="I129" s="241">
        <v>0</v>
      </c>
      <c r="J129" s="241">
        <v>-78120000</v>
      </c>
    </row>
    <row r="130" spans="1:10">
      <c r="A130" s="239" t="s">
        <v>1631</v>
      </c>
      <c r="B130" s="239"/>
      <c r="C130" s="239"/>
      <c r="D130" s="239" t="s">
        <v>1632</v>
      </c>
      <c r="E130" s="240">
        <v>4</v>
      </c>
      <c r="F130" s="239" t="s">
        <v>1628</v>
      </c>
      <c r="G130" s="241">
        <v>106002400</v>
      </c>
      <c r="H130" s="241">
        <v>27882400</v>
      </c>
      <c r="I130" s="241">
        <v>0</v>
      </c>
      <c r="J130" s="241">
        <v>78120000</v>
      </c>
    </row>
    <row r="131" spans="1:10" ht="25.5">
      <c r="A131" s="239" t="s">
        <v>1631</v>
      </c>
      <c r="B131" s="239" t="s">
        <v>1539</v>
      </c>
      <c r="C131" s="239" t="s">
        <v>1517</v>
      </c>
      <c r="D131" s="239" t="s">
        <v>1540</v>
      </c>
      <c r="E131" s="240">
        <v>4</v>
      </c>
      <c r="F131" s="239" t="s">
        <v>1628</v>
      </c>
      <c r="G131" s="241">
        <v>106002400</v>
      </c>
      <c r="H131" s="241">
        <v>27882400</v>
      </c>
      <c r="I131" s="241">
        <v>0</v>
      </c>
      <c r="J131" s="241">
        <v>78120000</v>
      </c>
    </row>
    <row r="132" spans="1:10">
      <c r="A132" s="239" t="s">
        <v>442</v>
      </c>
      <c r="B132" s="239"/>
      <c r="C132" s="239"/>
      <c r="D132" s="239" t="s">
        <v>443</v>
      </c>
      <c r="E132" s="240">
        <v>2</v>
      </c>
      <c r="F132" s="239" t="s">
        <v>1628</v>
      </c>
      <c r="G132" s="241">
        <v>5560177.0800000001</v>
      </c>
      <c r="H132" s="241">
        <v>617207338.09000003</v>
      </c>
      <c r="I132" s="241">
        <v>613431647.63</v>
      </c>
      <c r="J132" s="241">
        <v>1784486.62</v>
      </c>
    </row>
    <row r="133" spans="1:10">
      <c r="A133" s="239" t="s">
        <v>444</v>
      </c>
      <c r="B133" s="239"/>
      <c r="C133" s="239"/>
      <c r="D133" s="239" t="s">
        <v>445</v>
      </c>
      <c r="E133" s="240">
        <v>3</v>
      </c>
      <c r="F133" s="239" t="s">
        <v>1628</v>
      </c>
      <c r="G133" s="241">
        <v>1506007.08</v>
      </c>
      <c r="H133" s="241">
        <v>531608415.08999997</v>
      </c>
      <c r="I133" s="241">
        <v>530825894.63</v>
      </c>
      <c r="J133" s="241">
        <v>723486.62</v>
      </c>
    </row>
    <row r="134" spans="1:10">
      <c r="A134" s="239" t="s">
        <v>449</v>
      </c>
      <c r="B134" s="239"/>
      <c r="C134" s="239"/>
      <c r="D134" s="239" t="s">
        <v>450</v>
      </c>
      <c r="E134" s="240">
        <v>4</v>
      </c>
      <c r="F134" s="239" t="s">
        <v>1628</v>
      </c>
      <c r="G134" s="241">
        <v>0</v>
      </c>
      <c r="H134" s="241">
        <v>3486200</v>
      </c>
      <c r="I134" s="241">
        <v>3494100</v>
      </c>
      <c r="J134" s="241">
        <v>7900</v>
      </c>
    </row>
    <row r="135" spans="1:10">
      <c r="A135" s="239" t="s">
        <v>452</v>
      </c>
      <c r="B135" s="239"/>
      <c r="C135" s="239"/>
      <c r="D135" s="239" t="s">
        <v>453</v>
      </c>
      <c r="E135" s="240">
        <v>5</v>
      </c>
      <c r="F135" s="239" t="s">
        <v>1628</v>
      </c>
      <c r="G135" s="241">
        <v>0</v>
      </c>
      <c r="H135" s="241">
        <v>3486200</v>
      </c>
      <c r="I135" s="241">
        <v>3494100</v>
      </c>
      <c r="J135" s="241">
        <v>7900</v>
      </c>
    </row>
    <row r="136" spans="1:10" ht="25.5">
      <c r="A136" s="239" t="s">
        <v>452</v>
      </c>
      <c r="B136" s="239" t="s">
        <v>1565</v>
      </c>
      <c r="C136" s="239" t="s">
        <v>1517</v>
      </c>
      <c r="D136" s="239" t="s">
        <v>1566</v>
      </c>
      <c r="E136" s="240">
        <v>5</v>
      </c>
      <c r="F136" s="239" t="s">
        <v>1628</v>
      </c>
      <c r="G136" s="241">
        <v>0</v>
      </c>
      <c r="H136" s="241">
        <v>3412200</v>
      </c>
      <c r="I136" s="241">
        <v>3420100</v>
      </c>
      <c r="J136" s="241">
        <v>7900</v>
      </c>
    </row>
    <row r="137" spans="1:10" ht="25.5">
      <c r="A137" s="239" t="s">
        <v>452</v>
      </c>
      <c r="B137" s="239" t="s">
        <v>1593</v>
      </c>
      <c r="C137" s="239" t="s">
        <v>1517</v>
      </c>
      <c r="D137" s="239" t="s">
        <v>1594</v>
      </c>
      <c r="E137" s="240">
        <v>5</v>
      </c>
      <c r="F137" s="239" t="s">
        <v>1628</v>
      </c>
      <c r="G137" s="241">
        <v>0</v>
      </c>
      <c r="H137" s="241">
        <v>74000</v>
      </c>
      <c r="I137" s="241">
        <v>74000</v>
      </c>
      <c r="J137" s="241">
        <v>0</v>
      </c>
    </row>
    <row r="138" spans="1:10">
      <c r="A138" s="239" t="s">
        <v>459</v>
      </c>
      <c r="B138" s="239"/>
      <c r="C138" s="239"/>
      <c r="D138" s="239" t="s">
        <v>217</v>
      </c>
      <c r="E138" s="240">
        <v>4</v>
      </c>
      <c r="F138" s="239" t="s">
        <v>1628</v>
      </c>
      <c r="G138" s="241">
        <v>0</v>
      </c>
      <c r="H138" s="241">
        <v>2650232</v>
      </c>
      <c r="I138" s="241">
        <v>2650232</v>
      </c>
      <c r="J138" s="241">
        <v>0</v>
      </c>
    </row>
    <row r="139" spans="1:10">
      <c r="A139" s="239" t="s">
        <v>465</v>
      </c>
      <c r="B139" s="239"/>
      <c r="C139" s="239"/>
      <c r="D139" s="239" t="s">
        <v>466</v>
      </c>
      <c r="E139" s="240">
        <v>5</v>
      </c>
      <c r="F139" s="239" t="s">
        <v>1628</v>
      </c>
      <c r="G139" s="241">
        <v>0</v>
      </c>
      <c r="H139" s="241">
        <v>238229</v>
      </c>
      <c r="I139" s="241">
        <v>238229</v>
      </c>
      <c r="J139" s="241">
        <v>0</v>
      </c>
    </row>
    <row r="140" spans="1:10" ht="25.5">
      <c r="A140" s="239" t="s">
        <v>465</v>
      </c>
      <c r="B140" s="239" t="s">
        <v>1529</v>
      </c>
      <c r="C140" s="239" t="s">
        <v>1517</v>
      </c>
      <c r="D140" s="239" t="s">
        <v>1530</v>
      </c>
      <c r="E140" s="240">
        <v>5</v>
      </c>
      <c r="F140" s="239" t="s">
        <v>1628</v>
      </c>
      <c r="G140" s="241">
        <v>0</v>
      </c>
      <c r="H140" s="241">
        <v>238229</v>
      </c>
      <c r="I140" s="241">
        <v>238229</v>
      </c>
      <c r="J140" s="241">
        <v>0</v>
      </c>
    </row>
    <row r="141" spans="1:10">
      <c r="A141" s="239" t="s">
        <v>469</v>
      </c>
      <c r="B141" s="239"/>
      <c r="C141" s="239"/>
      <c r="D141" s="239" t="s">
        <v>470</v>
      </c>
      <c r="E141" s="240">
        <v>5</v>
      </c>
      <c r="F141" s="239" t="s">
        <v>1628</v>
      </c>
      <c r="G141" s="241">
        <v>0</v>
      </c>
      <c r="H141" s="241">
        <v>855000</v>
      </c>
      <c r="I141" s="241">
        <v>855000</v>
      </c>
      <c r="J141" s="241">
        <v>0</v>
      </c>
    </row>
    <row r="142" spans="1:10" ht="25.5">
      <c r="A142" s="239" t="s">
        <v>469</v>
      </c>
      <c r="B142" s="239" t="s">
        <v>1591</v>
      </c>
      <c r="C142" s="239" t="s">
        <v>1517</v>
      </c>
      <c r="D142" s="239" t="s">
        <v>1592</v>
      </c>
      <c r="E142" s="240">
        <v>5</v>
      </c>
      <c r="F142" s="239" t="s">
        <v>1628</v>
      </c>
      <c r="G142" s="241">
        <v>0</v>
      </c>
      <c r="H142" s="241">
        <v>855000</v>
      </c>
      <c r="I142" s="241">
        <v>855000</v>
      </c>
      <c r="J142" s="241">
        <v>0</v>
      </c>
    </row>
    <row r="143" spans="1:10">
      <c r="A143" s="239" t="s">
        <v>1633</v>
      </c>
      <c r="B143" s="239"/>
      <c r="C143" s="239"/>
      <c r="D143" s="239" t="s">
        <v>1634</v>
      </c>
      <c r="E143" s="240">
        <v>5</v>
      </c>
      <c r="F143" s="239" t="s">
        <v>1628</v>
      </c>
      <c r="G143" s="241">
        <v>0</v>
      </c>
      <c r="H143" s="241">
        <v>1182384</v>
      </c>
      <c r="I143" s="241">
        <v>1182384</v>
      </c>
      <c r="J143" s="241">
        <v>0</v>
      </c>
    </row>
    <row r="144" spans="1:10" ht="25.5">
      <c r="A144" s="239" t="s">
        <v>1633</v>
      </c>
      <c r="B144" s="239" t="s">
        <v>1553</v>
      </c>
      <c r="C144" s="239" t="s">
        <v>1517</v>
      </c>
      <c r="D144" s="239" t="s">
        <v>1554</v>
      </c>
      <c r="E144" s="240">
        <v>5</v>
      </c>
      <c r="F144" s="239" t="s">
        <v>1628</v>
      </c>
      <c r="G144" s="241">
        <v>0</v>
      </c>
      <c r="H144" s="241">
        <v>803250</v>
      </c>
      <c r="I144" s="241">
        <v>803250</v>
      </c>
      <c r="J144" s="241">
        <v>0</v>
      </c>
    </row>
    <row r="145" spans="1:10" ht="25.5">
      <c r="A145" s="239" t="s">
        <v>1633</v>
      </c>
      <c r="B145" s="239" t="s">
        <v>1609</v>
      </c>
      <c r="C145" s="239" t="s">
        <v>1517</v>
      </c>
      <c r="D145" s="239" t="s">
        <v>1610</v>
      </c>
      <c r="E145" s="240">
        <v>5</v>
      </c>
      <c r="F145" s="239" t="s">
        <v>1628</v>
      </c>
      <c r="G145" s="241">
        <v>0</v>
      </c>
      <c r="H145" s="241">
        <v>379134</v>
      </c>
      <c r="I145" s="241">
        <v>379134</v>
      </c>
      <c r="J145" s="241">
        <v>0</v>
      </c>
    </row>
    <row r="146" spans="1:10">
      <c r="A146" s="239" t="s">
        <v>1635</v>
      </c>
      <c r="B146" s="239"/>
      <c r="C146" s="239"/>
      <c r="D146" s="239" t="s">
        <v>1636</v>
      </c>
      <c r="E146" s="240">
        <v>5</v>
      </c>
      <c r="F146" s="239" t="s">
        <v>1628</v>
      </c>
      <c r="G146" s="241">
        <v>0</v>
      </c>
      <c r="H146" s="241">
        <v>374619</v>
      </c>
      <c r="I146" s="241">
        <v>374619</v>
      </c>
      <c r="J146" s="241">
        <v>0</v>
      </c>
    </row>
    <row r="147" spans="1:10" ht="25.5">
      <c r="A147" s="239" t="s">
        <v>1635</v>
      </c>
      <c r="B147" s="239" t="s">
        <v>1611</v>
      </c>
      <c r="C147" s="239" t="s">
        <v>1517</v>
      </c>
      <c r="D147" s="239" t="s">
        <v>1612</v>
      </c>
      <c r="E147" s="240">
        <v>5</v>
      </c>
      <c r="F147" s="239" t="s">
        <v>1628</v>
      </c>
      <c r="G147" s="241">
        <v>0</v>
      </c>
      <c r="H147" s="241">
        <v>374619</v>
      </c>
      <c r="I147" s="241">
        <v>374619</v>
      </c>
      <c r="J147" s="241">
        <v>0</v>
      </c>
    </row>
    <row r="148" spans="1:10">
      <c r="A148" s="239" t="s">
        <v>481</v>
      </c>
      <c r="B148" s="239"/>
      <c r="C148" s="239"/>
      <c r="D148" s="239" t="s">
        <v>222</v>
      </c>
      <c r="E148" s="240">
        <v>4</v>
      </c>
      <c r="F148" s="239" t="s">
        <v>1628</v>
      </c>
      <c r="G148" s="241">
        <v>0</v>
      </c>
      <c r="H148" s="241">
        <v>245854922</v>
      </c>
      <c r="I148" s="241">
        <v>245854922</v>
      </c>
      <c r="J148" s="241">
        <v>0</v>
      </c>
    </row>
    <row r="149" spans="1:10">
      <c r="A149" s="239" t="s">
        <v>483</v>
      </c>
      <c r="B149" s="239"/>
      <c r="C149" s="239"/>
      <c r="D149" s="239" t="s">
        <v>484</v>
      </c>
      <c r="E149" s="240">
        <v>5</v>
      </c>
      <c r="F149" s="239" t="s">
        <v>1628</v>
      </c>
      <c r="G149" s="241">
        <v>0</v>
      </c>
      <c r="H149" s="241">
        <v>245854922</v>
      </c>
      <c r="I149" s="241">
        <v>245854922</v>
      </c>
      <c r="J149" s="241">
        <v>0</v>
      </c>
    </row>
    <row r="150" spans="1:10" ht="25.5">
      <c r="A150" s="239" t="s">
        <v>483</v>
      </c>
      <c r="B150" s="239" t="s">
        <v>1569</v>
      </c>
      <c r="C150" s="239" t="s">
        <v>1517</v>
      </c>
      <c r="D150" s="239" t="s">
        <v>1570</v>
      </c>
      <c r="E150" s="240">
        <v>5</v>
      </c>
      <c r="F150" s="239" t="s">
        <v>1628</v>
      </c>
      <c r="G150" s="241">
        <v>0</v>
      </c>
      <c r="H150" s="241">
        <v>39550880</v>
      </c>
      <c r="I150" s="241">
        <v>39550880</v>
      </c>
      <c r="J150" s="241">
        <v>0</v>
      </c>
    </row>
    <row r="151" spans="1:10" ht="25.5">
      <c r="A151" s="239" t="s">
        <v>483</v>
      </c>
      <c r="B151" s="239" t="s">
        <v>1599</v>
      </c>
      <c r="C151" s="239" t="s">
        <v>1517</v>
      </c>
      <c r="D151" s="239" t="s">
        <v>1600</v>
      </c>
      <c r="E151" s="240">
        <v>5</v>
      </c>
      <c r="F151" s="239" t="s">
        <v>1628</v>
      </c>
      <c r="G151" s="241">
        <v>0</v>
      </c>
      <c r="H151" s="241">
        <v>206304042</v>
      </c>
      <c r="I151" s="241">
        <v>206304042</v>
      </c>
      <c r="J151" s="241">
        <v>0</v>
      </c>
    </row>
    <row r="152" spans="1:10">
      <c r="A152" s="239" t="s">
        <v>498</v>
      </c>
      <c r="B152" s="239"/>
      <c r="C152" s="239"/>
      <c r="D152" s="239" t="s">
        <v>499</v>
      </c>
      <c r="E152" s="240">
        <v>4</v>
      </c>
      <c r="F152" s="239" t="s">
        <v>1628</v>
      </c>
      <c r="G152" s="241">
        <v>1391973.08</v>
      </c>
      <c r="H152" s="241">
        <v>192512215.09</v>
      </c>
      <c r="I152" s="241">
        <v>191212391.63</v>
      </c>
      <c r="J152" s="241">
        <v>92149.62</v>
      </c>
    </row>
    <row r="153" spans="1:10">
      <c r="A153" s="239" t="s">
        <v>501</v>
      </c>
      <c r="B153" s="239"/>
      <c r="C153" s="239"/>
      <c r="D153" s="239" t="s">
        <v>502</v>
      </c>
      <c r="E153" s="240">
        <v>5</v>
      </c>
      <c r="F153" s="239" t="s">
        <v>1628</v>
      </c>
      <c r="G153" s="241">
        <v>0</v>
      </c>
      <c r="H153" s="241">
        <v>390182.25</v>
      </c>
      <c r="I153" s="241">
        <v>390182.25</v>
      </c>
      <c r="J153" s="241">
        <v>0</v>
      </c>
    </row>
    <row r="154" spans="1:10" ht="25.5">
      <c r="A154" s="239" t="s">
        <v>501</v>
      </c>
      <c r="B154" s="239" t="s">
        <v>1555</v>
      </c>
      <c r="C154" s="239" t="s">
        <v>1517</v>
      </c>
      <c r="D154" s="239" t="s">
        <v>1556</v>
      </c>
      <c r="E154" s="240">
        <v>5</v>
      </c>
      <c r="F154" s="239" t="s">
        <v>1628</v>
      </c>
      <c r="G154" s="241">
        <v>0</v>
      </c>
      <c r="H154" s="241">
        <v>390182.25</v>
      </c>
      <c r="I154" s="241">
        <v>390182.25</v>
      </c>
      <c r="J154" s="241">
        <v>0</v>
      </c>
    </row>
    <row r="155" spans="1:10">
      <c r="A155" s="239" t="s">
        <v>505</v>
      </c>
      <c r="B155" s="239"/>
      <c r="C155" s="239"/>
      <c r="D155" s="239" t="s">
        <v>506</v>
      </c>
      <c r="E155" s="240">
        <v>5</v>
      </c>
      <c r="F155" s="239" t="s">
        <v>1628</v>
      </c>
      <c r="G155" s="241">
        <v>0</v>
      </c>
      <c r="H155" s="241">
        <v>5682726.8200000003</v>
      </c>
      <c r="I155" s="241">
        <v>5774876.4400000004</v>
      </c>
      <c r="J155" s="241">
        <v>92149.62</v>
      </c>
    </row>
    <row r="156" spans="1:10" ht="25.5">
      <c r="A156" s="239" t="s">
        <v>505</v>
      </c>
      <c r="B156" s="239" t="s">
        <v>1545</v>
      </c>
      <c r="C156" s="239" t="s">
        <v>1517</v>
      </c>
      <c r="D156" s="239" t="s">
        <v>1546</v>
      </c>
      <c r="E156" s="240">
        <v>5</v>
      </c>
      <c r="F156" s="239" t="s">
        <v>1628</v>
      </c>
      <c r="G156" s="241">
        <v>0</v>
      </c>
      <c r="H156" s="241">
        <v>1262172.02</v>
      </c>
      <c r="I156" s="241">
        <v>1354321.64</v>
      </c>
      <c r="J156" s="241">
        <v>92149.62</v>
      </c>
    </row>
    <row r="157" spans="1:10" ht="25.5">
      <c r="A157" s="239" t="s">
        <v>505</v>
      </c>
      <c r="B157" s="239" t="s">
        <v>1549</v>
      </c>
      <c r="C157" s="239" t="s">
        <v>1517</v>
      </c>
      <c r="D157" s="239" t="s">
        <v>1550</v>
      </c>
      <c r="E157" s="240">
        <v>5</v>
      </c>
      <c r="F157" s="239" t="s">
        <v>1628</v>
      </c>
      <c r="G157" s="241">
        <v>0</v>
      </c>
      <c r="H157" s="241">
        <v>260476.79999999999</v>
      </c>
      <c r="I157" s="241">
        <v>260476.79999999999</v>
      </c>
      <c r="J157" s="241">
        <v>0</v>
      </c>
    </row>
    <row r="158" spans="1:10" ht="25.5">
      <c r="A158" s="239" t="s">
        <v>505</v>
      </c>
      <c r="B158" s="239" t="s">
        <v>1569</v>
      </c>
      <c r="C158" s="239" t="s">
        <v>1517</v>
      </c>
      <c r="D158" s="239" t="s">
        <v>1570</v>
      </c>
      <c r="E158" s="240">
        <v>5</v>
      </c>
      <c r="F158" s="239" t="s">
        <v>1628</v>
      </c>
      <c r="G158" s="241">
        <v>0</v>
      </c>
      <c r="H158" s="241">
        <v>3955088</v>
      </c>
      <c r="I158" s="241">
        <v>3955088</v>
      </c>
      <c r="J158" s="241">
        <v>0</v>
      </c>
    </row>
    <row r="159" spans="1:10" ht="25.5">
      <c r="A159" s="239" t="s">
        <v>505</v>
      </c>
      <c r="B159" s="239" t="s">
        <v>1595</v>
      </c>
      <c r="C159" s="239" t="s">
        <v>1517</v>
      </c>
      <c r="D159" s="239" t="s">
        <v>1596</v>
      </c>
      <c r="E159" s="240">
        <v>5</v>
      </c>
      <c r="F159" s="239" t="s">
        <v>1628</v>
      </c>
      <c r="G159" s="241">
        <v>0</v>
      </c>
      <c r="H159" s="241">
        <v>204990</v>
      </c>
      <c r="I159" s="241">
        <v>204990</v>
      </c>
      <c r="J159" s="241">
        <v>0</v>
      </c>
    </row>
    <row r="160" spans="1:10">
      <c r="A160" s="239" t="s">
        <v>512</v>
      </c>
      <c r="B160" s="239"/>
      <c r="C160" s="239"/>
      <c r="D160" s="239" t="s">
        <v>513</v>
      </c>
      <c r="E160" s="240">
        <v>5</v>
      </c>
      <c r="F160" s="239" t="s">
        <v>1628</v>
      </c>
      <c r="G160" s="241">
        <v>1391973.08</v>
      </c>
      <c r="H160" s="241">
        <v>41289706.659999996</v>
      </c>
      <c r="I160" s="241">
        <v>39897733.579999998</v>
      </c>
      <c r="J160" s="241">
        <v>0</v>
      </c>
    </row>
    <row r="161" spans="1:10" ht="25.5">
      <c r="A161" s="239" t="s">
        <v>512</v>
      </c>
      <c r="B161" s="239" t="s">
        <v>1567</v>
      </c>
      <c r="C161" s="239" t="s">
        <v>1517</v>
      </c>
      <c r="D161" s="239" t="s">
        <v>1568</v>
      </c>
      <c r="E161" s="240">
        <v>5</v>
      </c>
      <c r="F161" s="239" t="s">
        <v>1628</v>
      </c>
      <c r="G161" s="241">
        <v>1391973.08</v>
      </c>
      <c r="H161" s="241">
        <v>1391973.08</v>
      </c>
      <c r="I161" s="241">
        <v>0</v>
      </c>
      <c r="J161" s="241">
        <v>0</v>
      </c>
    </row>
    <row r="162" spans="1:10" ht="25.5">
      <c r="A162" s="239" t="s">
        <v>512</v>
      </c>
      <c r="B162" s="239" t="s">
        <v>1601</v>
      </c>
      <c r="C162" s="239" t="s">
        <v>1517</v>
      </c>
      <c r="D162" s="239" t="s">
        <v>1602</v>
      </c>
      <c r="E162" s="240">
        <v>5</v>
      </c>
      <c r="F162" s="239" t="s">
        <v>1628</v>
      </c>
      <c r="G162" s="241">
        <v>0</v>
      </c>
      <c r="H162" s="241">
        <v>8825866</v>
      </c>
      <c r="I162" s="241">
        <v>8825866</v>
      </c>
      <c r="J162" s="241">
        <v>0</v>
      </c>
    </row>
    <row r="163" spans="1:10" ht="25.5">
      <c r="A163" s="239" t="s">
        <v>512</v>
      </c>
      <c r="B163" s="239" t="s">
        <v>1605</v>
      </c>
      <c r="C163" s="239" t="s">
        <v>1517</v>
      </c>
      <c r="D163" s="239" t="s">
        <v>1606</v>
      </c>
      <c r="E163" s="240">
        <v>5</v>
      </c>
      <c r="F163" s="239" t="s">
        <v>1628</v>
      </c>
      <c r="G163" s="241">
        <v>0</v>
      </c>
      <c r="H163" s="241">
        <v>31071867.579999998</v>
      </c>
      <c r="I163" s="241">
        <v>31071867.579999998</v>
      </c>
      <c r="J163" s="241">
        <v>0</v>
      </c>
    </row>
    <row r="164" spans="1:10">
      <c r="A164" s="239" t="s">
        <v>515</v>
      </c>
      <c r="B164" s="239"/>
      <c r="C164" s="239"/>
      <c r="D164" s="239" t="s">
        <v>516</v>
      </c>
      <c r="E164" s="240">
        <v>5</v>
      </c>
      <c r="F164" s="239" t="s">
        <v>1628</v>
      </c>
      <c r="G164" s="241">
        <v>0</v>
      </c>
      <c r="H164" s="241">
        <v>69080510</v>
      </c>
      <c r="I164" s="241">
        <v>69080510</v>
      </c>
      <c r="J164" s="241">
        <v>0</v>
      </c>
    </row>
    <row r="165" spans="1:10" ht="25.5">
      <c r="A165" s="239" t="s">
        <v>515</v>
      </c>
      <c r="B165" s="239" t="s">
        <v>1571</v>
      </c>
      <c r="C165" s="239" t="s">
        <v>1517</v>
      </c>
      <c r="D165" s="239" t="s">
        <v>1572</v>
      </c>
      <c r="E165" s="240">
        <v>5</v>
      </c>
      <c r="F165" s="239" t="s">
        <v>1628</v>
      </c>
      <c r="G165" s="241">
        <v>0</v>
      </c>
      <c r="H165" s="241">
        <v>69080510</v>
      </c>
      <c r="I165" s="241">
        <v>69080510</v>
      </c>
      <c r="J165" s="241">
        <v>0</v>
      </c>
    </row>
    <row r="166" spans="1:10">
      <c r="A166" s="239" t="s">
        <v>518</v>
      </c>
      <c r="B166" s="239"/>
      <c r="C166" s="239"/>
      <c r="D166" s="239" t="s">
        <v>519</v>
      </c>
      <c r="E166" s="240">
        <v>5</v>
      </c>
      <c r="F166" s="239" t="s">
        <v>1628</v>
      </c>
      <c r="G166" s="241">
        <v>0</v>
      </c>
      <c r="H166" s="241">
        <v>70948832</v>
      </c>
      <c r="I166" s="241">
        <v>70948832</v>
      </c>
      <c r="J166" s="241">
        <v>0</v>
      </c>
    </row>
    <row r="167" spans="1:10" ht="25.5">
      <c r="A167" s="239" t="s">
        <v>518</v>
      </c>
      <c r="B167" s="239" t="s">
        <v>1555</v>
      </c>
      <c r="C167" s="239" t="s">
        <v>1517</v>
      </c>
      <c r="D167" s="239" t="s">
        <v>1556</v>
      </c>
      <c r="E167" s="240">
        <v>5</v>
      </c>
      <c r="F167" s="239" t="s">
        <v>1628</v>
      </c>
      <c r="G167" s="241">
        <v>0</v>
      </c>
      <c r="H167" s="241">
        <v>50573637</v>
      </c>
      <c r="I167" s="241">
        <v>50573637</v>
      </c>
      <c r="J167" s="241">
        <v>0</v>
      </c>
    </row>
    <row r="168" spans="1:10" ht="25.5">
      <c r="A168" s="239" t="s">
        <v>518</v>
      </c>
      <c r="B168" s="239" t="s">
        <v>1585</v>
      </c>
      <c r="C168" s="239" t="s">
        <v>1517</v>
      </c>
      <c r="D168" s="239" t="s">
        <v>1586</v>
      </c>
      <c r="E168" s="240">
        <v>5</v>
      </c>
      <c r="F168" s="239" t="s">
        <v>1628</v>
      </c>
      <c r="G168" s="241">
        <v>0</v>
      </c>
      <c r="H168" s="241">
        <v>17484476</v>
      </c>
      <c r="I168" s="241">
        <v>17484476</v>
      </c>
      <c r="J168" s="241">
        <v>0</v>
      </c>
    </row>
    <row r="169" spans="1:10" ht="25.5">
      <c r="A169" s="239" t="s">
        <v>518</v>
      </c>
      <c r="B169" s="239" t="s">
        <v>1589</v>
      </c>
      <c r="C169" s="239" t="s">
        <v>1517</v>
      </c>
      <c r="D169" s="239" t="s">
        <v>1590</v>
      </c>
      <c r="E169" s="240">
        <v>5</v>
      </c>
      <c r="F169" s="239" t="s">
        <v>1628</v>
      </c>
      <c r="G169" s="241">
        <v>0</v>
      </c>
      <c r="H169" s="241">
        <v>2890719</v>
      </c>
      <c r="I169" s="241">
        <v>2890719</v>
      </c>
      <c r="J169" s="241">
        <v>0</v>
      </c>
    </row>
    <row r="170" spans="1:10">
      <c r="A170" s="239" t="s">
        <v>1637</v>
      </c>
      <c r="B170" s="239"/>
      <c r="C170" s="239"/>
      <c r="D170" s="239" t="s">
        <v>1638</v>
      </c>
      <c r="E170" s="240">
        <v>5</v>
      </c>
      <c r="F170" s="239" t="s">
        <v>1628</v>
      </c>
      <c r="G170" s="241">
        <v>0</v>
      </c>
      <c r="H170" s="241">
        <v>5120257.3600000003</v>
      </c>
      <c r="I170" s="241">
        <v>5120257.3600000003</v>
      </c>
      <c r="J170" s="241">
        <v>0</v>
      </c>
    </row>
    <row r="171" spans="1:10" ht="25.5">
      <c r="A171" s="239" t="s">
        <v>1637</v>
      </c>
      <c r="B171" s="239" t="s">
        <v>1547</v>
      </c>
      <c r="C171" s="239" t="s">
        <v>1517</v>
      </c>
      <c r="D171" s="239" t="s">
        <v>1548</v>
      </c>
      <c r="E171" s="240">
        <v>5</v>
      </c>
      <c r="F171" s="239" t="s">
        <v>1628</v>
      </c>
      <c r="G171" s="241">
        <v>0</v>
      </c>
      <c r="H171" s="241">
        <v>5120257.3600000003</v>
      </c>
      <c r="I171" s="241">
        <v>5120257.3600000003</v>
      </c>
      <c r="J171" s="241">
        <v>0</v>
      </c>
    </row>
    <row r="172" spans="1:10">
      <c r="A172" s="239" t="s">
        <v>521</v>
      </c>
      <c r="B172" s="239"/>
      <c r="C172" s="239"/>
      <c r="D172" s="239" t="s">
        <v>522</v>
      </c>
      <c r="E172" s="240">
        <v>4</v>
      </c>
      <c r="F172" s="239" t="s">
        <v>1628</v>
      </c>
      <c r="G172" s="241">
        <v>0</v>
      </c>
      <c r="H172" s="241">
        <v>365382</v>
      </c>
      <c r="I172" s="241">
        <v>365382</v>
      </c>
      <c r="J172" s="241">
        <v>0</v>
      </c>
    </row>
    <row r="173" spans="1:10" ht="25.5">
      <c r="A173" s="239" t="s">
        <v>521</v>
      </c>
      <c r="B173" s="239" t="s">
        <v>1581</v>
      </c>
      <c r="C173" s="239" t="s">
        <v>1517</v>
      </c>
      <c r="D173" s="239" t="s">
        <v>1582</v>
      </c>
      <c r="E173" s="240">
        <v>4</v>
      </c>
      <c r="F173" s="239" t="s">
        <v>1628</v>
      </c>
      <c r="G173" s="241">
        <v>0</v>
      </c>
      <c r="H173" s="241">
        <v>365382</v>
      </c>
      <c r="I173" s="241">
        <v>365382</v>
      </c>
      <c r="J173" s="241">
        <v>0</v>
      </c>
    </row>
    <row r="174" spans="1:10">
      <c r="A174" s="239" t="s">
        <v>541</v>
      </c>
      <c r="B174" s="239"/>
      <c r="C174" s="239"/>
      <c r="D174" s="239" t="s">
        <v>150</v>
      </c>
      <c r="E174" s="240">
        <v>4</v>
      </c>
      <c r="F174" s="239" t="s">
        <v>1628</v>
      </c>
      <c r="G174" s="241">
        <v>114034</v>
      </c>
      <c r="H174" s="241">
        <v>86739464</v>
      </c>
      <c r="I174" s="241">
        <v>87248867</v>
      </c>
      <c r="J174" s="241">
        <v>623437</v>
      </c>
    </row>
    <row r="175" spans="1:10">
      <c r="A175" s="239" t="s">
        <v>546</v>
      </c>
      <c r="B175" s="239"/>
      <c r="C175" s="239"/>
      <c r="D175" s="239" t="s">
        <v>547</v>
      </c>
      <c r="E175" s="240">
        <v>5</v>
      </c>
      <c r="F175" s="239" t="s">
        <v>1628</v>
      </c>
      <c r="G175" s="241">
        <v>114034</v>
      </c>
      <c r="H175" s="241">
        <v>75945669</v>
      </c>
      <c r="I175" s="241">
        <v>76455072</v>
      </c>
      <c r="J175" s="241">
        <v>623437</v>
      </c>
    </row>
    <row r="176" spans="1:10" ht="25.5">
      <c r="A176" s="239" t="s">
        <v>546</v>
      </c>
      <c r="B176" s="239" t="s">
        <v>1551</v>
      </c>
      <c r="C176" s="239" t="s">
        <v>1517</v>
      </c>
      <c r="D176" s="239" t="s">
        <v>1552</v>
      </c>
      <c r="E176" s="240">
        <v>5</v>
      </c>
      <c r="F176" s="239" t="s">
        <v>1628</v>
      </c>
      <c r="G176" s="241">
        <v>0</v>
      </c>
      <c r="H176" s="241">
        <v>2228082</v>
      </c>
      <c r="I176" s="241">
        <v>2228082</v>
      </c>
      <c r="J176" s="241">
        <v>0</v>
      </c>
    </row>
    <row r="177" spans="1:10" ht="25.5">
      <c r="A177" s="239" t="s">
        <v>546</v>
      </c>
      <c r="B177" s="239" t="s">
        <v>1563</v>
      </c>
      <c r="C177" s="239" t="s">
        <v>1517</v>
      </c>
      <c r="D177" s="239" t="s">
        <v>1564</v>
      </c>
      <c r="E177" s="240">
        <v>5</v>
      </c>
      <c r="F177" s="239" t="s">
        <v>1628</v>
      </c>
      <c r="G177" s="241">
        <v>0</v>
      </c>
      <c r="H177" s="241">
        <v>55508310</v>
      </c>
      <c r="I177" s="241">
        <v>55508310</v>
      </c>
      <c r="J177" s="241">
        <v>0</v>
      </c>
    </row>
    <row r="178" spans="1:10" ht="25.5">
      <c r="A178" s="239" t="s">
        <v>546</v>
      </c>
      <c r="B178" s="239" t="s">
        <v>1575</v>
      </c>
      <c r="C178" s="239" t="s">
        <v>1517</v>
      </c>
      <c r="D178" s="239" t="s">
        <v>1576</v>
      </c>
      <c r="E178" s="240">
        <v>5</v>
      </c>
      <c r="F178" s="239" t="s">
        <v>1628</v>
      </c>
      <c r="G178" s="241">
        <v>0</v>
      </c>
      <c r="H178" s="241">
        <v>11600000</v>
      </c>
      <c r="I178" s="241">
        <v>11600000</v>
      </c>
      <c r="J178" s="241">
        <v>0</v>
      </c>
    </row>
    <row r="179" spans="1:10" ht="25.5">
      <c r="A179" s="239" t="s">
        <v>546</v>
      </c>
      <c r="B179" s="239" t="s">
        <v>1577</v>
      </c>
      <c r="C179" s="239" t="s">
        <v>1517</v>
      </c>
      <c r="D179" s="239" t="s">
        <v>1578</v>
      </c>
      <c r="E179" s="240">
        <v>5</v>
      </c>
      <c r="F179" s="239" t="s">
        <v>1628</v>
      </c>
      <c r="G179" s="241">
        <v>0</v>
      </c>
      <c r="H179" s="241">
        <v>3175450</v>
      </c>
      <c r="I179" s="241">
        <v>3175450</v>
      </c>
      <c r="J179" s="241">
        <v>0</v>
      </c>
    </row>
    <row r="180" spans="1:10" ht="25.5">
      <c r="A180" s="239" t="s">
        <v>546</v>
      </c>
      <c r="B180" s="239" t="s">
        <v>1597</v>
      </c>
      <c r="C180" s="239" t="s">
        <v>1517</v>
      </c>
      <c r="D180" s="239" t="s">
        <v>1598</v>
      </c>
      <c r="E180" s="240">
        <v>5</v>
      </c>
      <c r="F180" s="239" t="s">
        <v>1628</v>
      </c>
      <c r="G180" s="241">
        <v>114034</v>
      </c>
      <c r="H180" s="241">
        <v>1578226</v>
      </c>
      <c r="I180" s="241">
        <v>1464192</v>
      </c>
      <c r="J180" s="241">
        <v>0</v>
      </c>
    </row>
    <row r="181" spans="1:10" ht="25.5">
      <c r="A181" s="239" t="s">
        <v>546</v>
      </c>
      <c r="B181" s="239" t="s">
        <v>1639</v>
      </c>
      <c r="C181" s="239" t="s">
        <v>1517</v>
      </c>
      <c r="D181" s="239" t="s">
        <v>1640</v>
      </c>
      <c r="E181" s="240">
        <v>5</v>
      </c>
      <c r="F181" s="239" t="s">
        <v>1628</v>
      </c>
      <c r="G181" s="241">
        <v>0</v>
      </c>
      <c r="H181" s="241">
        <v>0</v>
      </c>
      <c r="I181" s="241">
        <v>623437</v>
      </c>
      <c r="J181" s="241">
        <v>623437</v>
      </c>
    </row>
    <row r="182" spans="1:10" ht="25.5">
      <c r="A182" s="239" t="s">
        <v>546</v>
      </c>
      <c r="B182" s="239" t="s">
        <v>1603</v>
      </c>
      <c r="C182" s="239" t="s">
        <v>1517</v>
      </c>
      <c r="D182" s="239" t="s">
        <v>1604</v>
      </c>
      <c r="E182" s="240">
        <v>5</v>
      </c>
      <c r="F182" s="239" t="s">
        <v>1628</v>
      </c>
      <c r="G182" s="241">
        <v>0</v>
      </c>
      <c r="H182" s="241">
        <v>248506</v>
      </c>
      <c r="I182" s="241">
        <v>248506</v>
      </c>
      <c r="J182" s="241">
        <v>0</v>
      </c>
    </row>
    <row r="183" spans="1:10" ht="25.5">
      <c r="A183" s="239" t="s">
        <v>546</v>
      </c>
      <c r="B183" s="239" t="s">
        <v>1611</v>
      </c>
      <c r="C183" s="239" t="s">
        <v>1517</v>
      </c>
      <c r="D183" s="239" t="s">
        <v>1612</v>
      </c>
      <c r="E183" s="240">
        <v>5</v>
      </c>
      <c r="F183" s="239" t="s">
        <v>1628</v>
      </c>
      <c r="G183" s="241">
        <v>0</v>
      </c>
      <c r="H183" s="241">
        <v>1607095</v>
      </c>
      <c r="I183" s="241">
        <v>1607095</v>
      </c>
      <c r="J183" s="241">
        <v>0</v>
      </c>
    </row>
    <row r="184" spans="1:10">
      <c r="A184" s="239" t="s">
        <v>552</v>
      </c>
      <c r="B184" s="239"/>
      <c r="C184" s="239"/>
      <c r="D184" s="239" t="s">
        <v>553</v>
      </c>
      <c r="E184" s="240">
        <v>5</v>
      </c>
      <c r="F184" s="239" t="s">
        <v>1628</v>
      </c>
      <c r="G184" s="241">
        <v>0</v>
      </c>
      <c r="H184" s="241">
        <v>4518350</v>
      </c>
      <c r="I184" s="241">
        <v>4518350</v>
      </c>
      <c r="J184" s="241">
        <v>0</v>
      </c>
    </row>
    <row r="185" spans="1:10" ht="25.5">
      <c r="A185" s="239" t="s">
        <v>552</v>
      </c>
      <c r="B185" s="239" t="s">
        <v>1553</v>
      </c>
      <c r="C185" s="239" t="s">
        <v>1517</v>
      </c>
      <c r="D185" s="239" t="s">
        <v>1554</v>
      </c>
      <c r="E185" s="240">
        <v>5</v>
      </c>
      <c r="F185" s="239" t="s">
        <v>1628</v>
      </c>
      <c r="G185" s="241">
        <v>0</v>
      </c>
      <c r="H185" s="241">
        <v>4428400</v>
      </c>
      <c r="I185" s="241">
        <v>4428400</v>
      </c>
      <c r="J185" s="241">
        <v>0</v>
      </c>
    </row>
    <row r="186" spans="1:10" ht="25.5">
      <c r="A186" s="239" t="s">
        <v>552</v>
      </c>
      <c r="B186" s="239" t="s">
        <v>1587</v>
      </c>
      <c r="C186" s="239" t="s">
        <v>1517</v>
      </c>
      <c r="D186" s="239" t="s">
        <v>1588</v>
      </c>
      <c r="E186" s="240">
        <v>5</v>
      </c>
      <c r="F186" s="239" t="s">
        <v>1628</v>
      </c>
      <c r="G186" s="241">
        <v>0</v>
      </c>
      <c r="H186" s="241">
        <v>89950</v>
      </c>
      <c r="I186" s="241">
        <v>89950</v>
      </c>
      <c r="J186" s="241">
        <v>0</v>
      </c>
    </row>
    <row r="187" spans="1:10">
      <c r="A187" s="239" t="s">
        <v>556</v>
      </c>
      <c r="B187" s="239"/>
      <c r="C187" s="239"/>
      <c r="D187" s="239" t="s">
        <v>557</v>
      </c>
      <c r="E187" s="240">
        <v>5</v>
      </c>
      <c r="F187" s="239" t="s">
        <v>1628</v>
      </c>
      <c r="G187" s="241">
        <v>0</v>
      </c>
      <c r="H187" s="241">
        <v>2553145</v>
      </c>
      <c r="I187" s="241">
        <v>2553145</v>
      </c>
      <c r="J187" s="241">
        <v>0</v>
      </c>
    </row>
    <row r="188" spans="1:10" ht="25.5">
      <c r="A188" s="239" t="s">
        <v>556</v>
      </c>
      <c r="B188" s="239" t="s">
        <v>1607</v>
      </c>
      <c r="C188" s="239" t="s">
        <v>1517</v>
      </c>
      <c r="D188" s="239" t="s">
        <v>1608</v>
      </c>
      <c r="E188" s="240">
        <v>5</v>
      </c>
      <c r="F188" s="239" t="s">
        <v>1628</v>
      </c>
      <c r="G188" s="241">
        <v>0</v>
      </c>
      <c r="H188" s="241">
        <v>2553145</v>
      </c>
      <c r="I188" s="241">
        <v>2553145</v>
      </c>
      <c r="J188" s="241">
        <v>0</v>
      </c>
    </row>
    <row r="189" spans="1:10">
      <c r="A189" s="239" t="s">
        <v>1641</v>
      </c>
      <c r="B189" s="239"/>
      <c r="C189" s="239"/>
      <c r="D189" s="239" t="s">
        <v>1642</v>
      </c>
      <c r="E189" s="240">
        <v>5</v>
      </c>
      <c r="F189" s="239" t="s">
        <v>1628</v>
      </c>
      <c r="G189" s="241">
        <v>0</v>
      </c>
      <c r="H189" s="241">
        <v>1722300</v>
      </c>
      <c r="I189" s="241">
        <v>1722300</v>
      </c>
      <c r="J189" s="241">
        <v>0</v>
      </c>
    </row>
    <row r="190" spans="1:10" ht="25.5">
      <c r="A190" s="239" t="s">
        <v>1641</v>
      </c>
      <c r="B190" s="239" t="s">
        <v>1611</v>
      </c>
      <c r="C190" s="239" t="s">
        <v>1517</v>
      </c>
      <c r="D190" s="239" t="s">
        <v>1612</v>
      </c>
      <c r="E190" s="240">
        <v>5</v>
      </c>
      <c r="F190" s="239" t="s">
        <v>1628</v>
      </c>
      <c r="G190" s="241">
        <v>0</v>
      </c>
      <c r="H190" s="241">
        <v>1722300</v>
      </c>
      <c r="I190" s="241">
        <v>1722300</v>
      </c>
      <c r="J190" s="241">
        <v>0</v>
      </c>
    </row>
    <row r="191" spans="1:10">
      <c r="A191" s="239" t="s">
        <v>1643</v>
      </c>
      <c r="B191" s="239"/>
      <c r="C191" s="239"/>
      <c r="D191" s="239" t="s">
        <v>1644</v>
      </c>
      <c r="E191" s="240">
        <v>5</v>
      </c>
      <c r="F191" s="239" t="s">
        <v>1628</v>
      </c>
      <c r="G191" s="241">
        <v>0</v>
      </c>
      <c r="H191" s="241">
        <v>2000000</v>
      </c>
      <c r="I191" s="241">
        <v>2000000</v>
      </c>
      <c r="J191" s="241">
        <v>0</v>
      </c>
    </row>
    <row r="192" spans="1:10" ht="25.5">
      <c r="A192" s="239" t="s">
        <v>1643</v>
      </c>
      <c r="B192" s="239" t="s">
        <v>1521</v>
      </c>
      <c r="C192" s="239" t="s">
        <v>1517</v>
      </c>
      <c r="D192" s="239" t="s">
        <v>1522</v>
      </c>
      <c r="E192" s="240">
        <v>5</v>
      </c>
      <c r="F192" s="239" t="s">
        <v>1628</v>
      </c>
      <c r="G192" s="241">
        <v>0</v>
      </c>
      <c r="H192" s="241">
        <v>400000</v>
      </c>
      <c r="I192" s="241">
        <v>400000</v>
      </c>
      <c r="J192" s="241">
        <v>0</v>
      </c>
    </row>
    <row r="193" spans="1:10" ht="25.5">
      <c r="A193" s="239" t="s">
        <v>1643</v>
      </c>
      <c r="B193" s="239" t="s">
        <v>1523</v>
      </c>
      <c r="C193" s="239" t="s">
        <v>1517</v>
      </c>
      <c r="D193" s="239" t="s">
        <v>1524</v>
      </c>
      <c r="E193" s="240">
        <v>5</v>
      </c>
      <c r="F193" s="239" t="s">
        <v>1628</v>
      </c>
      <c r="G193" s="241">
        <v>0</v>
      </c>
      <c r="H193" s="241">
        <v>400000</v>
      </c>
      <c r="I193" s="241">
        <v>400000</v>
      </c>
      <c r="J193" s="241">
        <v>0</v>
      </c>
    </row>
    <row r="194" spans="1:10" ht="25.5">
      <c r="A194" s="239" t="s">
        <v>1643</v>
      </c>
      <c r="B194" s="239" t="s">
        <v>1525</v>
      </c>
      <c r="C194" s="239" t="s">
        <v>1517</v>
      </c>
      <c r="D194" s="239" t="s">
        <v>1526</v>
      </c>
      <c r="E194" s="240">
        <v>5</v>
      </c>
      <c r="F194" s="239" t="s">
        <v>1628</v>
      </c>
      <c r="G194" s="241">
        <v>0</v>
      </c>
      <c r="H194" s="241">
        <v>200000</v>
      </c>
      <c r="I194" s="241">
        <v>200000</v>
      </c>
      <c r="J194" s="241">
        <v>0</v>
      </c>
    </row>
    <row r="195" spans="1:10" ht="25.5">
      <c r="A195" s="239" t="s">
        <v>1643</v>
      </c>
      <c r="B195" s="239" t="s">
        <v>1527</v>
      </c>
      <c r="C195" s="239" t="s">
        <v>1517</v>
      </c>
      <c r="D195" s="239" t="s">
        <v>1528</v>
      </c>
      <c r="E195" s="240">
        <v>5</v>
      </c>
      <c r="F195" s="239" t="s">
        <v>1628</v>
      </c>
      <c r="G195" s="241">
        <v>0</v>
      </c>
      <c r="H195" s="241">
        <v>400000</v>
      </c>
      <c r="I195" s="241">
        <v>400000</v>
      </c>
      <c r="J195" s="241">
        <v>0</v>
      </c>
    </row>
    <row r="196" spans="1:10" ht="25.5">
      <c r="A196" s="239" t="s">
        <v>1643</v>
      </c>
      <c r="B196" s="239" t="s">
        <v>1531</v>
      </c>
      <c r="C196" s="239" t="s">
        <v>1517</v>
      </c>
      <c r="D196" s="239" t="s">
        <v>1532</v>
      </c>
      <c r="E196" s="240">
        <v>5</v>
      </c>
      <c r="F196" s="239" t="s">
        <v>1628</v>
      </c>
      <c r="G196" s="241">
        <v>0</v>
      </c>
      <c r="H196" s="241">
        <v>200000</v>
      </c>
      <c r="I196" s="241">
        <v>200000</v>
      </c>
      <c r="J196" s="241">
        <v>0</v>
      </c>
    </row>
    <row r="197" spans="1:10" ht="25.5">
      <c r="A197" s="239" t="s">
        <v>1643</v>
      </c>
      <c r="B197" s="239" t="s">
        <v>1537</v>
      </c>
      <c r="C197" s="239" t="s">
        <v>1517</v>
      </c>
      <c r="D197" s="239" t="s">
        <v>1538</v>
      </c>
      <c r="E197" s="240">
        <v>5</v>
      </c>
      <c r="F197" s="239" t="s">
        <v>1628</v>
      </c>
      <c r="G197" s="241">
        <v>0</v>
      </c>
      <c r="H197" s="241">
        <v>400000</v>
      </c>
      <c r="I197" s="241">
        <v>400000</v>
      </c>
      <c r="J197" s="241">
        <v>0</v>
      </c>
    </row>
    <row r="198" spans="1:10">
      <c r="A198" s="239" t="s">
        <v>576</v>
      </c>
      <c r="B198" s="239"/>
      <c r="C198" s="239"/>
      <c r="D198" s="239" t="s">
        <v>236</v>
      </c>
      <c r="E198" s="240">
        <v>3</v>
      </c>
      <c r="F198" s="239" t="s">
        <v>1628</v>
      </c>
      <c r="G198" s="241">
        <v>1163000</v>
      </c>
      <c r="H198" s="241">
        <v>32589911</v>
      </c>
      <c r="I198" s="241">
        <v>32105911</v>
      </c>
      <c r="J198" s="241">
        <v>679000</v>
      </c>
    </row>
    <row r="199" spans="1:10">
      <c r="A199" s="239" t="s">
        <v>581</v>
      </c>
      <c r="B199" s="239"/>
      <c r="C199" s="239"/>
      <c r="D199" s="239" t="s">
        <v>217</v>
      </c>
      <c r="E199" s="240">
        <v>4</v>
      </c>
      <c r="F199" s="239" t="s">
        <v>1628</v>
      </c>
      <c r="G199" s="241">
        <v>0</v>
      </c>
      <c r="H199" s="241">
        <v>88563</v>
      </c>
      <c r="I199" s="241">
        <v>88563</v>
      </c>
      <c r="J199" s="241">
        <v>0</v>
      </c>
    </row>
    <row r="200" spans="1:10">
      <c r="A200" s="239" t="s">
        <v>585</v>
      </c>
      <c r="B200" s="239"/>
      <c r="C200" s="239"/>
      <c r="D200" s="239" t="s">
        <v>244</v>
      </c>
      <c r="E200" s="240">
        <v>5</v>
      </c>
      <c r="F200" s="239" t="s">
        <v>1628</v>
      </c>
      <c r="G200" s="241">
        <v>0</v>
      </c>
      <c r="H200" s="241">
        <v>88563</v>
      </c>
      <c r="I200" s="241">
        <v>88563</v>
      </c>
      <c r="J200" s="241">
        <v>0</v>
      </c>
    </row>
    <row r="201" spans="1:10" ht="25.5">
      <c r="A201" s="239" t="s">
        <v>585</v>
      </c>
      <c r="B201" s="239" t="s">
        <v>1529</v>
      </c>
      <c r="C201" s="239" t="s">
        <v>1517</v>
      </c>
      <c r="D201" s="239" t="s">
        <v>1530</v>
      </c>
      <c r="E201" s="240">
        <v>5</v>
      </c>
      <c r="F201" s="239" t="s">
        <v>1628</v>
      </c>
      <c r="G201" s="241">
        <v>0</v>
      </c>
      <c r="H201" s="241">
        <v>0</v>
      </c>
      <c r="I201" s="241">
        <v>20803</v>
      </c>
      <c r="J201" s="241">
        <v>20803</v>
      </c>
    </row>
    <row r="202" spans="1:10" ht="25.5">
      <c r="A202" s="239" t="s">
        <v>585</v>
      </c>
      <c r="B202" s="239" t="s">
        <v>1557</v>
      </c>
      <c r="C202" s="239" t="s">
        <v>1517</v>
      </c>
      <c r="D202" s="239" t="s">
        <v>1558</v>
      </c>
      <c r="E202" s="240">
        <v>5</v>
      </c>
      <c r="F202" s="239" t="s">
        <v>1628</v>
      </c>
      <c r="G202" s="241">
        <v>0</v>
      </c>
      <c r="H202" s="241">
        <v>88563</v>
      </c>
      <c r="I202" s="241">
        <v>0</v>
      </c>
      <c r="J202" s="241">
        <v>-88563</v>
      </c>
    </row>
    <row r="203" spans="1:10" ht="25.5">
      <c r="A203" s="239" t="s">
        <v>585</v>
      </c>
      <c r="B203" s="239" t="s">
        <v>1611</v>
      </c>
      <c r="C203" s="239" t="s">
        <v>1517</v>
      </c>
      <c r="D203" s="239" t="s">
        <v>1612</v>
      </c>
      <c r="E203" s="240">
        <v>5</v>
      </c>
      <c r="F203" s="239" t="s">
        <v>1628</v>
      </c>
      <c r="G203" s="241">
        <v>0</v>
      </c>
      <c r="H203" s="241">
        <v>0</v>
      </c>
      <c r="I203" s="241">
        <v>67760</v>
      </c>
      <c r="J203" s="241">
        <v>67760</v>
      </c>
    </row>
    <row r="204" spans="1:10">
      <c r="A204" s="239" t="s">
        <v>594</v>
      </c>
      <c r="B204" s="239"/>
      <c r="C204" s="239"/>
      <c r="D204" s="239" t="s">
        <v>132</v>
      </c>
      <c r="E204" s="240">
        <v>4</v>
      </c>
      <c r="F204" s="239" t="s">
        <v>1628</v>
      </c>
      <c r="G204" s="241">
        <v>0</v>
      </c>
      <c r="H204" s="241">
        <v>24660</v>
      </c>
      <c r="I204" s="241">
        <v>24660</v>
      </c>
      <c r="J204" s="241">
        <v>0</v>
      </c>
    </row>
    <row r="205" spans="1:10">
      <c r="A205" s="239" t="s">
        <v>595</v>
      </c>
      <c r="B205" s="239"/>
      <c r="C205" s="239"/>
      <c r="D205" s="239" t="s">
        <v>596</v>
      </c>
      <c r="E205" s="240">
        <v>5</v>
      </c>
      <c r="F205" s="239" t="s">
        <v>1628</v>
      </c>
      <c r="G205" s="241">
        <v>0</v>
      </c>
      <c r="H205" s="241">
        <v>2792</v>
      </c>
      <c r="I205" s="241">
        <v>2792</v>
      </c>
      <c r="J205" s="241">
        <v>0</v>
      </c>
    </row>
    <row r="206" spans="1:10" ht="25.5">
      <c r="A206" s="239" t="s">
        <v>595</v>
      </c>
      <c r="B206" s="239" t="s">
        <v>1557</v>
      </c>
      <c r="C206" s="239" t="s">
        <v>1517</v>
      </c>
      <c r="D206" s="239" t="s">
        <v>1558</v>
      </c>
      <c r="E206" s="240">
        <v>5</v>
      </c>
      <c r="F206" s="239" t="s">
        <v>1628</v>
      </c>
      <c r="G206" s="241">
        <v>0</v>
      </c>
      <c r="H206" s="241">
        <v>2792</v>
      </c>
      <c r="I206" s="241">
        <v>0</v>
      </c>
      <c r="J206" s="241">
        <v>-2792</v>
      </c>
    </row>
    <row r="207" spans="1:10" ht="25.5">
      <c r="A207" s="239" t="s">
        <v>595</v>
      </c>
      <c r="B207" s="239" t="s">
        <v>1605</v>
      </c>
      <c r="C207" s="239" t="s">
        <v>1517</v>
      </c>
      <c r="D207" s="239" t="s">
        <v>1606</v>
      </c>
      <c r="E207" s="240">
        <v>5</v>
      </c>
      <c r="F207" s="239" t="s">
        <v>1628</v>
      </c>
      <c r="G207" s="241">
        <v>0</v>
      </c>
      <c r="H207" s="241">
        <v>0</v>
      </c>
      <c r="I207" s="241">
        <v>2792</v>
      </c>
      <c r="J207" s="241">
        <v>2792</v>
      </c>
    </row>
    <row r="208" spans="1:10">
      <c r="A208" s="239" t="s">
        <v>604</v>
      </c>
      <c r="B208" s="239"/>
      <c r="C208" s="239"/>
      <c r="D208" s="239" t="s">
        <v>247</v>
      </c>
      <c r="E208" s="240">
        <v>5</v>
      </c>
      <c r="F208" s="239" t="s">
        <v>1628</v>
      </c>
      <c r="G208" s="241">
        <v>0</v>
      </c>
      <c r="H208" s="241">
        <v>21868</v>
      </c>
      <c r="I208" s="241">
        <v>21868</v>
      </c>
      <c r="J208" s="241">
        <v>0</v>
      </c>
    </row>
    <row r="209" spans="1:10" ht="25.5">
      <c r="A209" s="239" t="s">
        <v>604</v>
      </c>
      <c r="B209" s="239" t="s">
        <v>1557</v>
      </c>
      <c r="C209" s="239" t="s">
        <v>1517</v>
      </c>
      <c r="D209" s="239" t="s">
        <v>1558</v>
      </c>
      <c r="E209" s="240">
        <v>5</v>
      </c>
      <c r="F209" s="239" t="s">
        <v>1628</v>
      </c>
      <c r="G209" s="241">
        <v>0</v>
      </c>
      <c r="H209" s="241">
        <v>21868</v>
      </c>
      <c r="I209" s="241">
        <v>0</v>
      </c>
      <c r="J209" s="241">
        <v>-21868</v>
      </c>
    </row>
    <row r="210" spans="1:10" ht="25.5">
      <c r="A210" s="239" t="s">
        <v>604</v>
      </c>
      <c r="B210" s="239" t="s">
        <v>1639</v>
      </c>
      <c r="C210" s="239" t="s">
        <v>1517</v>
      </c>
      <c r="D210" s="239" t="s">
        <v>1640</v>
      </c>
      <c r="E210" s="240">
        <v>5</v>
      </c>
      <c r="F210" s="239" t="s">
        <v>1628</v>
      </c>
      <c r="G210" s="241">
        <v>0</v>
      </c>
      <c r="H210" s="241">
        <v>0</v>
      </c>
      <c r="I210" s="241">
        <v>21868</v>
      </c>
      <c r="J210" s="241">
        <v>21868</v>
      </c>
    </row>
    <row r="211" spans="1:10">
      <c r="A211" s="239" t="s">
        <v>609</v>
      </c>
      <c r="B211" s="239"/>
      <c r="C211" s="239"/>
      <c r="D211" s="239" t="s">
        <v>222</v>
      </c>
      <c r="E211" s="240">
        <v>4</v>
      </c>
      <c r="F211" s="239" t="s">
        <v>1628</v>
      </c>
      <c r="G211" s="241">
        <v>0</v>
      </c>
      <c r="H211" s="241">
        <v>6202932</v>
      </c>
      <c r="I211" s="241">
        <v>6202932</v>
      </c>
      <c r="J211" s="241">
        <v>0</v>
      </c>
    </row>
    <row r="212" spans="1:10">
      <c r="A212" s="239" t="s">
        <v>610</v>
      </c>
      <c r="B212" s="239"/>
      <c r="C212" s="239"/>
      <c r="D212" s="239" t="s">
        <v>611</v>
      </c>
      <c r="E212" s="240">
        <v>5</v>
      </c>
      <c r="F212" s="239" t="s">
        <v>1628</v>
      </c>
      <c r="G212" s="241">
        <v>0</v>
      </c>
      <c r="H212" s="241">
        <v>6151572</v>
      </c>
      <c r="I212" s="241">
        <v>6151572</v>
      </c>
      <c r="J212" s="241">
        <v>0</v>
      </c>
    </row>
    <row r="213" spans="1:10" ht="25.5">
      <c r="A213" s="239" t="s">
        <v>610</v>
      </c>
      <c r="B213" s="239" t="s">
        <v>1557</v>
      </c>
      <c r="C213" s="239" t="s">
        <v>1517</v>
      </c>
      <c r="D213" s="239" t="s">
        <v>1558</v>
      </c>
      <c r="E213" s="240">
        <v>5</v>
      </c>
      <c r="F213" s="239" t="s">
        <v>1628</v>
      </c>
      <c r="G213" s="241">
        <v>0</v>
      </c>
      <c r="H213" s="241">
        <v>6151572</v>
      </c>
      <c r="I213" s="241">
        <v>0</v>
      </c>
      <c r="J213" s="241">
        <v>-6151572</v>
      </c>
    </row>
    <row r="214" spans="1:10" ht="25.5">
      <c r="A214" s="239" t="s">
        <v>610</v>
      </c>
      <c r="B214" s="239" t="s">
        <v>1599</v>
      </c>
      <c r="C214" s="239" t="s">
        <v>1517</v>
      </c>
      <c r="D214" s="239" t="s">
        <v>1600</v>
      </c>
      <c r="E214" s="240">
        <v>5</v>
      </c>
      <c r="F214" s="239" t="s">
        <v>1628</v>
      </c>
      <c r="G214" s="241">
        <v>0</v>
      </c>
      <c r="H214" s="241">
        <v>0</v>
      </c>
      <c r="I214" s="241">
        <v>6151572</v>
      </c>
      <c r="J214" s="241">
        <v>6151572</v>
      </c>
    </row>
    <row r="215" spans="1:10">
      <c r="A215" s="239" t="s">
        <v>613</v>
      </c>
      <c r="B215" s="239"/>
      <c r="C215" s="239"/>
      <c r="D215" s="239" t="s">
        <v>241</v>
      </c>
      <c r="E215" s="240">
        <v>5</v>
      </c>
      <c r="F215" s="239" t="s">
        <v>1628</v>
      </c>
      <c r="G215" s="241">
        <v>0</v>
      </c>
      <c r="H215" s="241">
        <v>51360</v>
      </c>
      <c r="I215" s="241">
        <v>51360</v>
      </c>
      <c r="J215" s="241">
        <v>0</v>
      </c>
    </row>
    <row r="216" spans="1:10" ht="25.5">
      <c r="A216" s="239" t="s">
        <v>613</v>
      </c>
      <c r="B216" s="239" t="s">
        <v>1557</v>
      </c>
      <c r="C216" s="239" t="s">
        <v>1517</v>
      </c>
      <c r="D216" s="239" t="s">
        <v>1558</v>
      </c>
      <c r="E216" s="240">
        <v>5</v>
      </c>
      <c r="F216" s="239" t="s">
        <v>1628</v>
      </c>
      <c r="G216" s="241">
        <v>0</v>
      </c>
      <c r="H216" s="241">
        <v>51360</v>
      </c>
      <c r="I216" s="241">
        <v>0</v>
      </c>
      <c r="J216" s="241">
        <v>-51360</v>
      </c>
    </row>
    <row r="217" spans="1:10" ht="25.5">
      <c r="A217" s="239" t="s">
        <v>613</v>
      </c>
      <c r="B217" s="239" t="s">
        <v>1597</v>
      </c>
      <c r="C217" s="239" t="s">
        <v>1517</v>
      </c>
      <c r="D217" s="239" t="s">
        <v>1598</v>
      </c>
      <c r="E217" s="240">
        <v>5</v>
      </c>
      <c r="F217" s="239" t="s">
        <v>1628</v>
      </c>
      <c r="G217" s="241">
        <v>0</v>
      </c>
      <c r="H217" s="241">
        <v>0</v>
      </c>
      <c r="I217" s="241">
        <v>51360</v>
      </c>
      <c r="J217" s="241">
        <v>51360</v>
      </c>
    </row>
    <row r="218" spans="1:10">
      <c r="A218" s="239" t="s">
        <v>620</v>
      </c>
      <c r="B218" s="239"/>
      <c r="C218" s="239"/>
      <c r="D218" s="239" t="s">
        <v>129</v>
      </c>
      <c r="E218" s="240">
        <v>4</v>
      </c>
      <c r="F218" s="239" t="s">
        <v>1628</v>
      </c>
      <c r="G218" s="241">
        <v>0</v>
      </c>
      <c r="H218" s="241">
        <v>1278174</v>
      </c>
      <c r="I218" s="241">
        <v>1278174</v>
      </c>
      <c r="J218" s="241">
        <v>0</v>
      </c>
    </row>
    <row r="219" spans="1:10">
      <c r="A219" s="239" t="s">
        <v>621</v>
      </c>
      <c r="B219" s="239"/>
      <c r="C219" s="239"/>
      <c r="D219" s="239" t="s">
        <v>622</v>
      </c>
      <c r="E219" s="240">
        <v>5</v>
      </c>
      <c r="F219" s="239" t="s">
        <v>1628</v>
      </c>
      <c r="G219" s="241">
        <v>0</v>
      </c>
      <c r="H219" s="241">
        <v>1278174</v>
      </c>
      <c r="I219" s="241">
        <v>1278174</v>
      </c>
      <c r="J219" s="241">
        <v>0</v>
      </c>
    </row>
    <row r="220" spans="1:10" ht="25.5">
      <c r="A220" s="239" t="s">
        <v>621</v>
      </c>
      <c r="B220" s="239" t="s">
        <v>1551</v>
      </c>
      <c r="C220" s="239" t="s">
        <v>1517</v>
      </c>
      <c r="D220" s="239" t="s">
        <v>1552</v>
      </c>
      <c r="E220" s="240">
        <v>5</v>
      </c>
      <c r="F220" s="239" t="s">
        <v>1628</v>
      </c>
      <c r="G220" s="241">
        <v>0</v>
      </c>
      <c r="H220" s="241">
        <v>0</v>
      </c>
      <c r="I220" s="241">
        <v>57538</v>
      </c>
      <c r="J220" s="241">
        <v>57538</v>
      </c>
    </row>
    <row r="221" spans="1:10" ht="25.5">
      <c r="A221" s="239" t="s">
        <v>621</v>
      </c>
      <c r="B221" s="239" t="s">
        <v>1557</v>
      </c>
      <c r="C221" s="239" t="s">
        <v>1517</v>
      </c>
      <c r="D221" s="239" t="s">
        <v>1558</v>
      </c>
      <c r="E221" s="240">
        <v>5</v>
      </c>
      <c r="F221" s="239" t="s">
        <v>1628</v>
      </c>
      <c r="G221" s="241">
        <v>0</v>
      </c>
      <c r="H221" s="241">
        <v>1278174</v>
      </c>
      <c r="I221" s="241">
        <v>0</v>
      </c>
      <c r="J221" s="241">
        <v>-1278174</v>
      </c>
    </row>
    <row r="222" spans="1:10" ht="25.5">
      <c r="A222" s="239" t="s">
        <v>621</v>
      </c>
      <c r="B222" s="239" t="s">
        <v>1563</v>
      </c>
      <c r="C222" s="239" t="s">
        <v>1517</v>
      </c>
      <c r="D222" s="239" t="s">
        <v>1564</v>
      </c>
      <c r="E222" s="240">
        <v>5</v>
      </c>
      <c r="F222" s="239" t="s">
        <v>1628</v>
      </c>
      <c r="G222" s="241">
        <v>0</v>
      </c>
      <c r="H222" s="241">
        <v>0</v>
      </c>
      <c r="I222" s="241">
        <v>1189529</v>
      </c>
      <c r="J222" s="241">
        <v>1189529</v>
      </c>
    </row>
    <row r="223" spans="1:10" ht="25.5">
      <c r="A223" s="239" t="s">
        <v>621</v>
      </c>
      <c r="B223" s="239" t="s">
        <v>1611</v>
      </c>
      <c r="C223" s="239" t="s">
        <v>1517</v>
      </c>
      <c r="D223" s="239" t="s">
        <v>1612</v>
      </c>
      <c r="E223" s="240">
        <v>5</v>
      </c>
      <c r="F223" s="239" t="s">
        <v>1628</v>
      </c>
      <c r="G223" s="241">
        <v>0</v>
      </c>
      <c r="H223" s="241">
        <v>0</v>
      </c>
      <c r="I223" s="241">
        <v>31107</v>
      </c>
      <c r="J223" s="241">
        <v>31107</v>
      </c>
    </row>
    <row r="224" spans="1:10">
      <c r="A224" s="239" t="s">
        <v>643</v>
      </c>
      <c r="B224" s="239"/>
      <c r="C224" s="239"/>
      <c r="D224" s="239" t="s">
        <v>644</v>
      </c>
      <c r="E224" s="240">
        <v>4</v>
      </c>
      <c r="F224" s="239" t="s">
        <v>1628</v>
      </c>
      <c r="G224" s="241">
        <v>0</v>
      </c>
      <c r="H224" s="241">
        <v>8242582</v>
      </c>
      <c r="I224" s="241">
        <v>8242582</v>
      </c>
      <c r="J224" s="241">
        <v>0</v>
      </c>
    </row>
    <row r="225" spans="1:10">
      <c r="A225" s="239" t="s">
        <v>645</v>
      </c>
      <c r="B225" s="239"/>
      <c r="C225" s="239"/>
      <c r="D225" s="239" t="s">
        <v>646</v>
      </c>
      <c r="E225" s="240">
        <v>5</v>
      </c>
      <c r="F225" s="239" t="s">
        <v>1628</v>
      </c>
      <c r="G225" s="241">
        <v>0</v>
      </c>
      <c r="H225" s="241">
        <v>399751</v>
      </c>
      <c r="I225" s="241">
        <v>399751</v>
      </c>
      <c r="J225" s="241">
        <v>0</v>
      </c>
    </row>
    <row r="226" spans="1:10" ht="25.5">
      <c r="A226" s="239" t="s">
        <v>645</v>
      </c>
      <c r="B226" s="239" t="s">
        <v>1557</v>
      </c>
      <c r="C226" s="239" t="s">
        <v>1517</v>
      </c>
      <c r="D226" s="239" t="s">
        <v>1558</v>
      </c>
      <c r="E226" s="240">
        <v>5</v>
      </c>
      <c r="F226" s="239" t="s">
        <v>1628</v>
      </c>
      <c r="G226" s="241">
        <v>0</v>
      </c>
      <c r="H226" s="241">
        <v>399751</v>
      </c>
      <c r="I226" s="241">
        <v>399751</v>
      </c>
      <c r="J226" s="241">
        <v>0</v>
      </c>
    </row>
    <row r="227" spans="1:10">
      <c r="A227" s="239" t="s">
        <v>1645</v>
      </c>
      <c r="B227" s="239"/>
      <c r="C227" s="239"/>
      <c r="D227" s="239" t="s">
        <v>1646</v>
      </c>
      <c r="E227" s="240">
        <v>5</v>
      </c>
      <c r="F227" s="239" t="s">
        <v>1628</v>
      </c>
      <c r="G227" s="241">
        <v>0</v>
      </c>
      <c r="H227" s="241">
        <v>7842831</v>
      </c>
      <c r="I227" s="241">
        <v>7842831</v>
      </c>
      <c r="J227" s="241">
        <v>0</v>
      </c>
    </row>
    <row r="228" spans="1:10" ht="25.5">
      <c r="A228" s="239" t="s">
        <v>1645</v>
      </c>
      <c r="B228" s="239" t="s">
        <v>1557</v>
      </c>
      <c r="C228" s="239" t="s">
        <v>1517</v>
      </c>
      <c r="D228" s="239" t="s">
        <v>1558</v>
      </c>
      <c r="E228" s="240">
        <v>5</v>
      </c>
      <c r="F228" s="239" t="s">
        <v>1628</v>
      </c>
      <c r="G228" s="241">
        <v>0</v>
      </c>
      <c r="H228" s="241">
        <v>7842831</v>
      </c>
      <c r="I228" s="241">
        <v>7842831</v>
      </c>
      <c r="J228" s="241">
        <v>0</v>
      </c>
    </row>
    <row r="229" spans="1:10">
      <c r="A229" s="239" t="s">
        <v>647</v>
      </c>
      <c r="B229" s="239"/>
      <c r="C229" s="239"/>
      <c r="D229" s="239" t="s">
        <v>648</v>
      </c>
      <c r="E229" s="240">
        <v>4</v>
      </c>
      <c r="F229" s="239" t="s">
        <v>1628</v>
      </c>
      <c r="G229" s="241">
        <v>1163000</v>
      </c>
      <c r="H229" s="241">
        <v>16753000</v>
      </c>
      <c r="I229" s="241">
        <v>16269000</v>
      </c>
      <c r="J229" s="241">
        <v>679000</v>
      </c>
    </row>
    <row r="230" spans="1:10" ht="25.5">
      <c r="A230" s="239" t="s">
        <v>647</v>
      </c>
      <c r="B230" s="239" t="s">
        <v>1557</v>
      </c>
      <c r="C230" s="239" t="s">
        <v>1517</v>
      </c>
      <c r="D230" s="239" t="s">
        <v>1558</v>
      </c>
      <c r="E230" s="240">
        <v>4</v>
      </c>
      <c r="F230" s="239" t="s">
        <v>1628</v>
      </c>
      <c r="G230" s="241">
        <v>0</v>
      </c>
      <c r="H230" s="241">
        <v>16753000</v>
      </c>
      <c r="I230" s="241">
        <v>16269000</v>
      </c>
      <c r="J230" s="241">
        <v>-484000</v>
      </c>
    </row>
    <row r="231" spans="1:10" ht="25.5">
      <c r="A231" s="239" t="s">
        <v>647</v>
      </c>
      <c r="B231" s="239" t="s">
        <v>1516</v>
      </c>
      <c r="C231" s="239" t="s">
        <v>1517</v>
      </c>
      <c r="D231" s="239" t="s">
        <v>1518</v>
      </c>
      <c r="E231" s="240">
        <v>4</v>
      </c>
      <c r="F231" s="239" t="s">
        <v>1628</v>
      </c>
      <c r="G231" s="241">
        <v>1163000</v>
      </c>
      <c r="H231" s="241">
        <v>0</v>
      </c>
      <c r="I231" s="241">
        <v>0</v>
      </c>
      <c r="J231" s="241">
        <v>1163000</v>
      </c>
    </row>
    <row r="232" spans="1:10">
      <c r="A232" s="239" t="s">
        <v>650</v>
      </c>
      <c r="B232" s="239"/>
      <c r="C232" s="239"/>
      <c r="D232" s="239" t="s">
        <v>253</v>
      </c>
      <c r="E232" s="240">
        <v>3</v>
      </c>
      <c r="F232" s="239" t="s">
        <v>1628</v>
      </c>
      <c r="G232" s="241">
        <v>179170</v>
      </c>
      <c r="H232" s="241">
        <v>179170</v>
      </c>
      <c r="I232" s="241">
        <v>0</v>
      </c>
      <c r="J232" s="241">
        <v>0</v>
      </c>
    </row>
    <row r="233" spans="1:10">
      <c r="A233" s="239" t="s">
        <v>651</v>
      </c>
      <c r="B233" s="239"/>
      <c r="C233" s="239"/>
      <c r="D233" s="239" t="s">
        <v>652</v>
      </c>
      <c r="E233" s="240">
        <v>4</v>
      </c>
      <c r="F233" s="239" t="s">
        <v>1628</v>
      </c>
      <c r="G233" s="241">
        <v>179170</v>
      </c>
      <c r="H233" s="241">
        <v>179170</v>
      </c>
      <c r="I233" s="241">
        <v>0</v>
      </c>
      <c r="J233" s="241">
        <v>0</v>
      </c>
    </row>
    <row r="234" spans="1:10">
      <c r="A234" s="239" t="s">
        <v>653</v>
      </c>
      <c r="B234" s="239"/>
      <c r="C234" s="239"/>
      <c r="D234" s="239" t="s">
        <v>654</v>
      </c>
      <c r="E234" s="240">
        <v>5</v>
      </c>
      <c r="F234" s="239" t="s">
        <v>1628</v>
      </c>
      <c r="G234" s="241">
        <v>179170</v>
      </c>
      <c r="H234" s="241">
        <v>179170</v>
      </c>
      <c r="I234" s="241">
        <v>0</v>
      </c>
      <c r="J234" s="241">
        <v>0</v>
      </c>
    </row>
    <row r="235" spans="1:10" ht="25.5">
      <c r="A235" s="239" t="s">
        <v>653</v>
      </c>
      <c r="B235" s="239" t="s">
        <v>1557</v>
      </c>
      <c r="C235" s="239" t="s">
        <v>1517</v>
      </c>
      <c r="D235" s="239" t="s">
        <v>1558</v>
      </c>
      <c r="E235" s="240">
        <v>5</v>
      </c>
      <c r="F235" s="239" t="s">
        <v>1628</v>
      </c>
      <c r="G235" s="241">
        <v>0</v>
      </c>
      <c r="H235" s="241">
        <v>179170</v>
      </c>
      <c r="I235" s="241">
        <v>0</v>
      </c>
      <c r="J235" s="241">
        <v>-179170</v>
      </c>
    </row>
    <row r="236" spans="1:10" ht="25.5">
      <c r="A236" s="239" t="s">
        <v>653</v>
      </c>
      <c r="B236" s="239" t="s">
        <v>1516</v>
      </c>
      <c r="C236" s="239" t="s">
        <v>1517</v>
      </c>
      <c r="D236" s="239" t="s">
        <v>1518</v>
      </c>
      <c r="E236" s="240">
        <v>5</v>
      </c>
      <c r="F236" s="239" t="s">
        <v>1628</v>
      </c>
      <c r="G236" s="241">
        <v>179170</v>
      </c>
      <c r="H236" s="241">
        <v>0</v>
      </c>
      <c r="I236" s="241">
        <v>0</v>
      </c>
      <c r="J236" s="241">
        <v>179170</v>
      </c>
    </row>
    <row r="237" spans="1:10" ht="25.5">
      <c r="A237" s="239" t="s">
        <v>656</v>
      </c>
      <c r="B237" s="239"/>
      <c r="C237" s="239"/>
      <c r="D237" s="239" t="s">
        <v>258</v>
      </c>
      <c r="E237" s="240">
        <v>3</v>
      </c>
      <c r="F237" s="239" t="s">
        <v>1628</v>
      </c>
      <c r="G237" s="241">
        <v>2712000</v>
      </c>
      <c r="H237" s="241">
        <v>6873519</v>
      </c>
      <c r="I237" s="241">
        <v>4543519</v>
      </c>
      <c r="J237" s="241">
        <v>382000</v>
      </c>
    </row>
    <row r="238" spans="1:10" ht="25.5">
      <c r="A238" s="239" t="s">
        <v>657</v>
      </c>
      <c r="B238" s="239"/>
      <c r="C238" s="239"/>
      <c r="D238" s="239" t="s">
        <v>258</v>
      </c>
      <c r="E238" s="240">
        <v>4</v>
      </c>
      <c r="F238" s="239" t="s">
        <v>1628</v>
      </c>
      <c r="G238" s="241">
        <v>0</v>
      </c>
      <c r="H238" s="241">
        <v>2272519</v>
      </c>
      <c r="I238" s="241">
        <v>2272519</v>
      </c>
      <c r="J238" s="241">
        <v>0</v>
      </c>
    </row>
    <row r="239" spans="1:10">
      <c r="A239" s="239" t="s">
        <v>661</v>
      </c>
      <c r="B239" s="239"/>
      <c r="C239" s="239"/>
      <c r="D239" s="239" t="s">
        <v>662</v>
      </c>
      <c r="E239" s="240">
        <v>5</v>
      </c>
      <c r="F239" s="239" t="s">
        <v>1628</v>
      </c>
      <c r="G239" s="241">
        <v>0</v>
      </c>
      <c r="H239" s="241">
        <v>15880</v>
      </c>
      <c r="I239" s="241">
        <v>15880</v>
      </c>
      <c r="J239" s="241">
        <v>0</v>
      </c>
    </row>
    <row r="240" spans="1:10" ht="25.5">
      <c r="A240" s="239" t="s">
        <v>661</v>
      </c>
      <c r="B240" s="239" t="s">
        <v>1551</v>
      </c>
      <c r="C240" s="239" t="s">
        <v>1517</v>
      </c>
      <c r="D240" s="239" t="s">
        <v>1552</v>
      </c>
      <c r="E240" s="240">
        <v>5</v>
      </c>
      <c r="F240" s="239" t="s">
        <v>1628</v>
      </c>
      <c r="G240" s="241">
        <v>0</v>
      </c>
      <c r="H240" s="241">
        <v>0</v>
      </c>
      <c r="I240" s="241">
        <v>15880</v>
      </c>
      <c r="J240" s="241">
        <v>15880</v>
      </c>
    </row>
    <row r="241" spans="1:10" ht="25.5">
      <c r="A241" s="239" t="s">
        <v>661</v>
      </c>
      <c r="B241" s="239" t="s">
        <v>1583</v>
      </c>
      <c r="C241" s="239" t="s">
        <v>1517</v>
      </c>
      <c r="D241" s="239" t="s">
        <v>1584</v>
      </c>
      <c r="E241" s="240">
        <v>5</v>
      </c>
      <c r="F241" s="239" t="s">
        <v>1628</v>
      </c>
      <c r="G241" s="241">
        <v>0</v>
      </c>
      <c r="H241" s="241">
        <v>15880</v>
      </c>
      <c r="I241" s="241">
        <v>0</v>
      </c>
      <c r="J241" s="241">
        <v>-15880</v>
      </c>
    </row>
    <row r="242" spans="1:10">
      <c r="A242" s="239" t="s">
        <v>664</v>
      </c>
      <c r="B242" s="239"/>
      <c r="C242" s="239"/>
      <c r="D242" s="239" t="s">
        <v>665</v>
      </c>
      <c r="E242" s="240">
        <v>5</v>
      </c>
      <c r="F242" s="239" t="s">
        <v>1628</v>
      </c>
      <c r="G242" s="241">
        <v>0</v>
      </c>
      <c r="H242" s="241">
        <v>1733493</v>
      </c>
      <c r="I242" s="241">
        <v>1733493</v>
      </c>
      <c r="J242" s="241">
        <v>0</v>
      </c>
    </row>
    <row r="243" spans="1:10" ht="25.5">
      <c r="A243" s="239" t="s">
        <v>664</v>
      </c>
      <c r="B243" s="239" t="s">
        <v>1583</v>
      </c>
      <c r="C243" s="239" t="s">
        <v>1517</v>
      </c>
      <c r="D243" s="239" t="s">
        <v>1584</v>
      </c>
      <c r="E243" s="240">
        <v>5</v>
      </c>
      <c r="F243" s="239" t="s">
        <v>1628</v>
      </c>
      <c r="G243" s="241">
        <v>0</v>
      </c>
      <c r="H243" s="241">
        <v>1733493</v>
      </c>
      <c r="I243" s="241">
        <v>0</v>
      </c>
      <c r="J243" s="241">
        <v>-1733493</v>
      </c>
    </row>
    <row r="244" spans="1:10" ht="25.5">
      <c r="A244" s="239" t="s">
        <v>664</v>
      </c>
      <c r="B244" s="239" t="s">
        <v>1597</v>
      </c>
      <c r="C244" s="239" t="s">
        <v>1517</v>
      </c>
      <c r="D244" s="239" t="s">
        <v>1598</v>
      </c>
      <c r="E244" s="240">
        <v>5</v>
      </c>
      <c r="F244" s="239" t="s">
        <v>1628</v>
      </c>
      <c r="G244" s="241">
        <v>0</v>
      </c>
      <c r="H244" s="241">
        <v>0</v>
      </c>
      <c r="I244" s="241">
        <v>12408</v>
      </c>
      <c r="J244" s="241">
        <v>12408</v>
      </c>
    </row>
    <row r="245" spans="1:10" ht="25.5">
      <c r="A245" s="239" t="s">
        <v>664</v>
      </c>
      <c r="B245" s="239" t="s">
        <v>1639</v>
      </c>
      <c r="C245" s="239" t="s">
        <v>1517</v>
      </c>
      <c r="D245" s="239" t="s">
        <v>1640</v>
      </c>
      <c r="E245" s="240">
        <v>5</v>
      </c>
      <c r="F245" s="239" t="s">
        <v>1628</v>
      </c>
      <c r="G245" s="241">
        <v>0</v>
      </c>
      <c r="H245" s="241">
        <v>0</v>
      </c>
      <c r="I245" s="241">
        <v>5281</v>
      </c>
      <c r="J245" s="241">
        <v>5281</v>
      </c>
    </row>
    <row r="246" spans="1:10" ht="25.5">
      <c r="A246" s="239" t="s">
        <v>664</v>
      </c>
      <c r="B246" s="239" t="s">
        <v>1599</v>
      </c>
      <c r="C246" s="239" t="s">
        <v>1517</v>
      </c>
      <c r="D246" s="239" t="s">
        <v>1600</v>
      </c>
      <c r="E246" s="240">
        <v>5</v>
      </c>
      <c r="F246" s="239" t="s">
        <v>1628</v>
      </c>
      <c r="G246" s="241">
        <v>0</v>
      </c>
      <c r="H246" s="241">
        <v>0</v>
      </c>
      <c r="I246" s="241">
        <v>1697833</v>
      </c>
      <c r="J246" s="241">
        <v>1697833</v>
      </c>
    </row>
    <row r="247" spans="1:10" ht="25.5">
      <c r="A247" s="239" t="s">
        <v>664</v>
      </c>
      <c r="B247" s="239" t="s">
        <v>1611</v>
      </c>
      <c r="C247" s="239" t="s">
        <v>1517</v>
      </c>
      <c r="D247" s="239" t="s">
        <v>1612</v>
      </c>
      <c r="E247" s="240">
        <v>5</v>
      </c>
      <c r="F247" s="239" t="s">
        <v>1628</v>
      </c>
      <c r="G247" s="241">
        <v>0</v>
      </c>
      <c r="H247" s="241">
        <v>0</v>
      </c>
      <c r="I247" s="241">
        <v>17971</v>
      </c>
      <c r="J247" s="241">
        <v>17971</v>
      </c>
    </row>
    <row r="248" spans="1:10">
      <c r="A248" s="239" t="s">
        <v>667</v>
      </c>
      <c r="B248" s="239"/>
      <c r="C248" s="239"/>
      <c r="D248" s="239" t="s">
        <v>668</v>
      </c>
      <c r="E248" s="240">
        <v>5</v>
      </c>
      <c r="F248" s="239" t="s">
        <v>1628</v>
      </c>
      <c r="G248" s="241">
        <v>0</v>
      </c>
      <c r="H248" s="241">
        <v>523146</v>
      </c>
      <c r="I248" s="241">
        <v>523146</v>
      </c>
      <c r="J248" s="241">
        <v>0</v>
      </c>
    </row>
    <row r="249" spans="1:10" ht="25.5">
      <c r="A249" s="239" t="s">
        <v>667</v>
      </c>
      <c r="B249" s="239" t="s">
        <v>1529</v>
      </c>
      <c r="C249" s="239" t="s">
        <v>1517</v>
      </c>
      <c r="D249" s="239" t="s">
        <v>1530</v>
      </c>
      <c r="E249" s="240">
        <v>5</v>
      </c>
      <c r="F249" s="239" t="s">
        <v>1628</v>
      </c>
      <c r="G249" s="241">
        <v>0</v>
      </c>
      <c r="H249" s="241">
        <v>0</v>
      </c>
      <c r="I249" s="241">
        <v>2088</v>
      </c>
      <c r="J249" s="241">
        <v>2088</v>
      </c>
    </row>
    <row r="250" spans="1:10" ht="25.5">
      <c r="A250" s="239" t="s">
        <v>667</v>
      </c>
      <c r="B250" s="239" t="s">
        <v>1563</v>
      </c>
      <c r="C250" s="239" t="s">
        <v>1517</v>
      </c>
      <c r="D250" s="239" t="s">
        <v>1564</v>
      </c>
      <c r="E250" s="240">
        <v>5</v>
      </c>
      <c r="F250" s="239" t="s">
        <v>1628</v>
      </c>
      <c r="G250" s="241">
        <v>0</v>
      </c>
      <c r="H250" s="241">
        <v>0</v>
      </c>
      <c r="I250" s="241">
        <v>521058</v>
      </c>
      <c r="J250" s="241">
        <v>521058</v>
      </c>
    </row>
    <row r="251" spans="1:10" ht="25.5">
      <c r="A251" s="239" t="s">
        <v>667</v>
      </c>
      <c r="B251" s="239" t="s">
        <v>1583</v>
      </c>
      <c r="C251" s="239" t="s">
        <v>1517</v>
      </c>
      <c r="D251" s="239" t="s">
        <v>1584</v>
      </c>
      <c r="E251" s="240">
        <v>5</v>
      </c>
      <c r="F251" s="239" t="s">
        <v>1628</v>
      </c>
      <c r="G251" s="241">
        <v>0</v>
      </c>
      <c r="H251" s="241">
        <v>523146</v>
      </c>
      <c r="I251" s="241">
        <v>0</v>
      </c>
      <c r="J251" s="241">
        <v>-523146</v>
      </c>
    </row>
    <row r="252" spans="1:10">
      <c r="A252" s="239" t="s">
        <v>1647</v>
      </c>
      <c r="B252" s="239"/>
      <c r="C252" s="239"/>
      <c r="D252" s="239" t="s">
        <v>1648</v>
      </c>
      <c r="E252" s="240">
        <v>4</v>
      </c>
      <c r="F252" s="239" t="s">
        <v>1628</v>
      </c>
      <c r="G252" s="241">
        <v>2712000</v>
      </c>
      <c r="H252" s="241">
        <v>4601000</v>
      </c>
      <c r="I252" s="241">
        <v>2271000</v>
      </c>
      <c r="J252" s="241">
        <v>382000</v>
      </c>
    </row>
    <row r="253" spans="1:10" ht="25.5">
      <c r="A253" s="239" t="s">
        <v>1647</v>
      </c>
      <c r="B253" s="239" t="s">
        <v>1583</v>
      </c>
      <c r="C253" s="239" t="s">
        <v>1517</v>
      </c>
      <c r="D253" s="239" t="s">
        <v>1584</v>
      </c>
      <c r="E253" s="240">
        <v>4</v>
      </c>
      <c r="F253" s="239" t="s">
        <v>1628</v>
      </c>
      <c r="G253" s="241">
        <v>0</v>
      </c>
      <c r="H253" s="241">
        <v>1889000</v>
      </c>
      <c r="I253" s="241">
        <v>2271000</v>
      </c>
      <c r="J253" s="241">
        <v>382000</v>
      </c>
    </row>
    <row r="254" spans="1:10" ht="25.5">
      <c r="A254" s="239" t="s">
        <v>1647</v>
      </c>
      <c r="B254" s="239" t="s">
        <v>1516</v>
      </c>
      <c r="C254" s="239" t="s">
        <v>1517</v>
      </c>
      <c r="D254" s="239" t="s">
        <v>1518</v>
      </c>
      <c r="E254" s="240">
        <v>4</v>
      </c>
      <c r="F254" s="239" t="s">
        <v>1628</v>
      </c>
      <c r="G254" s="241">
        <v>2712000</v>
      </c>
      <c r="H254" s="241">
        <v>2712000</v>
      </c>
      <c r="I254" s="241">
        <v>0</v>
      </c>
      <c r="J254" s="241">
        <v>0</v>
      </c>
    </row>
    <row r="255" spans="1:10">
      <c r="A255" s="239" t="s">
        <v>673</v>
      </c>
      <c r="B255" s="239"/>
      <c r="C255" s="239"/>
      <c r="D255" s="239" t="s">
        <v>674</v>
      </c>
      <c r="E255" s="240">
        <v>3</v>
      </c>
      <c r="F255" s="239" t="s">
        <v>1628</v>
      </c>
      <c r="G255" s="241">
        <v>0</v>
      </c>
      <c r="H255" s="241">
        <v>30287780</v>
      </c>
      <c r="I255" s="241">
        <v>30287780</v>
      </c>
      <c r="J255" s="241">
        <v>0</v>
      </c>
    </row>
    <row r="256" spans="1:10">
      <c r="A256" s="239" t="s">
        <v>675</v>
      </c>
      <c r="B256" s="239"/>
      <c r="C256" s="239"/>
      <c r="D256" s="239" t="s">
        <v>676</v>
      </c>
      <c r="E256" s="240">
        <v>4</v>
      </c>
      <c r="F256" s="239" t="s">
        <v>1628</v>
      </c>
      <c r="G256" s="241">
        <v>0</v>
      </c>
      <c r="H256" s="241">
        <v>3916401</v>
      </c>
      <c r="I256" s="241">
        <v>3916401</v>
      </c>
      <c r="J256" s="241">
        <v>0</v>
      </c>
    </row>
    <row r="257" spans="1:10" ht="25.5">
      <c r="A257" s="239" t="s">
        <v>675</v>
      </c>
      <c r="B257" s="239" t="s">
        <v>1649</v>
      </c>
      <c r="C257" s="239" t="s">
        <v>1517</v>
      </c>
      <c r="D257" s="239" t="s">
        <v>1650</v>
      </c>
      <c r="E257" s="240">
        <v>4</v>
      </c>
      <c r="F257" s="239" t="s">
        <v>1628</v>
      </c>
      <c r="G257" s="241">
        <v>0</v>
      </c>
      <c r="H257" s="241">
        <v>46400</v>
      </c>
      <c r="I257" s="241">
        <v>46400</v>
      </c>
      <c r="J257" s="241">
        <v>0</v>
      </c>
    </row>
    <row r="258" spans="1:10" ht="25.5">
      <c r="A258" s="239" t="s">
        <v>675</v>
      </c>
      <c r="B258" s="239" t="s">
        <v>1559</v>
      </c>
      <c r="C258" s="239" t="s">
        <v>1517</v>
      </c>
      <c r="D258" s="239" t="s">
        <v>1560</v>
      </c>
      <c r="E258" s="240">
        <v>4</v>
      </c>
      <c r="F258" s="239" t="s">
        <v>1628</v>
      </c>
      <c r="G258" s="241">
        <v>0</v>
      </c>
      <c r="H258" s="241">
        <v>1201850</v>
      </c>
      <c r="I258" s="241">
        <v>1201850</v>
      </c>
      <c r="J258" s="241">
        <v>0</v>
      </c>
    </row>
    <row r="259" spans="1:10" ht="25.5">
      <c r="A259" s="239" t="s">
        <v>675</v>
      </c>
      <c r="B259" s="239" t="s">
        <v>1651</v>
      </c>
      <c r="C259" s="239" t="s">
        <v>1517</v>
      </c>
      <c r="D259" s="239" t="s">
        <v>1652</v>
      </c>
      <c r="E259" s="240">
        <v>4</v>
      </c>
      <c r="F259" s="239" t="s">
        <v>1628</v>
      </c>
      <c r="G259" s="241">
        <v>0</v>
      </c>
      <c r="H259" s="241">
        <v>670764</v>
      </c>
      <c r="I259" s="241">
        <v>670764</v>
      </c>
      <c r="J259" s="241">
        <v>0</v>
      </c>
    </row>
    <row r="260" spans="1:10" ht="25.5">
      <c r="A260" s="239" t="s">
        <v>675</v>
      </c>
      <c r="B260" s="239" t="s">
        <v>1573</v>
      </c>
      <c r="C260" s="239" t="s">
        <v>1517</v>
      </c>
      <c r="D260" s="239" t="s">
        <v>1574</v>
      </c>
      <c r="E260" s="240">
        <v>4</v>
      </c>
      <c r="F260" s="239" t="s">
        <v>1628</v>
      </c>
      <c r="G260" s="241">
        <v>0</v>
      </c>
      <c r="H260" s="241">
        <v>893694</v>
      </c>
      <c r="I260" s="241">
        <v>893694</v>
      </c>
      <c r="J260" s="241">
        <v>0</v>
      </c>
    </row>
    <row r="261" spans="1:10" ht="25.5">
      <c r="A261" s="239" t="s">
        <v>675</v>
      </c>
      <c r="B261" s="239" t="s">
        <v>1653</v>
      </c>
      <c r="C261" s="239" t="s">
        <v>1517</v>
      </c>
      <c r="D261" s="239" t="s">
        <v>1654</v>
      </c>
      <c r="E261" s="240">
        <v>4</v>
      </c>
      <c r="F261" s="239" t="s">
        <v>1628</v>
      </c>
      <c r="G261" s="241">
        <v>0</v>
      </c>
      <c r="H261" s="241">
        <v>1103693</v>
      </c>
      <c r="I261" s="241">
        <v>1103693</v>
      </c>
      <c r="J261" s="241">
        <v>0</v>
      </c>
    </row>
    <row r="262" spans="1:10">
      <c r="A262" s="239" t="s">
        <v>679</v>
      </c>
      <c r="B262" s="239"/>
      <c r="C262" s="239"/>
      <c r="D262" s="239" t="s">
        <v>680</v>
      </c>
      <c r="E262" s="240">
        <v>4</v>
      </c>
      <c r="F262" s="239" t="s">
        <v>1628</v>
      </c>
      <c r="G262" s="241">
        <v>0</v>
      </c>
      <c r="H262" s="241">
        <v>462783</v>
      </c>
      <c r="I262" s="241">
        <v>462783</v>
      </c>
      <c r="J262" s="241">
        <v>0</v>
      </c>
    </row>
    <row r="263" spans="1:10" ht="25.5">
      <c r="A263" s="239" t="s">
        <v>679</v>
      </c>
      <c r="B263" s="239" t="s">
        <v>1655</v>
      </c>
      <c r="C263" s="239" t="s">
        <v>1517</v>
      </c>
      <c r="D263" s="239" t="s">
        <v>1656</v>
      </c>
      <c r="E263" s="240">
        <v>4</v>
      </c>
      <c r="F263" s="239" t="s">
        <v>1628</v>
      </c>
      <c r="G263" s="241">
        <v>0</v>
      </c>
      <c r="H263" s="241">
        <v>462783</v>
      </c>
      <c r="I263" s="241">
        <v>462783</v>
      </c>
      <c r="J263" s="241">
        <v>0</v>
      </c>
    </row>
    <row r="264" spans="1:10" ht="25.5">
      <c r="A264" s="239" t="s">
        <v>682</v>
      </c>
      <c r="B264" s="239"/>
      <c r="C264" s="239"/>
      <c r="D264" s="239" t="s">
        <v>683</v>
      </c>
      <c r="E264" s="240">
        <v>4</v>
      </c>
      <c r="F264" s="239" t="s">
        <v>1628</v>
      </c>
      <c r="G264" s="241">
        <v>0</v>
      </c>
      <c r="H264" s="241">
        <v>2273991</v>
      </c>
      <c r="I264" s="241">
        <v>2273991</v>
      </c>
      <c r="J264" s="241">
        <v>0</v>
      </c>
    </row>
    <row r="265" spans="1:10" ht="25.5">
      <c r="A265" s="239" t="s">
        <v>682</v>
      </c>
      <c r="B265" s="239" t="s">
        <v>1573</v>
      </c>
      <c r="C265" s="239" t="s">
        <v>1517</v>
      </c>
      <c r="D265" s="239" t="s">
        <v>1574</v>
      </c>
      <c r="E265" s="240">
        <v>4</v>
      </c>
      <c r="F265" s="239" t="s">
        <v>1628</v>
      </c>
      <c r="G265" s="241">
        <v>0</v>
      </c>
      <c r="H265" s="241">
        <v>2273991</v>
      </c>
      <c r="I265" s="241">
        <v>2273991</v>
      </c>
      <c r="J265" s="241">
        <v>0</v>
      </c>
    </row>
    <row r="266" spans="1:10">
      <c r="A266" s="239" t="s">
        <v>703</v>
      </c>
      <c r="B266" s="239"/>
      <c r="C266" s="239"/>
      <c r="D266" s="239" t="s">
        <v>150</v>
      </c>
      <c r="E266" s="240">
        <v>4</v>
      </c>
      <c r="F266" s="239" t="s">
        <v>1628</v>
      </c>
      <c r="G266" s="241">
        <v>0</v>
      </c>
      <c r="H266" s="241">
        <v>23634605</v>
      </c>
      <c r="I266" s="241">
        <v>23634605</v>
      </c>
      <c r="J266" s="241">
        <v>0</v>
      </c>
    </row>
    <row r="267" spans="1:10" ht="25.5">
      <c r="A267" s="239" t="s">
        <v>703</v>
      </c>
      <c r="B267" s="239" t="s">
        <v>1573</v>
      </c>
      <c r="C267" s="239" t="s">
        <v>1517</v>
      </c>
      <c r="D267" s="239" t="s">
        <v>1574</v>
      </c>
      <c r="E267" s="240">
        <v>4</v>
      </c>
      <c r="F267" s="239" t="s">
        <v>1628</v>
      </c>
      <c r="G267" s="241">
        <v>0</v>
      </c>
      <c r="H267" s="241">
        <v>23634605</v>
      </c>
      <c r="I267" s="241">
        <v>23634605</v>
      </c>
      <c r="J267" s="241">
        <v>0</v>
      </c>
    </row>
    <row r="268" spans="1:10">
      <c r="A268" s="239" t="s">
        <v>705</v>
      </c>
      <c r="B268" s="239"/>
      <c r="C268" s="239"/>
      <c r="D268" s="239" t="s">
        <v>706</v>
      </c>
      <c r="E268" s="240">
        <v>3</v>
      </c>
      <c r="F268" s="239" t="s">
        <v>1628</v>
      </c>
      <c r="G268" s="241">
        <v>0</v>
      </c>
      <c r="H268" s="241">
        <v>15668543</v>
      </c>
      <c r="I268" s="241">
        <v>15668543</v>
      </c>
      <c r="J268" s="241">
        <v>0</v>
      </c>
    </row>
    <row r="269" spans="1:10">
      <c r="A269" s="239" t="s">
        <v>720</v>
      </c>
      <c r="B269" s="239"/>
      <c r="C269" s="239"/>
      <c r="D269" s="239" t="s">
        <v>721</v>
      </c>
      <c r="E269" s="240">
        <v>4</v>
      </c>
      <c r="F269" s="239" t="s">
        <v>1628</v>
      </c>
      <c r="G269" s="241">
        <v>0</v>
      </c>
      <c r="H269" s="241">
        <v>15668543</v>
      </c>
      <c r="I269" s="241">
        <v>15668543</v>
      </c>
      <c r="J269" s="241">
        <v>0</v>
      </c>
    </row>
    <row r="270" spans="1:10" ht="25.5">
      <c r="A270" s="239" t="s">
        <v>720</v>
      </c>
      <c r="B270" s="239" t="s">
        <v>1657</v>
      </c>
      <c r="C270" s="239" t="s">
        <v>1517</v>
      </c>
      <c r="D270" s="239" t="s">
        <v>1658</v>
      </c>
      <c r="E270" s="240">
        <v>4</v>
      </c>
      <c r="F270" s="239" t="s">
        <v>1628</v>
      </c>
      <c r="G270" s="241">
        <v>0</v>
      </c>
      <c r="H270" s="241">
        <v>687569</v>
      </c>
      <c r="I270" s="241">
        <v>687569</v>
      </c>
      <c r="J270" s="241">
        <v>0</v>
      </c>
    </row>
    <row r="271" spans="1:10" ht="25.5">
      <c r="A271" s="239" t="s">
        <v>720</v>
      </c>
      <c r="B271" s="239" t="s">
        <v>1659</v>
      </c>
      <c r="C271" s="239" t="s">
        <v>1517</v>
      </c>
      <c r="D271" s="239" t="s">
        <v>1660</v>
      </c>
      <c r="E271" s="240">
        <v>4</v>
      </c>
      <c r="F271" s="239" t="s">
        <v>1628</v>
      </c>
      <c r="G271" s="241">
        <v>0</v>
      </c>
      <c r="H271" s="241">
        <v>616004</v>
      </c>
      <c r="I271" s="241">
        <v>616004</v>
      </c>
      <c r="J271" s="241">
        <v>0</v>
      </c>
    </row>
    <row r="272" spans="1:10" ht="25.5">
      <c r="A272" s="239" t="s">
        <v>720</v>
      </c>
      <c r="B272" s="239" t="s">
        <v>1661</v>
      </c>
      <c r="C272" s="239" t="s">
        <v>1517</v>
      </c>
      <c r="D272" s="239" t="s">
        <v>1662</v>
      </c>
      <c r="E272" s="240">
        <v>4</v>
      </c>
      <c r="F272" s="239" t="s">
        <v>1628</v>
      </c>
      <c r="G272" s="241">
        <v>0</v>
      </c>
      <c r="H272" s="241">
        <v>11617676</v>
      </c>
      <c r="I272" s="241">
        <v>11617676</v>
      </c>
      <c r="J272" s="241">
        <v>0</v>
      </c>
    </row>
    <row r="273" spans="1:10" ht="25.5">
      <c r="A273" s="239" t="s">
        <v>720</v>
      </c>
      <c r="B273" s="239" t="s">
        <v>1663</v>
      </c>
      <c r="C273" s="239" t="s">
        <v>1517</v>
      </c>
      <c r="D273" s="239" t="s">
        <v>1664</v>
      </c>
      <c r="E273" s="240">
        <v>4</v>
      </c>
      <c r="F273" s="239" t="s">
        <v>1628</v>
      </c>
      <c r="G273" s="241">
        <v>0</v>
      </c>
      <c r="H273" s="241">
        <v>1837560</v>
      </c>
      <c r="I273" s="241">
        <v>1837560</v>
      </c>
      <c r="J273" s="241">
        <v>0</v>
      </c>
    </row>
    <row r="274" spans="1:10" ht="25.5">
      <c r="A274" s="239" t="s">
        <v>720</v>
      </c>
      <c r="B274" s="239" t="s">
        <v>1665</v>
      </c>
      <c r="C274" s="239" t="s">
        <v>1517</v>
      </c>
      <c r="D274" s="239" t="s">
        <v>1666</v>
      </c>
      <c r="E274" s="240">
        <v>4</v>
      </c>
      <c r="F274" s="239" t="s">
        <v>1628</v>
      </c>
      <c r="G274" s="241">
        <v>0</v>
      </c>
      <c r="H274" s="241">
        <v>164267</v>
      </c>
      <c r="I274" s="241">
        <v>164267</v>
      </c>
      <c r="J274" s="241">
        <v>0</v>
      </c>
    </row>
    <row r="275" spans="1:10" ht="25.5">
      <c r="A275" s="239" t="s">
        <v>720</v>
      </c>
      <c r="B275" s="239" t="s">
        <v>1667</v>
      </c>
      <c r="C275" s="239" t="s">
        <v>1517</v>
      </c>
      <c r="D275" s="239" t="s">
        <v>1668</v>
      </c>
      <c r="E275" s="240">
        <v>4</v>
      </c>
      <c r="F275" s="239" t="s">
        <v>1628</v>
      </c>
      <c r="G275" s="241">
        <v>0</v>
      </c>
      <c r="H275" s="241">
        <v>745467</v>
      </c>
      <c r="I275" s="241">
        <v>745467</v>
      </c>
      <c r="J275" s="241">
        <v>0</v>
      </c>
    </row>
    <row r="276" spans="1:10">
      <c r="A276" s="239" t="s">
        <v>727</v>
      </c>
      <c r="B276" s="239"/>
      <c r="C276" s="239"/>
      <c r="D276" s="239" t="s">
        <v>728</v>
      </c>
      <c r="E276" s="240">
        <v>2</v>
      </c>
      <c r="F276" s="239" t="s">
        <v>1628</v>
      </c>
      <c r="G276" s="241">
        <v>98000</v>
      </c>
      <c r="H276" s="241">
        <v>167966209.31</v>
      </c>
      <c r="I276" s="241">
        <v>167869209.31</v>
      </c>
      <c r="J276" s="241">
        <v>1000</v>
      </c>
    </row>
    <row r="277" spans="1:10">
      <c r="A277" s="239" t="s">
        <v>729</v>
      </c>
      <c r="B277" s="239"/>
      <c r="C277" s="239"/>
      <c r="D277" s="239" t="s">
        <v>730</v>
      </c>
      <c r="E277" s="240">
        <v>3</v>
      </c>
      <c r="F277" s="239" t="s">
        <v>1628</v>
      </c>
      <c r="G277" s="241">
        <v>0</v>
      </c>
      <c r="H277" s="241">
        <v>58924000</v>
      </c>
      <c r="I277" s="241">
        <v>58924000</v>
      </c>
      <c r="J277" s="241">
        <v>0</v>
      </c>
    </row>
    <row r="278" spans="1:10">
      <c r="A278" s="239" t="s">
        <v>731</v>
      </c>
      <c r="B278" s="239"/>
      <c r="C278" s="239"/>
      <c r="D278" s="239" t="s">
        <v>732</v>
      </c>
      <c r="E278" s="240">
        <v>4</v>
      </c>
      <c r="F278" s="239" t="s">
        <v>1628</v>
      </c>
      <c r="G278" s="241">
        <v>0</v>
      </c>
      <c r="H278" s="241">
        <v>58924000</v>
      </c>
      <c r="I278" s="241">
        <v>58924000</v>
      </c>
      <c r="J278" s="241">
        <v>0</v>
      </c>
    </row>
    <row r="279" spans="1:10" ht="25.5">
      <c r="A279" s="239" t="s">
        <v>731</v>
      </c>
      <c r="B279" s="239" t="s">
        <v>1557</v>
      </c>
      <c r="C279" s="239" t="s">
        <v>1517</v>
      </c>
      <c r="D279" s="239" t="s">
        <v>1558</v>
      </c>
      <c r="E279" s="240">
        <v>4</v>
      </c>
      <c r="F279" s="239" t="s">
        <v>1628</v>
      </c>
      <c r="G279" s="241">
        <v>0</v>
      </c>
      <c r="H279" s="241">
        <v>58924000</v>
      </c>
      <c r="I279" s="241">
        <v>58924000</v>
      </c>
      <c r="J279" s="241">
        <v>0</v>
      </c>
    </row>
    <row r="280" spans="1:10" ht="25.5">
      <c r="A280" s="239" t="s">
        <v>737</v>
      </c>
      <c r="B280" s="239"/>
      <c r="C280" s="239"/>
      <c r="D280" s="239" t="s">
        <v>738</v>
      </c>
      <c r="E280" s="240">
        <v>3</v>
      </c>
      <c r="F280" s="239" t="s">
        <v>1628</v>
      </c>
      <c r="G280" s="241">
        <v>0</v>
      </c>
      <c r="H280" s="241">
        <v>108944209.31</v>
      </c>
      <c r="I280" s="241">
        <v>108944209.31</v>
      </c>
      <c r="J280" s="241">
        <v>0</v>
      </c>
    </row>
    <row r="281" spans="1:10">
      <c r="A281" s="239" t="s">
        <v>744</v>
      </c>
      <c r="B281" s="239"/>
      <c r="C281" s="239"/>
      <c r="D281" s="239" t="s">
        <v>1669</v>
      </c>
      <c r="E281" s="240">
        <v>4</v>
      </c>
      <c r="F281" s="239" t="s">
        <v>1628</v>
      </c>
      <c r="G281" s="241">
        <v>0</v>
      </c>
      <c r="H281" s="241">
        <v>54476432.299999997</v>
      </c>
      <c r="I281" s="241">
        <v>54476432.299999997</v>
      </c>
      <c r="J281" s="241">
        <v>0</v>
      </c>
    </row>
    <row r="282" spans="1:10" ht="25.5">
      <c r="A282" s="239" t="s">
        <v>746</v>
      </c>
      <c r="B282" s="239"/>
      <c r="C282" s="239"/>
      <c r="D282" s="239" t="s">
        <v>1670</v>
      </c>
      <c r="E282" s="240">
        <v>5</v>
      </c>
      <c r="F282" s="239" t="s">
        <v>1628</v>
      </c>
      <c r="G282" s="241">
        <v>0</v>
      </c>
      <c r="H282" s="241">
        <v>5741846.1399999997</v>
      </c>
      <c r="I282" s="241">
        <v>5741846.1399999997</v>
      </c>
      <c r="J282" s="241">
        <v>0</v>
      </c>
    </row>
    <row r="283" spans="1:10" ht="25.5">
      <c r="A283" s="239" t="s">
        <v>746</v>
      </c>
      <c r="B283" s="239" t="s">
        <v>1553</v>
      </c>
      <c r="C283" s="239" t="s">
        <v>1517</v>
      </c>
      <c r="D283" s="239" t="s">
        <v>1554</v>
      </c>
      <c r="E283" s="240">
        <v>5</v>
      </c>
      <c r="F283" s="239" t="s">
        <v>1628</v>
      </c>
      <c r="G283" s="241">
        <v>0</v>
      </c>
      <c r="H283" s="241">
        <v>47500</v>
      </c>
      <c r="I283" s="241">
        <v>0</v>
      </c>
      <c r="J283" s="241">
        <v>-47500</v>
      </c>
    </row>
    <row r="284" spans="1:10" ht="25.5">
      <c r="A284" s="239" t="s">
        <v>746</v>
      </c>
      <c r="B284" s="239" t="s">
        <v>1557</v>
      </c>
      <c r="C284" s="239" t="s">
        <v>1517</v>
      </c>
      <c r="D284" s="239" t="s">
        <v>1558</v>
      </c>
      <c r="E284" s="240">
        <v>5</v>
      </c>
      <c r="F284" s="239" t="s">
        <v>1628</v>
      </c>
      <c r="G284" s="241">
        <v>0</v>
      </c>
      <c r="H284" s="241">
        <v>0</v>
      </c>
      <c r="I284" s="241">
        <v>5741846.1399999997</v>
      </c>
      <c r="J284" s="241">
        <v>5741846.1399999997</v>
      </c>
    </row>
    <row r="285" spans="1:10" ht="25.5">
      <c r="A285" s="239" t="s">
        <v>746</v>
      </c>
      <c r="B285" s="239" t="s">
        <v>1563</v>
      </c>
      <c r="C285" s="239" t="s">
        <v>1517</v>
      </c>
      <c r="D285" s="239" t="s">
        <v>1564</v>
      </c>
      <c r="E285" s="240">
        <v>5</v>
      </c>
      <c r="F285" s="239" t="s">
        <v>1628</v>
      </c>
      <c r="G285" s="241">
        <v>0</v>
      </c>
      <c r="H285" s="241">
        <v>2666121</v>
      </c>
      <c r="I285" s="241">
        <v>0</v>
      </c>
      <c r="J285" s="241">
        <v>-2666121</v>
      </c>
    </row>
    <row r="286" spans="1:10" ht="25.5">
      <c r="A286" s="239" t="s">
        <v>746</v>
      </c>
      <c r="B286" s="239" t="s">
        <v>1671</v>
      </c>
      <c r="C286" s="239" t="s">
        <v>1517</v>
      </c>
      <c r="D286" s="239" t="s">
        <v>1672</v>
      </c>
      <c r="E286" s="240">
        <v>5</v>
      </c>
      <c r="F286" s="239" t="s">
        <v>1628</v>
      </c>
      <c r="G286" s="241">
        <v>0</v>
      </c>
      <c r="H286" s="241">
        <v>12757.14</v>
      </c>
      <c r="I286" s="241">
        <v>0</v>
      </c>
      <c r="J286" s="241">
        <v>-12757.14</v>
      </c>
    </row>
    <row r="287" spans="1:10" ht="25.5">
      <c r="A287" s="239" t="s">
        <v>746</v>
      </c>
      <c r="B287" s="239" t="s">
        <v>1575</v>
      </c>
      <c r="C287" s="239" t="s">
        <v>1517</v>
      </c>
      <c r="D287" s="239" t="s">
        <v>1576</v>
      </c>
      <c r="E287" s="240">
        <v>5</v>
      </c>
      <c r="F287" s="239" t="s">
        <v>1628</v>
      </c>
      <c r="G287" s="241">
        <v>0</v>
      </c>
      <c r="H287" s="241">
        <v>1852101</v>
      </c>
      <c r="I287" s="241">
        <v>0</v>
      </c>
      <c r="J287" s="241">
        <v>-1852101</v>
      </c>
    </row>
    <row r="288" spans="1:10" ht="25.5">
      <c r="A288" s="239" t="s">
        <v>746</v>
      </c>
      <c r="B288" s="239" t="s">
        <v>1673</v>
      </c>
      <c r="C288" s="239" t="s">
        <v>1517</v>
      </c>
      <c r="D288" s="239" t="s">
        <v>1674</v>
      </c>
      <c r="E288" s="240">
        <v>5</v>
      </c>
      <c r="F288" s="239" t="s">
        <v>1628</v>
      </c>
      <c r="G288" s="241">
        <v>0</v>
      </c>
      <c r="H288" s="241">
        <v>28707</v>
      </c>
      <c r="I288" s="241">
        <v>0</v>
      </c>
      <c r="J288" s="241">
        <v>-28707</v>
      </c>
    </row>
    <row r="289" spans="1:10" ht="25.5">
      <c r="A289" s="239" t="s">
        <v>746</v>
      </c>
      <c r="B289" s="239" t="s">
        <v>1675</v>
      </c>
      <c r="C289" s="239" t="s">
        <v>1517</v>
      </c>
      <c r="D289" s="239" t="s">
        <v>1676</v>
      </c>
      <c r="E289" s="240">
        <v>5</v>
      </c>
      <c r="F289" s="239" t="s">
        <v>1628</v>
      </c>
      <c r="G289" s="241">
        <v>0</v>
      </c>
      <c r="H289" s="241">
        <v>31933</v>
      </c>
      <c r="I289" s="241">
        <v>0</v>
      </c>
      <c r="J289" s="241">
        <v>-31933</v>
      </c>
    </row>
    <row r="290" spans="1:10" ht="25.5">
      <c r="A290" s="239" t="s">
        <v>746</v>
      </c>
      <c r="B290" s="239" t="s">
        <v>1577</v>
      </c>
      <c r="C290" s="239" t="s">
        <v>1517</v>
      </c>
      <c r="D290" s="239" t="s">
        <v>1578</v>
      </c>
      <c r="E290" s="240">
        <v>5</v>
      </c>
      <c r="F290" s="239" t="s">
        <v>1628</v>
      </c>
      <c r="G290" s="241">
        <v>0</v>
      </c>
      <c r="H290" s="241">
        <v>382459</v>
      </c>
      <c r="I290" s="241">
        <v>0</v>
      </c>
      <c r="J290" s="241">
        <v>-382459</v>
      </c>
    </row>
    <row r="291" spans="1:10" ht="25.5">
      <c r="A291" s="239" t="s">
        <v>746</v>
      </c>
      <c r="B291" s="239" t="s">
        <v>1677</v>
      </c>
      <c r="C291" s="239" t="s">
        <v>1517</v>
      </c>
      <c r="D291" s="239" t="s">
        <v>1678</v>
      </c>
      <c r="E291" s="240">
        <v>5</v>
      </c>
      <c r="F291" s="239" t="s">
        <v>1628</v>
      </c>
      <c r="G291" s="241">
        <v>0</v>
      </c>
      <c r="H291" s="241">
        <v>25505</v>
      </c>
      <c r="I291" s="241">
        <v>0</v>
      </c>
      <c r="J291" s="241">
        <v>-25505</v>
      </c>
    </row>
    <row r="292" spans="1:10" ht="25.5">
      <c r="A292" s="239" t="s">
        <v>746</v>
      </c>
      <c r="B292" s="239" t="s">
        <v>1679</v>
      </c>
      <c r="C292" s="239" t="s">
        <v>1517</v>
      </c>
      <c r="D292" s="239" t="s">
        <v>1680</v>
      </c>
      <c r="E292" s="240">
        <v>5</v>
      </c>
      <c r="F292" s="239" t="s">
        <v>1628</v>
      </c>
      <c r="G292" s="241">
        <v>0</v>
      </c>
      <c r="H292" s="241">
        <v>31933</v>
      </c>
      <c r="I292" s="241">
        <v>0</v>
      </c>
      <c r="J292" s="241">
        <v>-31933</v>
      </c>
    </row>
    <row r="293" spans="1:10" ht="25.5">
      <c r="A293" s="239" t="s">
        <v>746</v>
      </c>
      <c r="B293" s="239" t="s">
        <v>1681</v>
      </c>
      <c r="C293" s="239" t="s">
        <v>1517</v>
      </c>
      <c r="D293" s="239" t="s">
        <v>1682</v>
      </c>
      <c r="E293" s="240">
        <v>5</v>
      </c>
      <c r="F293" s="239" t="s">
        <v>1628</v>
      </c>
      <c r="G293" s="241">
        <v>0</v>
      </c>
      <c r="H293" s="241">
        <v>30165</v>
      </c>
      <c r="I293" s="241">
        <v>0</v>
      </c>
      <c r="J293" s="241">
        <v>-30165</v>
      </c>
    </row>
    <row r="294" spans="1:10" ht="25.5">
      <c r="A294" s="239" t="s">
        <v>746</v>
      </c>
      <c r="B294" s="239" t="s">
        <v>1603</v>
      </c>
      <c r="C294" s="239" t="s">
        <v>1517</v>
      </c>
      <c r="D294" s="239" t="s">
        <v>1604</v>
      </c>
      <c r="E294" s="240">
        <v>5</v>
      </c>
      <c r="F294" s="239" t="s">
        <v>1628</v>
      </c>
      <c r="G294" s="241">
        <v>0</v>
      </c>
      <c r="H294" s="241">
        <v>36602</v>
      </c>
      <c r="I294" s="241">
        <v>0</v>
      </c>
      <c r="J294" s="241">
        <v>-36602</v>
      </c>
    </row>
    <row r="295" spans="1:10" ht="25.5">
      <c r="A295" s="239" t="s">
        <v>746</v>
      </c>
      <c r="B295" s="239" t="s">
        <v>1607</v>
      </c>
      <c r="C295" s="239" t="s">
        <v>1517</v>
      </c>
      <c r="D295" s="239" t="s">
        <v>1608</v>
      </c>
      <c r="E295" s="240">
        <v>5</v>
      </c>
      <c r="F295" s="239" t="s">
        <v>1628</v>
      </c>
      <c r="G295" s="241">
        <v>0</v>
      </c>
      <c r="H295" s="241">
        <v>326116</v>
      </c>
      <c r="I295" s="241">
        <v>0</v>
      </c>
      <c r="J295" s="241">
        <v>-326116</v>
      </c>
    </row>
    <row r="296" spans="1:10" ht="25.5">
      <c r="A296" s="239" t="s">
        <v>746</v>
      </c>
      <c r="B296" s="239" t="s">
        <v>1683</v>
      </c>
      <c r="C296" s="239" t="s">
        <v>1517</v>
      </c>
      <c r="D296" s="239" t="s">
        <v>1684</v>
      </c>
      <c r="E296" s="240">
        <v>5</v>
      </c>
      <c r="F296" s="239" t="s">
        <v>1628</v>
      </c>
      <c r="G296" s="241">
        <v>0</v>
      </c>
      <c r="H296" s="241">
        <v>31933</v>
      </c>
      <c r="I296" s="241">
        <v>0</v>
      </c>
      <c r="J296" s="241">
        <v>-31933</v>
      </c>
    </row>
    <row r="297" spans="1:10" ht="25.5">
      <c r="A297" s="239" t="s">
        <v>746</v>
      </c>
      <c r="B297" s="239" t="s">
        <v>1685</v>
      </c>
      <c r="C297" s="239" t="s">
        <v>1517</v>
      </c>
      <c r="D297" s="239" t="s">
        <v>1686</v>
      </c>
      <c r="E297" s="240">
        <v>5</v>
      </c>
      <c r="F297" s="239" t="s">
        <v>1628</v>
      </c>
      <c r="G297" s="241">
        <v>0</v>
      </c>
      <c r="H297" s="241">
        <v>1597</v>
      </c>
      <c r="I297" s="241">
        <v>0</v>
      </c>
      <c r="J297" s="241">
        <v>-1597</v>
      </c>
    </row>
    <row r="298" spans="1:10" ht="25.5">
      <c r="A298" s="239" t="s">
        <v>746</v>
      </c>
      <c r="B298" s="239" t="s">
        <v>1611</v>
      </c>
      <c r="C298" s="239" t="s">
        <v>1517</v>
      </c>
      <c r="D298" s="239" t="s">
        <v>1612</v>
      </c>
      <c r="E298" s="240">
        <v>5</v>
      </c>
      <c r="F298" s="239" t="s">
        <v>1628</v>
      </c>
      <c r="G298" s="241">
        <v>0</v>
      </c>
      <c r="H298" s="241">
        <v>236417</v>
      </c>
      <c r="I298" s="241">
        <v>0</v>
      </c>
      <c r="J298" s="241">
        <v>-236417</v>
      </c>
    </row>
    <row r="299" spans="1:10" ht="25.5">
      <c r="A299" s="239" t="s">
        <v>749</v>
      </c>
      <c r="B299" s="239"/>
      <c r="C299" s="239"/>
      <c r="D299" s="239" t="s">
        <v>1687</v>
      </c>
      <c r="E299" s="240">
        <v>5</v>
      </c>
      <c r="F299" s="239" t="s">
        <v>1628</v>
      </c>
      <c r="G299" s="241">
        <v>0</v>
      </c>
      <c r="H299" s="241">
        <v>47449553.159999996</v>
      </c>
      <c r="I299" s="241">
        <v>47449553.159999996</v>
      </c>
      <c r="J299" s="241">
        <v>0</v>
      </c>
    </row>
    <row r="300" spans="1:10" ht="25.5">
      <c r="A300" s="239" t="s">
        <v>749</v>
      </c>
      <c r="B300" s="239" t="s">
        <v>1553</v>
      </c>
      <c r="C300" s="239" t="s">
        <v>1517</v>
      </c>
      <c r="D300" s="239" t="s">
        <v>1554</v>
      </c>
      <c r="E300" s="240">
        <v>5</v>
      </c>
      <c r="F300" s="239" t="s">
        <v>1628</v>
      </c>
      <c r="G300" s="241">
        <v>0</v>
      </c>
      <c r="H300" s="241">
        <v>149150</v>
      </c>
      <c r="I300" s="241">
        <v>0</v>
      </c>
      <c r="J300" s="241">
        <v>-149150</v>
      </c>
    </row>
    <row r="301" spans="1:10" ht="25.5">
      <c r="A301" s="239" t="s">
        <v>749</v>
      </c>
      <c r="B301" s="239" t="s">
        <v>1555</v>
      </c>
      <c r="C301" s="239" t="s">
        <v>1517</v>
      </c>
      <c r="D301" s="239" t="s">
        <v>1556</v>
      </c>
      <c r="E301" s="240">
        <v>5</v>
      </c>
      <c r="F301" s="239" t="s">
        <v>1628</v>
      </c>
      <c r="G301" s="241">
        <v>0</v>
      </c>
      <c r="H301" s="241">
        <v>7386429.8700000001</v>
      </c>
      <c r="I301" s="241">
        <v>0</v>
      </c>
      <c r="J301" s="241">
        <v>-7386429.8700000001</v>
      </c>
    </row>
    <row r="302" spans="1:10" ht="25.5">
      <c r="A302" s="239" t="s">
        <v>749</v>
      </c>
      <c r="B302" s="239" t="s">
        <v>1557</v>
      </c>
      <c r="C302" s="239" t="s">
        <v>1517</v>
      </c>
      <c r="D302" s="239" t="s">
        <v>1558</v>
      </c>
      <c r="E302" s="240">
        <v>5</v>
      </c>
      <c r="F302" s="239" t="s">
        <v>1628</v>
      </c>
      <c r="G302" s="241">
        <v>0</v>
      </c>
      <c r="H302" s="241">
        <v>0</v>
      </c>
      <c r="I302" s="241">
        <v>47449553.159999996</v>
      </c>
      <c r="J302" s="241">
        <v>47449553.159999996</v>
      </c>
    </row>
    <row r="303" spans="1:10" ht="25.5">
      <c r="A303" s="239" t="s">
        <v>749</v>
      </c>
      <c r="B303" s="239" t="s">
        <v>1563</v>
      </c>
      <c r="C303" s="239" t="s">
        <v>1517</v>
      </c>
      <c r="D303" s="239" t="s">
        <v>1564</v>
      </c>
      <c r="E303" s="240">
        <v>5</v>
      </c>
      <c r="F303" s="239" t="s">
        <v>1628</v>
      </c>
      <c r="G303" s="241">
        <v>0</v>
      </c>
      <c r="H303" s="241">
        <v>1657362</v>
      </c>
      <c r="I303" s="241">
        <v>0</v>
      </c>
      <c r="J303" s="241">
        <v>-1657362</v>
      </c>
    </row>
    <row r="304" spans="1:10" ht="25.5">
      <c r="A304" s="239" t="s">
        <v>749</v>
      </c>
      <c r="B304" s="239" t="s">
        <v>1579</v>
      </c>
      <c r="C304" s="239" t="s">
        <v>1517</v>
      </c>
      <c r="D304" s="239" t="s">
        <v>1580</v>
      </c>
      <c r="E304" s="240">
        <v>5</v>
      </c>
      <c r="F304" s="239" t="s">
        <v>1628</v>
      </c>
      <c r="G304" s="241">
        <v>0</v>
      </c>
      <c r="H304" s="241">
        <v>352827.38</v>
      </c>
      <c r="I304" s="241">
        <v>0</v>
      </c>
      <c r="J304" s="241">
        <v>-352827.38</v>
      </c>
    </row>
    <row r="305" spans="1:10" ht="25.5">
      <c r="A305" s="239" t="s">
        <v>749</v>
      </c>
      <c r="B305" s="239" t="s">
        <v>1581</v>
      </c>
      <c r="C305" s="239" t="s">
        <v>1517</v>
      </c>
      <c r="D305" s="239" t="s">
        <v>1582</v>
      </c>
      <c r="E305" s="240">
        <v>5</v>
      </c>
      <c r="F305" s="239" t="s">
        <v>1628</v>
      </c>
      <c r="G305" s="241">
        <v>0</v>
      </c>
      <c r="H305" s="241">
        <v>58338</v>
      </c>
      <c r="I305" s="241">
        <v>0</v>
      </c>
      <c r="J305" s="241">
        <v>-58338</v>
      </c>
    </row>
    <row r="306" spans="1:10" ht="25.5">
      <c r="A306" s="239" t="s">
        <v>749</v>
      </c>
      <c r="B306" s="239" t="s">
        <v>1585</v>
      </c>
      <c r="C306" s="239" t="s">
        <v>1517</v>
      </c>
      <c r="D306" s="239" t="s">
        <v>1586</v>
      </c>
      <c r="E306" s="240">
        <v>5</v>
      </c>
      <c r="F306" s="239" t="s">
        <v>1628</v>
      </c>
      <c r="G306" s="241">
        <v>0</v>
      </c>
      <c r="H306" s="241">
        <v>2791632</v>
      </c>
      <c r="I306" s="241">
        <v>0</v>
      </c>
      <c r="J306" s="241">
        <v>-2791632</v>
      </c>
    </row>
    <row r="307" spans="1:10" ht="25.5">
      <c r="A307" s="239" t="s">
        <v>749</v>
      </c>
      <c r="B307" s="239" t="s">
        <v>1589</v>
      </c>
      <c r="C307" s="239" t="s">
        <v>1517</v>
      </c>
      <c r="D307" s="239" t="s">
        <v>1590</v>
      </c>
      <c r="E307" s="240">
        <v>5</v>
      </c>
      <c r="F307" s="239" t="s">
        <v>1628</v>
      </c>
      <c r="G307" s="241">
        <v>0</v>
      </c>
      <c r="H307" s="241">
        <v>227881</v>
      </c>
      <c r="I307" s="241">
        <v>0</v>
      </c>
      <c r="J307" s="241">
        <v>-227881</v>
      </c>
    </row>
    <row r="308" spans="1:10" ht="25.5">
      <c r="A308" s="239" t="s">
        <v>749</v>
      </c>
      <c r="B308" s="239" t="s">
        <v>1595</v>
      </c>
      <c r="C308" s="239" t="s">
        <v>1517</v>
      </c>
      <c r="D308" s="239" t="s">
        <v>1596</v>
      </c>
      <c r="E308" s="240">
        <v>5</v>
      </c>
      <c r="F308" s="239" t="s">
        <v>1628</v>
      </c>
      <c r="G308" s="241">
        <v>0</v>
      </c>
      <c r="H308" s="241">
        <v>32729</v>
      </c>
      <c r="I308" s="241">
        <v>0</v>
      </c>
      <c r="J308" s="241">
        <v>-32729</v>
      </c>
    </row>
    <row r="309" spans="1:10" ht="25.5">
      <c r="A309" s="239" t="s">
        <v>749</v>
      </c>
      <c r="B309" s="239" t="s">
        <v>1597</v>
      </c>
      <c r="C309" s="239" t="s">
        <v>1517</v>
      </c>
      <c r="D309" s="239" t="s">
        <v>1598</v>
      </c>
      <c r="E309" s="240">
        <v>5</v>
      </c>
      <c r="F309" s="239" t="s">
        <v>1628</v>
      </c>
      <c r="G309" s="241">
        <v>0</v>
      </c>
      <c r="H309" s="241">
        <v>243960</v>
      </c>
      <c r="I309" s="241">
        <v>0</v>
      </c>
      <c r="J309" s="241">
        <v>-243960</v>
      </c>
    </row>
    <row r="310" spans="1:10" ht="25.5">
      <c r="A310" s="239" t="s">
        <v>749</v>
      </c>
      <c r="B310" s="239" t="s">
        <v>1639</v>
      </c>
      <c r="C310" s="239" t="s">
        <v>1517</v>
      </c>
      <c r="D310" s="239" t="s">
        <v>1640</v>
      </c>
      <c r="E310" s="240">
        <v>5</v>
      </c>
      <c r="F310" s="239" t="s">
        <v>1628</v>
      </c>
      <c r="G310" s="241">
        <v>0</v>
      </c>
      <c r="H310" s="241">
        <v>103875</v>
      </c>
      <c r="I310" s="241">
        <v>0</v>
      </c>
      <c r="J310" s="241">
        <v>-103875</v>
      </c>
    </row>
    <row r="311" spans="1:10" ht="25.5">
      <c r="A311" s="239" t="s">
        <v>749</v>
      </c>
      <c r="B311" s="239" t="s">
        <v>1599</v>
      </c>
      <c r="C311" s="239" t="s">
        <v>1517</v>
      </c>
      <c r="D311" s="239" t="s">
        <v>1600</v>
      </c>
      <c r="E311" s="240">
        <v>5</v>
      </c>
      <c r="F311" s="239" t="s">
        <v>1628</v>
      </c>
      <c r="G311" s="241">
        <v>0</v>
      </c>
      <c r="H311" s="241">
        <v>33394247</v>
      </c>
      <c r="I311" s="241">
        <v>0</v>
      </c>
      <c r="J311" s="241">
        <v>-33394247</v>
      </c>
    </row>
    <row r="312" spans="1:10" ht="25.5">
      <c r="A312" s="239" t="s">
        <v>749</v>
      </c>
      <c r="B312" s="239" t="s">
        <v>1601</v>
      </c>
      <c r="C312" s="239" t="s">
        <v>1517</v>
      </c>
      <c r="D312" s="239" t="s">
        <v>1602</v>
      </c>
      <c r="E312" s="240">
        <v>5</v>
      </c>
      <c r="F312" s="239" t="s">
        <v>1628</v>
      </c>
      <c r="G312" s="241">
        <v>0</v>
      </c>
      <c r="H312" s="241">
        <v>149856</v>
      </c>
      <c r="I312" s="241">
        <v>0</v>
      </c>
      <c r="J312" s="241">
        <v>-149856</v>
      </c>
    </row>
    <row r="313" spans="1:10" ht="25.5">
      <c r="A313" s="239" t="s">
        <v>749</v>
      </c>
      <c r="B313" s="239" t="s">
        <v>1605</v>
      </c>
      <c r="C313" s="239" t="s">
        <v>1517</v>
      </c>
      <c r="D313" s="239" t="s">
        <v>1606</v>
      </c>
      <c r="E313" s="240">
        <v>5</v>
      </c>
      <c r="F313" s="239" t="s">
        <v>1628</v>
      </c>
      <c r="G313" s="241">
        <v>0</v>
      </c>
      <c r="H313" s="241">
        <v>527630.91</v>
      </c>
      <c r="I313" s="241">
        <v>0</v>
      </c>
      <c r="J313" s="241">
        <v>-527630.91</v>
      </c>
    </row>
    <row r="314" spans="1:10" ht="25.5">
      <c r="A314" s="239" t="s">
        <v>749</v>
      </c>
      <c r="B314" s="239" t="s">
        <v>1611</v>
      </c>
      <c r="C314" s="239" t="s">
        <v>1517</v>
      </c>
      <c r="D314" s="239" t="s">
        <v>1612</v>
      </c>
      <c r="E314" s="240">
        <v>5</v>
      </c>
      <c r="F314" s="239" t="s">
        <v>1628</v>
      </c>
      <c r="G314" s="241">
        <v>0</v>
      </c>
      <c r="H314" s="241">
        <v>373635</v>
      </c>
      <c r="I314" s="241">
        <v>0</v>
      </c>
      <c r="J314" s="241">
        <v>-373635</v>
      </c>
    </row>
    <row r="315" spans="1:10" ht="25.5">
      <c r="A315" s="239" t="s">
        <v>755</v>
      </c>
      <c r="B315" s="239"/>
      <c r="C315" s="239"/>
      <c r="D315" s="239" t="s">
        <v>1688</v>
      </c>
      <c r="E315" s="240">
        <v>5</v>
      </c>
      <c r="F315" s="239" t="s">
        <v>1628</v>
      </c>
      <c r="G315" s="241">
        <v>0</v>
      </c>
      <c r="H315" s="241">
        <v>1285033</v>
      </c>
      <c r="I315" s="241">
        <v>1285033</v>
      </c>
      <c r="J315" s="241">
        <v>0</v>
      </c>
    </row>
    <row r="316" spans="1:10" ht="25.5">
      <c r="A316" s="239" t="s">
        <v>755</v>
      </c>
      <c r="B316" s="239" t="s">
        <v>1557</v>
      </c>
      <c r="C316" s="239" t="s">
        <v>1517</v>
      </c>
      <c r="D316" s="239" t="s">
        <v>1558</v>
      </c>
      <c r="E316" s="240">
        <v>5</v>
      </c>
      <c r="F316" s="239" t="s">
        <v>1628</v>
      </c>
      <c r="G316" s="241">
        <v>0</v>
      </c>
      <c r="H316" s="241">
        <v>0</v>
      </c>
      <c r="I316" s="241">
        <v>1285033</v>
      </c>
      <c r="J316" s="241">
        <v>1285033</v>
      </c>
    </row>
    <row r="317" spans="1:10" ht="25.5">
      <c r="A317" s="239" t="s">
        <v>755</v>
      </c>
      <c r="B317" s="239" t="s">
        <v>1563</v>
      </c>
      <c r="C317" s="239" t="s">
        <v>1517</v>
      </c>
      <c r="D317" s="239" t="s">
        <v>1564</v>
      </c>
      <c r="E317" s="240">
        <v>5</v>
      </c>
      <c r="F317" s="239" t="s">
        <v>1628</v>
      </c>
      <c r="G317" s="241">
        <v>0</v>
      </c>
      <c r="H317" s="241">
        <v>1249116</v>
      </c>
      <c r="I317" s="241">
        <v>0</v>
      </c>
      <c r="J317" s="241">
        <v>-1249116</v>
      </c>
    </row>
    <row r="318" spans="1:10" ht="25.5">
      <c r="A318" s="239" t="s">
        <v>755</v>
      </c>
      <c r="B318" s="239" t="s">
        <v>1577</v>
      </c>
      <c r="C318" s="239" t="s">
        <v>1517</v>
      </c>
      <c r="D318" s="239" t="s">
        <v>1578</v>
      </c>
      <c r="E318" s="240">
        <v>5</v>
      </c>
      <c r="F318" s="239" t="s">
        <v>1628</v>
      </c>
      <c r="G318" s="241">
        <v>0</v>
      </c>
      <c r="H318" s="241">
        <v>35917</v>
      </c>
      <c r="I318" s="241">
        <v>0</v>
      </c>
      <c r="J318" s="241">
        <v>-35917</v>
      </c>
    </row>
    <row r="319" spans="1:10">
      <c r="A319" s="239" t="s">
        <v>1689</v>
      </c>
      <c r="B319" s="239"/>
      <c r="C319" s="239"/>
      <c r="D319" s="239" t="s">
        <v>745</v>
      </c>
      <c r="E319" s="240">
        <v>4</v>
      </c>
      <c r="F319" s="239" t="s">
        <v>1628</v>
      </c>
      <c r="G319" s="241">
        <v>0</v>
      </c>
      <c r="H319" s="241">
        <v>54467777.009999998</v>
      </c>
      <c r="I319" s="241">
        <v>54467777.009999998</v>
      </c>
      <c r="J319" s="241">
        <v>0</v>
      </c>
    </row>
    <row r="320" spans="1:10">
      <c r="A320" s="239" t="s">
        <v>1690</v>
      </c>
      <c r="B320" s="239"/>
      <c r="C320" s="239"/>
      <c r="D320" s="239" t="s">
        <v>747</v>
      </c>
      <c r="E320" s="240">
        <v>5</v>
      </c>
      <c r="F320" s="239" t="s">
        <v>1628</v>
      </c>
      <c r="G320" s="241">
        <v>0</v>
      </c>
      <c r="H320" s="241">
        <v>5740422</v>
      </c>
      <c r="I320" s="241">
        <v>5740422</v>
      </c>
      <c r="J320" s="241">
        <v>0</v>
      </c>
    </row>
    <row r="321" spans="1:10" ht="25.5">
      <c r="A321" s="239" t="s">
        <v>1690</v>
      </c>
      <c r="B321" s="239" t="s">
        <v>1557</v>
      </c>
      <c r="C321" s="239" t="s">
        <v>1517</v>
      </c>
      <c r="D321" s="239" t="s">
        <v>1558</v>
      </c>
      <c r="E321" s="240">
        <v>5</v>
      </c>
      <c r="F321" s="239" t="s">
        <v>1628</v>
      </c>
      <c r="G321" s="241">
        <v>0</v>
      </c>
      <c r="H321" s="241">
        <v>5740422</v>
      </c>
      <c r="I321" s="241">
        <v>5740422</v>
      </c>
      <c r="J321" s="241">
        <v>0</v>
      </c>
    </row>
    <row r="322" spans="1:10">
      <c r="A322" s="239" t="s">
        <v>1691</v>
      </c>
      <c r="B322" s="239"/>
      <c r="C322" s="239"/>
      <c r="D322" s="239" t="s">
        <v>750</v>
      </c>
      <c r="E322" s="240">
        <v>5</v>
      </c>
      <c r="F322" s="239" t="s">
        <v>1628</v>
      </c>
      <c r="G322" s="241">
        <v>0</v>
      </c>
      <c r="H322" s="241">
        <v>47442289.009999998</v>
      </c>
      <c r="I322" s="241">
        <v>47442289.009999998</v>
      </c>
      <c r="J322" s="241">
        <v>0</v>
      </c>
    </row>
    <row r="323" spans="1:10" ht="25.5">
      <c r="A323" s="239" t="s">
        <v>1691</v>
      </c>
      <c r="B323" s="239" t="s">
        <v>1557</v>
      </c>
      <c r="C323" s="239" t="s">
        <v>1517</v>
      </c>
      <c r="D323" s="239" t="s">
        <v>1558</v>
      </c>
      <c r="E323" s="240">
        <v>5</v>
      </c>
      <c r="F323" s="239" t="s">
        <v>1628</v>
      </c>
      <c r="G323" s="241">
        <v>0</v>
      </c>
      <c r="H323" s="241">
        <v>47442289.009999998</v>
      </c>
      <c r="I323" s="241">
        <v>47442289.009999998</v>
      </c>
      <c r="J323" s="241">
        <v>0</v>
      </c>
    </row>
    <row r="324" spans="1:10">
      <c r="A324" s="239" t="s">
        <v>1692</v>
      </c>
      <c r="B324" s="239"/>
      <c r="C324" s="239"/>
      <c r="D324" s="239" t="s">
        <v>756</v>
      </c>
      <c r="E324" s="240">
        <v>5</v>
      </c>
      <c r="F324" s="239" t="s">
        <v>1628</v>
      </c>
      <c r="G324" s="241">
        <v>0</v>
      </c>
      <c r="H324" s="241">
        <v>1285066</v>
      </c>
      <c r="I324" s="241">
        <v>1285066</v>
      </c>
      <c r="J324" s="241">
        <v>0</v>
      </c>
    </row>
    <row r="325" spans="1:10" ht="25.5">
      <c r="A325" s="239" t="s">
        <v>1692</v>
      </c>
      <c r="B325" s="239" t="s">
        <v>1557</v>
      </c>
      <c r="C325" s="239" t="s">
        <v>1517</v>
      </c>
      <c r="D325" s="239" t="s">
        <v>1558</v>
      </c>
      <c r="E325" s="240">
        <v>5</v>
      </c>
      <c r="F325" s="239" t="s">
        <v>1628</v>
      </c>
      <c r="G325" s="241">
        <v>0</v>
      </c>
      <c r="H325" s="241">
        <v>1285066</v>
      </c>
      <c r="I325" s="241">
        <v>1285066</v>
      </c>
      <c r="J325" s="241">
        <v>0</v>
      </c>
    </row>
    <row r="326" spans="1:10">
      <c r="A326" s="239" t="s">
        <v>758</v>
      </c>
      <c r="B326" s="239"/>
      <c r="C326" s="239"/>
      <c r="D326" s="239" t="s">
        <v>759</v>
      </c>
      <c r="E326" s="240">
        <v>3</v>
      </c>
      <c r="F326" s="239" t="s">
        <v>1628</v>
      </c>
      <c r="G326" s="241">
        <v>98000</v>
      </c>
      <c r="H326" s="241">
        <v>98000</v>
      </c>
      <c r="I326" s="241">
        <v>1000</v>
      </c>
      <c r="J326" s="241">
        <v>1000</v>
      </c>
    </row>
    <row r="327" spans="1:10">
      <c r="A327" s="239" t="s">
        <v>760</v>
      </c>
      <c r="B327" s="239"/>
      <c r="C327" s="239"/>
      <c r="D327" s="239" t="s">
        <v>732</v>
      </c>
      <c r="E327" s="240">
        <v>4</v>
      </c>
      <c r="F327" s="239" t="s">
        <v>1628</v>
      </c>
      <c r="G327" s="241">
        <v>98000</v>
      </c>
      <c r="H327" s="241">
        <v>98000</v>
      </c>
      <c r="I327" s="241">
        <v>1000</v>
      </c>
      <c r="J327" s="241">
        <v>1000</v>
      </c>
    </row>
    <row r="328" spans="1:10" ht="25.5">
      <c r="A328" s="239" t="s">
        <v>760</v>
      </c>
      <c r="B328" s="239" t="s">
        <v>1583</v>
      </c>
      <c r="C328" s="239" t="s">
        <v>1517</v>
      </c>
      <c r="D328" s="239" t="s">
        <v>1584</v>
      </c>
      <c r="E328" s="240">
        <v>4</v>
      </c>
      <c r="F328" s="239" t="s">
        <v>1628</v>
      </c>
      <c r="G328" s="241">
        <v>98000</v>
      </c>
      <c r="H328" s="241">
        <v>98000</v>
      </c>
      <c r="I328" s="241">
        <v>1000</v>
      </c>
      <c r="J328" s="241">
        <v>1000</v>
      </c>
    </row>
    <row r="329" spans="1:10">
      <c r="A329" s="239" t="s">
        <v>764</v>
      </c>
      <c r="B329" s="239"/>
      <c r="C329" s="239"/>
      <c r="D329" s="239" t="s">
        <v>765</v>
      </c>
      <c r="E329" s="240">
        <v>2</v>
      </c>
      <c r="F329" s="239" t="s">
        <v>1628</v>
      </c>
      <c r="G329" s="241">
        <v>2628431</v>
      </c>
      <c r="H329" s="241">
        <v>148198477</v>
      </c>
      <c r="I329" s="241">
        <v>153635988</v>
      </c>
      <c r="J329" s="241">
        <v>8065942</v>
      </c>
    </row>
    <row r="330" spans="1:10">
      <c r="A330" s="239" t="s">
        <v>766</v>
      </c>
      <c r="B330" s="239"/>
      <c r="C330" s="239"/>
      <c r="D330" s="239" t="s">
        <v>767</v>
      </c>
      <c r="E330" s="240">
        <v>3</v>
      </c>
      <c r="F330" s="239" t="s">
        <v>1628</v>
      </c>
      <c r="G330" s="241">
        <v>0</v>
      </c>
      <c r="H330" s="241">
        <v>119992582</v>
      </c>
      <c r="I330" s="241">
        <v>128058524</v>
      </c>
      <c r="J330" s="241">
        <v>8065942</v>
      </c>
    </row>
    <row r="331" spans="1:10">
      <c r="A331" s="239" t="s">
        <v>768</v>
      </c>
      <c r="B331" s="239"/>
      <c r="C331" s="239"/>
      <c r="D331" s="239" t="s">
        <v>767</v>
      </c>
      <c r="E331" s="240">
        <v>4</v>
      </c>
      <c r="F331" s="239" t="s">
        <v>1628</v>
      </c>
      <c r="G331" s="241">
        <v>0</v>
      </c>
      <c r="H331" s="241">
        <v>119992582</v>
      </c>
      <c r="I331" s="241">
        <v>128058524</v>
      </c>
      <c r="J331" s="241">
        <v>8065942</v>
      </c>
    </row>
    <row r="332" spans="1:10" ht="25.5">
      <c r="A332" s="239" t="s">
        <v>768</v>
      </c>
      <c r="B332" s="239" t="s">
        <v>1521</v>
      </c>
      <c r="C332" s="239" t="s">
        <v>1517</v>
      </c>
      <c r="D332" s="239" t="s">
        <v>1522</v>
      </c>
      <c r="E332" s="240">
        <v>4</v>
      </c>
      <c r="F332" s="239" t="s">
        <v>1628</v>
      </c>
      <c r="G332" s="241">
        <v>0</v>
      </c>
      <c r="H332" s="241">
        <v>17165612</v>
      </c>
      <c r="I332" s="241">
        <v>20389324</v>
      </c>
      <c r="J332" s="241">
        <v>3223712</v>
      </c>
    </row>
    <row r="333" spans="1:10" ht="25.5">
      <c r="A333" s="239" t="s">
        <v>768</v>
      </c>
      <c r="B333" s="239" t="s">
        <v>1523</v>
      </c>
      <c r="C333" s="239" t="s">
        <v>1517</v>
      </c>
      <c r="D333" s="239" t="s">
        <v>1524</v>
      </c>
      <c r="E333" s="240">
        <v>4</v>
      </c>
      <c r="F333" s="239" t="s">
        <v>1628</v>
      </c>
      <c r="G333" s="241">
        <v>0</v>
      </c>
      <c r="H333" s="241">
        <v>26316411</v>
      </c>
      <c r="I333" s="241">
        <v>31158641</v>
      </c>
      <c r="J333" s="241">
        <v>4842230</v>
      </c>
    </row>
    <row r="334" spans="1:10" ht="25.5">
      <c r="A334" s="239" t="s">
        <v>768</v>
      </c>
      <c r="B334" s="239" t="s">
        <v>1525</v>
      </c>
      <c r="C334" s="239" t="s">
        <v>1517</v>
      </c>
      <c r="D334" s="239" t="s">
        <v>1526</v>
      </c>
      <c r="E334" s="240">
        <v>4</v>
      </c>
      <c r="F334" s="239" t="s">
        <v>1628</v>
      </c>
      <c r="G334" s="241">
        <v>0</v>
      </c>
      <c r="H334" s="241">
        <v>5503909</v>
      </c>
      <c r="I334" s="241">
        <v>5503909</v>
      </c>
      <c r="J334" s="241">
        <v>0</v>
      </c>
    </row>
    <row r="335" spans="1:10" ht="25.5">
      <c r="A335" s="239" t="s">
        <v>768</v>
      </c>
      <c r="B335" s="239" t="s">
        <v>1527</v>
      </c>
      <c r="C335" s="239" t="s">
        <v>1517</v>
      </c>
      <c r="D335" s="239" t="s">
        <v>1528</v>
      </c>
      <c r="E335" s="240">
        <v>4</v>
      </c>
      <c r="F335" s="239" t="s">
        <v>1628</v>
      </c>
      <c r="G335" s="241">
        <v>0</v>
      </c>
      <c r="H335" s="241">
        <v>24446013</v>
      </c>
      <c r="I335" s="241">
        <v>24446013</v>
      </c>
      <c r="J335" s="241">
        <v>0</v>
      </c>
    </row>
    <row r="336" spans="1:10" ht="25.5">
      <c r="A336" s="239" t="s">
        <v>768</v>
      </c>
      <c r="B336" s="239" t="s">
        <v>1531</v>
      </c>
      <c r="C336" s="239" t="s">
        <v>1517</v>
      </c>
      <c r="D336" s="239" t="s">
        <v>1532</v>
      </c>
      <c r="E336" s="240">
        <v>4</v>
      </c>
      <c r="F336" s="239" t="s">
        <v>1628</v>
      </c>
      <c r="G336" s="241">
        <v>0</v>
      </c>
      <c r="H336" s="241">
        <v>15690120</v>
      </c>
      <c r="I336" s="241">
        <v>15690120</v>
      </c>
      <c r="J336" s="241">
        <v>0</v>
      </c>
    </row>
    <row r="337" spans="1:10" ht="25.5">
      <c r="A337" s="239" t="s">
        <v>768</v>
      </c>
      <c r="B337" s="239" t="s">
        <v>1533</v>
      </c>
      <c r="C337" s="239" t="s">
        <v>1517</v>
      </c>
      <c r="D337" s="239" t="s">
        <v>1534</v>
      </c>
      <c r="E337" s="240">
        <v>4</v>
      </c>
      <c r="F337" s="239" t="s">
        <v>1628</v>
      </c>
      <c r="G337" s="241">
        <v>0</v>
      </c>
      <c r="H337" s="241">
        <v>1966713</v>
      </c>
      <c r="I337" s="241">
        <v>1966713</v>
      </c>
      <c r="J337" s="241">
        <v>0</v>
      </c>
    </row>
    <row r="338" spans="1:10" ht="25.5">
      <c r="A338" s="239" t="s">
        <v>768</v>
      </c>
      <c r="B338" s="239" t="s">
        <v>1535</v>
      </c>
      <c r="C338" s="239" t="s">
        <v>1517</v>
      </c>
      <c r="D338" s="239" t="s">
        <v>1536</v>
      </c>
      <c r="E338" s="240">
        <v>4</v>
      </c>
      <c r="F338" s="239" t="s">
        <v>1628</v>
      </c>
      <c r="G338" s="241">
        <v>0</v>
      </c>
      <c r="H338" s="241">
        <v>4254162</v>
      </c>
      <c r="I338" s="241">
        <v>4254162</v>
      </c>
      <c r="J338" s="241">
        <v>0</v>
      </c>
    </row>
    <row r="339" spans="1:10" ht="25.5">
      <c r="A339" s="239" t="s">
        <v>768</v>
      </c>
      <c r="B339" s="239" t="s">
        <v>1537</v>
      </c>
      <c r="C339" s="239" t="s">
        <v>1517</v>
      </c>
      <c r="D339" s="239" t="s">
        <v>1538</v>
      </c>
      <c r="E339" s="240">
        <v>4</v>
      </c>
      <c r="F339" s="239" t="s">
        <v>1628</v>
      </c>
      <c r="G339" s="241">
        <v>0</v>
      </c>
      <c r="H339" s="241">
        <v>19578120</v>
      </c>
      <c r="I339" s="241">
        <v>19578120</v>
      </c>
      <c r="J339" s="241">
        <v>0</v>
      </c>
    </row>
    <row r="340" spans="1:10" ht="25.5">
      <c r="A340" s="239" t="s">
        <v>768</v>
      </c>
      <c r="B340" s="239" t="s">
        <v>1561</v>
      </c>
      <c r="C340" s="239" t="s">
        <v>1517</v>
      </c>
      <c r="D340" s="239" t="s">
        <v>1562</v>
      </c>
      <c r="E340" s="240">
        <v>4</v>
      </c>
      <c r="F340" s="239" t="s">
        <v>1628</v>
      </c>
      <c r="G340" s="241">
        <v>0</v>
      </c>
      <c r="H340" s="241">
        <v>5071522</v>
      </c>
      <c r="I340" s="241">
        <v>5071522</v>
      </c>
      <c r="J340" s="241">
        <v>0</v>
      </c>
    </row>
    <row r="341" spans="1:10">
      <c r="A341" s="239" t="s">
        <v>770</v>
      </c>
      <c r="B341" s="239"/>
      <c r="C341" s="239"/>
      <c r="D341" s="239" t="s">
        <v>771</v>
      </c>
      <c r="E341" s="240">
        <v>3</v>
      </c>
      <c r="F341" s="239" t="s">
        <v>1628</v>
      </c>
      <c r="G341" s="241">
        <v>1467963</v>
      </c>
      <c r="H341" s="241">
        <v>11945768</v>
      </c>
      <c r="I341" s="241">
        <v>10477805</v>
      </c>
      <c r="J341" s="241">
        <v>0</v>
      </c>
    </row>
    <row r="342" spans="1:10">
      <c r="A342" s="239" t="s">
        <v>775</v>
      </c>
      <c r="B342" s="239"/>
      <c r="C342" s="239"/>
      <c r="D342" s="239" t="s">
        <v>776</v>
      </c>
      <c r="E342" s="240">
        <v>4</v>
      </c>
      <c r="F342" s="239" t="s">
        <v>1628</v>
      </c>
      <c r="G342" s="241">
        <v>1467963</v>
      </c>
      <c r="H342" s="241">
        <v>11945768</v>
      </c>
      <c r="I342" s="241">
        <v>10477805</v>
      </c>
      <c r="J342" s="241">
        <v>0</v>
      </c>
    </row>
    <row r="343" spans="1:10" ht="25.5">
      <c r="A343" s="239" t="s">
        <v>775</v>
      </c>
      <c r="B343" s="239" t="s">
        <v>1521</v>
      </c>
      <c r="C343" s="239" t="s">
        <v>1517</v>
      </c>
      <c r="D343" s="239" t="s">
        <v>1522</v>
      </c>
      <c r="E343" s="240">
        <v>4</v>
      </c>
      <c r="F343" s="239" t="s">
        <v>1628</v>
      </c>
      <c r="G343" s="241">
        <v>155487</v>
      </c>
      <c r="H343" s="241">
        <v>1573934</v>
      </c>
      <c r="I343" s="241">
        <v>1418447</v>
      </c>
      <c r="J343" s="241">
        <v>0</v>
      </c>
    </row>
    <row r="344" spans="1:10" ht="25.5">
      <c r="A344" s="239" t="s">
        <v>775</v>
      </c>
      <c r="B344" s="239" t="s">
        <v>1523</v>
      </c>
      <c r="C344" s="239" t="s">
        <v>1517</v>
      </c>
      <c r="D344" s="239" t="s">
        <v>1524</v>
      </c>
      <c r="E344" s="240">
        <v>4</v>
      </c>
      <c r="F344" s="239" t="s">
        <v>1628</v>
      </c>
      <c r="G344" s="241">
        <v>168775</v>
      </c>
      <c r="H344" s="241">
        <v>2402597</v>
      </c>
      <c r="I344" s="241">
        <v>2233822</v>
      </c>
      <c r="J344" s="241">
        <v>0</v>
      </c>
    </row>
    <row r="345" spans="1:10" ht="25.5">
      <c r="A345" s="239" t="s">
        <v>775</v>
      </c>
      <c r="B345" s="239" t="s">
        <v>1693</v>
      </c>
      <c r="C345" s="239" t="s">
        <v>1517</v>
      </c>
      <c r="D345" s="239" t="s">
        <v>1694</v>
      </c>
      <c r="E345" s="240">
        <v>4</v>
      </c>
      <c r="F345" s="239" t="s">
        <v>1628</v>
      </c>
      <c r="G345" s="241">
        <v>-2</v>
      </c>
      <c r="H345" s="241">
        <v>0</v>
      </c>
      <c r="I345" s="241">
        <v>2</v>
      </c>
      <c r="J345" s="241">
        <v>0</v>
      </c>
    </row>
    <row r="346" spans="1:10" ht="25.5">
      <c r="A346" s="239" t="s">
        <v>775</v>
      </c>
      <c r="B346" s="239" t="s">
        <v>1525</v>
      </c>
      <c r="C346" s="239" t="s">
        <v>1517</v>
      </c>
      <c r="D346" s="239" t="s">
        <v>1526</v>
      </c>
      <c r="E346" s="240">
        <v>4</v>
      </c>
      <c r="F346" s="239" t="s">
        <v>1628</v>
      </c>
      <c r="G346" s="241">
        <v>0</v>
      </c>
      <c r="H346" s="241">
        <v>381558</v>
      </c>
      <c r="I346" s="241">
        <v>381558</v>
      </c>
      <c r="J346" s="241">
        <v>0</v>
      </c>
    </row>
    <row r="347" spans="1:10" ht="25.5">
      <c r="A347" s="239" t="s">
        <v>775</v>
      </c>
      <c r="B347" s="239" t="s">
        <v>1695</v>
      </c>
      <c r="C347" s="239" t="s">
        <v>1517</v>
      </c>
      <c r="D347" s="239" t="s">
        <v>1696</v>
      </c>
      <c r="E347" s="240">
        <v>4</v>
      </c>
      <c r="F347" s="239" t="s">
        <v>1628</v>
      </c>
      <c r="G347" s="241">
        <v>-1</v>
      </c>
      <c r="H347" s="241">
        <v>0</v>
      </c>
      <c r="I347" s="241">
        <v>1</v>
      </c>
      <c r="J347" s="241">
        <v>0</v>
      </c>
    </row>
    <row r="348" spans="1:10" ht="25.5">
      <c r="A348" s="239" t="s">
        <v>775</v>
      </c>
      <c r="B348" s="239" t="s">
        <v>1527</v>
      </c>
      <c r="C348" s="239" t="s">
        <v>1517</v>
      </c>
      <c r="D348" s="239" t="s">
        <v>1528</v>
      </c>
      <c r="E348" s="240">
        <v>4</v>
      </c>
      <c r="F348" s="239" t="s">
        <v>1628</v>
      </c>
      <c r="G348" s="241">
        <v>462192</v>
      </c>
      <c r="H348" s="241">
        <v>2117755</v>
      </c>
      <c r="I348" s="241">
        <v>1655563</v>
      </c>
      <c r="J348" s="241">
        <v>0</v>
      </c>
    </row>
    <row r="349" spans="1:10" ht="25.5">
      <c r="A349" s="239" t="s">
        <v>775</v>
      </c>
      <c r="B349" s="239" t="s">
        <v>1697</v>
      </c>
      <c r="C349" s="239" t="s">
        <v>1517</v>
      </c>
      <c r="D349" s="239" t="s">
        <v>1698</v>
      </c>
      <c r="E349" s="240">
        <v>4</v>
      </c>
      <c r="F349" s="239" t="s">
        <v>1628</v>
      </c>
      <c r="G349" s="241">
        <v>-2</v>
      </c>
      <c r="H349" s="241">
        <v>0</v>
      </c>
      <c r="I349" s="241">
        <v>2</v>
      </c>
      <c r="J349" s="241">
        <v>0</v>
      </c>
    </row>
    <row r="350" spans="1:10" ht="25.5">
      <c r="A350" s="239" t="s">
        <v>775</v>
      </c>
      <c r="B350" s="239" t="s">
        <v>1531</v>
      </c>
      <c r="C350" s="239" t="s">
        <v>1517</v>
      </c>
      <c r="D350" s="239" t="s">
        <v>1532</v>
      </c>
      <c r="E350" s="240">
        <v>4</v>
      </c>
      <c r="F350" s="239" t="s">
        <v>1628</v>
      </c>
      <c r="G350" s="241">
        <v>0</v>
      </c>
      <c r="H350" s="241">
        <v>1343486</v>
      </c>
      <c r="I350" s="241">
        <v>1343486</v>
      </c>
      <c r="J350" s="241">
        <v>0</v>
      </c>
    </row>
    <row r="351" spans="1:10" ht="25.5">
      <c r="A351" s="239" t="s">
        <v>775</v>
      </c>
      <c r="B351" s="239" t="s">
        <v>1699</v>
      </c>
      <c r="C351" s="239" t="s">
        <v>1517</v>
      </c>
      <c r="D351" s="239" t="s">
        <v>1700</v>
      </c>
      <c r="E351" s="240">
        <v>4</v>
      </c>
      <c r="F351" s="239" t="s">
        <v>1628</v>
      </c>
      <c r="G351" s="241">
        <v>-1</v>
      </c>
      <c r="H351" s="241">
        <v>0</v>
      </c>
      <c r="I351" s="241">
        <v>1</v>
      </c>
      <c r="J351" s="241">
        <v>0</v>
      </c>
    </row>
    <row r="352" spans="1:10" ht="25.5">
      <c r="A352" s="239" t="s">
        <v>775</v>
      </c>
      <c r="B352" s="239" t="s">
        <v>1701</v>
      </c>
      <c r="C352" s="239" t="s">
        <v>1517</v>
      </c>
      <c r="D352" s="239" t="s">
        <v>1702</v>
      </c>
      <c r="E352" s="240">
        <v>4</v>
      </c>
      <c r="F352" s="239" t="s">
        <v>1628</v>
      </c>
      <c r="G352" s="241">
        <v>9902</v>
      </c>
      <c r="H352" s="241">
        <v>9902</v>
      </c>
      <c r="I352" s="241">
        <v>0</v>
      </c>
      <c r="J352" s="241">
        <v>0</v>
      </c>
    </row>
    <row r="353" spans="1:10" ht="25.5">
      <c r="A353" s="239" t="s">
        <v>775</v>
      </c>
      <c r="B353" s="239" t="s">
        <v>1533</v>
      </c>
      <c r="C353" s="239" t="s">
        <v>1517</v>
      </c>
      <c r="D353" s="239" t="s">
        <v>1534</v>
      </c>
      <c r="E353" s="240">
        <v>4</v>
      </c>
      <c r="F353" s="239" t="s">
        <v>1628</v>
      </c>
      <c r="G353" s="241">
        <v>197183</v>
      </c>
      <c r="H353" s="241">
        <v>328666</v>
      </c>
      <c r="I353" s="241">
        <v>131483</v>
      </c>
      <c r="J353" s="241">
        <v>0</v>
      </c>
    </row>
    <row r="354" spans="1:10" ht="25.5">
      <c r="A354" s="239" t="s">
        <v>775</v>
      </c>
      <c r="B354" s="239" t="s">
        <v>1703</v>
      </c>
      <c r="C354" s="239" t="s">
        <v>1517</v>
      </c>
      <c r="D354" s="239" t="s">
        <v>1704</v>
      </c>
      <c r="E354" s="240">
        <v>4</v>
      </c>
      <c r="F354" s="239" t="s">
        <v>1628</v>
      </c>
      <c r="G354" s="241">
        <v>8982</v>
      </c>
      <c r="H354" s="241">
        <v>8982</v>
      </c>
      <c r="I354" s="241">
        <v>0</v>
      </c>
      <c r="J354" s="241">
        <v>0</v>
      </c>
    </row>
    <row r="355" spans="1:10" ht="25.5">
      <c r="A355" s="239" t="s">
        <v>775</v>
      </c>
      <c r="B355" s="239" t="s">
        <v>1535</v>
      </c>
      <c r="C355" s="239" t="s">
        <v>1517</v>
      </c>
      <c r="D355" s="239" t="s">
        <v>1536</v>
      </c>
      <c r="E355" s="240">
        <v>4</v>
      </c>
      <c r="F355" s="239" t="s">
        <v>1628</v>
      </c>
      <c r="G355" s="241">
        <v>0</v>
      </c>
      <c r="H355" s="241">
        <v>383599</v>
      </c>
      <c r="I355" s="241">
        <v>383599</v>
      </c>
      <c r="J355" s="241">
        <v>0</v>
      </c>
    </row>
    <row r="356" spans="1:10" ht="25.5">
      <c r="A356" s="239" t="s">
        <v>775</v>
      </c>
      <c r="B356" s="239" t="s">
        <v>1537</v>
      </c>
      <c r="C356" s="239" t="s">
        <v>1517</v>
      </c>
      <c r="D356" s="239" t="s">
        <v>1538</v>
      </c>
      <c r="E356" s="240">
        <v>4</v>
      </c>
      <c r="F356" s="239" t="s">
        <v>1628</v>
      </c>
      <c r="G356" s="241">
        <v>465448</v>
      </c>
      <c r="H356" s="241">
        <v>1766094</v>
      </c>
      <c r="I356" s="241">
        <v>1300646</v>
      </c>
      <c r="J356" s="241">
        <v>0</v>
      </c>
    </row>
    <row r="357" spans="1:10" ht="25.5">
      <c r="A357" s="239" t="s">
        <v>775</v>
      </c>
      <c r="B357" s="239" t="s">
        <v>1657</v>
      </c>
      <c r="C357" s="239" t="s">
        <v>1517</v>
      </c>
      <c r="D357" s="239" t="s">
        <v>1658</v>
      </c>
      <c r="E357" s="240">
        <v>4</v>
      </c>
      <c r="F357" s="239" t="s">
        <v>1628</v>
      </c>
      <c r="G357" s="241">
        <v>0</v>
      </c>
      <c r="H357" s="241">
        <v>1096569</v>
      </c>
      <c r="I357" s="241">
        <v>1096569</v>
      </c>
      <c r="J357" s="241">
        <v>0</v>
      </c>
    </row>
    <row r="358" spans="1:10" ht="25.5">
      <c r="A358" s="239" t="s">
        <v>775</v>
      </c>
      <c r="B358" s="239" t="s">
        <v>1663</v>
      </c>
      <c r="C358" s="239" t="s">
        <v>1517</v>
      </c>
      <c r="D358" s="239" t="s">
        <v>1664</v>
      </c>
      <c r="E358" s="240">
        <v>4</v>
      </c>
      <c r="F358" s="239" t="s">
        <v>1628</v>
      </c>
      <c r="G358" s="241">
        <v>0</v>
      </c>
      <c r="H358" s="241">
        <v>155528</v>
      </c>
      <c r="I358" s="241">
        <v>155528</v>
      </c>
      <c r="J358" s="241">
        <v>0</v>
      </c>
    </row>
    <row r="359" spans="1:10" ht="25.5">
      <c r="A359" s="239" t="s">
        <v>775</v>
      </c>
      <c r="B359" s="239" t="s">
        <v>1561</v>
      </c>
      <c r="C359" s="239" t="s">
        <v>1517</v>
      </c>
      <c r="D359" s="239" t="s">
        <v>1562</v>
      </c>
      <c r="E359" s="240">
        <v>4</v>
      </c>
      <c r="F359" s="239" t="s">
        <v>1628</v>
      </c>
      <c r="G359" s="241">
        <v>0</v>
      </c>
      <c r="H359" s="241">
        <v>377098</v>
      </c>
      <c r="I359" s="241">
        <v>377098</v>
      </c>
      <c r="J359" s="241">
        <v>0</v>
      </c>
    </row>
    <row r="360" spans="1:10">
      <c r="A360" s="239" t="s">
        <v>778</v>
      </c>
      <c r="B360" s="239"/>
      <c r="C360" s="239"/>
      <c r="D360" s="239" t="s">
        <v>779</v>
      </c>
      <c r="E360" s="240">
        <v>3</v>
      </c>
      <c r="F360" s="239" t="s">
        <v>1628</v>
      </c>
      <c r="G360" s="241">
        <v>422128</v>
      </c>
      <c r="H360" s="241">
        <v>1836781</v>
      </c>
      <c r="I360" s="241">
        <v>1414653</v>
      </c>
      <c r="J360" s="241">
        <v>0</v>
      </c>
    </row>
    <row r="361" spans="1:10">
      <c r="A361" s="239" t="s">
        <v>780</v>
      </c>
      <c r="B361" s="239"/>
      <c r="C361" s="239"/>
      <c r="D361" s="239" t="s">
        <v>779</v>
      </c>
      <c r="E361" s="240">
        <v>4</v>
      </c>
      <c r="F361" s="239" t="s">
        <v>1628</v>
      </c>
      <c r="G361" s="241">
        <v>422128</v>
      </c>
      <c r="H361" s="241">
        <v>1836781</v>
      </c>
      <c r="I361" s="241">
        <v>1414653</v>
      </c>
      <c r="J361" s="241">
        <v>0</v>
      </c>
    </row>
    <row r="362" spans="1:10" ht="25.5">
      <c r="A362" s="239" t="s">
        <v>780</v>
      </c>
      <c r="B362" s="239" t="s">
        <v>1521</v>
      </c>
      <c r="C362" s="239" t="s">
        <v>1517</v>
      </c>
      <c r="D362" s="239" t="s">
        <v>1522</v>
      </c>
      <c r="E362" s="240">
        <v>4</v>
      </c>
      <c r="F362" s="239" t="s">
        <v>1628</v>
      </c>
      <c r="G362" s="241">
        <v>6492</v>
      </c>
      <c r="H362" s="241">
        <v>136809</v>
      </c>
      <c r="I362" s="241">
        <v>130317</v>
      </c>
      <c r="J362" s="241">
        <v>0</v>
      </c>
    </row>
    <row r="363" spans="1:10" ht="25.5">
      <c r="A363" s="239" t="s">
        <v>780</v>
      </c>
      <c r="B363" s="239" t="s">
        <v>1523</v>
      </c>
      <c r="C363" s="239" t="s">
        <v>1517</v>
      </c>
      <c r="D363" s="239" t="s">
        <v>1524</v>
      </c>
      <c r="E363" s="240">
        <v>4</v>
      </c>
      <c r="F363" s="239" t="s">
        <v>1628</v>
      </c>
      <c r="G363" s="241">
        <v>2695</v>
      </c>
      <c r="H363" s="241">
        <v>199118</v>
      </c>
      <c r="I363" s="241">
        <v>196423</v>
      </c>
      <c r="J363" s="241">
        <v>0</v>
      </c>
    </row>
    <row r="364" spans="1:10" ht="25.5">
      <c r="A364" s="239" t="s">
        <v>780</v>
      </c>
      <c r="B364" s="239" t="s">
        <v>1693</v>
      </c>
      <c r="C364" s="239" t="s">
        <v>1517</v>
      </c>
      <c r="D364" s="239" t="s">
        <v>1694</v>
      </c>
      <c r="E364" s="240">
        <v>4</v>
      </c>
      <c r="F364" s="239" t="s">
        <v>1628</v>
      </c>
      <c r="G364" s="241">
        <v>39029</v>
      </c>
      <c r="H364" s="241">
        <v>39029</v>
      </c>
      <c r="I364" s="241">
        <v>0</v>
      </c>
      <c r="J364" s="241">
        <v>0</v>
      </c>
    </row>
    <row r="365" spans="1:10" ht="25.5">
      <c r="A365" s="239" t="s">
        <v>780</v>
      </c>
      <c r="B365" s="239" t="s">
        <v>1525</v>
      </c>
      <c r="C365" s="239" t="s">
        <v>1517</v>
      </c>
      <c r="D365" s="239" t="s">
        <v>1526</v>
      </c>
      <c r="E365" s="240">
        <v>4</v>
      </c>
      <c r="F365" s="239" t="s">
        <v>1628</v>
      </c>
      <c r="G365" s="241">
        <v>0</v>
      </c>
      <c r="H365" s="241">
        <v>11447</v>
      </c>
      <c r="I365" s="241">
        <v>11447</v>
      </c>
      <c r="J365" s="241">
        <v>0</v>
      </c>
    </row>
    <row r="366" spans="1:10" ht="25.5">
      <c r="A366" s="239" t="s">
        <v>780</v>
      </c>
      <c r="B366" s="239" t="s">
        <v>1695</v>
      </c>
      <c r="C366" s="239" t="s">
        <v>1517</v>
      </c>
      <c r="D366" s="239" t="s">
        <v>1696</v>
      </c>
      <c r="E366" s="240">
        <v>4</v>
      </c>
      <c r="F366" s="239" t="s">
        <v>1628</v>
      </c>
      <c r="G366" s="241">
        <v>5832</v>
      </c>
      <c r="H366" s="241">
        <v>5832</v>
      </c>
      <c r="I366" s="241">
        <v>0</v>
      </c>
      <c r="J366" s="241">
        <v>0</v>
      </c>
    </row>
    <row r="367" spans="1:10" ht="25.5">
      <c r="A367" s="239" t="s">
        <v>780</v>
      </c>
      <c r="B367" s="239" t="s">
        <v>1527</v>
      </c>
      <c r="C367" s="239" t="s">
        <v>1517</v>
      </c>
      <c r="D367" s="239" t="s">
        <v>1528</v>
      </c>
      <c r="E367" s="240">
        <v>4</v>
      </c>
      <c r="F367" s="239" t="s">
        <v>1628</v>
      </c>
      <c r="G367" s="241">
        <v>38813</v>
      </c>
      <c r="H367" s="241">
        <v>213481</v>
      </c>
      <c r="I367" s="241">
        <v>174668</v>
      </c>
      <c r="J367" s="241">
        <v>0</v>
      </c>
    </row>
    <row r="368" spans="1:10" ht="25.5">
      <c r="A368" s="239" t="s">
        <v>780</v>
      </c>
      <c r="B368" s="239" t="s">
        <v>1697</v>
      </c>
      <c r="C368" s="239" t="s">
        <v>1517</v>
      </c>
      <c r="D368" s="239" t="s">
        <v>1698</v>
      </c>
      <c r="E368" s="240">
        <v>4</v>
      </c>
      <c r="F368" s="239" t="s">
        <v>1628</v>
      </c>
      <c r="G368" s="241">
        <v>47792</v>
      </c>
      <c r="H368" s="241">
        <v>47792</v>
      </c>
      <c r="I368" s="241">
        <v>0</v>
      </c>
      <c r="J368" s="241">
        <v>0</v>
      </c>
    </row>
    <row r="369" spans="1:10" ht="25.5">
      <c r="A369" s="239" t="s">
        <v>780</v>
      </c>
      <c r="B369" s="239" t="s">
        <v>1531</v>
      </c>
      <c r="C369" s="239" t="s">
        <v>1517</v>
      </c>
      <c r="D369" s="239" t="s">
        <v>1532</v>
      </c>
      <c r="E369" s="240">
        <v>4</v>
      </c>
      <c r="F369" s="239" t="s">
        <v>1628</v>
      </c>
      <c r="G369" s="241">
        <v>0</v>
      </c>
      <c r="H369" s="241">
        <v>133005</v>
      </c>
      <c r="I369" s="241">
        <v>133005</v>
      </c>
      <c r="J369" s="241">
        <v>0</v>
      </c>
    </row>
    <row r="370" spans="1:10" ht="25.5">
      <c r="A370" s="239" t="s">
        <v>780</v>
      </c>
      <c r="B370" s="239" t="s">
        <v>1699</v>
      </c>
      <c r="C370" s="239" t="s">
        <v>1517</v>
      </c>
      <c r="D370" s="239" t="s">
        <v>1700</v>
      </c>
      <c r="E370" s="240">
        <v>4</v>
      </c>
      <c r="F370" s="239" t="s">
        <v>1628</v>
      </c>
      <c r="G370" s="241">
        <v>35640</v>
      </c>
      <c r="H370" s="241">
        <v>35640</v>
      </c>
      <c r="I370" s="241">
        <v>0</v>
      </c>
      <c r="J370" s="241">
        <v>0</v>
      </c>
    </row>
    <row r="371" spans="1:10" ht="25.5">
      <c r="A371" s="239" t="s">
        <v>780</v>
      </c>
      <c r="B371" s="239" t="s">
        <v>1701</v>
      </c>
      <c r="C371" s="239" t="s">
        <v>1517</v>
      </c>
      <c r="D371" s="239" t="s">
        <v>1702</v>
      </c>
      <c r="E371" s="240">
        <v>4</v>
      </c>
      <c r="F371" s="239" t="s">
        <v>1628</v>
      </c>
      <c r="G371" s="241">
        <v>32162</v>
      </c>
      <c r="H371" s="241">
        <v>32162</v>
      </c>
      <c r="I371" s="241">
        <v>0</v>
      </c>
      <c r="J371" s="241">
        <v>0</v>
      </c>
    </row>
    <row r="372" spans="1:10" ht="25.5">
      <c r="A372" s="239" t="s">
        <v>780</v>
      </c>
      <c r="B372" s="239" t="s">
        <v>1533</v>
      </c>
      <c r="C372" s="239" t="s">
        <v>1517</v>
      </c>
      <c r="D372" s="239" t="s">
        <v>1534</v>
      </c>
      <c r="E372" s="240">
        <v>4</v>
      </c>
      <c r="F372" s="239" t="s">
        <v>1628</v>
      </c>
      <c r="G372" s="241">
        <v>48972</v>
      </c>
      <c r="H372" s="241">
        <v>64750</v>
      </c>
      <c r="I372" s="241">
        <v>15778</v>
      </c>
      <c r="J372" s="241">
        <v>0</v>
      </c>
    </row>
    <row r="373" spans="1:10" ht="25.5">
      <c r="A373" s="239" t="s">
        <v>780</v>
      </c>
      <c r="B373" s="239" t="s">
        <v>1703</v>
      </c>
      <c r="C373" s="239" t="s">
        <v>1517</v>
      </c>
      <c r="D373" s="239" t="s">
        <v>1704</v>
      </c>
      <c r="E373" s="240">
        <v>4</v>
      </c>
      <c r="F373" s="239" t="s">
        <v>1628</v>
      </c>
      <c r="G373" s="241">
        <v>43840</v>
      </c>
      <c r="H373" s="241">
        <v>43840</v>
      </c>
      <c r="I373" s="241">
        <v>0</v>
      </c>
      <c r="J373" s="241">
        <v>0</v>
      </c>
    </row>
    <row r="374" spans="1:10" ht="25.5">
      <c r="A374" s="239" t="s">
        <v>780</v>
      </c>
      <c r="B374" s="239" t="s">
        <v>1705</v>
      </c>
      <c r="C374" s="239" t="s">
        <v>1517</v>
      </c>
      <c r="D374" s="239" t="s">
        <v>1706</v>
      </c>
      <c r="E374" s="240">
        <v>4</v>
      </c>
      <c r="F374" s="239" t="s">
        <v>1628</v>
      </c>
      <c r="G374" s="241">
        <v>6312</v>
      </c>
      <c r="H374" s="241">
        <v>6312</v>
      </c>
      <c r="I374" s="241">
        <v>0</v>
      </c>
      <c r="J374" s="241">
        <v>0</v>
      </c>
    </row>
    <row r="375" spans="1:10" ht="25.5">
      <c r="A375" s="239" t="s">
        <v>780</v>
      </c>
      <c r="B375" s="239" t="s">
        <v>1535</v>
      </c>
      <c r="C375" s="239" t="s">
        <v>1517</v>
      </c>
      <c r="D375" s="239" t="s">
        <v>1536</v>
      </c>
      <c r="E375" s="240">
        <v>4</v>
      </c>
      <c r="F375" s="239" t="s">
        <v>1628</v>
      </c>
      <c r="G375" s="241">
        <v>0</v>
      </c>
      <c r="H375" s="241">
        <v>7544</v>
      </c>
      <c r="I375" s="241">
        <v>7544</v>
      </c>
      <c r="J375" s="241">
        <v>0</v>
      </c>
    </row>
    <row r="376" spans="1:10" ht="25.5">
      <c r="A376" s="239" t="s">
        <v>780</v>
      </c>
      <c r="B376" s="239" t="s">
        <v>1537</v>
      </c>
      <c r="C376" s="239" t="s">
        <v>1517</v>
      </c>
      <c r="D376" s="239" t="s">
        <v>1538</v>
      </c>
      <c r="E376" s="240">
        <v>4</v>
      </c>
      <c r="F376" s="239" t="s">
        <v>1628</v>
      </c>
      <c r="G376" s="241">
        <v>44688</v>
      </c>
      <c r="H376" s="241">
        <v>179347</v>
      </c>
      <c r="I376" s="241">
        <v>134659</v>
      </c>
      <c r="J376" s="241">
        <v>0</v>
      </c>
    </row>
    <row r="377" spans="1:10" ht="25.5">
      <c r="A377" s="239" t="s">
        <v>780</v>
      </c>
      <c r="B377" s="239" t="s">
        <v>1661</v>
      </c>
      <c r="C377" s="239" t="s">
        <v>1517</v>
      </c>
      <c r="D377" s="239" t="s">
        <v>1662</v>
      </c>
      <c r="E377" s="240">
        <v>4</v>
      </c>
      <c r="F377" s="239" t="s">
        <v>1628</v>
      </c>
      <c r="G377" s="241">
        <v>57689</v>
      </c>
      <c r="H377" s="241">
        <v>558416</v>
      </c>
      <c r="I377" s="241">
        <v>500727</v>
      </c>
      <c r="J377" s="241">
        <v>0</v>
      </c>
    </row>
    <row r="378" spans="1:10" ht="25.5">
      <c r="A378" s="239" t="s">
        <v>780</v>
      </c>
      <c r="B378" s="239" t="s">
        <v>1663</v>
      </c>
      <c r="C378" s="239" t="s">
        <v>1517</v>
      </c>
      <c r="D378" s="239" t="s">
        <v>1664</v>
      </c>
      <c r="E378" s="240">
        <v>4</v>
      </c>
      <c r="F378" s="239" t="s">
        <v>1628</v>
      </c>
      <c r="G378" s="241">
        <v>12172</v>
      </c>
      <c r="H378" s="241">
        <v>111334</v>
      </c>
      <c r="I378" s="241">
        <v>99162</v>
      </c>
      <c r="J378" s="241">
        <v>0</v>
      </c>
    </row>
    <row r="379" spans="1:10" ht="25.5">
      <c r="A379" s="239" t="s">
        <v>780</v>
      </c>
      <c r="B379" s="239" t="s">
        <v>1561</v>
      </c>
      <c r="C379" s="239" t="s">
        <v>1517</v>
      </c>
      <c r="D379" s="239" t="s">
        <v>1562</v>
      </c>
      <c r="E379" s="240">
        <v>4</v>
      </c>
      <c r="F379" s="239" t="s">
        <v>1628</v>
      </c>
      <c r="G379" s="241">
        <v>0</v>
      </c>
      <c r="H379" s="241">
        <v>10923</v>
      </c>
      <c r="I379" s="241">
        <v>10923</v>
      </c>
      <c r="J379" s="241">
        <v>0</v>
      </c>
    </row>
    <row r="380" spans="1:10">
      <c r="A380" s="239" t="s">
        <v>782</v>
      </c>
      <c r="B380" s="239"/>
      <c r="C380" s="239"/>
      <c r="D380" s="239" t="s">
        <v>783</v>
      </c>
      <c r="E380" s="240">
        <v>3</v>
      </c>
      <c r="F380" s="239" t="s">
        <v>1628</v>
      </c>
      <c r="G380" s="241">
        <v>58916</v>
      </c>
      <c r="H380" s="241">
        <v>8883577</v>
      </c>
      <c r="I380" s="241">
        <v>8824661</v>
      </c>
      <c r="J380" s="241">
        <v>0</v>
      </c>
    </row>
    <row r="381" spans="1:10">
      <c r="A381" s="239" t="s">
        <v>784</v>
      </c>
      <c r="B381" s="239"/>
      <c r="C381" s="239"/>
      <c r="D381" s="239" t="s">
        <v>783</v>
      </c>
      <c r="E381" s="240">
        <v>4</v>
      </c>
      <c r="F381" s="239" t="s">
        <v>1628</v>
      </c>
      <c r="G381" s="241">
        <v>58916</v>
      </c>
      <c r="H381" s="241">
        <v>8883577</v>
      </c>
      <c r="I381" s="241">
        <v>8824661</v>
      </c>
      <c r="J381" s="241">
        <v>0</v>
      </c>
    </row>
    <row r="382" spans="1:10" ht="25.5">
      <c r="A382" s="239" t="s">
        <v>784</v>
      </c>
      <c r="B382" s="239" t="s">
        <v>1521</v>
      </c>
      <c r="C382" s="239" t="s">
        <v>1517</v>
      </c>
      <c r="D382" s="239" t="s">
        <v>1522</v>
      </c>
      <c r="E382" s="240">
        <v>4</v>
      </c>
      <c r="F382" s="239" t="s">
        <v>1628</v>
      </c>
      <c r="G382" s="241">
        <v>-41</v>
      </c>
      <c r="H382" s="241">
        <v>1418406</v>
      </c>
      <c r="I382" s="241">
        <v>1418447</v>
      </c>
      <c r="J382" s="241">
        <v>0</v>
      </c>
    </row>
    <row r="383" spans="1:10" ht="25.5">
      <c r="A383" s="239" t="s">
        <v>784</v>
      </c>
      <c r="B383" s="239" t="s">
        <v>1523</v>
      </c>
      <c r="C383" s="239" t="s">
        <v>1517</v>
      </c>
      <c r="D383" s="239" t="s">
        <v>1524</v>
      </c>
      <c r="E383" s="240">
        <v>4</v>
      </c>
      <c r="F383" s="239" t="s">
        <v>1628</v>
      </c>
      <c r="G383" s="241">
        <v>-58</v>
      </c>
      <c r="H383" s="241">
        <v>2134597</v>
      </c>
      <c r="I383" s="241">
        <v>2134655</v>
      </c>
      <c r="J383" s="241">
        <v>0</v>
      </c>
    </row>
    <row r="384" spans="1:10" ht="25.5">
      <c r="A384" s="239" t="s">
        <v>784</v>
      </c>
      <c r="B384" s="239" t="s">
        <v>1693</v>
      </c>
      <c r="C384" s="239" t="s">
        <v>1517</v>
      </c>
      <c r="D384" s="239" t="s">
        <v>1694</v>
      </c>
      <c r="E384" s="240">
        <v>4</v>
      </c>
      <c r="F384" s="239" t="s">
        <v>1628</v>
      </c>
      <c r="G384" s="241">
        <v>7014</v>
      </c>
      <c r="H384" s="241">
        <v>7014</v>
      </c>
      <c r="I384" s="241">
        <v>0</v>
      </c>
      <c r="J384" s="241">
        <v>0</v>
      </c>
    </row>
    <row r="385" spans="1:10" ht="25.5">
      <c r="A385" s="239" t="s">
        <v>784</v>
      </c>
      <c r="B385" s="239" t="s">
        <v>1525</v>
      </c>
      <c r="C385" s="239" t="s">
        <v>1517</v>
      </c>
      <c r="D385" s="239" t="s">
        <v>1526</v>
      </c>
      <c r="E385" s="240">
        <v>4</v>
      </c>
      <c r="F385" s="239" t="s">
        <v>1628</v>
      </c>
      <c r="G385" s="241">
        <v>0</v>
      </c>
      <c r="H385" s="241">
        <v>381558</v>
      </c>
      <c r="I385" s="241">
        <v>381558</v>
      </c>
      <c r="J385" s="241">
        <v>0</v>
      </c>
    </row>
    <row r="386" spans="1:10" ht="25.5">
      <c r="A386" s="239" t="s">
        <v>784</v>
      </c>
      <c r="B386" s="239" t="s">
        <v>1695</v>
      </c>
      <c r="C386" s="239" t="s">
        <v>1517</v>
      </c>
      <c r="D386" s="239" t="s">
        <v>1696</v>
      </c>
      <c r="E386" s="240">
        <v>4</v>
      </c>
      <c r="F386" s="239" t="s">
        <v>1628</v>
      </c>
      <c r="G386" s="241">
        <v>-1</v>
      </c>
      <c r="H386" s="241">
        <v>0</v>
      </c>
      <c r="I386" s="241">
        <v>1</v>
      </c>
      <c r="J386" s="241">
        <v>0</v>
      </c>
    </row>
    <row r="387" spans="1:10" ht="25.5">
      <c r="A387" s="239" t="s">
        <v>784</v>
      </c>
      <c r="B387" s="239" t="s">
        <v>1527</v>
      </c>
      <c r="C387" s="239" t="s">
        <v>1517</v>
      </c>
      <c r="D387" s="239" t="s">
        <v>1528</v>
      </c>
      <c r="E387" s="240">
        <v>4</v>
      </c>
      <c r="F387" s="239" t="s">
        <v>1628</v>
      </c>
      <c r="G387" s="241">
        <v>-56</v>
      </c>
      <c r="H387" s="241">
        <v>1651895</v>
      </c>
      <c r="I387" s="241">
        <v>1651951</v>
      </c>
      <c r="J387" s="241">
        <v>0</v>
      </c>
    </row>
    <row r="388" spans="1:10" ht="25.5">
      <c r="A388" s="239" t="s">
        <v>784</v>
      </c>
      <c r="B388" s="239" t="s">
        <v>1697</v>
      </c>
      <c r="C388" s="239" t="s">
        <v>1517</v>
      </c>
      <c r="D388" s="239" t="s">
        <v>1698</v>
      </c>
      <c r="E388" s="240">
        <v>4</v>
      </c>
      <c r="F388" s="239" t="s">
        <v>1628</v>
      </c>
      <c r="G388" s="241">
        <v>8547</v>
      </c>
      <c r="H388" s="241">
        <v>8547</v>
      </c>
      <c r="I388" s="241">
        <v>0</v>
      </c>
      <c r="J388" s="241">
        <v>0</v>
      </c>
    </row>
    <row r="389" spans="1:10" ht="25.5">
      <c r="A389" s="239" t="s">
        <v>784</v>
      </c>
      <c r="B389" s="239" t="s">
        <v>1531</v>
      </c>
      <c r="C389" s="239" t="s">
        <v>1517</v>
      </c>
      <c r="D389" s="239" t="s">
        <v>1532</v>
      </c>
      <c r="E389" s="240">
        <v>4</v>
      </c>
      <c r="F389" s="239" t="s">
        <v>1628</v>
      </c>
      <c r="G389" s="241">
        <v>0</v>
      </c>
      <c r="H389" s="241">
        <v>1045221</v>
      </c>
      <c r="I389" s="241">
        <v>1045221</v>
      </c>
      <c r="J389" s="241">
        <v>0</v>
      </c>
    </row>
    <row r="390" spans="1:10" ht="25.5">
      <c r="A390" s="239" t="s">
        <v>784</v>
      </c>
      <c r="B390" s="239" t="s">
        <v>1699</v>
      </c>
      <c r="C390" s="239" t="s">
        <v>1517</v>
      </c>
      <c r="D390" s="239" t="s">
        <v>1700</v>
      </c>
      <c r="E390" s="240">
        <v>4</v>
      </c>
      <c r="F390" s="239" t="s">
        <v>1628</v>
      </c>
      <c r="G390" s="241">
        <v>-1</v>
      </c>
      <c r="H390" s="241">
        <v>0</v>
      </c>
      <c r="I390" s="241">
        <v>1</v>
      </c>
      <c r="J390" s="241">
        <v>0</v>
      </c>
    </row>
    <row r="391" spans="1:10" ht="25.5">
      <c r="A391" s="239" t="s">
        <v>784</v>
      </c>
      <c r="B391" s="239" t="s">
        <v>1701</v>
      </c>
      <c r="C391" s="239" t="s">
        <v>1517</v>
      </c>
      <c r="D391" s="239" t="s">
        <v>1702</v>
      </c>
      <c r="E391" s="240">
        <v>4</v>
      </c>
      <c r="F391" s="239" t="s">
        <v>1628</v>
      </c>
      <c r="G391" s="241">
        <v>16998</v>
      </c>
      <c r="H391" s="241">
        <v>16998</v>
      </c>
      <c r="I391" s="241">
        <v>0</v>
      </c>
      <c r="J391" s="241">
        <v>0</v>
      </c>
    </row>
    <row r="392" spans="1:10" ht="25.5">
      <c r="A392" s="239" t="s">
        <v>784</v>
      </c>
      <c r="B392" s="239" t="s">
        <v>1533</v>
      </c>
      <c r="C392" s="239" t="s">
        <v>1517</v>
      </c>
      <c r="D392" s="239" t="s">
        <v>1534</v>
      </c>
      <c r="E392" s="240">
        <v>4</v>
      </c>
      <c r="F392" s="239" t="s">
        <v>1628</v>
      </c>
      <c r="G392" s="241">
        <v>3713</v>
      </c>
      <c r="H392" s="241">
        <v>135196</v>
      </c>
      <c r="I392" s="241">
        <v>131483</v>
      </c>
      <c r="J392" s="241">
        <v>0</v>
      </c>
    </row>
    <row r="393" spans="1:10" ht="25.5">
      <c r="A393" s="239" t="s">
        <v>784</v>
      </c>
      <c r="B393" s="239" t="s">
        <v>1703</v>
      </c>
      <c r="C393" s="239" t="s">
        <v>1517</v>
      </c>
      <c r="D393" s="239" t="s">
        <v>1704</v>
      </c>
      <c r="E393" s="240">
        <v>4</v>
      </c>
      <c r="F393" s="239" t="s">
        <v>1628</v>
      </c>
      <c r="G393" s="241">
        <v>22841</v>
      </c>
      <c r="H393" s="241">
        <v>22841</v>
      </c>
      <c r="I393" s="241">
        <v>0</v>
      </c>
      <c r="J393" s="241">
        <v>0</v>
      </c>
    </row>
    <row r="394" spans="1:10" ht="25.5">
      <c r="A394" s="239" t="s">
        <v>784</v>
      </c>
      <c r="B394" s="239" t="s">
        <v>1535</v>
      </c>
      <c r="C394" s="239" t="s">
        <v>1517</v>
      </c>
      <c r="D394" s="239" t="s">
        <v>1536</v>
      </c>
      <c r="E394" s="240">
        <v>4</v>
      </c>
      <c r="F394" s="239" t="s">
        <v>1628</v>
      </c>
      <c r="G394" s="241">
        <v>0</v>
      </c>
      <c r="H394" s="241">
        <v>383600</v>
      </c>
      <c r="I394" s="241">
        <v>383600</v>
      </c>
      <c r="J394" s="241">
        <v>0</v>
      </c>
    </row>
    <row r="395" spans="1:10" ht="25.5">
      <c r="A395" s="239" t="s">
        <v>784</v>
      </c>
      <c r="B395" s="239" t="s">
        <v>1537</v>
      </c>
      <c r="C395" s="239" t="s">
        <v>1517</v>
      </c>
      <c r="D395" s="239" t="s">
        <v>1538</v>
      </c>
      <c r="E395" s="240">
        <v>4</v>
      </c>
      <c r="F395" s="239" t="s">
        <v>1628</v>
      </c>
      <c r="G395" s="241">
        <v>-40</v>
      </c>
      <c r="H395" s="241">
        <v>1300606</v>
      </c>
      <c r="I395" s="241">
        <v>1300646</v>
      </c>
      <c r="J395" s="241">
        <v>0</v>
      </c>
    </row>
    <row r="396" spans="1:10" ht="25.5">
      <c r="A396" s="239" t="s">
        <v>784</v>
      </c>
      <c r="B396" s="239" t="s">
        <v>1561</v>
      </c>
      <c r="C396" s="239" t="s">
        <v>1517</v>
      </c>
      <c r="D396" s="239" t="s">
        <v>1562</v>
      </c>
      <c r="E396" s="240">
        <v>4</v>
      </c>
      <c r="F396" s="239" t="s">
        <v>1628</v>
      </c>
      <c r="G396" s="241">
        <v>0</v>
      </c>
      <c r="H396" s="241">
        <v>377098</v>
      </c>
      <c r="I396" s="241">
        <v>377098</v>
      </c>
      <c r="J396" s="241">
        <v>0</v>
      </c>
    </row>
    <row r="397" spans="1:10">
      <c r="A397" s="239" t="s">
        <v>786</v>
      </c>
      <c r="B397" s="239"/>
      <c r="C397" s="239"/>
      <c r="D397" s="239" t="s">
        <v>787</v>
      </c>
      <c r="E397" s="240">
        <v>3</v>
      </c>
      <c r="F397" s="239" t="s">
        <v>1628</v>
      </c>
      <c r="G397" s="241">
        <v>679424</v>
      </c>
      <c r="H397" s="241">
        <v>5539769</v>
      </c>
      <c r="I397" s="241">
        <v>4860345</v>
      </c>
      <c r="J397" s="241">
        <v>0</v>
      </c>
    </row>
    <row r="398" spans="1:10">
      <c r="A398" s="239" t="s">
        <v>788</v>
      </c>
      <c r="B398" s="239"/>
      <c r="C398" s="239"/>
      <c r="D398" s="239" t="s">
        <v>787</v>
      </c>
      <c r="E398" s="240">
        <v>4</v>
      </c>
      <c r="F398" s="239" t="s">
        <v>1628</v>
      </c>
      <c r="G398" s="241">
        <v>679424</v>
      </c>
      <c r="H398" s="241">
        <v>5539769</v>
      </c>
      <c r="I398" s="241">
        <v>4860345</v>
      </c>
      <c r="J398" s="241">
        <v>0</v>
      </c>
    </row>
    <row r="399" spans="1:10" ht="25.5">
      <c r="A399" s="239" t="s">
        <v>788</v>
      </c>
      <c r="B399" s="239" t="s">
        <v>1521</v>
      </c>
      <c r="C399" s="239" t="s">
        <v>1517</v>
      </c>
      <c r="D399" s="239" t="s">
        <v>1522</v>
      </c>
      <c r="E399" s="240">
        <v>4</v>
      </c>
      <c r="F399" s="239" t="s">
        <v>1628</v>
      </c>
      <c r="G399" s="241">
        <v>70314</v>
      </c>
      <c r="H399" s="241">
        <v>710952</v>
      </c>
      <c r="I399" s="241">
        <v>640638</v>
      </c>
      <c r="J399" s="241">
        <v>0</v>
      </c>
    </row>
    <row r="400" spans="1:10" ht="25.5">
      <c r="A400" s="239" t="s">
        <v>788</v>
      </c>
      <c r="B400" s="239" t="s">
        <v>1523</v>
      </c>
      <c r="C400" s="239" t="s">
        <v>1517</v>
      </c>
      <c r="D400" s="239" t="s">
        <v>1524</v>
      </c>
      <c r="E400" s="240">
        <v>4</v>
      </c>
      <c r="F400" s="239" t="s">
        <v>1628</v>
      </c>
      <c r="G400" s="241">
        <v>73619</v>
      </c>
      <c r="H400" s="241">
        <v>1243548</v>
      </c>
      <c r="I400" s="241">
        <v>1169929</v>
      </c>
      <c r="J400" s="241">
        <v>0</v>
      </c>
    </row>
    <row r="401" spans="1:10" ht="25.5">
      <c r="A401" s="239" t="s">
        <v>788</v>
      </c>
      <c r="B401" s="239" t="s">
        <v>1693</v>
      </c>
      <c r="C401" s="239" t="s">
        <v>1517</v>
      </c>
      <c r="D401" s="239" t="s">
        <v>1694</v>
      </c>
      <c r="E401" s="240">
        <v>4</v>
      </c>
      <c r="F401" s="239" t="s">
        <v>1628</v>
      </c>
      <c r="G401" s="241">
        <v>260</v>
      </c>
      <c r="H401" s="241">
        <v>260</v>
      </c>
      <c r="I401" s="241">
        <v>0</v>
      </c>
      <c r="J401" s="241">
        <v>0</v>
      </c>
    </row>
    <row r="402" spans="1:10" ht="25.5">
      <c r="A402" s="239" t="s">
        <v>788</v>
      </c>
      <c r="B402" s="239" t="s">
        <v>1525</v>
      </c>
      <c r="C402" s="239" t="s">
        <v>1517</v>
      </c>
      <c r="D402" s="239" t="s">
        <v>1526</v>
      </c>
      <c r="E402" s="240">
        <v>4</v>
      </c>
      <c r="F402" s="239" t="s">
        <v>1628</v>
      </c>
      <c r="G402" s="241">
        <v>0</v>
      </c>
      <c r="H402" s="241">
        <v>173203</v>
      </c>
      <c r="I402" s="241">
        <v>173203</v>
      </c>
      <c r="J402" s="241">
        <v>0</v>
      </c>
    </row>
    <row r="403" spans="1:10" ht="25.5">
      <c r="A403" s="239" t="s">
        <v>788</v>
      </c>
      <c r="B403" s="239" t="s">
        <v>1695</v>
      </c>
      <c r="C403" s="239" t="s">
        <v>1517</v>
      </c>
      <c r="D403" s="239" t="s">
        <v>1696</v>
      </c>
      <c r="E403" s="240">
        <v>4</v>
      </c>
      <c r="F403" s="239" t="s">
        <v>1628</v>
      </c>
      <c r="G403" s="241">
        <v>1795</v>
      </c>
      <c r="H403" s="241">
        <v>1795</v>
      </c>
      <c r="I403" s="241">
        <v>0</v>
      </c>
      <c r="J403" s="241">
        <v>0</v>
      </c>
    </row>
    <row r="404" spans="1:10" ht="25.5">
      <c r="A404" s="239" t="s">
        <v>788</v>
      </c>
      <c r="B404" s="239" t="s">
        <v>1527</v>
      </c>
      <c r="C404" s="239" t="s">
        <v>1517</v>
      </c>
      <c r="D404" s="239" t="s">
        <v>1528</v>
      </c>
      <c r="E404" s="240">
        <v>4</v>
      </c>
      <c r="F404" s="239" t="s">
        <v>1628</v>
      </c>
      <c r="G404" s="241">
        <v>213103</v>
      </c>
      <c r="H404" s="241">
        <v>1264417</v>
      </c>
      <c r="I404" s="241">
        <v>1051314</v>
      </c>
      <c r="J404" s="241">
        <v>0</v>
      </c>
    </row>
    <row r="405" spans="1:10" ht="25.5">
      <c r="A405" s="239" t="s">
        <v>788</v>
      </c>
      <c r="B405" s="239" t="s">
        <v>1697</v>
      </c>
      <c r="C405" s="239" t="s">
        <v>1517</v>
      </c>
      <c r="D405" s="239" t="s">
        <v>1698</v>
      </c>
      <c r="E405" s="240">
        <v>4</v>
      </c>
      <c r="F405" s="239" t="s">
        <v>1628</v>
      </c>
      <c r="G405" s="241">
        <v>408</v>
      </c>
      <c r="H405" s="241">
        <v>408</v>
      </c>
      <c r="I405" s="241">
        <v>0</v>
      </c>
      <c r="J405" s="241">
        <v>0</v>
      </c>
    </row>
    <row r="406" spans="1:10" ht="25.5">
      <c r="A406" s="239" t="s">
        <v>788</v>
      </c>
      <c r="B406" s="239" t="s">
        <v>1531</v>
      </c>
      <c r="C406" s="239" t="s">
        <v>1517</v>
      </c>
      <c r="D406" s="239" t="s">
        <v>1532</v>
      </c>
      <c r="E406" s="240">
        <v>4</v>
      </c>
      <c r="F406" s="239" t="s">
        <v>1628</v>
      </c>
      <c r="G406" s="241">
        <v>0</v>
      </c>
      <c r="H406" s="241">
        <v>613743</v>
      </c>
      <c r="I406" s="241">
        <v>613743</v>
      </c>
      <c r="J406" s="241">
        <v>0</v>
      </c>
    </row>
    <row r="407" spans="1:10" ht="25.5">
      <c r="A407" s="239" t="s">
        <v>788</v>
      </c>
      <c r="B407" s="239" t="s">
        <v>1699</v>
      </c>
      <c r="C407" s="239" t="s">
        <v>1517</v>
      </c>
      <c r="D407" s="239" t="s">
        <v>1700</v>
      </c>
      <c r="E407" s="240">
        <v>4</v>
      </c>
      <c r="F407" s="239" t="s">
        <v>1628</v>
      </c>
      <c r="G407" s="241">
        <v>4027</v>
      </c>
      <c r="H407" s="241">
        <v>4027</v>
      </c>
      <c r="I407" s="241">
        <v>0</v>
      </c>
      <c r="J407" s="241">
        <v>0</v>
      </c>
    </row>
    <row r="408" spans="1:10" ht="25.5">
      <c r="A408" s="239" t="s">
        <v>788</v>
      </c>
      <c r="B408" s="239" t="s">
        <v>1701</v>
      </c>
      <c r="C408" s="239" t="s">
        <v>1517</v>
      </c>
      <c r="D408" s="239" t="s">
        <v>1702</v>
      </c>
      <c r="E408" s="240">
        <v>4</v>
      </c>
      <c r="F408" s="239" t="s">
        <v>1628</v>
      </c>
      <c r="G408" s="241">
        <v>6402</v>
      </c>
      <c r="H408" s="241">
        <v>6402</v>
      </c>
      <c r="I408" s="241">
        <v>0</v>
      </c>
      <c r="J408" s="241">
        <v>0</v>
      </c>
    </row>
    <row r="409" spans="1:10" ht="25.5">
      <c r="A409" s="239" t="s">
        <v>788</v>
      </c>
      <c r="B409" s="239" t="s">
        <v>1533</v>
      </c>
      <c r="C409" s="239" t="s">
        <v>1517</v>
      </c>
      <c r="D409" s="239" t="s">
        <v>1534</v>
      </c>
      <c r="E409" s="240">
        <v>4</v>
      </c>
      <c r="F409" s="239" t="s">
        <v>1628</v>
      </c>
      <c r="G409" s="241">
        <v>104325</v>
      </c>
      <c r="H409" s="241">
        <v>164013</v>
      </c>
      <c r="I409" s="241">
        <v>59688</v>
      </c>
      <c r="J409" s="241">
        <v>0</v>
      </c>
    </row>
    <row r="410" spans="1:10" ht="25.5">
      <c r="A410" s="239" t="s">
        <v>788</v>
      </c>
      <c r="B410" s="239" t="s">
        <v>1703</v>
      </c>
      <c r="C410" s="239" t="s">
        <v>1517</v>
      </c>
      <c r="D410" s="239" t="s">
        <v>1704</v>
      </c>
      <c r="E410" s="240">
        <v>4</v>
      </c>
      <c r="F410" s="239" t="s">
        <v>1628</v>
      </c>
      <c r="G410" s="241">
        <v>-3833</v>
      </c>
      <c r="H410" s="241">
        <v>0</v>
      </c>
      <c r="I410" s="241">
        <v>3833</v>
      </c>
      <c r="J410" s="241">
        <v>0</v>
      </c>
    </row>
    <row r="411" spans="1:10" ht="25.5">
      <c r="A411" s="239" t="s">
        <v>788</v>
      </c>
      <c r="B411" s="239" t="s">
        <v>1705</v>
      </c>
      <c r="C411" s="239" t="s">
        <v>1517</v>
      </c>
      <c r="D411" s="239" t="s">
        <v>1706</v>
      </c>
      <c r="E411" s="240">
        <v>4</v>
      </c>
      <c r="F411" s="239" t="s">
        <v>1628</v>
      </c>
      <c r="G411" s="241">
        <v>504</v>
      </c>
      <c r="H411" s="241">
        <v>504</v>
      </c>
      <c r="I411" s="241">
        <v>0</v>
      </c>
      <c r="J411" s="241">
        <v>0</v>
      </c>
    </row>
    <row r="412" spans="1:10" ht="25.5">
      <c r="A412" s="239" t="s">
        <v>788</v>
      </c>
      <c r="B412" s="239" t="s">
        <v>1535</v>
      </c>
      <c r="C412" s="239" t="s">
        <v>1517</v>
      </c>
      <c r="D412" s="239" t="s">
        <v>1536</v>
      </c>
      <c r="E412" s="240">
        <v>4</v>
      </c>
      <c r="F412" s="239" t="s">
        <v>1628</v>
      </c>
      <c r="G412" s="241">
        <v>0</v>
      </c>
      <c r="H412" s="241">
        <v>180278</v>
      </c>
      <c r="I412" s="241">
        <v>180278</v>
      </c>
      <c r="J412" s="241">
        <v>0</v>
      </c>
    </row>
    <row r="413" spans="1:10" ht="25.5">
      <c r="A413" s="239" t="s">
        <v>788</v>
      </c>
      <c r="B413" s="239" t="s">
        <v>1537</v>
      </c>
      <c r="C413" s="239" t="s">
        <v>1517</v>
      </c>
      <c r="D413" s="239" t="s">
        <v>1538</v>
      </c>
      <c r="E413" s="240">
        <v>4</v>
      </c>
      <c r="F413" s="239" t="s">
        <v>1628</v>
      </c>
      <c r="G413" s="241">
        <v>208500</v>
      </c>
      <c r="H413" s="241">
        <v>821667</v>
      </c>
      <c r="I413" s="241">
        <v>613167</v>
      </c>
      <c r="J413" s="241">
        <v>0</v>
      </c>
    </row>
    <row r="414" spans="1:10" ht="25.5">
      <c r="A414" s="239" t="s">
        <v>788</v>
      </c>
      <c r="B414" s="239" t="s">
        <v>1561</v>
      </c>
      <c r="C414" s="239" t="s">
        <v>1517</v>
      </c>
      <c r="D414" s="239" t="s">
        <v>1562</v>
      </c>
      <c r="E414" s="240">
        <v>4</v>
      </c>
      <c r="F414" s="239" t="s">
        <v>1628</v>
      </c>
      <c r="G414" s="241">
        <v>0</v>
      </c>
      <c r="H414" s="241">
        <v>177330</v>
      </c>
      <c r="I414" s="241">
        <v>177330</v>
      </c>
      <c r="J414" s="241">
        <v>0</v>
      </c>
    </row>
    <row r="415" spans="1:10" ht="25.5">
      <c r="A415" s="239" t="s">
        <v>788</v>
      </c>
      <c r="B415" s="239" t="s">
        <v>1516</v>
      </c>
      <c r="C415" s="239" t="s">
        <v>1517</v>
      </c>
      <c r="D415" s="239" t="s">
        <v>1518</v>
      </c>
      <c r="E415" s="240">
        <v>4</v>
      </c>
      <c r="F415" s="239" t="s">
        <v>1628</v>
      </c>
      <c r="G415" s="241">
        <v>0</v>
      </c>
      <c r="H415" s="241">
        <v>177222</v>
      </c>
      <c r="I415" s="241">
        <v>177222</v>
      </c>
      <c r="J415" s="241">
        <v>0</v>
      </c>
    </row>
    <row r="416" spans="1:10">
      <c r="A416" s="239" t="s">
        <v>829</v>
      </c>
      <c r="B416" s="239"/>
      <c r="C416" s="239"/>
      <c r="D416" s="239" t="s">
        <v>830</v>
      </c>
      <c r="E416" s="240">
        <v>2</v>
      </c>
      <c r="F416" s="239" t="s">
        <v>1628</v>
      </c>
      <c r="G416" s="241">
        <v>0</v>
      </c>
      <c r="H416" s="241">
        <v>68348282</v>
      </c>
      <c r="I416" s="241">
        <v>68348282</v>
      </c>
      <c r="J416" s="241">
        <v>0</v>
      </c>
    </row>
    <row r="417" spans="1:10">
      <c r="A417" s="239" t="s">
        <v>831</v>
      </c>
      <c r="B417" s="239"/>
      <c r="C417" s="239"/>
      <c r="D417" s="239" t="s">
        <v>832</v>
      </c>
      <c r="E417" s="240">
        <v>3</v>
      </c>
      <c r="F417" s="239" t="s">
        <v>1628</v>
      </c>
      <c r="G417" s="241">
        <v>0</v>
      </c>
      <c r="H417" s="241">
        <v>68348282</v>
      </c>
      <c r="I417" s="241">
        <v>68348282</v>
      </c>
      <c r="J417" s="241">
        <v>0</v>
      </c>
    </row>
    <row r="418" spans="1:10">
      <c r="A418" s="239" t="s">
        <v>833</v>
      </c>
      <c r="B418" s="239"/>
      <c r="C418" s="239"/>
      <c r="D418" s="239" t="s">
        <v>834</v>
      </c>
      <c r="E418" s="240">
        <v>4</v>
      </c>
      <c r="F418" s="239" t="s">
        <v>1628</v>
      </c>
      <c r="G418" s="241">
        <v>0</v>
      </c>
      <c r="H418" s="241">
        <v>68348282</v>
      </c>
      <c r="I418" s="241">
        <v>68348282</v>
      </c>
      <c r="J418" s="241">
        <v>0</v>
      </c>
    </row>
    <row r="419" spans="1:10">
      <c r="A419" s="239" t="s">
        <v>833</v>
      </c>
      <c r="B419" s="239" t="s">
        <v>1543</v>
      </c>
      <c r="C419" s="239" t="s">
        <v>1517</v>
      </c>
      <c r="D419" s="239" t="s">
        <v>1544</v>
      </c>
      <c r="E419" s="240">
        <v>4</v>
      </c>
      <c r="F419" s="239" t="s">
        <v>1628</v>
      </c>
      <c r="G419" s="241">
        <v>0</v>
      </c>
      <c r="H419" s="241">
        <v>68348282</v>
      </c>
      <c r="I419" s="241">
        <v>68348282</v>
      </c>
      <c r="J419" s="241">
        <v>0</v>
      </c>
    </row>
    <row r="420" spans="1:10">
      <c r="A420" s="239" t="s">
        <v>844</v>
      </c>
      <c r="B420" s="239"/>
      <c r="C420" s="239"/>
      <c r="D420" s="239" t="s">
        <v>845</v>
      </c>
      <c r="E420" s="240">
        <v>1</v>
      </c>
      <c r="F420" s="239" t="s">
        <v>1628</v>
      </c>
      <c r="G420" s="241">
        <v>-120250907.69</v>
      </c>
      <c r="H420" s="241">
        <v>171627508.55000001</v>
      </c>
      <c r="I420" s="241">
        <v>272227508.55000001</v>
      </c>
      <c r="J420" s="241">
        <v>-19650907.690000001</v>
      </c>
    </row>
    <row r="421" spans="1:10">
      <c r="A421" s="239" t="s">
        <v>846</v>
      </c>
      <c r="B421" s="239"/>
      <c r="C421" s="239"/>
      <c r="D421" s="239" t="s">
        <v>847</v>
      </c>
      <c r="E421" s="240">
        <v>2</v>
      </c>
      <c r="F421" s="239" t="s">
        <v>1628</v>
      </c>
      <c r="G421" s="241">
        <v>400000</v>
      </c>
      <c r="H421" s="241">
        <v>100000000</v>
      </c>
      <c r="I421" s="241">
        <v>200600000</v>
      </c>
      <c r="J421" s="241">
        <v>101000000</v>
      </c>
    </row>
    <row r="422" spans="1:10">
      <c r="A422" s="239" t="s">
        <v>848</v>
      </c>
      <c r="B422" s="239"/>
      <c r="C422" s="239"/>
      <c r="D422" s="239" t="s">
        <v>849</v>
      </c>
      <c r="E422" s="240">
        <v>3</v>
      </c>
      <c r="F422" s="239" t="s">
        <v>1628</v>
      </c>
      <c r="G422" s="241">
        <v>400000</v>
      </c>
      <c r="H422" s="241">
        <v>100000000</v>
      </c>
      <c r="I422" s="241">
        <v>200600000</v>
      </c>
      <c r="J422" s="241">
        <v>101000000</v>
      </c>
    </row>
    <row r="423" spans="1:10">
      <c r="A423" s="239" t="s">
        <v>850</v>
      </c>
      <c r="B423" s="239"/>
      <c r="C423" s="239"/>
      <c r="D423" s="239" t="s">
        <v>851</v>
      </c>
      <c r="E423" s="240">
        <v>4</v>
      </c>
      <c r="F423" s="239" t="s">
        <v>1628</v>
      </c>
      <c r="G423" s="241">
        <v>1000000</v>
      </c>
      <c r="H423" s="241">
        <v>0</v>
      </c>
      <c r="I423" s="241">
        <v>100000000</v>
      </c>
      <c r="J423" s="241">
        <v>101000000</v>
      </c>
    </row>
    <row r="424" spans="1:10" ht="25.5">
      <c r="A424" s="239" t="s">
        <v>850</v>
      </c>
      <c r="B424" s="239" t="s">
        <v>1537</v>
      </c>
      <c r="C424" s="239" t="s">
        <v>1517</v>
      </c>
      <c r="D424" s="239" t="s">
        <v>1538</v>
      </c>
      <c r="E424" s="240">
        <v>4</v>
      </c>
      <c r="F424" s="239" t="s">
        <v>1628</v>
      </c>
      <c r="G424" s="241">
        <v>1000000</v>
      </c>
      <c r="H424" s="241">
        <v>0</v>
      </c>
      <c r="I424" s="241">
        <v>100000000</v>
      </c>
      <c r="J424" s="241">
        <v>101000000</v>
      </c>
    </row>
    <row r="425" spans="1:10">
      <c r="A425" s="239" t="s">
        <v>852</v>
      </c>
      <c r="B425" s="239"/>
      <c r="C425" s="239"/>
      <c r="D425" s="239" t="s">
        <v>853</v>
      </c>
      <c r="E425" s="240">
        <v>4</v>
      </c>
      <c r="F425" s="239" t="s">
        <v>1628</v>
      </c>
      <c r="G425" s="241">
        <v>-600000</v>
      </c>
      <c r="H425" s="241">
        <v>100000000</v>
      </c>
      <c r="I425" s="241">
        <v>100600000</v>
      </c>
      <c r="J425" s="241">
        <v>0</v>
      </c>
    </row>
    <row r="426" spans="1:10" ht="25.5">
      <c r="A426" s="239" t="s">
        <v>852</v>
      </c>
      <c r="B426" s="239" t="s">
        <v>1537</v>
      </c>
      <c r="C426" s="239" t="s">
        <v>1517</v>
      </c>
      <c r="D426" s="239" t="s">
        <v>1538</v>
      </c>
      <c r="E426" s="240">
        <v>4</v>
      </c>
      <c r="F426" s="239" t="s">
        <v>1628</v>
      </c>
      <c r="G426" s="241">
        <v>-600000</v>
      </c>
      <c r="H426" s="241">
        <v>100000000</v>
      </c>
      <c r="I426" s="241">
        <v>100600000</v>
      </c>
      <c r="J426" s="241">
        <v>0</v>
      </c>
    </row>
    <row r="427" spans="1:10">
      <c r="A427" s="239" t="s">
        <v>963</v>
      </c>
      <c r="B427" s="239"/>
      <c r="C427" s="239"/>
      <c r="D427" s="239" t="s">
        <v>964</v>
      </c>
      <c r="E427" s="240">
        <v>2</v>
      </c>
      <c r="F427" s="239" t="s">
        <v>1628</v>
      </c>
      <c r="G427" s="241">
        <v>-71627508.549999997</v>
      </c>
      <c r="H427" s="241">
        <v>0</v>
      </c>
      <c r="I427" s="241">
        <v>71627508.549999997</v>
      </c>
      <c r="J427" s="241">
        <v>0</v>
      </c>
    </row>
    <row r="428" spans="1:10">
      <c r="A428" s="239" t="s">
        <v>970</v>
      </c>
      <c r="B428" s="239"/>
      <c r="C428" s="239"/>
      <c r="D428" s="239" t="s">
        <v>971</v>
      </c>
      <c r="E428" s="240">
        <v>3</v>
      </c>
      <c r="F428" s="239" t="s">
        <v>1628</v>
      </c>
      <c r="G428" s="241">
        <v>-71627508.549999997</v>
      </c>
      <c r="H428" s="241">
        <v>0</v>
      </c>
      <c r="I428" s="241">
        <v>71627508.549999997</v>
      </c>
      <c r="J428" s="241">
        <v>0</v>
      </c>
    </row>
    <row r="429" spans="1:10">
      <c r="A429" s="239" t="s">
        <v>972</v>
      </c>
      <c r="B429" s="239"/>
      <c r="C429" s="239"/>
      <c r="D429" s="239" t="s">
        <v>971</v>
      </c>
      <c r="E429" s="240">
        <v>4</v>
      </c>
      <c r="F429" s="239" t="s">
        <v>1628</v>
      </c>
      <c r="G429" s="241">
        <v>-71627508.549999997</v>
      </c>
      <c r="H429" s="241">
        <v>0</v>
      </c>
      <c r="I429" s="241">
        <v>71627508.549999997</v>
      </c>
      <c r="J429" s="241">
        <v>0</v>
      </c>
    </row>
    <row r="430" spans="1:10" ht="25.5">
      <c r="A430" s="239" t="s">
        <v>972</v>
      </c>
      <c r="B430" s="239" t="s">
        <v>1516</v>
      </c>
      <c r="C430" s="239" t="s">
        <v>1517</v>
      </c>
      <c r="D430" s="239" t="s">
        <v>1518</v>
      </c>
      <c r="E430" s="240">
        <v>4</v>
      </c>
      <c r="F430" s="239" t="s">
        <v>1628</v>
      </c>
      <c r="G430" s="241">
        <v>-71627508.549999997</v>
      </c>
      <c r="H430" s="241">
        <v>0</v>
      </c>
      <c r="I430" s="241">
        <v>71627508.549999997</v>
      </c>
      <c r="J430" s="241">
        <v>0</v>
      </c>
    </row>
    <row r="431" spans="1:10" ht="25.5">
      <c r="A431" s="239" t="s">
        <v>975</v>
      </c>
      <c r="B431" s="239"/>
      <c r="C431" s="239"/>
      <c r="D431" s="239" t="s">
        <v>976</v>
      </c>
      <c r="E431" s="240">
        <v>2</v>
      </c>
      <c r="F431" s="239" t="s">
        <v>1628</v>
      </c>
      <c r="G431" s="241">
        <v>-49023399.140000001</v>
      </c>
      <c r="H431" s="241">
        <v>71627508.549999997</v>
      </c>
      <c r="I431" s="241">
        <v>0</v>
      </c>
      <c r="J431" s="241">
        <v>-120650907.69</v>
      </c>
    </row>
    <row r="432" spans="1:10">
      <c r="A432" s="239" t="s">
        <v>980</v>
      </c>
      <c r="B432" s="239"/>
      <c r="C432" s="239"/>
      <c r="D432" s="239" t="s">
        <v>981</v>
      </c>
      <c r="E432" s="240">
        <v>3</v>
      </c>
      <c r="F432" s="239" t="s">
        <v>1628</v>
      </c>
      <c r="G432" s="241">
        <v>-49023399.140000001</v>
      </c>
      <c r="H432" s="241">
        <v>71627508.549999997</v>
      </c>
      <c r="I432" s="241">
        <v>0</v>
      </c>
      <c r="J432" s="241">
        <v>-120650907.69</v>
      </c>
    </row>
    <row r="433" spans="1:10">
      <c r="A433" s="239" t="s">
        <v>982</v>
      </c>
      <c r="B433" s="239"/>
      <c r="C433" s="239"/>
      <c r="D433" s="239" t="s">
        <v>981</v>
      </c>
      <c r="E433" s="240">
        <v>4</v>
      </c>
      <c r="F433" s="239" t="s">
        <v>1628</v>
      </c>
      <c r="G433" s="241">
        <v>-49023399.140000001</v>
      </c>
      <c r="H433" s="241">
        <v>71627508.549999997</v>
      </c>
      <c r="I433" s="241">
        <v>0</v>
      </c>
      <c r="J433" s="241">
        <v>-120650907.69</v>
      </c>
    </row>
    <row r="434" spans="1:10" ht="25.5">
      <c r="A434" s="239" t="s">
        <v>982</v>
      </c>
      <c r="B434" s="239" t="s">
        <v>1516</v>
      </c>
      <c r="C434" s="239" t="s">
        <v>1517</v>
      </c>
      <c r="D434" s="239" t="s">
        <v>1518</v>
      </c>
      <c r="E434" s="240">
        <v>4</v>
      </c>
      <c r="F434" s="239" t="s">
        <v>1628</v>
      </c>
      <c r="G434" s="241">
        <v>-49023399.140000001</v>
      </c>
      <c r="H434" s="241">
        <v>71627508.549999997</v>
      </c>
      <c r="I434" s="241">
        <v>0</v>
      </c>
      <c r="J434" s="241">
        <v>-120650907.69</v>
      </c>
    </row>
    <row r="435" spans="1:10">
      <c r="A435" s="239" t="s">
        <v>983</v>
      </c>
      <c r="B435" s="239"/>
      <c r="C435" s="239"/>
      <c r="D435" s="239" t="s">
        <v>984</v>
      </c>
      <c r="E435" s="240">
        <v>1</v>
      </c>
      <c r="F435" s="239" t="s">
        <v>1628</v>
      </c>
      <c r="G435" s="241">
        <v>0</v>
      </c>
      <c r="H435" s="241">
        <v>70550718.799999997</v>
      </c>
      <c r="I435" s="241">
        <v>838912251.77999997</v>
      </c>
      <c r="J435" s="241">
        <v>768361532.98000002</v>
      </c>
    </row>
    <row r="436" spans="1:10">
      <c r="A436" s="239" t="s">
        <v>985</v>
      </c>
      <c r="B436" s="239"/>
      <c r="C436" s="239"/>
      <c r="D436" s="239" t="s">
        <v>986</v>
      </c>
      <c r="E436" s="240">
        <v>2</v>
      </c>
      <c r="F436" s="239" t="s">
        <v>1628</v>
      </c>
      <c r="G436" s="241">
        <v>0</v>
      </c>
      <c r="H436" s="241">
        <v>70104960</v>
      </c>
      <c r="I436" s="241">
        <v>826433848.84000003</v>
      </c>
      <c r="J436" s="241">
        <v>756328888.84000003</v>
      </c>
    </row>
    <row r="437" spans="1:10" ht="25.5">
      <c r="A437" s="239" t="s">
        <v>987</v>
      </c>
      <c r="B437" s="239"/>
      <c r="C437" s="239"/>
      <c r="D437" s="239" t="s">
        <v>988</v>
      </c>
      <c r="E437" s="240">
        <v>3</v>
      </c>
      <c r="F437" s="239" t="s">
        <v>1628</v>
      </c>
      <c r="G437" s="241">
        <v>0</v>
      </c>
      <c r="H437" s="241">
        <v>70104960</v>
      </c>
      <c r="I437" s="241">
        <v>826433848.84000003</v>
      </c>
      <c r="J437" s="241">
        <v>756328888.84000003</v>
      </c>
    </row>
    <row r="438" spans="1:10">
      <c r="A438" s="239" t="s">
        <v>1025</v>
      </c>
      <c r="B438" s="239"/>
      <c r="C438" s="239"/>
      <c r="D438" s="239" t="s">
        <v>1026</v>
      </c>
      <c r="E438" s="240">
        <v>4</v>
      </c>
      <c r="F438" s="239" t="s">
        <v>1628</v>
      </c>
      <c r="G438" s="241">
        <v>0</v>
      </c>
      <c r="H438" s="241">
        <v>70104960</v>
      </c>
      <c r="I438" s="241">
        <v>826433848.84000003</v>
      </c>
      <c r="J438" s="241">
        <v>756328888.84000003</v>
      </c>
    </row>
    <row r="439" spans="1:10">
      <c r="A439" s="239" t="s">
        <v>1707</v>
      </c>
      <c r="B439" s="239"/>
      <c r="C439" s="239"/>
      <c r="D439" s="239" t="s">
        <v>1708</v>
      </c>
      <c r="E439" s="240">
        <v>5</v>
      </c>
      <c r="F439" s="239" t="s">
        <v>1628</v>
      </c>
      <c r="G439" s="241">
        <v>0</v>
      </c>
      <c r="H439" s="241">
        <v>0</v>
      </c>
      <c r="I439" s="241">
        <v>756328888.84000003</v>
      </c>
      <c r="J439" s="241">
        <v>756328888.84000003</v>
      </c>
    </row>
    <row r="440" spans="1:10">
      <c r="A440" s="239" t="s">
        <v>1707</v>
      </c>
      <c r="B440" s="239" t="s">
        <v>1543</v>
      </c>
      <c r="C440" s="239" t="s">
        <v>1517</v>
      </c>
      <c r="D440" s="239" t="s">
        <v>1544</v>
      </c>
      <c r="E440" s="240">
        <v>5</v>
      </c>
      <c r="F440" s="239" t="s">
        <v>1628</v>
      </c>
      <c r="G440" s="241">
        <v>0</v>
      </c>
      <c r="H440" s="241">
        <v>0</v>
      </c>
      <c r="I440" s="241">
        <v>756328888.84000003</v>
      </c>
      <c r="J440" s="241">
        <v>756328888.84000003</v>
      </c>
    </row>
    <row r="441" spans="1:10">
      <c r="A441" s="239" t="s">
        <v>1709</v>
      </c>
      <c r="B441" s="239"/>
      <c r="C441" s="239"/>
      <c r="D441" s="239" t="s">
        <v>1710</v>
      </c>
      <c r="E441" s="240">
        <v>5</v>
      </c>
      <c r="F441" s="239" t="s">
        <v>1628</v>
      </c>
      <c r="G441" s="241">
        <v>0</v>
      </c>
      <c r="H441" s="241">
        <v>70104960</v>
      </c>
      <c r="I441" s="241">
        <v>70104960</v>
      </c>
      <c r="J441" s="241">
        <v>0</v>
      </c>
    </row>
    <row r="442" spans="1:10">
      <c r="A442" s="239" t="s">
        <v>1709</v>
      </c>
      <c r="B442" s="239" t="s">
        <v>1543</v>
      </c>
      <c r="C442" s="239" t="s">
        <v>1517</v>
      </c>
      <c r="D442" s="239" t="s">
        <v>1544</v>
      </c>
      <c r="E442" s="240">
        <v>5</v>
      </c>
      <c r="F442" s="239" t="s">
        <v>1628</v>
      </c>
      <c r="G442" s="241">
        <v>0</v>
      </c>
      <c r="H442" s="241">
        <v>70104960</v>
      </c>
      <c r="I442" s="241">
        <v>70104960</v>
      </c>
      <c r="J442" s="241">
        <v>0</v>
      </c>
    </row>
    <row r="443" spans="1:10">
      <c r="A443" s="239" t="s">
        <v>1033</v>
      </c>
      <c r="B443" s="239"/>
      <c r="C443" s="239"/>
      <c r="D443" s="239" t="s">
        <v>1034</v>
      </c>
      <c r="E443" s="240">
        <v>2</v>
      </c>
      <c r="F443" s="239" t="s">
        <v>1628</v>
      </c>
      <c r="G443" s="241">
        <v>0</v>
      </c>
      <c r="H443" s="241">
        <v>445758.8</v>
      </c>
      <c r="I443" s="241">
        <v>12478402.939999999</v>
      </c>
      <c r="J443" s="241">
        <v>12032644.140000001</v>
      </c>
    </row>
    <row r="444" spans="1:10">
      <c r="A444" s="239" t="s">
        <v>1035</v>
      </c>
      <c r="B444" s="239"/>
      <c r="C444" s="239"/>
      <c r="D444" s="239" t="s">
        <v>1036</v>
      </c>
      <c r="E444" s="240">
        <v>3</v>
      </c>
      <c r="F444" s="239" t="s">
        <v>1628</v>
      </c>
      <c r="G444" s="241">
        <v>0</v>
      </c>
      <c r="H444" s="241">
        <v>445758.8</v>
      </c>
      <c r="I444" s="241">
        <v>7478402.9400000004</v>
      </c>
      <c r="J444" s="241">
        <v>7032644.1399999997</v>
      </c>
    </row>
    <row r="445" spans="1:10">
      <c r="A445" s="239" t="s">
        <v>1037</v>
      </c>
      <c r="B445" s="239"/>
      <c r="C445" s="239"/>
      <c r="D445" s="239" t="s">
        <v>211</v>
      </c>
      <c r="E445" s="240">
        <v>4</v>
      </c>
      <c r="F445" s="239" t="s">
        <v>1628</v>
      </c>
      <c r="G445" s="241">
        <v>0</v>
      </c>
      <c r="H445" s="241">
        <v>0</v>
      </c>
      <c r="I445" s="241">
        <v>82688.31</v>
      </c>
      <c r="J445" s="241">
        <v>82688.31</v>
      </c>
    </row>
    <row r="446" spans="1:10">
      <c r="A446" s="239" t="s">
        <v>1038</v>
      </c>
      <c r="B446" s="239"/>
      <c r="C446" s="239"/>
      <c r="D446" s="239" t="s">
        <v>1039</v>
      </c>
      <c r="E446" s="240">
        <v>5</v>
      </c>
      <c r="F446" s="239" t="s">
        <v>1628</v>
      </c>
      <c r="G446" s="241">
        <v>0</v>
      </c>
      <c r="H446" s="241">
        <v>0</v>
      </c>
      <c r="I446" s="241">
        <v>82688.31</v>
      </c>
      <c r="J446" s="241">
        <v>82688.31</v>
      </c>
    </row>
    <row r="447" spans="1:10" ht="25.5">
      <c r="A447" s="239" t="s">
        <v>1038</v>
      </c>
      <c r="B447" s="239" t="s">
        <v>1579</v>
      </c>
      <c r="C447" s="239" t="s">
        <v>1517</v>
      </c>
      <c r="D447" s="239" t="s">
        <v>1580</v>
      </c>
      <c r="E447" s="240">
        <v>5</v>
      </c>
      <c r="F447" s="239" t="s">
        <v>1628</v>
      </c>
      <c r="G447" s="241">
        <v>0</v>
      </c>
      <c r="H447" s="241">
        <v>0</v>
      </c>
      <c r="I447" s="241">
        <v>82688.31</v>
      </c>
      <c r="J447" s="241">
        <v>82688.31</v>
      </c>
    </row>
    <row r="448" spans="1:10">
      <c r="A448" s="239" t="s">
        <v>1045</v>
      </c>
      <c r="B448" s="239"/>
      <c r="C448" s="239"/>
      <c r="D448" s="239" t="s">
        <v>1046</v>
      </c>
      <c r="E448" s="240">
        <v>4</v>
      </c>
      <c r="F448" s="239" t="s">
        <v>1628</v>
      </c>
      <c r="G448" s="241">
        <v>0</v>
      </c>
      <c r="H448" s="241">
        <v>445702.8</v>
      </c>
      <c r="I448" s="241">
        <v>7208951.1200000001</v>
      </c>
      <c r="J448" s="241">
        <v>6763248.3200000003</v>
      </c>
    </row>
    <row r="449" spans="1:10">
      <c r="A449" s="239" t="s">
        <v>1711</v>
      </c>
      <c r="B449" s="239"/>
      <c r="C449" s="239"/>
      <c r="D449" s="239" t="s">
        <v>1712</v>
      </c>
      <c r="E449" s="240">
        <v>5</v>
      </c>
      <c r="F449" s="239" t="s">
        <v>1628</v>
      </c>
      <c r="G449" s="241">
        <v>0</v>
      </c>
      <c r="H449" s="241">
        <v>445702.8</v>
      </c>
      <c r="I449" s="241">
        <v>7208951.1200000001</v>
      </c>
      <c r="J449" s="241">
        <v>6763248.3200000003</v>
      </c>
    </row>
    <row r="450" spans="1:10">
      <c r="A450" s="239" t="s">
        <v>1711</v>
      </c>
      <c r="B450" s="239" t="s">
        <v>1543</v>
      </c>
      <c r="C450" s="239" t="s">
        <v>1517</v>
      </c>
      <c r="D450" s="239" t="s">
        <v>1544</v>
      </c>
      <c r="E450" s="240">
        <v>5</v>
      </c>
      <c r="F450" s="239" t="s">
        <v>1628</v>
      </c>
      <c r="G450" s="241">
        <v>0</v>
      </c>
      <c r="H450" s="241">
        <v>445702.8</v>
      </c>
      <c r="I450" s="241">
        <v>7208951.1200000001</v>
      </c>
      <c r="J450" s="241">
        <v>6763248.3200000003</v>
      </c>
    </row>
    <row r="451" spans="1:10" ht="25.5">
      <c r="A451" s="239" t="s">
        <v>1053</v>
      </c>
      <c r="B451" s="239"/>
      <c r="C451" s="239"/>
      <c r="D451" s="239" t="s">
        <v>1054</v>
      </c>
      <c r="E451" s="240">
        <v>4</v>
      </c>
      <c r="F451" s="239" t="s">
        <v>1628</v>
      </c>
      <c r="G451" s="241">
        <v>0</v>
      </c>
      <c r="H451" s="241">
        <v>0</v>
      </c>
      <c r="I451" s="241">
        <v>1985</v>
      </c>
      <c r="J451" s="241">
        <v>1985</v>
      </c>
    </row>
    <row r="452" spans="1:10" ht="25.5">
      <c r="A452" s="239" t="s">
        <v>1053</v>
      </c>
      <c r="B452" s="239" t="s">
        <v>1605</v>
      </c>
      <c r="C452" s="239" t="s">
        <v>1517</v>
      </c>
      <c r="D452" s="239" t="s">
        <v>1606</v>
      </c>
      <c r="E452" s="240">
        <v>4</v>
      </c>
      <c r="F452" s="239" t="s">
        <v>1628</v>
      </c>
      <c r="G452" s="241">
        <v>0</v>
      </c>
      <c r="H452" s="241">
        <v>0</v>
      </c>
      <c r="I452" s="241">
        <v>1985</v>
      </c>
      <c r="J452" s="241">
        <v>1985</v>
      </c>
    </row>
    <row r="453" spans="1:10">
      <c r="A453" s="239" t="s">
        <v>1063</v>
      </c>
      <c r="B453" s="239"/>
      <c r="C453" s="239"/>
      <c r="D453" s="239" t="s">
        <v>150</v>
      </c>
      <c r="E453" s="240">
        <v>4</v>
      </c>
      <c r="F453" s="239" t="s">
        <v>1628</v>
      </c>
      <c r="G453" s="241">
        <v>0</v>
      </c>
      <c r="H453" s="241">
        <v>56</v>
      </c>
      <c r="I453" s="241">
        <v>184778.51</v>
      </c>
      <c r="J453" s="241">
        <v>184722.51</v>
      </c>
    </row>
    <row r="454" spans="1:10">
      <c r="A454" s="239" t="s">
        <v>1713</v>
      </c>
      <c r="B454" s="239"/>
      <c r="C454" s="239"/>
      <c r="D454" s="239" t="s">
        <v>1714</v>
      </c>
      <c r="E454" s="240">
        <v>5</v>
      </c>
      <c r="F454" s="239" t="s">
        <v>1628</v>
      </c>
      <c r="G454" s="241">
        <v>0</v>
      </c>
      <c r="H454" s="241">
        <v>56</v>
      </c>
      <c r="I454" s="241">
        <v>184778.51</v>
      </c>
      <c r="J454" s="241">
        <v>184722.51</v>
      </c>
    </row>
    <row r="455" spans="1:10" ht="25.5">
      <c r="A455" s="239" t="s">
        <v>1713</v>
      </c>
      <c r="B455" s="239" t="s">
        <v>1523</v>
      </c>
      <c r="C455" s="239" t="s">
        <v>1517</v>
      </c>
      <c r="D455" s="239" t="s">
        <v>1524</v>
      </c>
      <c r="E455" s="240">
        <v>5</v>
      </c>
      <c r="F455" s="239" t="s">
        <v>1628</v>
      </c>
      <c r="G455" s="241">
        <v>0</v>
      </c>
      <c r="H455" s="241">
        <v>18</v>
      </c>
      <c r="I455" s="241">
        <v>0</v>
      </c>
      <c r="J455" s="241">
        <v>-18</v>
      </c>
    </row>
    <row r="456" spans="1:10" ht="25.5">
      <c r="A456" s="239" t="s">
        <v>1713</v>
      </c>
      <c r="B456" s="239" t="s">
        <v>1555</v>
      </c>
      <c r="C456" s="239" t="s">
        <v>1517</v>
      </c>
      <c r="D456" s="239" t="s">
        <v>1556</v>
      </c>
      <c r="E456" s="240">
        <v>5</v>
      </c>
      <c r="F456" s="239" t="s">
        <v>1628</v>
      </c>
      <c r="G456" s="241">
        <v>0</v>
      </c>
      <c r="H456" s="241">
        <v>0</v>
      </c>
      <c r="I456" s="241">
        <v>0.51</v>
      </c>
      <c r="J456" s="241">
        <v>0.51</v>
      </c>
    </row>
    <row r="457" spans="1:10" ht="25.5">
      <c r="A457" s="239" t="s">
        <v>1713</v>
      </c>
      <c r="B457" s="239" t="s">
        <v>1557</v>
      </c>
      <c r="C457" s="239" t="s">
        <v>1517</v>
      </c>
      <c r="D457" s="239" t="s">
        <v>1558</v>
      </c>
      <c r="E457" s="240">
        <v>5</v>
      </c>
      <c r="F457" s="239" t="s">
        <v>1628</v>
      </c>
      <c r="G457" s="241">
        <v>0</v>
      </c>
      <c r="H457" s="241">
        <v>0</v>
      </c>
      <c r="I457" s="241">
        <v>179170</v>
      </c>
      <c r="J457" s="241">
        <v>179170</v>
      </c>
    </row>
    <row r="458" spans="1:10" ht="25.5">
      <c r="A458" s="239" t="s">
        <v>1713</v>
      </c>
      <c r="B458" s="239" t="s">
        <v>1563</v>
      </c>
      <c r="C458" s="239" t="s">
        <v>1517</v>
      </c>
      <c r="D458" s="239" t="s">
        <v>1564</v>
      </c>
      <c r="E458" s="240">
        <v>5</v>
      </c>
      <c r="F458" s="239" t="s">
        <v>1628</v>
      </c>
      <c r="G458" s="241">
        <v>0</v>
      </c>
      <c r="H458" s="241">
        <v>0</v>
      </c>
      <c r="I458" s="241">
        <v>5608</v>
      </c>
      <c r="J458" s="241">
        <v>5608</v>
      </c>
    </row>
    <row r="459" spans="1:10" ht="25.5">
      <c r="A459" s="239" t="s">
        <v>1713</v>
      </c>
      <c r="B459" s="239" t="s">
        <v>1516</v>
      </c>
      <c r="C459" s="239" t="s">
        <v>1517</v>
      </c>
      <c r="D459" s="239" t="s">
        <v>1518</v>
      </c>
      <c r="E459" s="240">
        <v>5</v>
      </c>
      <c r="F459" s="239" t="s">
        <v>1628</v>
      </c>
      <c r="G459" s="241">
        <v>0</v>
      </c>
      <c r="H459" s="241">
        <v>38</v>
      </c>
      <c r="I459" s="241">
        <v>0</v>
      </c>
      <c r="J459" s="241">
        <v>-38</v>
      </c>
    </row>
    <row r="460" spans="1:10">
      <c r="A460" s="239" t="s">
        <v>1715</v>
      </c>
      <c r="B460" s="239"/>
      <c r="C460" s="239"/>
      <c r="D460" s="239" t="s">
        <v>1716</v>
      </c>
      <c r="E460" s="240">
        <v>3</v>
      </c>
      <c r="F460" s="239" t="s">
        <v>1628</v>
      </c>
      <c r="G460" s="241">
        <v>0</v>
      </c>
      <c r="H460" s="241">
        <v>0</v>
      </c>
      <c r="I460" s="241">
        <v>5000000</v>
      </c>
      <c r="J460" s="241">
        <v>5000000</v>
      </c>
    </row>
    <row r="461" spans="1:10">
      <c r="A461" s="239" t="s">
        <v>1717</v>
      </c>
      <c r="B461" s="239"/>
      <c r="C461" s="239"/>
      <c r="D461" s="239" t="s">
        <v>1718</v>
      </c>
      <c r="E461" s="240">
        <v>4</v>
      </c>
      <c r="F461" s="239" t="s">
        <v>1628</v>
      </c>
      <c r="G461" s="241">
        <v>0</v>
      </c>
      <c r="H461" s="241">
        <v>0</v>
      </c>
      <c r="I461" s="241">
        <v>5000000</v>
      </c>
      <c r="J461" s="241">
        <v>5000000</v>
      </c>
    </row>
    <row r="462" spans="1:10" ht="25.5">
      <c r="A462" s="239" t="s">
        <v>1717</v>
      </c>
      <c r="B462" s="239" t="s">
        <v>1569</v>
      </c>
      <c r="C462" s="239" t="s">
        <v>1517</v>
      </c>
      <c r="D462" s="239" t="s">
        <v>1570</v>
      </c>
      <c r="E462" s="240">
        <v>4</v>
      </c>
      <c r="F462" s="239" t="s">
        <v>1628</v>
      </c>
      <c r="G462" s="241">
        <v>0</v>
      </c>
      <c r="H462" s="241">
        <v>0</v>
      </c>
      <c r="I462" s="241">
        <v>5000000</v>
      </c>
      <c r="J462" s="241">
        <v>5000000</v>
      </c>
    </row>
    <row r="463" spans="1:10">
      <c r="A463" s="239" t="s">
        <v>1067</v>
      </c>
      <c r="B463" s="239"/>
      <c r="C463" s="239"/>
      <c r="D463" s="239" t="s">
        <v>1068</v>
      </c>
      <c r="E463" s="240">
        <v>1</v>
      </c>
      <c r="F463" s="239" t="s">
        <v>1515</v>
      </c>
      <c r="G463" s="241">
        <v>0</v>
      </c>
      <c r="H463" s="241">
        <v>753421302.11000001</v>
      </c>
      <c r="I463" s="241">
        <v>34823169.210000001</v>
      </c>
      <c r="J463" s="241">
        <v>718598132.89999998</v>
      </c>
    </row>
    <row r="464" spans="1:10">
      <c r="A464" s="239" t="s">
        <v>1069</v>
      </c>
      <c r="B464" s="239"/>
      <c r="C464" s="239"/>
      <c r="D464" s="239" t="s">
        <v>1070</v>
      </c>
      <c r="E464" s="240">
        <v>2</v>
      </c>
      <c r="F464" s="239" t="s">
        <v>1515</v>
      </c>
      <c r="G464" s="241">
        <v>0</v>
      </c>
      <c r="H464" s="241">
        <v>654487371.48000002</v>
      </c>
      <c r="I464" s="241">
        <v>9700876.3599999994</v>
      </c>
      <c r="J464" s="241">
        <v>644786495.12</v>
      </c>
    </row>
    <row r="465" spans="1:10">
      <c r="A465" s="239" t="s">
        <v>1071</v>
      </c>
      <c r="B465" s="239"/>
      <c r="C465" s="239"/>
      <c r="D465" s="239" t="s">
        <v>1072</v>
      </c>
      <c r="E465" s="240">
        <v>3</v>
      </c>
      <c r="F465" s="239" t="s">
        <v>1515</v>
      </c>
      <c r="G465" s="241">
        <v>0</v>
      </c>
      <c r="H465" s="241">
        <v>165737403.86000001</v>
      </c>
      <c r="I465" s="241">
        <v>8907014</v>
      </c>
      <c r="J465" s="241">
        <v>156830389.86000001</v>
      </c>
    </row>
    <row r="466" spans="1:10">
      <c r="A466" s="239" t="s">
        <v>1075</v>
      </c>
      <c r="B466" s="239"/>
      <c r="C466" s="239"/>
      <c r="D466" s="239" t="s">
        <v>1076</v>
      </c>
      <c r="E466" s="240">
        <v>4</v>
      </c>
      <c r="F466" s="239" t="s">
        <v>1515</v>
      </c>
      <c r="G466" s="241">
        <v>0</v>
      </c>
      <c r="H466" s="241">
        <v>83127000</v>
      </c>
      <c r="I466" s="241">
        <v>8197634</v>
      </c>
      <c r="J466" s="241">
        <v>74929366</v>
      </c>
    </row>
    <row r="467" spans="1:10" ht="25.5">
      <c r="A467" s="239" t="s">
        <v>1075</v>
      </c>
      <c r="B467" s="239" t="s">
        <v>1521</v>
      </c>
      <c r="C467" s="239" t="s">
        <v>1517</v>
      </c>
      <c r="D467" s="239" t="s">
        <v>1522</v>
      </c>
      <c r="E467" s="240">
        <v>4</v>
      </c>
      <c r="F467" s="239" t="s">
        <v>1515</v>
      </c>
      <c r="G467" s="241">
        <v>0</v>
      </c>
      <c r="H467" s="241">
        <v>15312000</v>
      </c>
      <c r="I467" s="241">
        <v>146209</v>
      </c>
      <c r="J467" s="241">
        <v>15165791</v>
      </c>
    </row>
    <row r="468" spans="1:10" ht="25.5">
      <c r="A468" s="239" t="s">
        <v>1075</v>
      </c>
      <c r="B468" s="239" t="s">
        <v>1523</v>
      </c>
      <c r="C468" s="239" t="s">
        <v>1517</v>
      </c>
      <c r="D468" s="239" t="s">
        <v>1524</v>
      </c>
      <c r="E468" s="240">
        <v>4</v>
      </c>
      <c r="F468" s="239" t="s">
        <v>1515</v>
      </c>
      <c r="G468" s="241">
        <v>0</v>
      </c>
      <c r="H468" s="241">
        <v>18900000</v>
      </c>
      <c r="I468" s="241">
        <v>28125</v>
      </c>
      <c r="J468" s="241">
        <v>18871875</v>
      </c>
    </row>
    <row r="469" spans="1:10" ht="25.5">
      <c r="A469" s="239" t="s">
        <v>1075</v>
      </c>
      <c r="B469" s="239" t="s">
        <v>1525</v>
      </c>
      <c r="C469" s="239" t="s">
        <v>1517</v>
      </c>
      <c r="D469" s="239" t="s">
        <v>1526</v>
      </c>
      <c r="E469" s="240">
        <v>4</v>
      </c>
      <c r="F469" s="239" t="s">
        <v>1515</v>
      </c>
      <c r="G469" s="241">
        <v>0</v>
      </c>
      <c r="H469" s="241">
        <v>3600000</v>
      </c>
      <c r="I469" s="241">
        <v>0</v>
      </c>
      <c r="J469" s="241">
        <v>3600000</v>
      </c>
    </row>
    <row r="470" spans="1:10" ht="25.5">
      <c r="A470" s="239" t="s">
        <v>1075</v>
      </c>
      <c r="B470" s="239" t="s">
        <v>1527</v>
      </c>
      <c r="C470" s="239" t="s">
        <v>1517</v>
      </c>
      <c r="D470" s="239" t="s">
        <v>1528</v>
      </c>
      <c r="E470" s="240">
        <v>4</v>
      </c>
      <c r="F470" s="239" t="s">
        <v>1515</v>
      </c>
      <c r="G470" s="241">
        <v>0</v>
      </c>
      <c r="H470" s="241">
        <v>17500000</v>
      </c>
      <c r="I470" s="241">
        <v>50000</v>
      </c>
      <c r="J470" s="241">
        <v>17450000</v>
      </c>
    </row>
    <row r="471" spans="1:10" ht="25.5">
      <c r="A471" s="239" t="s">
        <v>1075</v>
      </c>
      <c r="B471" s="239" t="s">
        <v>1531</v>
      </c>
      <c r="C471" s="239" t="s">
        <v>1517</v>
      </c>
      <c r="D471" s="239" t="s">
        <v>1532</v>
      </c>
      <c r="E471" s="240">
        <v>4</v>
      </c>
      <c r="F471" s="239" t="s">
        <v>1515</v>
      </c>
      <c r="G471" s="241">
        <v>0</v>
      </c>
      <c r="H471" s="241">
        <v>4075000</v>
      </c>
      <c r="I471" s="241">
        <v>10000</v>
      </c>
      <c r="J471" s="241">
        <v>4065000</v>
      </c>
    </row>
    <row r="472" spans="1:10" ht="25.5">
      <c r="A472" s="239" t="s">
        <v>1075</v>
      </c>
      <c r="B472" s="239" t="s">
        <v>1533</v>
      </c>
      <c r="C472" s="239" t="s">
        <v>1517</v>
      </c>
      <c r="D472" s="239" t="s">
        <v>1534</v>
      </c>
      <c r="E472" s="240">
        <v>4</v>
      </c>
      <c r="F472" s="239" t="s">
        <v>1515</v>
      </c>
      <c r="G472" s="241">
        <v>0</v>
      </c>
      <c r="H472" s="241">
        <v>1240000</v>
      </c>
      <c r="I472" s="241">
        <v>80000</v>
      </c>
      <c r="J472" s="241">
        <v>1160000</v>
      </c>
    </row>
    <row r="473" spans="1:10" ht="25.5">
      <c r="A473" s="239" t="s">
        <v>1075</v>
      </c>
      <c r="B473" s="239" t="s">
        <v>1535</v>
      </c>
      <c r="C473" s="239" t="s">
        <v>1517</v>
      </c>
      <c r="D473" s="239" t="s">
        <v>1536</v>
      </c>
      <c r="E473" s="240">
        <v>4</v>
      </c>
      <c r="F473" s="239" t="s">
        <v>1515</v>
      </c>
      <c r="G473" s="241">
        <v>0</v>
      </c>
      <c r="H473" s="241">
        <v>4326666</v>
      </c>
      <c r="I473" s="241">
        <v>957917</v>
      </c>
      <c r="J473" s="241">
        <v>3368749</v>
      </c>
    </row>
    <row r="474" spans="1:10" ht="25.5">
      <c r="A474" s="239" t="s">
        <v>1075</v>
      </c>
      <c r="B474" s="239" t="s">
        <v>1537</v>
      </c>
      <c r="C474" s="239" t="s">
        <v>1517</v>
      </c>
      <c r="D474" s="239" t="s">
        <v>1538</v>
      </c>
      <c r="E474" s="240">
        <v>4</v>
      </c>
      <c r="F474" s="239" t="s">
        <v>1515</v>
      </c>
      <c r="G474" s="241">
        <v>0</v>
      </c>
      <c r="H474" s="241">
        <v>13920000</v>
      </c>
      <c r="I474" s="241">
        <v>0</v>
      </c>
      <c r="J474" s="241">
        <v>13920000</v>
      </c>
    </row>
    <row r="475" spans="1:10" ht="25.5">
      <c r="A475" s="239" t="s">
        <v>1075</v>
      </c>
      <c r="B475" s="239" t="s">
        <v>1559</v>
      </c>
      <c r="C475" s="239" t="s">
        <v>1517</v>
      </c>
      <c r="D475" s="239" t="s">
        <v>1560</v>
      </c>
      <c r="E475" s="240">
        <v>4</v>
      </c>
      <c r="F475" s="239" t="s">
        <v>1515</v>
      </c>
      <c r="G475" s="241">
        <v>0</v>
      </c>
      <c r="H475" s="241">
        <v>0</v>
      </c>
      <c r="I475" s="241">
        <v>6882666</v>
      </c>
      <c r="J475" s="241">
        <v>-6882666</v>
      </c>
    </row>
    <row r="476" spans="1:10" ht="25.5">
      <c r="A476" s="239" t="s">
        <v>1075</v>
      </c>
      <c r="B476" s="239" t="s">
        <v>1561</v>
      </c>
      <c r="C476" s="239" t="s">
        <v>1517</v>
      </c>
      <c r="D476" s="239" t="s">
        <v>1562</v>
      </c>
      <c r="E476" s="240">
        <v>4</v>
      </c>
      <c r="F476" s="239" t="s">
        <v>1515</v>
      </c>
      <c r="G476" s="241">
        <v>0</v>
      </c>
      <c r="H476" s="241">
        <v>4253334</v>
      </c>
      <c r="I476" s="241">
        <v>42717</v>
      </c>
      <c r="J476" s="241">
        <v>4210617</v>
      </c>
    </row>
    <row r="477" spans="1:10">
      <c r="A477" s="239" t="s">
        <v>1079</v>
      </c>
      <c r="B477" s="239"/>
      <c r="C477" s="239"/>
      <c r="D477" s="239" t="s">
        <v>1080</v>
      </c>
      <c r="E477" s="240">
        <v>4</v>
      </c>
      <c r="F477" s="239" t="s">
        <v>1515</v>
      </c>
      <c r="G477" s="241">
        <v>0</v>
      </c>
      <c r="H477" s="241">
        <v>5410427</v>
      </c>
      <c r="I477" s="241">
        <v>0</v>
      </c>
      <c r="J477" s="241">
        <v>5410427</v>
      </c>
    </row>
    <row r="478" spans="1:10" ht="25.5">
      <c r="A478" s="239" t="s">
        <v>1079</v>
      </c>
      <c r="B478" s="239" t="s">
        <v>1521</v>
      </c>
      <c r="C478" s="239" t="s">
        <v>1517</v>
      </c>
      <c r="D478" s="239" t="s">
        <v>1522</v>
      </c>
      <c r="E478" s="240">
        <v>4</v>
      </c>
      <c r="F478" s="239" t="s">
        <v>1515</v>
      </c>
      <c r="G478" s="241">
        <v>0</v>
      </c>
      <c r="H478" s="241">
        <v>21599</v>
      </c>
      <c r="I478" s="241">
        <v>0</v>
      </c>
      <c r="J478" s="241">
        <v>21599</v>
      </c>
    </row>
    <row r="479" spans="1:10" ht="25.5">
      <c r="A479" s="239" t="s">
        <v>1079</v>
      </c>
      <c r="B479" s="239" t="s">
        <v>1523</v>
      </c>
      <c r="C479" s="239" t="s">
        <v>1517</v>
      </c>
      <c r="D479" s="239" t="s">
        <v>1524</v>
      </c>
      <c r="E479" s="240">
        <v>4</v>
      </c>
      <c r="F479" s="239" t="s">
        <v>1515</v>
      </c>
      <c r="G479" s="241">
        <v>0</v>
      </c>
      <c r="H479" s="241">
        <v>4127890</v>
      </c>
      <c r="I479" s="241">
        <v>0</v>
      </c>
      <c r="J479" s="241">
        <v>4127890</v>
      </c>
    </row>
    <row r="480" spans="1:10" ht="25.5">
      <c r="A480" s="239" t="s">
        <v>1079</v>
      </c>
      <c r="B480" s="239" t="s">
        <v>1525</v>
      </c>
      <c r="C480" s="239" t="s">
        <v>1517</v>
      </c>
      <c r="D480" s="239" t="s">
        <v>1526</v>
      </c>
      <c r="E480" s="240">
        <v>4</v>
      </c>
      <c r="F480" s="239" t="s">
        <v>1515</v>
      </c>
      <c r="G480" s="241">
        <v>0</v>
      </c>
      <c r="H480" s="241">
        <v>556875</v>
      </c>
      <c r="I480" s="241">
        <v>0</v>
      </c>
      <c r="J480" s="241">
        <v>556875</v>
      </c>
    </row>
    <row r="481" spans="1:10" ht="25.5">
      <c r="A481" s="239" t="s">
        <v>1079</v>
      </c>
      <c r="B481" s="239" t="s">
        <v>1527</v>
      </c>
      <c r="C481" s="239" t="s">
        <v>1517</v>
      </c>
      <c r="D481" s="239" t="s">
        <v>1528</v>
      </c>
      <c r="E481" s="240">
        <v>4</v>
      </c>
      <c r="F481" s="239" t="s">
        <v>1515</v>
      </c>
      <c r="G481" s="241">
        <v>0</v>
      </c>
      <c r="H481" s="241">
        <v>135469</v>
      </c>
      <c r="I481" s="241">
        <v>0</v>
      </c>
      <c r="J481" s="241">
        <v>135469</v>
      </c>
    </row>
    <row r="482" spans="1:10" ht="25.5">
      <c r="A482" s="239" t="s">
        <v>1079</v>
      </c>
      <c r="B482" s="239" t="s">
        <v>1531</v>
      </c>
      <c r="C482" s="239" t="s">
        <v>1517</v>
      </c>
      <c r="D482" s="239" t="s">
        <v>1532</v>
      </c>
      <c r="E482" s="240">
        <v>4</v>
      </c>
      <c r="F482" s="239" t="s">
        <v>1515</v>
      </c>
      <c r="G482" s="241">
        <v>0</v>
      </c>
      <c r="H482" s="241">
        <v>376094</v>
      </c>
      <c r="I482" s="241">
        <v>0</v>
      </c>
      <c r="J482" s="241">
        <v>376094</v>
      </c>
    </row>
    <row r="483" spans="1:10" ht="25.5">
      <c r="A483" s="239" t="s">
        <v>1079</v>
      </c>
      <c r="B483" s="239" t="s">
        <v>1533</v>
      </c>
      <c r="C483" s="239" t="s">
        <v>1517</v>
      </c>
      <c r="D483" s="239" t="s">
        <v>1534</v>
      </c>
      <c r="E483" s="240">
        <v>4</v>
      </c>
      <c r="F483" s="239" t="s">
        <v>1515</v>
      </c>
      <c r="G483" s="241">
        <v>0</v>
      </c>
      <c r="H483" s="241">
        <v>192500</v>
      </c>
      <c r="I483" s="241">
        <v>0</v>
      </c>
      <c r="J483" s="241">
        <v>192500</v>
      </c>
    </row>
    <row r="484" spans="1:10">
      <c r="A484" s="239" t="s">
        <v>1086</v>
      </c>
      <c r="B484" s="239"/>
      <c r="C484" s="239"/>
      <c r="D484" s="239" t="s">
        <v>1087</v>
      </c>
      <c r="E484" s="240">
        <v>4</v>
      </c>
      <c r="F484" s="239" t="s">
        <v>1515</v>
      </c>
      <c r="G484" s="241">
        <v>0</v>
      </c>
      <c r="H484" s="241">
        <v>7754750</v>
      </c>
      <c r="I484" s="241">
        <v>0</v>
      </c>
      <c r="J484" s="241">
        <v>7754750</v>
      </c>
    </row>
    <row r="485" spans="1:10">
      <c r="A485" s="239" t="s">
        <v>1719</v>
      </c>
      <c r="B485" s="239"/>
      <c r="C485" s="239"/>
      <c r="D485" s="239" t="s">
        <v>1720</v>
      </c>
      <c r="E485" s="240">
        <v>5</v>
      </c>
      <c r="F485" s="239" t="s">
        <v>1515</v>
      </c>
      <c r="G485" s="241">
        <v>0</v>
      </c>
      <c r="H485" s="241">
        <v>7661250</v>
      </c>
      <c r="I485" s="241">
        <v>0</v>
      </c>
      <c r="J485" s="241">
        <v>7661250</v>
      </c>
    </row>
    <row r="486" spans="1:10" ht="25.5">
      <c r="A486" s="239" t="s">
        <v>1719</v>
      </c>
      <c r="B486" s="239" t="s">
        <v>1531</v>
      </c>
      <c r="C486" s="239" t="s">
        <v>1517</v>
      </c>
      <c r="D486" s="239" t="s">
        <v>1532</v>
      </c>
      <c r="E486" s="240">
        <v>5</v>
      </c>
      <c r="F486" s="239" t="s">
        <v>1515</v>
      </c>
      <c r="G486" s="241">
        <v>0</v>
      </c>
      <c r="H486" s="241">
        <v>7661250</v>
      </c>
      <c r="I486" s="241">
        <v>0</v>
      </c>
      <c r="J486" s="241">
        <v>7661250</v>
      </c>
    </row>
    <row r="487" spans="1:10">
      <c r="A487" s="239" t="s">
        <v>1721</v>
      </c>
      <c r="B487" s="239"/>
      <c r="C487" s="239"/>
      <c r="D487" s="239" t="s">
        <v>1722</v>
      </c>
      <c r="E487" s="240">
        <v>5</v>
      </c>
      <c r="F487" s="239" t="s">
        <v>1515</v>
      </c>
      <c r="G487" s="241">
        <v>0</v>
      </c>
      <c r="H487" s="241">
        <v>93500</v>
      </c>
      <c r="I487" s="241">
        <v>0</v>
      </c>
      <c r="J487" s="241">
        <v>93500</v>
      </c>
    </row>
    <row r="488" spans="1:10" ht="25.5">
      <c r="A488" s="239" t="s">
        <v>1721</v>
      </c>
      <c r="B488" s="239" t="s">
        <v>1531</v>
      </c>
      <c r="C488" s="239" t="s">
        <v>1517</v>
      </c>
      <c r="D488" s="239" t="s">
        <v>1532</v>
      </c>
      <c r="E488" s="240">
        <v>5</v>
      </c>
      <c r="F488" s="239" t="s">
        <v>1515</v>
      </c>
      <c r="G488" s="241">
        <v>0</v>
      </c>
      <c r="H488" s="241">
        <v>93500</v>
      </c>
      <c r="I488" s="241">
        <v>0</v>
      </c>
      <c r="J488" s="241">
        <v>93500</v>
      </c>
    </row>
    <row r="489" spans="1:10">
      <c r="A489" s="239" t="s">
        <v>1088</v>
      </c>
      <c r="B489" s="239"/>
      <c r="C489" s="239"/>
      <c r="D489" s="239" t="s">
        <v>1089</v>
      </c>
      <c r="E489" s="240">
        <v>4</v>
      </c>
      <c r="F489" s="239" t="s">
        <v>1515</v>
      </c>
      <c r="G489" s="241">
        <v>0</v>
      </c>
      <c r="H489" s="241">
        <v>8253572</v>
      </c>
      <c r="I489" s="241">
        <v>9374</v>
      </c>
      <c r="J489" s="241">
        <v>8244198</v>
      </c>
    </row>
    <row r="490" spans="1:10" ht="25.5">
      <c r="A490" s="239" t="s">
        <v>1088</v>
      </c>
      <c r="B490" s="239" t="s">
        <v>1521</v>
      </c>
      <c r="C490" s="239" t="s">
        <v>1517</v>
      </c>
      <c r="D490" s="239" t="s">
        <v>1522</v>
      </c>
      <c r="E490" s="240">
        <v>4</v>
      </c>
      <c r="F490" s="239" t="s">
        <v>1515</v>
      </c>
      <c r="G490" s="241">
        <v>0</v>
      </c>
      <c r="H490" s="241">
        <v>1687272</v>
      </c>
      <c r="I490" s="241">
        <v>0</v>
      </c>
      <c r="J490" s="241">
        <v>1687272</v>
      </c>
    </row>
    <row r="491" spans="1:10" ht="25.5">
      <c r="A491" s="239" t="s">
        <v>1088</v>
      </c>
      <c r="B491" s="239" t="s">
        <v>1523</v>
      </c>
      <c r="C491" s="239" t="s">
        <v>1517</v>
      </c>
      <c r="D491" s="239" t="s">
        <v>1524</v>
      </c>
      <c r="E491" s="240">
        <v>4</v>
      </c>
      <c r="F491" s="239" t="s">
        <v>1515</v>
      </c>
      <c r="G491" s="241">
        <v>0</v>
      </c>
      <c r="H491" s="241">
        <v>1663838</v>
      </c>
      <c r="I491" s="241">
        <v>0</v>
      </c>
      <c r="J491" s="241">
        <v>1663838</v>
      </c>
    </row>
    <row r="492" spans="1:10" ht="25.5">
      <c r="A492" s="239" t="s">
        <v>1088</v>
      </c>
      <c r="B492" s="239" t="s">
        <v>1525</v>
      </c>
      <c r="C492" s="239" t="s">
        <v>1517</v>
      </c>
      <c r="D492" s="239" t="s">
        <v>1526</v>
      </c>
      <c r="E492" s="240">
        <v>4</v>
      </c>
      <c r="F492" s="239" t="s">
        <v>1515</v>
      </c>
      <c r="G492" s="241">
        <v>0</v>
      </c>
      <c r="H492" s="241">
        <v>421818</v>
      </c>
      <c r="I492" s="241">
        <v>0</v>
      </c>
      <c r="J492" s="241">
        <v>421818</v>
      </c>
    </row>
    <row r="493" spans="1:10" ht="25.5">
      <c r="A493" s="239" t="s">
        <v>1088</v>
      </c>
      <c r="B493" s="239" t="s">
        <v>1527</v>
      </c>
      <c r="C493" s="239" t="s">
        <v>1517</v>
      </c>
      <c r="D493" s="239" t="s">
        <v>1528</v>
      </c>
      <c r="E493" s="240">
        <v>4</v>
      </c>
      <c r="F493" s="239" t="s">
        <v>1515</v>
      </c>
      <c r="G493" s="241">
        <v>0</v>
      </c>
      <c r="H493" s="241">
        <v>1640404</v>
      </c>
      <c r="I493" s="241">
        <v>0</v>
      </c>
      <c r="J493" s="241">
        <v>1640404</v>
      </c>
    </row>
    <row r="494" spans="1:10" ht="25.5">
      <c r="A494" s="239" t="s">
        <v>1088</v>
      </c>
      <c r="B494" s="239" t="s">
        <v>1531</v>
      </c>
      <c r="C494" s="239" t="s">
        <v>1517</v>
      </c>
      <c r="D494" s="239" t="s">
        <v>1532</v>
      </c>
      <c r="E494" s="240">
        <v>4</v>
      </c>
      <c r="F494" s="239" t="s">
        <v>1515</v>
      </c>
      <c r="G494" s="241">
        <v>0</v>
      </c>
      <c r="H494" s="241">
        <v>468686</v>
      </c>
      <c r="I494" s="241">
        <v>0</v>
      </c>
      <c r="J494" s="241">
        <v>468686</v>
      </c>
    </row>
    <row r="495" spans="1:10" ht="25.5">
      <c r="A495" s="239" t="s">
        <v>1088</v>
      </c>
      <c r="B495" s="239" t="s">
        <v>1533</v>
      </c>
      <c r="C495" s="239" t="s">
        <v>1517</v>
      </c>
      <c r="D495" s="239" t="s">
        <v>1534</v>
      </c>
      <c r="E495" s="240">
        <v>4</v>
      </c>
      <c r="F495" s="239" t="s">
        <v>1515</v>
      </c>
      <c r="G495" s="241">
        <v>0</v>
      </c>
      <c r="H495" s="241">
        <v>145293</v>
      </c>
      <c r="I495" s="241">
        <v>9374</v>
      </c>
      <c r="J495" s="241">
        <v>135919</v>
      </c>
    </row>
    <row r="496" spans="1:10" ht="25.5">
      <c r="A496" s="239" t="s">
        <v>1088</v>
      </c>
      <c r="B496" s="239" t="s">
        <v>1535</v>
      </c>
      <c r="C496" s="239" t="s">
        <v>1517</v>
      </c>
      <c r="D496" s="239" t="s">
        <v>1536</v>
      </c>
      <c r="E496" s="240">
        <v>4</v>
      </c>
      <c r="F496" s="239" t="s">
        <v>1515</v>
      </c>
      <c r="G496" s="241">
        <v>0</v>
      </c>
      <c r="H496" s="241">
        <v>276525</v>
      </c>
      <c r="I496" s="241">
        <v>0</v>
      </c>
      <c r="J496" s="241">
        <v>276525</v>
      </c>
    </row>
    <row r="497" spans="1:10" ht="25.5">
      <c r="A497" s="239" t="s">
        <v>1088</v>
      </c>
      <c r="B497" s="239" t="s">
        <v>1537</v>
      </c>
      <c r="C497" s="239" t="s">
        <v>1517</v>
      </c>
      <c r="D497" s="239" t="s">
        <v>1538</v>
      </c>
      <c r="E497" s="240">
        <v>4</v>
      </c>
      <c r="F497" s="239" t="s">
        <v>1515</v>
      </c>
      <c r="G497" s="241">
        <v>0</v>
      </c>
      <c r="H497" s="241">
        <v>1687272</v>
      </c>
      <c r="I497" s="241">
        <v>0</v>
      </c>
      <c r="J497" s="241">
        <v>1687272</v>
      </c>
    </row>
    <row r="498" spans="1:10" ht="25.5">
      <c r="A498" s="239" t="s">
        <v>1088</v>
      </c>
      <c r="B498" s="239" t="s">
        <v>1561</v>
      </c>
      <c r="C498" s="239" t="s">
        <v>1517</v>
      </c>
      <c r="D498" s="239" t="s">
        <v>1562</v>
      </c>
      <c r="E498" s="240">
        <v>4</v>
      </c>
      <c r="F498" s="239" t="s">
        <v>1515</v>
      </c>
      <c r="G498" s="241">
        <v>0</v>
      </c>
      <c r="H498" s="241">
        <v>262464</v>
      </c>
      <c r="I498" s="241">
        <v>0</v>
      </c>
      <c r="J498" s="241">
        <v>262464</v>
      </c>
    </row>
    <row r="499" spans="1:10">
      <c r="A499" s="239" t="s">
        <v>1090</v>
      </c>
      <c r="B499" s="239"/>
      <c r="C499" s="239"/>
      <c r="D499" s="239" t="s">
        <v>813</v>
      </c>
      <c r="E499" s="240">
        <v>4</v>
      </c>
      <c r="F499" s="239" t="s">
        <v>1515</v>
      </c>
      <c r="G499" s="241">
        <v>0</v>
      </c>
      <c r="H499" s="241">
        <v>9202250</v>
      </c>
      <c r="I499" s="241">
        <v>21267</v>
      </c>
      <c r="J499" s="241">
        <v>9180983</v>
      </c>
    </row>
    <row r="500" spans="1:10" ht="25.5">
      <c r="A500" s="239" t="s">
        <v>1090</v>
      </c>
      <c r="B500" s="239" t="s">
        <v>1521</v>
      </c>
      <c r="C500" s="239" t="s">
        <v>1517</v>
      </c>
      <c r="D500" s="239" t="s">
        <v>1522</v>
      </c>
      <c r="E500" s="240">
        <v>4</v>
      </c>
      <c r="F500" s="239" t="s">
        <v>1515</v>
      </c>
      <c r="G500" s="241">
        <v>0</v>
      </c>
      <c r="H500" s="241">
        <v>1418073</v>
      </c>
      <c r="I500" s="241">
        <v>21267</v>
      </c>
      <c r="J500" s="241">
        <v>1396806</v>
      </c>
    </row>
    <row r="501" spans="1:10" ht="25.5">
      <c r="A501" s="239" t="s">
        <v>1090</v>
      </c>
      <c r="B501" s="239" t="s">
        <v>1523</v>
      </c>
      <c r="C501" s="239" t="s">
        <v>1517</v>
      </c>
      <c r="D501" s="239" t="s">
        <v>1524</v>
      </c>
      <c r="E501" s="240">
        <v>4</v>
      </c>
      <c r="F501" s="239" t="s">
        <v>1515</v>
      </c>
      <c r="G501" s="241">
        <v>0</v>
      </c>
      <c r="H501" s="241">
        <v>2084510</v>
      </c>
      <c r="I501" s="241">
        <v>0</v>
      </c>
      <c r="J501" s="241">
        <v>2084510</v>
      </c>
    </row>
    <row r="502" spans="1:10" ht="25.5">
      <c r="A502" s="239" t="s">
        <v>1090</v>
      </c>
      <c r="B502" s="239" t="s">
        <v>1525</v>
      </c>
      <c r="C502" s="239" t="s">
        <v>1517</v>
      </c>
      <c r="D502" s="239" t="s">
        <v>1526</v>
      </c>
      <c r="E502" s="240">
        <v>4</v>
      </c>
      <c r="F502" s="239" t="s">
        <v>1515</v>
      </c>
      <c r="G502" s="241">
        <v>0</v>
      </c>
      <c r="H502" s="241">
        <v>381405</v>
      </c>
      <c r="I502" s="241">
        <v>0</v>
      </c>
      <c r="J502" s="241">
        <v>381405</v>
      </c>
    </row>
    <row r="503" spans="1:10" ht="25.5">
      <c r="A503" s="239" t="s">
        <v>1090</v>
      </c>
      <c r="B503" s="239" t="s">
        <v>1527</v>
      </c>
      <c r="C503" s="239" t="s">
        <v>1517</v>
      </c>
      <c r="D503" s="239" t="s">
        <v>1528</v>
      </c>
      <c r="E503" s="240">
        <v>4</v>
      </c>
      <c r="F503" s="239" t="s">
        <v>1515</v>
      </c>
      <c r="G503" s="241">
        <v>0</v>
      </c>
      <c r="H503" s="241">
        <v>1655563</v>
      </c>
      <c r="I503" s="241">
        <v>0</v>
      </c>
      <c r="J503" s="241">
        <v>1655563</v>
      </c>
    </row>
    <row r="504" spans="1:10" ht="25.5">
      <c r="A504" s="239" t="s">
        <v>1090</v>
      </c>
      <c r="B504" s="239" t="s">
        <v>1531</v>
      </c>
      <c r="C504" s="239" t="s">
        <v>1517</v>
      </c>
      <c r="D504" s="239" t="s">
        <v>1532</v>
      </c>
      <c r="E504" s="240">
        <v>4</v>
      </c>
      <c r="F504" s="239" t="s">
        <v>1515</v>
      </c>
      <c r="G504" s="241">
        <v>0</v>
      </c>
      <c r="H504" s="241">
        <v>1045326</v>
      </c>
      <c r="I504" s="241">
        <v>0</v>
      </c>
      <c r="J504" s="241">
        <v>1045326</v>
      </c>
    </row>
    <row r="505" spans="1:10" ht="25.5">
      <c r="A505" s="239" t="s">
        <v>1090</v>
      </c>
      <c r="B505" s="239" t="s">
        <v>1533</v>
      </c>
      <c r="C505" s="239" t="s">
        <v>1517</v>
      </c>
      <c r="D505" s="239" t="s">
        <v>1534</v>
      </c>
      <c r="E505" s="240">
        <v>4</v>
      </c>
      <c r="F505" s="239" t="s">
        <v>1515</v>
      </c>
      <c r="G505" s="241">
        <v>0</v>
      </c>
      <c r="H505" s="241">
        <v>131483</v>
      </c>
      <c r="I505" s="241">
        <v>0</v>
      </c>
      <c r="J505" s="241">
        <v>131483</v>
      </c>
    </row>
    <row r="506" spans="1:10" ht="25.5">
      <c r="A506" s="239" t="s">
        <v>1090</v>
      </c>
      <c r="B506" s="239" t="s">
        <v>1535</v>
      </c>
      <c r="C506" s="239" t="s">
        <v>1517</v>
      </c>
      <c r="D506" s="239" t="s">
        <v>1536</v>
      </c>
      <c r="E506" s="240">
        <v>4</v>
      </c>
      <c r="F506" s="239" t="s">
        <v>1515</v>
      </c>
      <c r="G506" s="241">
        <v>0</v>
      </c>
      <c r="H506" s="241">
        <v>383599</v>
      </c>
      <c r="I506" s="241">
        <v>0</v>
      </c>
      <c r="J506" s="241">
        <v>383599</v>
      </c>
    </row>
    <row r="507" spans="1:10" ht="25.5">
      <c r="A507" s="239" t="s">
        <v>1090</v>
      </c>
      <c r="B507" s="239" t="s">
        <v>1537</v>
      </c>
      <c r="C507" s="239" t="s">
        <v>1517</v>
      </c>
      <c r="D507" s="239" t="s">
        <v>1538</v>
      </c>
      <c r="E507" s="240">
        <v>4</v>
      </c>
      <c r="F507" s="239" t="s">
        <v>1515</v>
      </c>
      <c r="G507" s="241">
        <v>0</v>
      </c>
      <c r="H507" s="241">
        <v>1300300</v>
      </c>
      <c r="I507" s="241">
        <v>0</v>
      </c>
      <c r="J507" s="241">
        <v>1300300</v>
      </c>
    </row>
    <row r="508" spans="1:10" ht="25.5">
      <c r="A508" s="239" t="s">
        <v>1090</v>
      </c>
      <c r="B508" s="239" t="s">
        <v>1561</v>
      </c>
      <c r="C508" s="239" t="s">
        <v>1517</v>
      </c>
      <c r="D508" s="239" t="s">
        <v>1562</v>
      </c>
      <c r="E508" s="240">
        <v>4</v>
      </c>
      <c r="F508" s="239" t="s">
        <v>1515</v>
      </c>
      <c r="G508" s="241">
        <v>0</v>
      </c>
      <c r="H508" s="241">
        <v>285216</v>
      </c>
      <c r="I508" s="241">
        <v>0</v>
      </c>
      <c r="J508" s="241">
        <v>285216</v>
      </c>
    </row>
    <row r="509" spans="1:10" ht="25.5">
      <c r="A509" s="239" t="s">
        <v>1090</v>
      </c>
      <c r="B509" s="239" t="s">
        <v>1516</v>
      </c>
      <c r="C509" s="239" t="s">
        <v>1517</v>
      </c>
      <c r="D509" s="239" t="s">
        <v>1518</v>
      </c>
      <c r="E509" s="240">
        <v>4</v>
      </c>
      <c r="F509" s="239" t="s">
        <v>1515</v>
      </c>
      <c r="G509" s="241">
        <v>0</v>
      </c>
      <c r="H509" s="241">
        <v>516775</v>
      </c>
      <c r="I509" s="241">
        <v>0</v>
      </c>
      <c r="J509" s="241">
        <v>516775</v>
      </c>
    </row>
    <row r="510" spans="1:10">
      <c r="A510" s="239" t="s">
        <v>1091</v>
      </c>
      <c r="B510" s="239"/>
      <c r="C510" s="239"/>
      <c r="D510" s="239" t="s">
        <v>779</v>
      </c>
      <c r="E510" s="240">
        <v>4</v>
      </c>
      <c r="F510" s="239" t="s">
        <v>1515</v>
      </c>
      <c r="G510" s="241">
        <v>0</v>
      </c>
      <c r="H510" s="241">
        <v>952042</v>
      </c>
      <c r="I510" s="241">
        <v>504438</v>
      </c>
      <c r="J510" s="241">
        <v>447604</v>
      </c>
    </row>
    <row r="511" spans="1:10" ht="25.5">
      <c r="A511" s="239" t="s">
        <v>1091</v>
      </c>
      <c r="B511" s="239" t="s">
        <v>1521</v>
      </c>
      <c r="C511" s="239" t="s">
        <v>1517</v>
      </c>
      <c r="D511" s="239" t="s">
        <v>1522</v>
      </c>
      <c r="E511" s="240">
        <v>4</v>
      </c>
      <c r="F511" s="239" t="s">
        <v>1515</v>
      </c>
      <c r="G511" s="241">
        <v>0</v>
      </c>
      <c r="H511" s="241">
        <v>156568</v>
      </c>
      <c r="I511" s="241">
        <v>0</v>
      </c>
      <c r="J511" s="241">
        <v>156568</v>
      </c>
    </row>
    <row r="512" spans="1:10" ht="25.5">
      <c r="A512" s="239" t="s">
        <v>1091</v>
      </c>
      <c r="B512" s="239" t="s">
        <v>1523</v>
      </c>
      <c r="C512" s="239" t="s">
        <v>1517</v>
      </c>
      <c r="D512" s="239" t="s">
        <v>1524</v>
      </c>
      <c r="E512" s="240">
        <v>4</v>
      </c>
      <c r="F512" s="239" t="s">
        <v>1515</v>
      </c>
      <c r="G512" s="241">
        <v>0</v>
      </c>
      <c r="H512" s="241">
        <v>216677</v>
      </c>
      <c r="I512" s="241">
        <v>0</v>
      </c>
      <c r="J512" s="241">
        <v>216677</v>
      </c>
    </row>
    <row r="513" spans="1:10" ht="25.5">
      <c r="A513" s="239" t="s">
        <v>1091</v>
      </c>
      <c r="B513" s="239" t="s">
        <v>1525</v>
      </c>
      <c r="C513" s="239" t="s">
        <v>1517</v>
      </c>
      <c r="D513" s="239" t="s">
        <v>1526</v>
      </c>
      <c r="E513" s="240">
        <v>4</v>
      </c>
      <c r="F513" s="239" t="s">
        <v>1515</v>
      </c>
      <c r="G513" s="241">
        <v>0</v>
      </c>
      <c r="H513" s="241">
        <v>45787</v>
      </c>
      <c r="I513" s="241">
        <v>0</v>
      </c>
      <c r="J513" s="241">
        <v>45787</v>
      </c>
    </row>
    <row r="514" spans="1:10" ht="25.5">
      <c r="A514" s="239" t="s">
        <v>1091</v>
      </c>
      <c r="B514" s="239" t="s">
        <v>1527</v>
      </c>
      <c r="C514" s="239" t="s">
        <v>1517</v>
      </c>
      <c r="D514" s="239" t="s">
        <v>1528</v>
      </c>
      <c r="E514" s="240">
        <v>4</v>
      </c>
      <c r="F514" s="239" t="s">
        <v>1515</v>
      </c>
      <c r="G514" s="241">
        <v>0</v>
      </c>
      <c r="H514" s="241">
        <v>194897</v>
      </c>
      <c r="I514" s="241">
        <v>0</v>
      </c>
      <c r="J514" s="241">
        <v>194897</v>
      </c>
    </row>
    <row r="515" spans="1:10" ht="25.5">
      <c r="A515" s="239" t="s">
        <v>1091</v>
      </c>
      <c r="B515" s="239" t="s">
        <v>1531</v>
      </c>
      <c r="C515" s="239" t="s">
        <v>1517</v>
      </c>
      <c r="D515" s="239" t="s">
        <v>1532</v>
      </c>
      <c r="E515" s="240">
        <v>4</v>
      </c>
      <c r="F515" s="239" t="s">
        <v>1515</v>
      </c>
      <c r="G515" s="241">
        <v>0</v>
      </c>
      <c r="H515" s="241">
        <v>116812</v>
      </c>
      <c r="I515" s="241">
        <v>0</v>
      </c>
      <c r="J515" s="241">
        <v>116812</v>
      </c>
    </row>
    <row r="516" spans="1:10" ht="25.5">
      <c r="A516" s="239" t="s">
        <v>1091</v>
      </c>
      <c r="B516" s="239" t="s">
        <v>1533</v>
      </c>
      <c r="C516" s="239" t="s">
        <v>1517</v>
      </c>
      <c r="D516" s="239" t="s">
        <v>1534</v>
      </c>
      <c r="E516" s="240">
        <v>4</v>
      </c>
      <c r="F516" s="239" t="s">
        <v>1515</v>
      </c>
      <c r="G516" s="241">
        <v>0</v>
      </c>
      <c r="H516" s="241">
        <v>15778</v>
      </c>
      <c r="I516" s="241">
        <v>0</v>
      </c>
      <c r="J516" s="241">
        <v>15778</v>
      </c>
    </row>
    <row r="517" spans="1:10" ht="25.5">
      <c r="A517" s="239" t="s">
        <v>1091</v>
      </c>
      <c r="B517" s="239" t="s">
        <v>1535</v>
      </c>
      <c r="C517" s="239" t="s">
        <v>1517</v>
      </c>
      <c r="D517" s="239" t="s">
        <v>1536</v>
      </c>
      <c r="E517" s="240">
        <v>4</v>
      </c>
      <c r="F517" s="239" t="s">
        <v>1515</v>
      </c>
      <c r="G517" s="241">
        <v>0</v>
      </c>
      <c r="H517" s="241">
        <v>7544</v>
      </c>
      <c r="I517" s="241">
        <v>0</v>
      </c>
      <c r="J517" s="241">
        <v>7544</v>
      </c>
    </row>
    <row r="518" spans="1:10" ht="25.5">
      <c r="A518" s="239" t="s">
        <v>1091</v>
      </c>
      <c r="B518" s="239" t="s">
        <v>1537</v>
      </c>
      <c r="C518" s="239" t="s">
        <v>1517</v>
      </c>
      <c r="D518" s="239" t="s">
        <v>1538</v>
      </c>
      <c r="E518" s="240">
        <v>4</v>
      </c>
      <c r="F518" s="239" t="s">
        <v>1515</v>
      </c>
      <c r="G518" s="241">
        <v>0</v>
      </c>
      <c r="H518" s="241">
        <v>152821</v>
      </c>
      <c r="I518" s="241">
        <v>0</v>
      </c>
      <c r="J518" s="241">
        <v>152821</v>
      </c>
    </row>
    <row r="519" spans="1:10" ht="25.5">
      <c r="A519" s="239" t="s">
        <v>1091</v>
      </c>
      <c r="B519" s="239" t="s">
        <v>1561</v>
      </c>
      <c r="C519" s="239" t="s">
        <v>1517</v>
      </c>
      <c r="D519" s="239" t="s">
        <v>1562</v>
      </c>
      <c r="E519" s="240">
        <v>4</v>
      </c>
      <c r="F519" s="239" t="s">
        <v>1515</v>
      </c>
      <c r="G519" s="241">
        <v>0</v>
      </c>
      <c r="H519" s="241">
        <v>34235</v>
      </c>
      <c r="I519" s="241">
        <v>0</v>
      </c>
      <c r="J519" s="241">
        <v>34235</v>
      </c>
    </row>
    <row r="520" spans="1:10" ht="25.5">
      <c r="A520" s="239" t="s">
        <v>1091</v>
      </c>
      <c r="B520" s="239" t="s">
        <v>1516</v>
      </c>
      <c r="C520" s="239" t="s">
        <v>1517</v>
      </c>
      <c r="D520" s="239" t="s">
        <v>1518</v>
      </c>
      <c r="E520" s="240">
        <v>4</v>
      </c>
      <c r="F520" s="239" t="s">
        <v>1515</v>
      </c>
      <c r="G520" s="241">
        <v>0</v>
      </c>
      <c r="H520" s="241">
        <v>10923</v>
      </c>
      <c r="I520" s="241">
        <v>504438</v>
      </c>
      <c r="J520" s="241">
        <v>-493515</v>
      </c>
    </row>
    <row r="521" spans="1:10">
      <c r="A521" s="239" t="s">
        <v>1092</v>
      </c>
      <c r="B521" s="239"/>
      <c r="C521" s="239"/>
      <c r="D521" s="239" t="s">
        <v>783</v>
      </c>
      <c r="E521" s="240">
        <v>4</v>
      </c>
      <c r="F521" s="239" t="s">
        <v>1515</v>
      </c>
      <c r="G521" s="241">
        <v>0</v>
      </c>
      <c r="H521" s="241">
        <v>9639167</v>
      </c>
      <c r="I521" s="241">
        <v>0</v>
      </c>
      <c r="J521" s="241">
        <v>9639167</v>
      </c>
    </row>
    <row r="522" spans="1:10" ht="25.5">
      <c r="A522" s="239" t="s">
        <v>1092</v>
      </c>
      <c r="B522" s="239" t="s">
        <v>1521</v>
      </c>
      <c r="C522" s="239" t="s">
        <v>1517</v>
      </c>
      <c r="D522" s="239" t="s">
        <v>1522</v>
      </c>
      <c r="E522" s="240">
        <v>4</v>
      </c>
      <c r="F522" s="239" t="s">
        <v>1515</v>
      </c>
      <c r="G522" s="241">
        <v>0</v>
      </c>
      <c r="H522" s="241">
        <v>1418073</v>
      </c>
      <c r="I522" s="241">
        <v>0</v>
      </c>
      <c r="J522" s="241">
        <v>1418073</v>
      </c>
    </row>
    <row r="523" spans="1:10" ht="25.5">
      <c r="A523" s="239" t="s">
        <v>1092</v>
      </c>
      <c r="B523" s="239" t="s">
        <v>1523</v>
      </c>
      <c r="C523" s="239" t="s">
        <v>1517</v>
      </c>
      <c r="D523" s="239" t="s">
        <v>1524</v>
      </c>
      <c r="E523" s="240">
        <v>4</v>
      </c>
      <c r="F523" s="239" t="s">
        <v>1515</v>
      </c>
      <c r="G523" s="241">
        <v>0</v>
      </c>
      <c r="H523" s="241">
        <v>2084510</v>
      </c>
      <c r="I523" s="241">
        <v>0</v>
      </c>
      <c r="J523" s="241">
        <v>2084510</v>
      </c>
    </row>
    <row r="524" spans="1:10" ht="25.5">
      <c r="A524" s="239" t="s">
        <v>1092</v>
      </c>
      <c r="B524" s="239" t="s">
        <v>1525</v>
      </c>
      <c r="C524" s="239" t="s">
        <v>1517</v>
      </c>
      <c r="D524" s="239" t="s">
        <v>1526</v>
      </c>
      <c r="E524" s="240">
        <v>4</v>
      </c>
      <c r="F524" s="239" t="s">
        <v>1515</v>
      </c>
      <c r="G524" s="241">
        <v>0</v>
      </c>
      <c r="H524" s="241">
        <v>381405</v>
      </c>
      <c r="I524" s="241">
        <v>0</v>
      </c>
      <c r="J524" s="241">
        <v>381405</v>
      </c>
    </row>
    <row r="525" spans="1:10" ht="25.5">
      <c r="A525" s="239" t="s">
        <v>1092</v>
      </c>
      <c r="B525" s="239" t="s">
        <v>1527</v>
      </c>
      <c r="C525" s="239" t="s">
        <v>1517</v>
      </c>
      <c r="D525" s="239" t="s">
        <v>1528</v>
      </c>
      <c r="E525" s="240">
        <v>4</v>
      </c>
      <c r="F525" s="239" t="s">
        <v>1515</v>
      </c>
      <c r="G525" s="241">
        <v>0</v>
      </c>
      <c r="H525" s="241">
        <v>1651769</v>
      </c>
      <c r="I525" s="241">
        <v>0</v>
      </c>
      <c r="J525" s="241">
        <v>1651769</v>
      </c>
    </row>
    <row r="526" spans="1:10" ht="25.5">
      <c r="A526" s="239" t="s">
        <v>1092</v>
      </c>
      <c r="B526" s="239" t="s">
        <v>1531</v>
      </c>
      <c r="C526" s="239" t="s">
        <v>1517</v>
      </c>
      <c r="D526" s="239" t="s">
        <v>1532</v>
      </c>
      <c r="E526" s="240">
        <v>4</v>
      </c>
      <c r="F526" s="239" t="s">
        <v>1515</v>
      </c>
      <c r="G526" s="241">
        <v>0</v>
      </c>
      <c r="H526" s="241">
        <v>1911824</v>
      </c>
      <c r="I526" s="241">
        <v>0</v>
      </c>
      <c r="J526" s="241">
        <v>1911824</v>
      </c>
    </row>
    <row r="527" spans="1:10" ht="25.5">
      <c r="A527" s="239" t="s">
        <v>1092</v>
      </c>
      <c r="B527" s="239" t="s">
        <v>1533</v>
      </c>
      <c r="C527" s="239" t="s">
        <v>1517</v>
      </c>
      <c r="D527" s="239" t="s">
        <v>1534</v>
      </c>
      <c r="E527" s="240">
        <v>4</v>
      </c>
      <c r="F527" s="239" t="s">
        <v>1515</v>
      </c>
      <c r="G527" s="241">
        <v>0</v>
      </c>
      <c r="H527" s="241">
        <v>131483</v>
      </c>
      <c r="I527" s="241">
        <v>0</v>
      </c>
      <c r="J527" s="241">
        <v>131483</v>
      </c>
    </row>
    <row r="528" spans="1:10" ht="25.5">
      <c r="A528" s="239" t="s">
        <v>1092</v>
      </c>
      <c r="B528" s="239" t="s">
        <v>1535</v>
      </c>
      <c r="C528" s="239" t="s">
        <v>1517</v>
      </c>
      <c r="D528" s="239" t="s">
        <v>1536</v>
      </c>
      <c r="E528" s="240">
        <v>4</v>
      </c>
      <c r="F528" s="239" t="s">
        <v>1515</v>
      </c>
      <c r="G528" s="241">
        <v>0</v>
      </c>
      <c r="H528" s="241">
        <v>383600</v>
      </c>
      <c r="I528" s="241">
        <v>0</v>
      </c>
      <c r="J528" s="241">
        <v>383600</v>
      </c>
    </row>
    <row r="529" spans="1:10" ht="25.5">
      <c r="A529" s="239" t="s">
        <v>1092</v>
      </c>
      <c r="B529" s="239" t="s">
        <v>1537</v>
      </c>
      <c r="C529" s="239" t="s">
        <v>1517</v>
      </c>
      <c r="D529" s="239" t="s">
        <v>1538</v>
      </c>
      <c r="E529" s="240">
        <v>4</v>
      </c>
      <c r="F529" s="239" t="s">
        <v>1515</v>
      </c>
      <c r="G529" s="241">
        <v>0</v>
      </c>
      <c r="H529" s="241">
        <v>1300300</v>
      </c>
      <c r="I529" s="241">
        <v>0</v>
      </c>
      <c r="J529" s="241">
        <v>1300300</v>
      </c>
    </row>
    <row r="530" spans="1:10" ht="25.5">
      <c r="A530" s="239" t="s">
        <v>1092</v>
      </c>
      <c r="B530" s="239" t="s">
        <v>1561</v>
      </c>
      <c r="C530" s="239" t="s">
        <v>1517</v>
      </c>
      <c r="D530" s="239" t="s">
        <v>1562</v>
      </c>
      <c r="E530" s="240">
        <v>4</v>
      </c>
      <c r="F530" s="239" t="s">
        <v>1515</v>
      </c>
      <c r="G530" s="241">
        <v>0</v>
      </c>
      <c r="H530" s="241">
        <v>285216</v>
      </c>
      <c r="I530" s="241">
        <v>0</v>
      </c>
      <c r="J530" s="241">
        <v>285216</v>
      </c>
    </row>
    <row r="531" spans="1:10" ht="25.5">
      <c r="A531" s="239" t="s">
        <v>1092</v>
      </c>
      <c r="B531" s="239" t="s">
        <v>1516</v>
      </c>
      <c r="C531" s="239" t="s">
        <v>1517</v>
      </c>
      <c r="D531" s="239" t="s">
        <v>1518</v>
      </c>
      <c r="E531" s="240">
        <v>4</v>
      </c>
      <c r="F531" s="239" t="s">
        <v>1515</v>
      </c>
      <c r="G531" s="241">
        <v>0</v>
      </c>
      <c r="H531" s="241">
        <v>90987</v>
      </c>
      <c r="I531" s="241">
        <v>0</v>
      </c>
      <c r="J531" s="241">
        <v>90987</v>
      </c>
    </row>
    <row r="532" spans="1:10">
      <c r="A532" s="239" t="s">
        <v>1093</v>
      </c>
      <c r="B532" s="239"/>
      <c r="C532" s="239"/>
      <c r="D532" s="239" t="s">
        <v>818</v>
      </c>
      <c r="E532" s="240">
        <v>4</v>
      </c>
      <c r="F532" s="239" t="s">
        <v>1515</v>
      </c>
      <c r="G532" s="241">
        <v>0</v>
      </c>
      <c r="H532" s="241">
        <v>4816204</v>
      </c>
      <c r="I532" s="241">
        <v>0</v>
      </c>
      <c r="J532" s="241">
        <v>4816204</v>
      </c>
    </row>
    <row r="533" spans="1:10" ht="25.5">
      <c r="A533" s="239" t="s">
        <v>1093</v>
      </c>
      <c r="B533" s="239" t="s">
        <v>1521</v>
      </c>
      <c r="C533" s="239" t="s">
        <v>1517</v>
      </c>
      <c r="D533" s="239" t="s">
        <v>1522</v>
      </c>
      <c r="E533" s="240">
        <v>4</v>
      </c>
      <c r="F533" s="239" t="s">
        <v>1515</v>
      </c>
      <c r="G533" s="241">
        <v>0</v>
      </c>
      <c r="H533" s="241">
        <v>639197</v>
      </c>
      <c r="I533" s="241">
        <v>0</v>
      </c>
      <c r="J533" s="241">
        <v>639197</v>
      </c>
    </row>
    <row r="534" spans="1:10" ht="25.5">
      <c r="A534" s="239" t="s">
        <v>1093</v>
      </c>
      <c r="B534" s="239" t="s">
        <v>1523</v>
      </c>
      <c r="C534" s="239" t="s">
        <v>1517</v>
      </c>
      <c r="D534" s="239" t="s">
        <v>1524</v>
      </c>
      <c r="E534" s="240">
        <v>4</v>
      </c>
      <c r="F534" s="239" t="s">
        <v>1515</v>
      </c>
      <c r="G534" s="241">
        <v>0</v>
      </c>
      <c r="H534" s="241">
        <v>1235527</v>
      </c>
      <c r="I534" s="241">
        <v>0</v>
      </c>
      <c r="J534" s="241">
        <v>1235527</v>
      </c>
    </row>
    <row r="535" spans="1:10" ht="25.5">
      <c r="A535" s="239" t="s">
        <v>1093</v>
      </c>
      <c r="B535" s="239" t="s">
        <v>1525</v>
      </c>
      <c r="C535" s="239" t="s">
        <v>1517</v>
      </c>
      <c r="D535" s="239" t="s">
        <v>1526</v>
      </c>
      <c r="E535" s="240">
        <v>4</v>
      </c>
      <c r="F535" s="239" t="s">
        <v>1515</v>
      </c>
      <c r="G535" s="241">
        <v>0</v>
      </c>
      <c r="H535" s="241">
        <v>163099</v>
      </c>
      <c r="I535" s="241">
        <v>0</v>
      </c>
      <c r="J535" s="241">
        <v>163099</v>
      </c>
    </row>
    <row r="536" spans="1:10" ht="25.5">
      <c r="A536" s="239" t="s">
        <v>1093</v>
      </c>
      <c r="B536" s="239" t="s">
        <v>1527</v>
      </c>
      <c r="C536" s="239" t="s">
        <v>1517</v>
      </c>
      <c r="D536" s="239" t="s">
        <v>1528</v>
      </c>
      <c r="E536" s="240">
        <v>4</v>
      </c>
      <c r="F536" s="239" t="s">
        <v>1515</v>
      </c>
      <c r="G536" s="241">
        <v>0</v>
      </c>
      <c r="H536" s="241">
        <v>1151314</v>
      </c>
      <c r="I536" s="241">
        <v>0</v>
      </c>
      <c r="J536" s="241">
        <v>1151314</v>
      </c>
    </row>
    <row r="537" spans="1:10" ht="25.5">
      <c r="A537" s="239" t="s">
        <v>1093</v>
      </c>
      <c r="B537" s="239" t="s">
        <v>1531</v>
      </c>
      <c r="C537" s="239" t="s">
        <v>1517</v>
      </c>
      <c r="D537" s="239" t="s">
        <v>1532</v>
      </c>
      <c r="E537" s="240">
        <v>4</v>
      </c>
      <c r="F537" s="239" t="s">
        <v>1515</v>
      </c>
      <c r="G537" s="241">
        <v>0</v>
      </c>
      <c r="H537" s="241">
        <v>613743</v>
      </c>
      <c r="I537" s="241">
        <v>0</v>
      </c>
      <c r="J537" s="241">
        <v>613743</v>
      </c>
    </row>
    <row r="538" spans="1:10" ht="25.5">
      <c r="A538" s="239" t="s">
        <v>1093</v>
      </c>
      <c r="B538" s="239" t="s">
        <v>1533</v>
      </c>
      <c r="C538" s="239" t="s">
        <v>1517</v>
      </c>
      <c r="D538" s="239" t="s">
        <v>1534</v>
      </c>
      <c r="E538" s="240">
        <v>4</v>
      </c>
      <c r="F538" s="239" t="s">
        <v>1515</v>
      </c>
      <c r="G538" s="241">
        <v>0</v>
      </c>
      <c r="H538" s="241">
        <v>59688</v>
      </c>
      <c r="I538" s="241">
        <v>0</v>
      </c>
      <c r="J538" s="241">
        <v>59688</v>
      </c>
    </row>
    <row r="539" spans="1:10" ht="25.5">
      <c r="A539" s="239" t="s">
        <v>1093</v>
      </c>
      <c r="B539" s="239" t="s">
        <v>1535</v>
      </c>
      <c r="C539" s="239" t="s">
        <v>1517</v>
      </c>
      <c r="D539" s="239" t="s">
        <v>1536</v>
      </c>
      <c r="E539" s="240">
        <v>4</v>
      </c>
      <c r="F539" s="239" t="s">
        <v>1515</v>
      </c>
      <c r="G539" s="241">
        <v>0</v>
      </c>
      <c r="H539" s="241">
        <v>180278</v>
      </c>
      <c r="I539" s="241">
        <v>0</v>
      </c>
      <c r="J539" s="241">
        <v>180278</v>
      </c>
    </row>
    <row r="540" spans="1:10" ht="25.5">
      <c r="A540" s="239" t="s">
        <v>1093</v>
      </c>
      <c r="B540" s="239" t="s">
        <v>1537</v>
      </c>
      <c r="C540" s="239" t="s">
        <v>1517</v>
      </c>
      <c r="D540" s="239" t="s">
        <v>1538</v>
      </c>
      <c r="E540" s="240">
        <v>4</v>
      </c>
      <c r="F540" s="239" t="s">
        <v>1515</v>
      </c>
      <c r="G540" s="241">
        <v>0</v>
      </c>
      <c r="H540" s="241">
        <v>580270</v>
      </c>
      <c r="I540" s="241">
        <v>0</v>
      </c>
      <c r="J540" s="241">
        <v>580270</v>
      </c>
    </row>
    <row r="541" spans="1:10" ht="25.5">
      <c r="A541" s="239" t="s">
        <v>1093</v>
      </c>
      <c r="B541" s="239" t="s">
        <v>1561</v>
      </c>
      <c r="C541" s="239" t="s">
        <v>1517</v>
      </c>
      <c r="D541" s="239" t="s">
        <v>1562</v>
      </c>
      <c r="E541" s="240">
        <v>4</v>
      </c>
      <c r="F541" s="239" t="s">
        <v>1515</v>
      </c>
      <c r="G541" s="241">
        <v>0</v>
      </c>
      <c r="H541" s="241">
        <v>134518</v>
      </c>
      <c r="I541" s="241">
        <v>0</v>
      </c>
      <c r="J541" s="241">
        <v>134518</v>
      </c>
    </row>
    <row r="542" spans="1:10" ht="25.5">
      <c r="A542" s="239" t="s">
        <v>1093</v>
      </c>
      <c r="B542" s="239" t="s">
        <v>1516</v>
      </c>
      <c r="C542" s="239" t="s">
        <v>1517</v>
      </c>
      <c r="D542" s="239" t="s">
        <v>1518</v>
      </c>
      <c r="E542" s="240">
        <v>4</v>
      </c>
      <c r="F542" s="239" t="s">
        <v>1515</v>
      </c>
      <c r="G542" s="241">
        <v>0</v>
      </c>
      <c r="H542" s="241">
        <v>58570</v>
      </c>
      <c r="I542" s="241">
        <v>0</v>
      </c>
      <c r="J542" s="241">
        <v>58570</v>
      </c>
    </row>
    <row r="543" spans="1:10">
      <c r="A543" s="239" t="s">
        <v>1096</v>
      </c>
      <c r="B543" s="239"/>
      <c r="C543" s="239"/>
      <c r="D543" s="239" t="s">
        <v>796</v>
      </c>
      <c r="E543" s="240">
        <v>4</v>
      </c>
      <c r="F543" s="239" t="s">
        <v>1515</v>
      </c>
      <c r="G543" s="241">
        <v>0</v>
      </c>
      <c r="H543" s="241">
        <v>300000</v>
      </c>
      <c r="I543" s="241">
        <v>100000</v>
      </c>
      <c r="J543" s="241">
        <v>200000</v>
      </c>
    </row>
    <row r="544" spans="1:10">
      <c r="A544" s="239" t="s">
        <v>1723</v>
      </c>
      <c r="B544" s="239"/>
      <c r="C544" s="239"/>
      <c r="D544" s="239" t="s">
        <v>1724</v>
      </c>
      <c r="E544" s="240">
        <v>5</v>
      </c>
      <c r="F544" s="239" t="s">
        <v>1515</v>
      </c>
      <c r="G544" s="241">
        <v>0</v>
      </c>
      <c r="H544" s="241">
        <v>300000</v>
      </c>
      <c r="I544" s="241">
        <v>100000</v>
      </c>
      <c r="J544" s="241">
        <v>200000</v>
      </c>
    </row>
    <row r="545" spans="1:10" ht="25.5">
      <c r="A545" s="239" t="s">
        <v>1723</v>
      </c>
      <c r="B545" s="239" t="s">
        <v>1523</v>
      </c>
      <c r="C545" s="239" t="s">
        <v>1517</v>
      </c>
      <c r="D545" s="239" t="s">
        <v>1524</v>
      </c>
      <c r="E545" s="240">
        <v>5</v>
      </c>
      <c r="F545" s="239" t="s">
        <v>1515</v>
      </c>
      <c r="G545" s="241">
        <v>0</v>
      </c>
      <c r="H545" s="241">
        <v>300000</v>
      </c>
      <c r="I545" s="241">
        <v>100000</v>
      </c>
      <c r="J545" s="241">
        <v>200000</v>
      </c>
    </row>
    <row r="546" spans="1:10">
      <c r="A546" s="239" t="s">
        <v>1097</v>
      </c>
      <c r="B546" s="239"/>
      <c r="C546" s="239"/>
      <c r="D546" s="239" t="s">
        <v>802</v>
      </c>
      <c r="E546" s="240">
        <v>4</v>
      </c>
      <c r="F546" s="239" t="s">
        <v>1515</v>
      </c>
      <c r="G546" s="241">
        <v>0</v>
      </c>
      <c r="H546" s="241">
        <v>610000</v>
      </c>
      <c r="I546" s="241">
        <v>0</v>
      </c>
      <c r="J546" s="241">
        <v>610000</v>
      </c>
    </row>
    <row r="547" spans="1:10">
      <c r="A547" s="239" t="s">
        <v>1725</v>
      </c>
      <c r="B547" s="239"/>
      <c r="C547" s="239"/>
      <c r="D547" s="239" t="s">
        <v>1726</v>
      </c>
      <c r="E547" s="240">
        <v>5</v>
      </c>
      <c r="F547" s="239" t="s">
        <v>1515</v>
      </c>
      <c r="G547" s="241">
        <v>0</v>
      </c>
      <c r="H547" s="241">
        <v>610000</v>
      </c>
      <c r="I547" s="241">
        <v>0</v>
      </c>
      <c r="J547" s="241">
        <v>610000</v>
      </c>
    </row>
    <row r="548" spans="1:10" ht="25.5">
      <c r="A548" s="239" t="s">
        <v>1725</v>
      </c>
      <c r="B548" s="239" t="s">
        <v>1523</v>
      </c>
      <c r="C548" s="239" t="s">
        <v>1517</v>
      </c>
      <c r="D548" s="239" t="s">
        <v>1524</v>
      </c>
      <c r="E548" s="240">
        <v>5</v>
      </c>
      <c r="F548" s="239" t="s">
        <v>1515</v>
      </c>
      <c r="G548" s="241">
        <v>0</v>
      </c>
      <c r="H548" s="241">
        <v>300000</v>
      </c>
      <c r="I548" s="241">
        <v>0</v>
      </c>
      <c r="J548" s="241">
        <v>300000</v>
      </c>
    </row>
    <row r="549" spans="1:10" ht="25.5">
      <c r="A549" s="239" t="s">
        <v>1725</v>
      </c>
      <c r="B549" s="239" t="s">
        <v>1525</v>
      </c>
      <c r="C549" s="239" t="s">
        <v>1517</v>
      </c>
      <c r="D549" s="239" t="s">
        <v>1526</v>
      </c>
      <c r="E549" s="240">
        <v>5</v>
      </c>
      <c r="F549" s="239" t="s">
        <v>1515</v>
      </c>
      <c r="G549" s="241">
        <v>0</v>
      </c>
      <c r="H549" s="241">
        <v>310000</v>
      </c>
      <c r="I549" s="241">
        <v>0</v>
      </c>
      <c r="J549" s="241">
        <v>310000</v>
      </c>
    </row>
    <row r="550" spans="1:10" ht="25.5">
      <c r="A550" s="239" t="s">
        <v>1098</v>
      </c>
      <c r="B550" s="239"/>
      <c r="C550" s="239"/>
      <c r="D550" s="239" t="s">
        <v>799</v>
      </c>
      <c r="E550" s="240">
        <v>4</v>
      </c>
      <c r="F550" s="239" t="s">
        <v>1515</v>
      </c>
      <c r="G550" s="241">
        <v>0</v>
      </c>
      <c r="H550" s="241">
        <v>2643649.86</v>
      </c>
      <c r="I550" s="241">
        <v>39700</v>
      </c>
      <c r="J550" s="241">
        <v>2603949.86</v>
      </c>
    </row>
    <row r="551" spans="1:10" ht="25.5">
      <c r="A551" s="239" t="s">
        <v>1098</v>
      </c>
      <c r="B551" s="239" t="s">
        <v>1525</v>
      </c>
      <c r="C551" s="239" t="s">
        <v>1517</v>
      </c>
      <c r="D551" s="239" t="s">
        <v>1526</v>
      </c>
      <c r="E551" s="240">
        <v>4</v>
      </c>
      <c r="F551" s="239" t="s">
        <v>1515</v>
      </c>
      <c r="G551" s="241">
        <v>0</v>
      </c>
      <c r="H551" s="241">
        <v>0</v>
      </c>
      <c r="I551" s="241">
        <v>39700</v>
      </c>
      <c r="J551" s="241">
        <v>-39700</v>
      </c>
    </row>
    <row r="552" spans="1:10" ht="25.5">
      <c r="A552" s="239" t="s">
        <v>1098</v>
      </c>
      <c r="B552" s="239" t="s">
        <v>1541</v>
      </c>
      <c r="C552" s="239" t="s">
        <v>1517</v>
      </c>
      <c r="D552" s="239" t="s">
        <v>1542</v>
      </c>
      <c r="E552" s="240">
        <v>4</v>
      </c>
      <c r="F552" s="239" t="s">
        <v>1515</v>
      </c>
      <c r="G552" s="241">
        <v>0</v>
      </c>
      <c r="H552" s="241">
        <v>820201</v>
      </c>
      <c r="I552" s="241">
        <v>0</v>
      </c>
      <c r="J552" s="241">
        <v>820201</v>
      </c>
    </row>
    <row r="553" spans="1:10" ht="25.5">
      <c r="A553" s="239" t="s">
        <v>1098</v>
      </c>
      <c r="B553" s="239" t="s">
        <v>1727</v>
      </c>
      <c r="C553" s="239" t="s">
        <v>1517</v>
      </c>
      <c r="D553" s="239" t="s">
        <v>1728</v>
      </c>
      <c r="E553" s="240">
        <v>4</v>
      </c>
      <c r="F553" s="239" t="s">
        <v>1515</v>
      </c>
      <c r="G553" s="241">
        <v>0</v>
      </c>
      <c r="H553" s="241">
        <v>199650</v>
      </c>
      <c r="I553" s="241">
        <v>0</v>
      </c>
      <c r="J553" s="241">
        <v>199650</v>
      </c>
    </row>
    <row r="554" spans="1:10" ht="25.5">
      <c r="A554" s="239" t="s">
        <v>1098</v>
      </c>
      <c r="B554" s="239" t="s">
        <v>1729</v>
      </c>
      <c r="C554" s="239" t="s">
        <v>1517</v>
      </c>
      <c r="D554" s="239" t="s">
        <v>1730</v>
      </c>
      <c r="E554" s="240">
        <v>4</v>
      </c>
      <c r="F554" s="239" t="s">
        <v>1515</v>
      </c>
      <c r="G554" s="241">
        <v>0</v>
      </c>
      <c r="H554" s="241">
        <v>200000</v>
      </c>
      <c r="I554" s="241">
        <v>0</v>
      </c>
      <c r="J554" s="241">
        <v>200000</v>
      </c>
    </row>
    <row r="555" spans="1:10" ht="25.5">
      <c r="A555" s="239" t="s">
        <v>1098</v>
      </c>
      <c r="B555" s="239" t="s">
        <v>1671</v>
      </c>
      <c r="C555" s="239" t="s">
        <v>1517</v>
      </c>
      <c r="D555" s="239" t="s">
        <v>1672</v>
      </c>
      <c r="E555" s="240">
        <v>4</v>
      </c>
      <c r="F555" s="239" t="s">
        <v>1515</v>
      </c>
      <c r="G555" s="241">
        <v>0</v>
      </c>
      <c r="H555" s="241">
        <v>67142.86</v>
      </c>
      <c r="I555" s="241">
        <v>0</v>
      </c>
      <c r="J555" s="241">
        <v>67142.86</v>
      </c>
    </row>
    <row r="556" spans="1:10" ht="25.5">
      <c r="A556" s="239" t="s">
        <v>1098</v>
      </c>
      <c r="B556" s="239" t="s">
        <v>1673</v>
      </c>
      <c r="C556" s="239" t="s">
        <v>1517</v>
      </c>
      <c r="D556" s="239" t="s">
        <v>1674</v>
      </c>
      <c r="E556" s="240">
        <v>4</v>
      </c>
      <c r="F556" s="239" t="s">
        <v>1515</v>
      </c>
      <c r="G556" s="241">
        <v>0</v>
      </c>
      <c r="H556" s="241">
        <v>350992</v>
      </c>
      <c r="I556" s="241">
        <v>0</v>
      </c>
      <c r="J556" s="241">
        <v>350992</v>
      </c>
    </row>
    <row r="557" spans="1:10" ht="25.5">
      <c r="A557" s="239" t="s">
        <v>1098</v>
      </c>
      <c r="B557" s="239" t="s">
        <v>1675</v>
      </c>
      <c r="C557" s="239" t="s">
        <v>1517</v>
      </c>
      <c r="D557" s="239" t="s">
        <v>1676</v>
      </c>
      <c r="E557" s="240">
        <v>4</v>
      </c>
      <c r="F557" s="239" t="s">
        <v>1515</v>
      </c>
      <c r="G557" s="241">
        <v>0</v>
      </c>
      <c r="H557" s="241">
        <v>168067</v>
      </c>
      <c r="I557" s="241">
        <v>0</v>
      </c>
      <c r="J557" s="241">
        <v>168067</v>
      </c>
    </row>
    <row r="558" spans="1:10" ht="25.5">
      <c r="A558" s="239" t="s">
        <v>1098</v>
      </c>
      <c r="B558" s="239" t="s">
        <v>1677</v>
      </c>
      <c r="C558" s="239" t="s">
        <v>1517</v>
      </c>
      <c r="D558" s="239" t="s">
        <v>1678</v>
      </c>
      <c r="E558" s="240">
        <v>4</v>
      </c>
      <c r="F558" s="239" t="s">
        <v>1515</v>
      </c>
      <c r="G558" s="241">
        <v>0</v>
      </c>
      <c r="H558" s="241">
        <v>134295</v>
      </c>
      <c r="I558" s="241">
        <v>0</v>
      </c>
      <c r="J558" s="241">
        <v>134295</v>
      </c>
    </row>
    <row r="559" spans="1:10" ht="25.5">
      <c r="A559" s="239" t="s">
        <v>1098</v>
      </c>
      <c r="B559" s="239" t="s">
        <v>1679</v>
      </c>
      <c r="C559" s="239" t="s">
        <v>1517</v>
      </c>
      <c r="D559" s="239" t="s">
        <v>1680</v>
      </c>
      <c r="E559" s="240">
        <v>4</v>
      </c>
      <c r="F559" s="239" t="s">
        <v>1515</v>
      </c>
      <c r="G559" s="241">
        <v>0</v>
      </c>
      <c r="H559" s="241">
        <v>168067</v>
      </c>
      <c r="I559" s="241">
        <v>0</v>
      </c>
      <c r="J559" s="241">
        <v>168067</v>
      </c>
    </row>
    <row r="560" spans="1:10" ht="25.5">
      <c r="A560" s="239" t="s">
        <v>1098</v>
      </c>
      <c r="B560" s="239" t="s">
        <v>1681</v>
      </c>
      <c r="C560" s="239" t="s">
        <v>1517</v>
      </c>
      <c r="D560" s="239" t="s">
        <v>1682</v>
      </c>
      <c r="E560" s="240">
        <v>4</v>
      </c>
      <c r="F560" s="239" t="s">
        <v>1515</v>
      </c>
      <c r="G560" s="241">
        <v>0</v>
      </c>
      <c r="H560" s="241">
        <v>158765</v>
      </c>
      <c r="I560" s="241">
        <v>0</v>
      </c>
      <c r="J560" s="241">
        <v>158765</v>
      </c>
    </row>
    <row r="561" spans="1:10" ht="25.5">
      <c r="A561" s="239" t="s">
        <v>1098</v>
      </c>
      <c r="B561" s="239" t="s">
        <v>1683</v>
      </c>
      <c r="C561" s="239" t="s">
        <v>1517</v>
      </c>
      <c r="D561" s="239" t="s">
        <v>1684</v>
      </c>
      <c r="E561" s="240">
        <v>4</v>
      </c>
      <c r="F561" s="239" t="s">
        <v>1515</v>
      </c>
      <c r="G561" s="241">
        <v>0</v>
      </c>
      <c r="H561" s="241">
        <v>368067</v>
      </c>
      <c r="I561" s="241">
        <v>0</v>
      </c>
      <c r="J561" s="241">
        <v>368067</v>
      </c>
    </row>
    <row r="562" spans="1:10" ht="25.5">
      <c r="A562" s="239" t="s">
        <v>1098</v>
      </c>
      <c r="B562" s="239" t="s">
        <v>1685</v>
      </c>
      <c r="C562" s="239" t="s">
        <v>1517</v>
      </c>
      <c r="D562" s="239" t="s">
        <v>1686</v>
      </c>
      <c r="E562" s="240">
        <v>4</v>
      </c>
      <c r="F562" s="239" t="s">
        <v>1515</v>
      </c>
      <c r="G562" s="241">
        <v>0</v>
      </c>
      <c r="H562" s="241">
        <v>8403</v>
      </c>
      <c r="I562" s="241">
        <v>0</v>
      </c>
      <c r="J562" s="241">
        <v>8403</v>
      </c>
    </row>
    <row r="563" spans="1:10">
      <c r="A563" s="239" t="s">
        <v>1106</v>
      </c>
      <c r="B563" s="239"/>
      <c r="C563" s="239"/>
      <c r="D563" s="239" t="s">
        <v>1107</v>
      </c>
      <c r="E563" s="240">
        <v>4</v>
      </c>
      <c r="F563" s="239" t="s">
        <v>1515</v>
      </c>
      <c r="G563" s="241">
        <v>0</v>
      </c>
      <c r="H563" s="241">
        <v>6538887</v>
      </c>
      <c r="I563" s="241">
        <v>0</v>
      </c>
      <c r="J563" s="241">
        <v>6538887</v>
      </c>
    </row>
    <row r="564" spans="1:10" ht="25.5">
      <c r="A564" s="239" t="s">
        <v>1106</v>
      </c>
      <c r="B564" s="239" t="s">
        <v>1521</v>
      </c>
      <c r="C564" s="239" t="s">
        <v>1517</v>
      </c>
      <c r="D564" s="239" t="s">
        <v>1522</v>
      </c>
      <c r="E564" s="240">
        <v>4</v>
      </c>
      <c r="F564" s="239" t="s">
        <v>1515</v>
      </c>
      <c r="G564" s="241">
        <v>0</v>
      </c>
      <c r="H564" s="241">
        <v>1278044</v>
      </c>
      <c r="I564" s="241">
        <v>0</v>
      </c>
      <c r="J564" s="241">
        <v>1278044</v>
      </c>
    </row>
    <row r="565" spans="1:10" ht="25.5">
      <c r="A565" s="239" t="s">
        <v>1106</v>
      </c>
      <c r="B565" s="239" t="s">
        <v>1523</v>
      </c>
      <c r="C565" s="239" t="s">
        <v>1517</v>
      </c>
      <c r="D565" s="239" t="s">
        <v>1524</v>
      </c>
      <c r="E565" s="240">
        <v>4</v>
      </c>
      <c r="F565" s="239" t="s">
        <v>1515</v>
      </c>
      <c r="G565" s="241">
        <v>0</v>
      </c>
      <c r="H565" s="241">
        <v>1985331</v>
      </c>
      <c r="I565" s="241">
        <v>0</v>
      </c>
      <c r="J565" s="241">
        <v>1985331</v>
      </c>
    </row>
    <row r="566" spans="1:10" ht="25.5">
      <c r="A566" s="239" t="s">
        <v>1106</v>
      </c>
      <c r="B566" s="239" t="s">
        <v>1527</v>
      </c>
      <c r="C566" s="239" t="s">
        <v>1517</v>
      </c>
      <c r="D566" s="239" t="s">
        <v>1528</v>
      </c>
      <c r="E566" s="240">
        <v>4</v>
      </c>
      <c r="F566" s="239" t="s">
        <v>1515</v>
      </c>
      <c r="G566" s="241">
        <v>0</v>
      </c>
      <c r="H566" s="241">
        <v>1793290</v>
      </c>
      <c r="I566" s="241">
        <v>0</v>
      </c>
      <c r="J566" s="241">
        <v>1793290</v>
      </c>
    </row>
    <row r="567" spans="1:10" ht="25.5">
      <c r="A567" s="239" t="s">
        <v>1106</v>
      </c>
      <c r="B567" s="239" t="s">
        <v>1537</v>
      </c>
      <c r="C567" s="239" t="s">
        <v>1517</v>
      </c>
      <c r="D567" s="239" t="s">
        <v>1538</v>
      </c>
      <c r="E567" s="240">
        <v>4</v>
      </c>
      <c r="F567" s="239" t="s">
        <v>1515</v>
      </c>
      <c r="G567" s="241">
        <v>0</v>
      </c>
      <c r="H567" s="241">
        <v>1482222</v>
      </c>
      <c r="I567" s="241">
        <v>0</v>
      </c>
      <c r="J567" s="241">
        <v>1482222</v>
      </c>
    </row>
    <row r="568" spans="1:10">
      <c r="A568" s="239" t="s">
        <v>1112</v>
      </c>
      <c r="B568" s="239"/>
      <c r="C568" s="239"/>
      <c r="D568" s="239" t="s">
        <v>680</v>
      </c>
      <c r="E568" s="240">
        <v>4</v>
      </c>
      <c r="F568" s="239" t="s">
        <v>1515</v>
      </c>
      <c r="G568" s="241">
        <v>0</v>
      </c>
      <c r="H568" s="241">
        <v>463783</v>
      </c>
      <c r="I568" s="241">
        <v>0</v>
      </c>
      <c r="J568" s="241">
        <v>463783</v>
      </c>
    </row>
    <row r="569" spans="1:10" ht="25.5">
      <c r="A569" s="239" t="s">
        <v>1112</v>
      </c>
      <c r="B569" s="239" t="s">
        <v>1521</v>
      </c>
      <c r="C569" s="239" t="s">
        <v>1517</v>
      </c>
      <c r="D569" s="239" t="s">
        <v>1522</v>
      </c>
      <c r="E569" s="240">
        <v>4</v>
      </c>
      <c r="F569" s="239" t="s">
        <v>1515</v>
      </c>
      <c r="G569" s="241">
        <v>0</v>
      </c>
      <c r="H569" s="241">
        <v>6661</v>
      </c>
      <c r="I569" s="241">
        <v>0</v>
      </c>
      <c r="J569" s="241">
        <v>6661</v>
      </c>
    </row>
    <row r="570" spans="1:10" ht="25.5">
      <c r="A570" s="239" t="s">
        <v>1112</v>
      </c>
      <c r="B570" s="239" t="s">
        <v>1523</v>
      </c>
      <c r="C570" s="239" t="s">
        <v>1517</v>
      </c>
      <c r="D570" s="239" t="s">
        <v>1524</v>
      </c>
      <c r="E570" s="240">
        <v>4</v>
      </c>
      <c r="F570" s="239" t="s">
        <v>1515</v>
      </c>
      <c r="G570" s="241">
        <v>0</v>
      </c>
      <c r="H570" s="241">
        <v>7830</v>
      </c>
      <c r="I570" s="241">
        <v>0</v>
      </c>
      <c r="J570" s="241">
        <v>7830</v>
      </c>
    </row>
    <row r="571" spans="1:10" ht="25.5">
      <c r="A571" s="239" t="s">
        <v>1112</v>
      </c>
      <c r="B571" s="239" t="s">
        <v>1527</v>
      </c>
      <c r="C571" s="239" t="s">
        <v>1517</v>
      </c>
      <c r="D571" s="239" t="s">
        <v>1528</v>
      </c>
      <c r="E571" s="240">
        <v>4</v>
      </c>
      <c r="F571" s="239" t="s">
        <v>1515</v>
      </c>
      <c r="G571" s="241">
        <v>0</v>
      </c>
      <c r="H571" s="241">
        <v>7830</v>
      </c>
      <c r="I571" s="241">
        <v>0</v>
      </c>
      <c r="J571" s="241">
        <v>7830</v>
      </c>
    </row>
    <row r="572" spans="1:10" ht="25.5">
      <c r="A572" s="239" t="s">
        <v>1112</v>
      </c>
      <c r="B572" s="239" t="s">
        <v>1531</v>
      </c>
      <c r="C572" s="239" t="s">
        <v>1517</v>
      </c>
      <c r="D572" s="239" t="s">
        <v>1532</v>
      </c>
      <c r="E572" s="240">
        <v>4</v>
      </c>
      <c r="F572" s="239" t="s">
        <v>1515</v>
      </c>
      <c r="G572" s="241">
        <v>0</v>
      </c>
      <c r="H572" s="241">
        <v>6055</v>
      </c>
      <c r="I572" s="241">
        <v>0</v>
      </c>
      <c r="J572" s="241">
        <v>6055</v>
      </c>
    </row>
    <row r="573" spans="1:10" ht="25.5">
      <c r="A573" s="239" t="s">
        <v>1112</v>
      </c>
      <c r="B573" s="239" t="s">
        <v>1537</v>
      </c>
      <c r="C573" s="239" t="s">
        <v>1517</v>
      </c>
      <c r="D573" s="239" t="s">
        <v>1538</v>
      </c>
      <c r="E573" s="240">
        <v>4</v>
      </c>
      <c r="F573" s="239" t="s">
        <v>1515</v>
      </c>
      <c r="G573" s="241">
        <v>0</v>
      </c>
      <c r="H573" s="241">
        <v>6055</v>
      </c>
      <c r="I573" s="241">
        <v>0</v>
      </c>
      <c r="J573" s="241">
        <v>6055</v>
      </c>
    </row>
    <row r="574" spans="1:10" ht="25.5">
      <c r="A574" s="239" t="s">
        <v>1112</v>
      </c>
      <c r="B574" s="239" t="s">
        <v>1561</v>
      </c>
      <c r="C574" s="239" t="s">
        <v>1517</v>
      </c>
      <c r="D574" s="239" t="s">
        <v>1562</v>
      </c>
      <c r="E574" s="240">
        <v>4</v>
      </c>
      <c r="F574" s="239" t="s">
        <v>1515</v>
      </c>
      <c r="G574" s="241">
        <v>0</v>
      </c>
      <c r="H574" s="241">
        <v>11484</v>
      </c>
      <c r="I574" s="241">
        <v>0</v>
      </c>
      <c r="J574" s="241">
        <v>11484</v>
      </c>
    </row>
    <row r="575" spans="1:10" ht="25.5">
      <c r="A575" s="239" t="s">
        <v>1112</v>
      </c>
      <c r="B575" s="239" t="s">
        <v>1655</v>
      </c>
      <c r="C575" s="239" t="s">
        <v>1517</v>
      </c>
      <c r="D575" s="239" t="s">
        <v>1656</v>
      </c>
      <c r="E575" s="240">
        <v>4</v>
      </c>
      <c r="F575" s="239" t="s">
        <v>1515</v>
      </c>
      <c r="G575" s="241">
        <v>0</v>
      </c>
      <c r="H575" s="241">
        <v>417868</v>
      </c>
      <c r="I575" s="241">
        <v>0</v>
      </c>
      <c r="J575" s="241">
        <v>417868</v>
      </c>
    </row>
    <row r="576" spans="1:10">
      <c r="A576" s="239" t="s">
        <v>1113</v>
      </c>
      <c r="B576" s="239"/>
      <c r="C576" s="239"/>
      <c r="D576" s="239" t="s">
        <v>1114</v>
      </c>
      <c r="E576" s="240">
        <v>4</v>
      </c>
      <c r="F576" s="239" t="s">
        <v>1515</v>
      </c>
      <c r="G576" s="241">
        <v>0</v>
      </c>
      <c r="H576" s="241">
        <v>39297</v>
      </c>
      <c r="I576" s="241">
        <v>0</v>
      </c>
      <c r="J576" s="241">
        <v>39297</v>
      </c>
    </row>
    <row r="577" spans="1:10" ht="25.5">
      <c r="A577" s="239" t="s">
        <v>1113</v>
      </c>
      <c r="B577" s="239" t="s">
        <v>1559</v>
      </c>
      <c r="C577" s="239" t="s">
        <v>1517</v>
      </c>
      <c r="D577" s="239" t="s">
        <v>1560</v>
      </c>
      <c r="E577" s="240">
        <v>4</v>
      </c>
      <c r="F577" s="239" t="s">
        <v>1515</v>
      </c>
      <c r="G577" s="241">
        <v>0</v>
      </c>
      <c r="H577" s="241">
        <v>30377</v>
      </c>
      <c r="I577" s="241">
        <v>0</v>
      </c>
      <c r="J577" s="241">
        <v>30377</v>
      </c>
    </row>
    <row r="578" spans="1:10" ht="25.5">
      <c r="A578" s="239" t="s">
        <v>1113</v>
      </c>
      <c r="B578" s="239" t="s">
        <v>1651</v>
      </c>
      <c r="C578" s="239" t="s">
        <v>1517</v>
      </c>
      <c r="D578" s="239" t="s">
        <v>1652</v>
      </c>
      <c r="E578" s="240">
        <v>4</v>
      </c>
      <c r="F578" s="239" t="s">
        <v>1515</v>
      </c>
      <c r="G578" s="241">
        <v>0</v>
      </c>
      <c r="H578" s="241">
        <v>120</v>
      </c>
      <c r="I578" s="241">
        <v>0</v>
      </c>
      <c r="J578" s="241">
        <v>120</v>
      </c>
    </row>
    <row r="579" spans="1:10" ht="25.5">
      <c r="A579" s="239" t="s">
        <v>1113</v>
      </c>
      <c r="B579" s="239" t="s">
        <v>1573</v>
      </c>
      <c r="C579" s="239" t="s">
        <v>1517</v>
      </c>
      <c r="D579" s="239" t="s">
        <v>1574</v>
      </c>
      <c r="E579" s="240">
        <v>4</v>
      </c>
      <c r="F579" s="239" t="s">
        <v>1515</v>
      </c>
      <c r="G579" s="241">
        <v>0</v>
      </c>
      <c r="H579" s="241">
        <v>8700</v>
      </c>
      <c r="I579" s="241">
        <v>0</v>
      </c>
      <c r="J579" s="241">
        <v>8700</v>
      </c>
    </row>
    <row r="580" spans="1:10" ht="25.5">
      <c r="A580" s="239" t="s">
        <v>1113</v>
      </c>
      <c r="B580" s="239" t="s">
        <v>1653</v>
      </c>
      <c r="C580" s="239" t="s">
        <v>1517</v>
      </c>
      <c r="D580" s="239" t="s">
        <v>1654</v>
      </c>
      <c r="E580" s="240">
        <v>4</v>
      </c>
      <c r="F580" s="239" t="s">
        <v>1515</v>
      </c>
      <c r="G580" s="241">
        <v>0</v>
      </c>
      <c r="H580" s="241">
        <v>100</v>
      </c>
      <c r="I580" s="241">
        <v>0</v>
      </c>
      <c r="J580" s="241">
        <v>100</v>
      </c>
    </row>
    <row r="581" spans="1:10">
      <c r="A581" s="239" t="s">
        <v>1115</v>
      </c>
      <c r="B581" s="239"/>
      <c r="C581" s="239"/>
      <c r="D581" s="239" t="s">
        <v>1116</v>
      </c>
      <c r="E581" s="240">
        <v>4</v>
      </c>
      <c r="F581" s="239" t="s">
        <v>1515</v>
      </c>
      <c r="G581" s="241">
        <v>0</v>
      </c>
      <c r="H581" s="241">
        <v>11852885</v>
      </c>
      <c r="I581" s="241">
        <v>0</v>
      </c>
      <c r="J581" s="241">
        <v>11852885</v>
      </c>
    </row>
    <row r="582" spans="1:10" ht="25.5">
      <c r="A582" s="239" t="s">
        <v>1115</v>
      </c>
      <c r="B582" s="239" t="s">
        <v>1521</v>
      </c>
      <c r="C582" s="239" t="s">
        <v>1517</v>
      </c>
      <c r="D582" s="239" t="s">
        <v>1522</v>
      </c>
      <c r="E582" s="240">
        <v>4</v>
      </c>
      <c r="F582" s="239" t="s">
        <v>1515</v>
      </c>
      <c r="G582" s="241">
        <v>0</v>
      </c>
      <c r="H582" s="241">
        <v>153120</v>
      </c>
      <c r="I582" s="241">
        <v>0</v>
      </c>
      <c r="J582" s="241">
        <v>153120</v>
      </c>
    </row>
    <row r="583" spans="1:10" ht="25.5">
      <c r="A583" s="239" t="s">
        <v>1115</v>
      </c>
      <c r="B583" s="239" t="s">
        <v>1523</v>
      </c>
      <c r="C583" s="239" t="s">
        <v>1517</v>
      </c>
      <c r="D583" s="239" t="s">
        <v>1524</v>
      </c>
      <c r="E583" s="240">
        <v>4</v>
      </c>
      <c r="F583" s="239" t="s">
        <v>1515</v>
      </c>
      <c r="G583" s="241">
        <v>0</v>
      </c>
      <c r="H583" s="241">
        <v>180000</v>
      </c>
      <c r="I583" s="241">
        <v>0</v>
      </c>
      <c r="J583" s="241">
        <v>180000</v>
      </c>
    </row>
    <row r="584" spans="1:10" ht="25.5">
      <c r="A584" s="239" t="s">
        <v>1115</v>
      </c>
      <c r="B584" s="239" t="s">
        <v>1527</v>
      </c>
      <c r="C584" s="239" t="s">
        <v>1517</v>
      </c>
      <c r="D584" s="239" t="s">
        <v>1528</v>
      </c>
      <c r="E584" s="240">
        <v>4</v>
      </c>
      <c r="F584" s="239" t="s">
        <v>1515</v>
      </c>
      <c r="G584" s="241">
        <v>0</v>
      </c>
      <c r="H584" s="241">
        <v>180000</v>
      </c>
      <c r="I584" s="241">
        <v>0</v>
      </c>
      <c r="J584" s="241">
        <v>180000</v>
      </c>
    </row>
    <row r="585" spans="1:10" ht="25.5">
      <c r="A585" s="239" t="s">
        <v>1115</v>
      </c>
      <c r="B585" s="239" t="s">
        <v>1531</v>
      </c>
      <c r="C585" s="239" t="s">
        <v>1517</v>
      </c>
      <c r="D585" s="239" t="s">
        <v>1532</v>
      </c>
      <c r="E585" s="240">
        <v>4</v>
      </c>
      <c r="F585" s="239" t="s">
        <v>1515</v>
      </c>
      <c r="G585" s="241">
        <v>0</v>
      </c>
      <c r="H585" s="241">
        <v>149200</v>
      </c>
      <c r="I585" s="241">
        <v>0</v>
      </c>
      <c r="J585" s="241">
        <v>149200</v>
      </c>
    </row>
    <row r="586" spans="1:10" ht="25.5">
      <c r="A586" s="239" t="s">
        <v>1115</v>
      </c>
      <c r="B586" s="239" t="s">
        <v>1537</v>
      </c>
      <c r="C586" s="239" t="s">
        <v>1517</v>
      </c>
      <c r="D586" s="239" t="s">
        <v>1538</v>
      </c>
      <c r="E586" s="240">
        <v>4</v>
      </c>
      <c r="F586" s="239" t="s">
        <v>1515</v>
      </c>
      <c r="G586" s="241">
        <v>0</v>
      </c>
      <c r="H586" s="241">
        <v>139200</v>
      </c>
      <c r="I586" s="241">
        <v>0</v>
      </c>
      <c r="J586" s="241">
        <v>139200</v>
      </c>
    </row>
    <row r="587" spans="1:10" ht="25.5">
      <c r="A587" s="239" t="s">
        <v>1115</v>
      </c>
      <c r="B587" s="239" t="s">
        <v>1657</v>
      </c>
      <c r="C587" s="239" t="s">
        <v>1517</v>
      </c>
      <c r="D587" s="239" t="s">
        <v>1658</v>
      </c>
      <c r="E587" s="240">
        <v>4</v>
      </c>
      <c r="F587" s="239" t="s">
        <v>1515</v>
      </c>
      <c r="G587" s="241">
        <v>0</v>
      </c>
      <c r="H587" s="241">
        <v>515700</v>
      </c>
      <c r="I587" s="241">
        <v>0</v>
      </c>
      <c r="J587" s="241">
        <v>515700</v>
      </c>
    </row>
    <row r="588" spans="1:10" ht="25.5">
      <c r="A588" s="239" t="s">
        <v>1115</v>
      </c>
      <c r="B588" s="239" t="s">
        <v>1659</v>
      </c>
      <c r="C588" s="239" t="s">
        <v>1517</v>
      </c>
      <c r="D588" s="239" t="s">
        <v>1660</v>
      </c>
      <c r="E588" s="240">
        <v>4</v>
      </c>
      <c r="F588" s="239" t="s">
        <v>1515</v>
      </c>
      <c r="G588" s="241">
        <v>0</v>
      </c>
      <c r="H588" s="241">
        <v>308900</v>
      </c>
      <c r="I588" s="241">
        <v>0</v>
      </c>
      <c r="J588" s="241">
        <v>308900</v>
      </c>
    </row>
    <row r="589" spans="1:10" ht="25.5">
      <c r="A589" s="239" t="s">
        <v>1115</v>
      </c>
      <c r="B589" s="239" t="s">
        <v>1661</v>
      </c>
      <c r="C589" s="239" t="s">
        <v>1517</v>
      </c>
      <c r="D589" s="239" t="s">
        <v>1662</v>
      </c>
      <c r="E589" s="240">
        <v>4</v>
      </c>
      <c r="F589" s="239" t="s">
        <v>1515</v>
      </c>
      <c r="G589" s="241">
        <v>0</v>
      </c>
      <c r="H589" s="241">
        <v>8125192</v>
      </c>
      <c r="I589" s="241">
        <v>0</v>
      </c>
      <c r="J589" s="241">
        <v>8125192</v>
      </c>
    </row>
    <row r="590" spans="1:10" ht="25.5">
      <c r="A590" s="239" t="s">
        <v>1115</v>
      </c>
      <c r="B590" s="239" t="s">
        <v>1663</v>
      </c>
      <c r="C590" s="239" t="s">
        <v>1517</v>
      </c>
      <c r="D590" s="239" t="s">
        <v>1664</v>
      </c>
      <c r="E590" s="240">
        <v>4</v>
      </c>
      <c r="F590" s="239" t="s">
        <v>1515</v>
      </c>
      <c r="G590" s="241">
        <v>0</v>
      </c>
      <c r="H590" s="241">
        <v>1378200</v>
      </c>
      <c r="I590" s="241">
        <v>0</v>
      </c>
      <c r="J590" s="241">
        <v>1378200</v>
      </c>
    </row>
    <row r="591" spans="1:10" ht="25.5">
      <c r="A591" s="239" t="s">
        <v>1115</v>
      </c>
      <c r="B591" s="239" t="s">
        <v>1559</v>
      </c>
      <c r="C591" s="239" t="s">
        <v>1517</v>
      </c>
      <c r="D591" s="239" t="s">
        <v>1560</v>
      </c>
      <c r="E591" s="240">
        <v>4</v>
      </c>
      <c r="F591" s="239" t="s">
        <v>1515</v>
      </c>
      <c r="G591" s="241">
        <v>0</v>
      </c>
      <c r="H591" s="241">
        <v>7073</v>
      </c>
      <c r="I591" s="241">
        <v>0</v>
      </c>
      <c r="J591" s="241">
        <v>7073</v>
      </c>
    </row>
    <row r="592" spans="1:10" ht="25.5">
      <c r="A592" s="239" t="s">
        <v>1115</v>
      </c>
      <c r="B592" s="239" t="s">
        <v>1561</v>
      </c>
      <c r="C592" s="239" t="s">
        <v>1517</v>
      </c>
      <c r="D592" s="239" t="s">
        <v>1562</v>
      </c>
      <c r="E592" s="240">
        <v>4</v>
      </c>
      <c r="F592" s="239" t="s">
        <v>1515</v>
      </c>
      <c r="G592" s="241">
        <v>0</v>
      </c>
      <c r="H592" s="241">
        <v>264000</v>
      </c>
      <c r="I592" s="241">
        <v>0</v>
      </c>
      <c r="J592" s="241">
        <v>264000</v>
      </c>
    </row>
    <row r="593" spans="1:10" ht="25.5">
      <c r="A593" s="239" t="s">
        <v>1115</v>
      </c>
      <c r="B593" s="239" t="s">
        <v>1665</v>
      </c>
      <c r="C593" s="239" t="s">
        <v>1517</v>
      </c>
      <c r="D593" s="239" t="s">
        <v>1666</v>
      </c>
      <c r="E593" s="240">
        <v>4</v>
      </c>
      <c r="F593" s="239" t="s">
        <v>1515</v>
      </c>
      <c r="G593" s="241">
        <v>0</v>
      </c>
      <c r="H593" s="241">
        <v>123200</v>
      </c>
      <c r="I593" s="241">
        <v>0</v>
      </c>
      <c r="J593" s="241">
        <v>123200</v>
      </c>
    </row>
    <row r="594" spans="1:10" ht="25.5">
      <c r="A594" s="239" t="s">
        <v>1115</v>
      </c>
      <c r="B594" s="239" t="s">
        <v>1667</v>
      </c>
      <c r="C594" s="239" t="s">
        <v>1517</v>
      </c>
      <c r="D594" s="239" t="s">
        <v>1668</v>
      </c>
      <c r="E594" s="240">
        <v>4</v>
      </c>
      <c r="F594" s="239" t="s">
        <v>1515</v>
      </c>
      <c r="G594" s="241">
        <v>0</v>
      </c>
      <c r="H594" s="241">
        <v>329100</v>
      </c>
      <c r="I594" s="241">
        <v>0</v>
      </c>
      <c r="J594" s="241">
        <v>329100</v>
      </c>
    </row>
    <row r="595" spans="1:10" ht="25.5">
      <c r="A595" s="239" t="s">
        <v>1117</v>
      </c>
      <c r="B595" s="239"/>
      <c r="C595" s="239"/>
      <c r="D595" s="239" t="s">
        <v>1118</v>
      </c>
      <c r="E595" s="240">
        <v>4</v>
      </c>
      <c r="F595" s="239" t="s">
        <v>1515</v>
      </c>
      <c r="G595" s="241">
        <v>0</v>
      </c>
      <c r="H595" s="241">
        <v>2286291</v>
      </c>
      <c r="I595" s="241">
        <v>34601</v>
      </c>
      <c r="J595" s="241">
        <v>2251690</v>
      </c>
    </row>
    <row r="596" spans="1:10" ht="25.5">
      <c r="A596" s="239" t="s">
        <v>1117</v>
      </c>
      <c r="B596" s="239" t="s">
        <v>1523</v>
      </c>
      <c r="C596" s="239" t="s">
        <v>1517</v>
      </c>
      <c r="D596" s="239" t="s">
        <v>1524</v>
      </c>
      <c r="E596" s="240">
        <v>4</v>
      </c>
      <c r="F596" s="239" t="s">
        <v>1515</v>
      </c>
      <c r="G596" s="241">
        <v>0</v>
      </c>
      <c r="H596" s="241">
        <v>1000</v>
      </c>
      <c r="I596" s="241">
        <v>0</v>
      </c>
      <c r="J596" s="241">
        <v>1000</v>
      </c>
    </row>
    <row r="597" spans="1:10" ht="25.5">
      <c r="A597" s="239" t="s">
        <v>1117</v>
      </c>
      <c r="B597" s="239" t="s">
        <v>1573</v>
      </c>
      <c r="C597" s="239" t="s">
        <v>1517</v>
      </c>
      <c r="D597" s="239" t="s">
        <v>1574</v>
      </c>
      <c r="E597" s="240">
        <v>4</v>
      </c>
      <c r="F597" s="239" t="s">
        <v>1515</v>
      </c>
      <c r="G597" s="241">
        <v>0</v>
      </c>
      <c r="H597" s="241">
        <v>2285291</v>
      </c>
      <c r="I597" s="241">
        <v>34601</v>
      </c>
      <c r="J597" s="241">
        <v>2250690</v>
      </c>
    </row>
    <row r="598" spans="1:10">
      <c r="A598" s="239" t="s">
        <v>1127</v>
      </c>
      <c r="B598" s="239"/>
      <c r="C598" s="239"/>
      <c r="D598" s="239" t="s">
        <v>150</v>
      </c>
      <c r="E598" s="240">
        <v>4</v>
      </c>
      <c r="F598" s="239" t="s">
        <v>1515</v>
      </c>
      <c r="G598" s="241">
        <v>0</v>
      </c>
      <c r="H598" s="241">
        <v>11847199</v>
      </c>
      <c r="I598" s="241">
        <v>0</v>
      </c>
      <c r="J598" s="241">
        <v>11847199</v>
      </c>
    </row>
    <row r="599" spans="1:10">
      <c r="A599" s="239" t="s">
        <v>1128</v>
      </c>
      <c r="B599" s="239"/>
      <c r="C599" s="239"/>
      <c r="D599" s="239" t="s">
        <v>1129</v>
      </c>
      <c r="E599" s="240">
        <v>5</v>
      </c>
      <c r="F599" s="239" t="s">
        <v>1515</v>
      </c>
      <c r="G599" s="241">
        <v>0</v>
      </c>
      <c r="H599" s="241">
        <v>855000</v>
      </c>
      <c r="I599" s="241">
        <v>0</v>
      </c>
      <c r="J599" s="241">
        <v>855000</v>
      </c>
    </row>
    <row r="600" spans="1:10" ht="25.5">
      <c r="A600" s="239" t="s">
        <v>1128</v>
      </c>
      <c r="B600" s="239" t="s">
        <v>1591</v>
      </c>
      <c r="C600" s="239" t="s">
        <v>1517</v>
      </c>
      <c r="D600" s="239" t="s">
        <v>1592</v>
      </c>
      <c r="E600" s="240">
        <v>5</v>
      </c>
      <c r="F600" s="239" t="s">
        <v>1515</v>
      </c>
      <c r="G600" s="241">
        <v>0</v>
      </c>
      <c r="H600" s="241">
        <v>855000</v>
      </c>
      <c r="I600" s="241">
        <v>0</v>
      </c>
      <c r="J600" s="241">
        <v>855000</v>
      </c>
    </row>
    <row r="601" spans="1:10">
      <c r="A601" s="239" t="s">
        <v>1131</v>
      </c>
      <c r="B601" s="239"/>
      <c r="C601" s="239"/>
      <c r="D601" s="239" t="s">
        <v>1132</v>
      </c>
      <c r="E601" s="240">
        <v>5</v>
      </c>
      <c r="F601" s="239" t="s">
        <v>1515</v>
      </c>
      <c r="G601" s="241">
        <v>0</v>
      </c>
      <c r="H601" s="241">
        <v>10992199</v>
      </c>
      <c r="I601" s="241">
        <v>0</v>
      </c>
      <c r="J601" s="241">
        <v>10992199</v>
      </c>
    </row>
    <row r="602" spans="1:10" ht="25.5">
      <c r="A602" s="239" t="s">
        <v>1131</v>
      </c>
      <c r="B602" s="239" t="s">
        <v>1575</v>
      </c>
      <c r="C602" s="239" t="s">
        <v>1517</v>
      </c>
      <c r="D602" s="239" t="s">
        <v>1576</v>
      </c>
      <c r="E602" s="240">
        <v>5</v>
      </c>
      <c r="F602" s="239" t="s">
        <v>1515</v>
      </c>
      <c r="G602" s="241">
        <v>0</v>
      </c>
      <c r="H602" s="241">
        <v>9747899</v>
      </c>
      <c r="I602" s="241">
        <v>0</v>
      </c>
      <c r="J602" s="241">
        <v>9747899</v>
      </c>
    </row>
    <row r="603" spans="1:10" ht="25.5">
      <c r="A603" s="239" t="s">
        <v>1131</v>
      </c>
      <c r="B603" s="239" t="s">
        <v>1611</v>
      </c>
      <c r="C603" s="239" t="s">
        <v>1517</v>
      </c>
      <c r="D603" s="239" t="s">
        <v>1612</v>
      </c>
      <c r="E603" s="240">
        <v>5</v>
      </c>
      <c r="F603" s="239" t="s">
        <v>1515</v>
      </c>
      <c r="G603" s="241">
        <v>0</v>
      </c>
      <c r="H603" s="241">
        <v>1244300</v>
      </c>
      <c r="I603" s="241">
        <v>0</v>
      </c>
      <c r="J603" s="241">
        <v>1244300</v>
      </c>
    </row>
    <row r="604" spans="1:10">
      <c r="A604" s="239" t="s">
        <v>1134</v>
      </c>
      <c r="B604" s="239"/>
      <c r="C604" s="239"/>
      <c r="D604" s="239" t="s">
        <v>217</v>
      </c>
      <c r="E604" s="240">
        <v>3</v>
      </c>
      <c r="F604" s="239" t="s">
        <v>1515</v>
      </c>
      <c r="G604" s="241">
        <v>0</v>
      </c>
      <c r="H604" s="241">
        <v>1286120</v>
      </c>
      <c r="I604" s="241">
        <v>0</v>
      </c>
      <c r="J604" s="241">
        <v>1286120</v>
      </c>
    </row>
    <row r="605" spans="1:10">
      <c r="A605" s="239" t="s">
        <v>1150</v>
      </c>
      <c r="B605" s="239"/>
      <c r="C605" s="239"/>
      <c r="D605" s="239" t="s">
        <v>1151</v>
      </c>
      <c r="E605" s="240">
        <v>4</v>
      </c>
      <c r="F605" s="239" t="s">
        <v>1515</v>
      </c>
      <c r="G605" s="241">
        <v>0</v>
      </c>
      <c r="H605" s="241">
        <v>350000</v>
      </c>
      <c r="I605" s="241">
        <v>0</v>
      </c>
      <c r="J605" s="241">
        <v>350000</v>
      </c>
    </row>
    <row r="606" spans="1:10">
      <c r="A606" s="239" t="s">
        <v>1731</v>
      </c>
      <c r="B606" s="239"/>
      <c r="C606" s="239"/>
      <c r="D606" s="239" t="s">
        <v>1732</v>
      </c>
      <c r="E606" s="240">
        <v>5</v>
      </c>
      <c r="F606" s="239" t="s">
        <v>1515</v>
      </c>
      <c r="G606" s="241">
        <v>0</v>
      </c>
      <c r="H606" s="241">
        <v>350000</v>
      </c>
      <c r="I606" s="241">
        <v>0</v>
      </c>
      <c r="J606" s="241">
        <v>350000</v>
      </c>
    </row>
    <row r="607" spans="1:10" ht="25.5">
      <c r="A607" s="239" t="s">
        <v>1731</v>
      </c>
      <c r="B607" s="239" t="s">
        <v>1611</v>
      </c>
      <c r="C607" s="239" t="s">
        <v>1517</v>
      </c>
      <c r="D607" s="239" t="s">
        <v>1612</v>
      </c>
      <c r="E607" s="240">
        <v>5</v>
      </c>
      <c r="F607" s="239" t="s">
        <v>1515</v>
      </c>
      <c r="G607" s="241">
        <v>0</v>
      </c>
      <c r="H607" s="241">
        <v>350000</v>
      </c>
      <c r="I607" s="241">
        <v>0</v>
      </c>
      <c r="J607" s="241">
        <v>350000</v>
      </c>
    </row>
    <row r="608" spans="1:10">
      <c r="A608" s="239" t="s">
        <v>1152</v>
      </c>
      <c r="B608" s="239"/>
      <c r="C608" s="239"/>
      <c r="D608" s="239" t="s">
        <v>150</v>
      </c>
      <c r="E608" s="240">
        <v>4</v>
      </c>
      <c r="F608" s="239" t="s">
        <v>1515</v>
      </c>
      <c r="G608" s="241">
        <v>0</v>
      </c>
      <c r="H608" s="241">
        <v>936120</v>
      </c>
      <c r="I608" s="241">
        <v>0</v>
      </c>
      <c r="J608" s="241">
        <v>936120</v>
      </c>
    </row>
    <row r="609" spans="1:10">
      <c r="A609" s="239" t="s">
        <v>1153</v>
      </c>
      <c r="B609" s="239"/>
      <c r="C609" s="239"/>
      <c r="D609" s="239" t="s">
        <v>468</v>
      </c>
      <c r="E609" s="240">
        <v>5</v>
      </c>
      <c r="F609" s="239" t="s">
        <v>1515</v>
      </c>
      <c r="G609" s="241">
        <v>0</v>
      </c>
      <c r="H609" s="241">
        <v>261120</v>
      </c>
      <c r="I609" s="241">
        <v>0</v>
      </c>
      <c r="J609" s="241">
        <v>261120</v>
      </c>
    </row>
    <row r="610" spans="1:10" ht="25.5">
      <c r="A610" s="239" t="s">
        <v>1153</v>
      </c>
      <c r="B610" s="239" t="s">
        <v>1529</v>
      </c>
      <c r="C610" s="239" t="s">
        <v>1517</v>
      </c>
      <c r="D610" s="239" t="s">
        <v>1530</v>
      </c>
      <c r="E610" s="240">
        <v>5</v>
      </c>
      <c r="F610" s="239" t="s">
        <v>1515</v>
      </c>
      <c r="G610" s="241">
        <v>0</v>
      </c>
      <c r="H610" s="241">
        <v>261120</v>
      </c>
      <c r="I610" s="241">
        <v>0</v>
      </c>
      <c r="J610" s="241">
        <v>261120</v>
      </c>
    </row>
    <row r="611" spans="1:10">
      <c r="A611" s="239" t="s">
        <v>1733</v>
      </c>
      <c r="B611" s="239"/>
      <c r="C611" s="239"/>
      <c r="D611" s="239" t="s">
        <v>1734</v>
      </c>
      <c r="E611" s="240">
        <v>5</v>
      </c>
      <c r="F611" s="239" t="s">
        <v>1515</v>
      </c>
      <c r="G611" s="241">
        <v>0</v>
      </c>
      <c r="H611" s="241">
        <v>675000</v>
      </c>
      <c r="I611" s="241">
        <v>0</v>
      </c>
      <c r="J611" s="241">
        <v>675000</v>
      </c>
    </row>
    <row r="612" spans="1:10" ht="25.5">
      <c r="A612" s="239" t="s">
        <v>1733</v>
      </c>
      <c r="B612" s="239" t="s">
        <v>1553</v>
      </c>
      <c r="C612" s="239" t="s">
        <v>1517</v>
      </c>
      <c r="D612" s="239" t="s">
        <v>1554</v>
      </c>
      <c r="E612" s="240">
        <v>5</v>
      </c>
      <c r="F612" s="239" t="s">
        <v>1515</v>
      </c>
      <c r="G612" s="241">
        <v>0</v>
      </c>
      <c r="H612" s="241">
        <v>675000</v>
      </c>
      <c r="I612" s="241">
        <v>0</v>
      </c>
      <c r="J612" s="241">
        <v>675000</v>
      </c>
    </row>
    <row r="613" spans="1:10">
      <c r="A613" s="239" t="s">
        <v>1156</v>
      </c>
      <c r="B613" s="239"/>
      <c r="C613" s="239"/>
      <c r="D613" s="239" t="s">
        <v>1157</v>
      </c>
      <c r="E613" s="240">
        <v>3</v>
      </c>
      <c r="F613" s="239" t="s">
        <v>1515</v>
      </c>
      <c r="G613" s="241">
        <v>0</v>
      </c>
      <c r="H613" s="241">
        <v>3403959.23</v>
      </c>
      <c r="I613" s="241">
        <v>0</v>
      </c>
      <c r="J613" s="241">
        <v>3403959.23</v>
      </c>
    </row>
    <row r="614" spans="1:10">
      <c r="A614" s="239" t="s">
        <v>1158</v>
      </c>
      <c r="B614" s="239"/>
      <c r="C614" s="239"/>
      <c r="D614" s="239" t="s">
        <v>1159</v>
      </c>
      <c r="E614" s="240">
        <v>4</v>
      </c>
      <c r="F614" s="239" t="s">
        <v>1515</v>
      </c>
      <c r="G614" s="241">
        <v>0</v>
      </c>
      <c r="H614" s="241">
        <v>1000</v>
      </c>
      <c r="I614" s="241">
        <v>0</v>
      </c>
      <c r="J614" s="241">
        <v>1000</v>
      </c>
    </row>
    <row r="615" spans="1:10" ht="25.5">
      <c r="A615" s="239" t="s">
        <v>1158</v>
      </c>
      <c r="B615" s="239" t="s">
        <v>1583</v>
      </c>
      <c r="C615" s="239" t="s">
        <v>1517</v>
      </c>
      <c r="D615" s="239" t="s">
        <v>1584</v>
      </c>
      <c r="E615" s="240">
        <v>4</v>
      </c>
      <c r="F615" s="239" t="s">
        <v>1515</v>
      </c>
      <c r="G615" s="241">
        <v>0</v>
      </c>
      <c r="H615" s="241">
        <v>1000</v>
      </c>
      <c r="I615" s="241">
        <v>0</v>
      </c>
      <c r="J615" s="241">
        <v>1000</v>
      </c>
    </row>
    <row r="616" spans="1:10">
      <c r="A616" s="239" t="s">
        <v>1179</v>
      </c>
      <c r="B616" s="239"/>
      <c r="C616" s="239"/>
      <c r="D616" s="239" t="s">
        <v>150</v>
      </c>
      <c r="E616" s="240">
        <v>4</v>
      </c>
      <c r="F616" s="239" t="s">
        <v>1515</v>
      </c>
      <c r="G616" s="241">
        <v>0</v>
      </c>
      <c r="H616" s="241">
        <v>3402959.23</v>
      </c>
      <c r="I616" s="241">
        <v>0</v>
      </c>
      <c r="J616" s="241">
        <v>3402959.23</v>
      </c>
    </row>
    <row r="617" spans="1:10">
      <c r="A617" s="239" t="s">
        <v>1180</v>
      </c>
      <c r="B617" s="239"/>
      <c r="C617" s="239"/>
      <c r="D617" s="239" t="s">
        <v>1181</v>
      </c>
      <c r="E617" s="240">
        <v>5</v>
      </c>
      <c r="F617" s="239" t="s">
        <v>1515</v>
      </c>
      <c r="G617" s="241">
        <v>0</v>
      </c>
      <c r="H617" s="241">
        <v>3401300.89</v>
      </c>
      <c r="I617" s="241">
        <v>0</v>
      </c>
      <c r="J617" s="241">
        <v>3401300.89</v>
      </c>
    </row>
    <row r="618" spans="1:10" ht="25.5">
      <c r="A618" s="239" t="s">
        <v>1180</v>
      </c>
      <c r="B618" s="239" t="s">
        <v>1579</v>
      </c>
      <c r="C618" s="239" t="s">
        <v>1517</v>
      </c>
      <c r="D618" s="239" t="s">
        <v>1580</v>
      </c>
      <c r="E618" s="240">
        <v>5</v>
      </c>
      <c r="F618" s="239" t="s">
        <v>1515</v>
      </c>
      <c r="G618" s="241">
        <v>0</v>
      </c>
      <c r="H618" s="241">
        <v>3401300.89</v>
      </c>
      <c r="I618" s="241">
        <v>0</v>
      </c>
      <c r="J618" s="241">
        <v>3401300.89</v>
      </c>
    </row>
    <row r="619" spans="1:10">
      <c r="A619" s="239" t="s">
        <v>1735</v>
      </c>
      <c r="B619" s="239"/>
      <c r="C619" s="239"/>
      <c r="D619" s="239" t="s">
        <v>1736</v>
      </c>
      <c r="E619" s="240">
        <v>5</v>
      </c>
      <c r="F619" s="239" t="s">
        <v>1515</v>
      </c>
      <c r="G619" s="241">
        <v>0</v>
      </c>
      <c r="H619" s="241">
        <v>1658.34</v>
      </c>
      <c r="I619" s="241">
        <v>0</v>
      </c>
      <c r="J619" s="241">
        <v>1658.34</v>
      </c>
    </row>
    <row r="620" spans="1:10" ht="25.5">
      <c r="A620" s="239" t="s">
        <v>1735</v>
      </c>
      <c r="B620" s="239" t="s">
        <v>1555</v>
      </c>
      <c r="C620" s="239" t="s">
        <v>1517</v>
      </c>
      <c r="D620" s="239" t="s">
        <v>1556</v>
      </c>
      <c r="E620" s="240">
        <v>5</v>
      </c>
      <c r="F620" s="239" t="s">
        <v>1515</v>
      </c>
      <c r="G620" s="241">
        <v>0</v>
      </c>
      <c r="H620" s="241">
        <v>1658.34</v>
      </c>
      <c r="I620" s="241">
        <v>0</v>
      </c>
      <c r="J620" s="241">
        <v>1658.34</v>
      </c>
    </row>
    <row r="621" spans="1:10">
      <c r="A621" s="239" t="s">
        <v>1183</v>
      </c>
      <c r="B621" s="239"/>
      <c r="C621" s="239"/>
      <c r="D621" s="239" t="s">
        <v>222</v>
      </c>
      <c r="E621" s="240">
        <v>3</v>
      </c>
      <c r="F621" s="239" t="s">
        <v>1515</v>
      </c>
      <c r="G621" s="241">
        <v>0</v>
      </c>
      <c r="H621" s="241">
        <v>175759200</v>
      </c>
      <c r="I621" s="241">
        <v>0</v>
      </c>
      <c r="J621" s="241">
        <v>175759200</v>
      </c>
    </row>
    <row r="622" spans="1:10">
      <c r="A622" s="239" t="s">
        <v>1186</v>
      </c>
      <c r="B622" s="239"/>
      <c r="C622" s="239"/>
      <c r="D622" s="239" t="s">
        <v>1187</v>
      </c>
      <c r="E622" s="240">
        <v>4</v>
      </c>
      <c r="F622" s="239" t="s">
        <v>1515</v>
      </c>
      <c r="G622" s="241">
        <v>0</v>
      </c>
      <c r="H622" s="241">
        <v>175759200</v>
      </c>
      <c r="I622" s="241">
        <v>0</v>
      </c>
      <c r="J622" s="241">
        <v>175759200</v>
      </c>
    </row>
    <row r="623" spans="1:10">
      <c r="A623" s="239" t="s">
        <v>1188</v>
      </c>
      <c r="B623" s="239"/>
      <c r="C623" s="239"/>
      <c r="D623" s="239" t="s">
        <v>1189</v>
      </c>
      <c r="E623" s="240">
        <v>5</v>
      </c>
      <c r="F623" s="239" t="s">
        <v>1515</v>
      </c>
      <c r="G623" s="241">
        <v>0</v>
      </c>
      <c r="H623" s="241">
        <v>175759200</v>
      </c>
      <c r="I623" s="241">
        <v>0</v>
      </c>
      <c r="J623" s="241">
        <v>175759200</v>
      </c>
    </row>
    <row r="624" spans="1:10" ht="25.5">
      <c r="A624" s="239" t="s">
        <v>1188</v>
      </c>
      <c r="B624" s="239" t="s">
        <v>1599</v>
      </c>
      <c r="C624" s="239" t="s">
        <v>1517</v>
      </c>
      <c r="D624" s="239" t="s">
        <v>1600</v>
      </c>
      <c r="E624" s="240">
        <v>5</v>
      </c>
      <c r="F624" s="239" t="s">
        <v>1515</v>
      </c>
      <c r="G624" s="241">
        <v>0</v>
      </c>
      <c r="H624" s="241">
        <v>175759200</v>
      </c>
      <c r="I624" s="241">
        <v>0</v>
      </c>
      <c r="J624" s="241">
        <v>175759200</v>
      </c>
    </row>
    <row r="625" spans="1:10">
      <c r="A625" s="239" t="s">
        <v>1221</v>
      </c>
      <c r="B625" s="239"/>
      <c r="C625" s="239"/>
      <c r="D625" s="239" t="s">
        <v>522</v>
      </c>
      <c r="E625" s="240">
        <v>3</v>
      </c>
      <c r="F625" s="239" t="s">
        <v>1515</v>
      </c>
      <c r="G625" s="241">
        <v>0</v>
      </c>
      <c r="H625" s="241">
        <v>307044</v>
      </c>
      <c r="I625" s="241">
        <v>0</v>
      </c>
      <c r="J625" s="241">
        <v>307044</v>
      </c>
    </row>
    <row r="626" spans="1:10" ht="25.5">
      <c r="A626" s="239" t="s">
        <v>1240</v>
      </c>
      <c r="B626" s="239"/>
      <c r="C626" s="239"/>
      <c r="D626" s="239" t="s">
        <v>1241</v>
      </c>
      <c r="E626" s="240">
        <v>4</v>
      </c>
      <c r="F626" s="239" t="s">
        <v>1515</v>
      </c>
      <c r="G626" s="241">
        <v>0</v>
      </c>
      <c r="H626" s="241">
        <v>307044</v>
      </c>
      <c r="I626" s="241">
        <v>0</v>
      </c>
      <c r="J626" s="241">
        <v>307044</v>
      </c>
    </row>
    <row r="627" spans="1:10" ht="25.5">
      <c r="A627" s="239" t="s">
        <v>1240</v>
      </c>
      <c r="B627" s="239" t="s">
        <v>1581</v>
      </c>
      <c r="C627" s="239" t="s">
        <v>1517</v>
      </c>
      <c r="D627" s="239" t="s">
        <v>1582</v>
      </c>
      <c r="E627" s="240">
        <v>4</v>
      </c>
      <c r="F627" s="239" t="s">
        <v>1515</v>
      </c>
      <c r="G627" s="241">
        <v>0</v>
      </c>
      <c r="H627" s="241">
        <v>307044</v>
      </c>
      <c r="I627" s="241">
        <v>0</v>
      </c>
      <c r="J627" s="241">
        <v>307044</v>
      </c>
    </row>
    <row r="628" spans="1:10">
      <c r="A628" s="239" t="s">
        <v>1252</v>
      </c>
      <c r="B628" s="239"/>
      <c r="C628" s="239"/>
      <c r="D628" s="239" t="s">
        <v>132</v>
      </c>
      <c r="E628" s="240">
        <v>3</v>
      </c>
      <c r="F628" s="239" t="s">
        <v>1515</v>
      </c>
      <c r="G628" s="241">
        <v>0</v>
      </c>
      <c r="H628" s="241">
        <v>219659751.38999999</v>
      </c>
      <c r="I628" s="241">
        <v>140862.35999999999</v>
      </c>
      <c r="J628" s="241">
        <v>219518889.03</v>
      </c>
    </row>
    <row r="629" spans="1:10">
      <c r="A629" s="239" t="s">
        <v>1253</v>
      </c>
      <c r="B629" s="239"/>
      <c r="C629" s="239"/>
      <c r="D629" s="239" t="s">
        <v>1254</v>
      </c>
      <c r="E629" s="240">
        <v>4</v>
      </c>
      <c r="F629" s="239" t="s">
        <v>1515</v>
      </c>
      <c r="G629" s="241">
        <v>0</v>
      </c>
      <c r="H629" s="241">
        <v>44958200.039999999</v>
      </c>
      <c r="I629" s="241">
        <v>140862.35999999999</v>
      </c>
      <c r="J629" s="241">
        <v>44817337.68</v>
      </c>
    </row>
    <row r="630" spans="1:10">
      <c r="A630" s="239" t="s">
        <v>1255</v>
      </c>
      <c r="B630" s="239"/>
      <c r="C630" s="239"/>
      <c r="D630" s="239" t="s">
        <v>1256</v>
      </c>
      <c r="E630" s="240">
        <v>5</v>
      </c>
      <c r="F630" s="239" t="s">
        <v>1515</v>
      </c>
      <c r="G630" s="241">
        <v>0</v>
      </c>
      <c r="H630" s="241">
        <v>39223038.670000002</v>
      </c>
      <c r="I630" s="241">
        <v>0</v>
      </c>
      <c r="J630" s="241">
        <v>39223038.670000002</v>
      </c>
    </row>
    <row r="631" spans="1:10" ht="25.5">
      <c r="A631" s="239" t="s">
        <v>1255</v>
      </c>
      <c r="B631" s="239" t="s">
        <v>1601</v>
      </c>
      <c r="C631" s="239" t="s">
        <v>1517</v>
      </c>
      <c r="D631" s="239" t="s">
        <v>1602</v>
      </c>
      <c r="E631" s="240">
        <v>5</v>
      </c>
      <c r="F631" s="239" t="s">
        <v>1515</v>
      </c>
      <c r="G631" s="241">
        <v>0</v>
      </c>
      <c r="H631" s="241">
        <v>8676010</v>
      </c>
      <c r="I631" s="241">
        <v>0</v>
      </c>
      <c r="J631" s="241">
        <v>8676010</v>
      </c>
    </row>
    <row r="632" spans="1:10" ht="25.5">
      <c r="A632" s="239" t="s">
        <v>1255</v>
      </c>
      <c r="B632" s="239" t="s">
        <v>1605</v>
      </c>
      <c r="C632" s="239" t="s">
        <v>1517</v>
      </c>
      <c r="D632" s="239" t="s">
        <v>1606</v>
      </c>
      <c r="E632" s="240">
        <v>5</v>
      </c>
      <c r="F632" s="239" t="s">
        <v>1515</v>
      </c>
      <c r="G632" s="241">
        <v>0</v>
      </c>
      <c r="H632" s="241">
        <v>30547028.670000002</v>
      </c>
      <c r="I632" s="241">
        <v>0</v>
      </c>
      <c r="J632" s="241">
        <v>30547028.670000002</v>
      </c>
    </row>
    <row r="633" spans="1:10">
      <c r="A633" s="239" t="s">
        <v>1737</v>
      </c>
      <c r="B633" s="239"/>
      <c r="C633" s="239"/>
      <c r="D633" s="239" t="s">
        <v>1738</v>
      </c>
      <c r="E633" s="240">
        <v>5</v>
      </c>
      <c r="F633" s="239" t="s">
        <v>1515</v>
      </c>
      <c r="G633" s="241">
        <v>0</v>
      </c>
      <c r="H633" s="241">
        <v>612420</v>
      </c>
      <c r="I633" s="241">
        <v>0</v>
      </c>
      <c r="J633" s="241">
        <v>612420</v>
      </c>
    </row>
    <row r="634" spans="1:10" ht="25.5">
      <c r="A634" s="239" t="s">
        <v>1737</v>
      </c>
      <c r="B634" s="239" t="s">
        <v>1739</v>
      </c>
      <c r="C634" s="239" t="s">
        <v>1517</v>
      </c>
      <c r="D634" s="239" t="s">
        <v>1740</v>
      </c>
      <c r="E634" s="240">
        <v>5</v>
      </c>
      <c r="F634" s="239" t="s">
        <v>1515</v>
      </c>
      <c r="G634" s="241">
        <v>0</v>
      </c>
      <c r="H634" s="241">
        <v>612420</v>
      </c>
      <c r="I634" s="241">
        <v>0</v>
      </c>
      <c r="J634" s="241">
        <v>612420</v>
      </c>
    </row>
    <row r="635" spans="1:10">
      <c r="A635" s="239" t="s">
        <v>1741</v>
      </c>
      <c r="B635" s="239"/>
      <c r="C635" s="239"/>
      <c r="D635" s="239" t="s">
        <v>1638</v>
      </c>
      <c r="E635" s="240">
        <v>5</v>
      </c>
      <c r="F635" s="239" t="s">
        <v>1515</v>
      </c>
      <c r="G635" s="241">
        <v>0</v>
      </c>
      <c r="H635" s="241">
        <v>5122741.37</v>
      </c>
      <c r="I635" s="241">
        <v>140862.35999999999</v>
      </c>
      <c r="J635" s="241">
        <v>4981879.01</v>
      </c>
    </row>
    <row r="636" spans="1:10" ht="25.5">
      <c r="A636" s="239" t="s">
        <v>1741</v>
      </c>
      <c r="B636" s="239" t="s">
        <v>1547</v>
      </c>
      <c r="C636" s="239" t="s">
        <v>1517</v>
      </c>
      <c r="D636" s="239" t="s">
        <v>1548</v>
      </c>
      <c r="E636" s="240">
        <v>5</v>
      </c>
      <c r="F636" s="239" t="s">
        <v>1515</v>
      </c>
      <c r="G636" s="241">
        <v>0</v>
      </c>
      <c r="H636" s="241">
        <v>5122741.37</v>
      </c>
      <c r="I636" s="241">
        <v>140862.35999999999</v>
      </c>
      <c r="J636" s="241">
        <v>4981879.01</v>
      </c>
    </row>
    <row r="637" spans="1:10" ht="25.5">
      <c r="A637" s="239" t="s">
        <v>1264</v>
      </c>
      <c r="B637" s="239"/>
      <c r="C637" s="239"/>
      <c r="D637" s="239" t="s">
        <v>1265</v>
      </c>
      <c r="E637" s="240">
        <v>4</v>
      </c>
      <c r="F637" s="239" t="s">
        <v>1515</v>
      </c>
      <c r="G637" s="241">
        <v>0</v>
      </c>
      <c r="H637" s="241">
        <v>61356769.439999998</v>
      </c>
      <c r="I637" s="241">
        <v>0</v>
      </c>
      <c r="J637" s="241">
        <v>61356769.439999998</v>
      </c>
    </row>
    <row r="638" spans="1:10">
      <c r="A638" s="239" t="s">
        <v>1266</v>
      </c>
      <c r="B638" s="239"/>
      <c r="C638" s="239"/>
      <c r="D638" s="239" t="s">
        <v>1267</v>
      </c>
      <c r="E638" s="240">
        <v>5</v>
      </c>
      <c r="F638" s="239" t="s">
        <v>1515</v>
      </c>
      <c r="G638" s="241">
        <v>0</v>
      </c>
      <c r="H638" s="241">
        <v>1614798.44</v>
      </c>
      <c r="I638" s="241">
        <v>0</v>
      </c>
      <c r="J638" s="241">
        <v>1614798.44</v>
      </c>
    </row>
    <row r="639" spans="1:10" ht="25.5">
      <c r="A639" s="239" t="s">
        <v>1266</v>
      </c>
      <c r="B639" s="239" t="s">
        <v>1545</v>
      </c>
      <c r="C639" s="239" t="s">
        <v>1517</v>
      </c>
      <c r="D639" s="239" t="s">
        <v>1546</v>
      </c>
      <c r="E639" s="240">
        <v>5</v>
      </c>
      <c r="F639" s="239" t="s">
        <v>1515</v>
      </c>
      <c r="G639" s="241">
        <v>0</v>
      </c>
      <c r="H639" s="241">
        <v>1354321.64</v>
      </c>
      <c r="I639" s="241">
        <v>0</v>
      </c>
      <c r="J639" s="241">
        <v>1354321.64</v>
      </c>
    </row>
    <row r="640" spans="1:10" ht="25.5">
      <c r="A640" s="239" t="s">
        <v>1266</v>
      </c>
      <c r="B640" s="239" t="s">
        <v>1549</v>
      </c>
      <c r="C640" s="239" t="s">
        <v>1517</v>
      </c>
      <c r="D640" s="239" t="s">
        <v>1550</v>
      </c>
      <c r="E640" s="240">
        <v>5</v>
      </c>
      <c r="F640" s="239" t="s">
        <v>1515</v>
      </c>
      <c r="G640" s="241">
        <v>0</v>
      </c>
      <c r="H640" s="241">
        <v>260476.79999999999</v>
      </c>
      <c r="I640" s="241">
        <v>0</v>
      </c>
      <c r="J640" s="241">
        <v>260476.79999999999</v>
      </c>
    </row>
    <row r="641" spans="1:10">
      <c r="A641" s="239" t="s">
        <v>1269</v>
      </c>
      <c r="B641" s="239"/>
      <c r="C641" s="239"/>
      <c r="D641" s="239" t="s">
        <v>1270</v>
      </c>
      <c r="E641" s="240">
        <v>5</v>
      </c>
      <c r="F641" s="239" t="s">
        <v>1515</v>
      </c>
      <c r="G641" s="241">
        <v>0</v>
      </c>
      <c r="H641" s="241">
        <v>59741971</v>
      </c>
      <c r="I641" s="241">
        <v>0</v>
      </c>
      <c r="J641" s="241">
        <v>59741971</v>
      </c>
    </row>
    <row r="642" spans="1:10" ht="25.5">
      <c r="A642" s="239" t="s">
        <v>1269</v>
      </c>
      <c r="B642" s="239" t="s">
        <v>1555</v>
      </c>
      <c r="C642" s="239" t="s">
        <v>1517</v>
      </c>
      <c r="D642" s="239" t="s">
        <v>1556</v>
      </c>
      <c r="E642" s="240">
        <v>5</v>
      </c>
      <c r="F642" s="239" t="s">
        <v>1515</v>
      </c>
      <c r="G642" s="241">
        <v>0</v>
      </c>
      <c r="H642" s="241">
        <v>42498853</v>
      </c>
      <c r="I642" s="241">
        <v>0</v>
      </c>
      <c r="J642" s="241">
        <v>42498853</v>
      </c>
    </row>
    <row r="643" spans="1:10" ht="25.5">
      <c r="A643" s="239" t="s">
        <v>1269</v>
      </c>
      <c r="B643" s="239" t="s">
        <v>1585</v>
      </c>
      <c r="C643" s="239" t="s">
        <v>1517</v>
      </c>
      <c r="D643" s="239" t="s">
        <v>1586</v>
      </c>
      <c r="E643" s="240">
        <v>5</v>
      </c>
      <c r="F643" s="239" t="s">
        <v>1515</v>
      </c>
      <c r="G643" s="241">
        <v>0</v>
      </c>
      <c r="H643" s="241">
        <v>14692800</v>
      </c>
      <c r="I643" s="241">
        <v>0</v>
      </c>
      <c r="J643" s="241">
        <v>14692800</v>
      </c>
    </row>
    <row r="644" spans="1:10" ht="25.5">
      <c r="A644" s="239" t="s">
        <v>1269</v>
      </c>
      <c r="B644" s="239" t="s">
        <v>1589</v>
      </c>
      <c r="C644" s="239" t="s">
        <v>1517</v>
      </c>
      <c r="D644" s="239" t="s">
        <v>1590</v>
      </c>
      <c r="E644" s="240">
        <v>5</v>
      </c>
      <c r="F644" s="239" t="s">
        <v>1515</v>
      </c>
      <c r="G644" s="241">
        <v>0</v>
      </c>
      <c r="H644" s="241">
        <v>2550318</v>
      </c>
      <c r="I644" s="241">
        <v>0</v>
      </c>
      <c r="J644" s="241">
        <v>2550318</v>
      </c>
    </row>
    <row r="645" spans="1:10">
      <c r="A645" s="239" t="s">
        <v>1273</v>
      </c>
      <c r="B645" s="239"/>
      <c r="C645" s="239"/>
      <c r="D645" s="239" t="s">
        <v>516</v>
      </c>
      <c r="E645" s="240">
        <v>4</v>
      </c>
      <c r="F645" s="239" t="s">
        <v>1515</v>
      </c>
      <c r="G645" s="241">
        <v>0</v>
      </c>
      <c r="H645" s="241">
        <v>68468086</v>
      </c>
      <c r="I645" s="241">
        <v>0</v>
      </c>
      <c r="J645" s="241">
        <v>68468086</v>
      </c>
    </row>
    <row r="646" spans="1:10">
      <c r="A646" s="239" t="s">
        <v>1274</v>
      </c>
      <c r="B646" s="239"/>
      <c r="C646" s="239"/>
      <c r="D646" s="239" t="s">
        <v>516</v>
      </c>
      <c r="E646" s="240">
        <v>5</v>
      </c>
      <c r="F646" s="239" t="s">
        <v>1515</v>
      </c>
      <c r="G646" s="241">
        <v>0</v>
      </c>
      <c r="H646" s="241">
        <v>68468086</v>
      </c>
      <c r="I646" s="241">
        <v>0</v>
      </c>
      <c r="J646" s="241">
        <v>68468086</v>
      </c>
    </row>
    <row r="647" spans="1:10" ht="25.5">
      <c r="A647" s="239" t="s">
        <v>1274</v>
      </c>
      <c r="B647" s="239" t="s">
        <v>1571</v>
      </c>
      <c r="C647" s="239" t="s">
        <v>1517</v>
      </c>
      <c r="D647" s="239" t="s">
        <v>1572</v>
      </c>
      <c r="E647" s="240">
        <v>5</v>
      </c>
      <c r="F647" s="239" t="s">
        <v>1515</v>
      </c>
      <c r="G647" s="241">
        <v>0</v>
      </c>
      <c r="H647" s="241">
        <v>68468086</v>
      </c>
      <c r="I647" s="241">
        <v>0</v>
      </c>
      <c r="J647" s="241">
        <v>68468086</v>
      </c>
    </row>
    <row r="648" spans="1:10">
      <c r="A648" s="239" t="s">
        <v>1275</v>
      </c>
      <c r="B648" s="239"/>
      <c r="C648" s="239"/>
      <c r="D648" s="239" t="s">
        <v>1276</v>
      </c>
      <c r="E648" s="240">
        <v>4</v>
      </c>
      <c r="F648" s="239" t="s">
        <v>1515</v>
      </c>
      <c r="G648" s="241">
        <v>0</v>
      </c>
      <c r="H648" s="241">
        <v>325815.90999999997</v>
      </c>
      <c r="I648" s="241">
        <v>0</v>
      </c>
      <c r="J648" s="241">
        <v>325815.90999999997</v>
      </c>
    </row>
    <row r="649" spans="1:10">
      <c r="A649" s="239" t="s">
        <v>1277</v>
      </c>
      <c r="B649" s="239"/>
      <c r="C649" s="239"/>
      <c r="D649" s="239" t="s">
        <v>502</v>
      </c>
      <c r="E649" s="240">
        <v>5</v>
      </c>
      <c r="F649" s="239" t="s">
        <v>1515</v>
      </c>
      <c r="G649" s="241">
        <v>0</v>
      </c>
      <c r="H649" s="241">
        <v>325815.90999999997</v>
      </c>
      <c r="I649" s="241">
        <v>0</v>
      </c>
      <c r="J649" s="241">
        <v>325815.90999999997</v>
      </c>
    </row>
    <row r="650" spans="1:10" ht="25.5">
      <c r="A650" s="239" t="s">
        <v>1277</v>
      </c>
      <c r="B650" s="239" t="s">
        <v>1555</v>
      </c>
      <c r="C650" s="239" t="s">
        <v>1517</v>
      </c>
      <c r="D650" s="239" t="s">
        <v>1556</v>
      </c>
      <c r="E650" s="240">
        <v>5</v>
      </c>
      <c r="F650" s="239" t="s">
        <v>1515</v>
      </c>
      <c r="G650" s="241">
        <v>0</v>
      </c>
      <c r="H650" s="241">
        <v>325815.90999999997</v>
      </c>
      <c r="I650" s="241">
        <v>0</v>
      </c>
      <c r="J650" s="241">
        <v>325815.90999999997</v>
      </c>
    </row>
    <row r="651" spans="1:10">
      <c r="A651" s="239" t="s">
        <v>1288</v>
      </c>
      <c r="B651" s="239"/>
      <c r="C651" s="239"/>
      <c r="D651" s="239" t="s">
        <v>150</v>
      </c>
      <c r="E651" s="240">
        <v>4</v>
      </c>
      <c r="F651" s="239" t="s">
        <v>1515</v>
      </c>
      <c r="G651" s="241">
        <v>0</v>
      </c>
      <c r="H651" s="241">
        <v>44550880</v>
      </c>
      <c r="I651" s="241">
        <v>0</v>
      </c>
      <c r="J651" s="241">
        <v>44550880</v>
      </c>
    </row>
    <row r="652" spans="1:10">
      <c r="A652" s="239" t="s">
        <v>1289</v>
      </c>
      <c r="B652" s="239"/>
      <c r="C652" s="239"/>
      <c r="D652" s="239" t="s">
        <v>1290</v>
      </c>
      <c r="E652" s="240">
        <v>5</v>
      </c>
      <c r="F652" s="239" t="s">
        <v>1515</v>
      </c>
      <c r="G652" s="241">
        <v>0</v>
      </c>
      <c r="H652" s="241">
        <v>44550880</v>
      </c>
      <c r="I652" s="241">
        <v>0</v>
      </c>
      <c r="J652" s="241">
        <v>44550880</v>
      </c>
    </row>
    <row r="653" spans="1:10" ht="25.5">
      <c r="A653" s="239" t="s">
        <v>1289</v>
      </c>
      <c r="B653" s="239" t="s">
        <v>1569</v>
      </c>
      <c r="C653" s="239" t="s">
        <v>1517</v>
      </c>
      <c r="D653" s="239" t="s">
        <v>1570</v>
      </c>
      <c r="E653" s="240">
        <v>5</v>
      </c>
      <c r="F653" s="239" t="s">
        <v>1515</v>
      </c>
      <c r="G653" s="241">
        <v>0</v>
      </c>
      <c r="H653" s="241">
        <v>39550880</v>
      </c>
      <c r="I653" s="241">
        <v>0</v>
      </c>
      <c r="J653" s="241">
        <v>39550880</v>
      </c>
    </row>
    <row r="654" spans="1:10" ht="25.5">
      <c r="A654" s="239" t="s">
        <v>1289</v>
      </c>
      <c r="B654" s="239" t="s">
        <v>1599</v>
      </c>
      <c r="C654" s="239" t="s">
        <v>1517</v>
      </c>
      <c r="D654" s="239" t="s">
        <v>1600</v>
      </c>
      <c r="E654" s="240">
        <v>5</v>
      </c>
      <c r="F654" s="239" t="s">
        <v>1515</v>
      </c>
      <c r="G654" s="241">
        <v>0</v>
      </c>
      <c r="H654" s="241">
        <v>5000000</v>
      </c>
      <c r="I654" s="241">
        <v>0</v>
      </c>
      <c r="J654" s="241">
        <v>5000000</v>
      </c>
    </row>
    <row r="655" spans="1:10">
      <c r="A655" s="239" t="s">
        <v>1292</v>
      </c>
      <c r="B655" s="239"/>
      <c r="C655" s="239"/>
      <c r="D655" s="239" t="s">
        <v>450</v>
      </c>
      <c r="E655" s="240">
        <v>3</v>
      </c>
      <c r="F655" s="239" t="s">
        <v>1515</v>
      </c>
      <c r="G655" s="241">
        <v>0</v>
      </c>
      <c r="H655" s="241">
        <v>3494100</v>
      </c>
      <c r="I655" s="241">
        <v>653000</v>
      </c>
      <c r="J655" s="241">
        <v>2841100</v>
      </c>
    </row>
    <row r="656" spans="1:10">
      <c r="A656" s="239" t="s">
        <v>1297</v>
      </c>
      <c r="B656" s="239"/>
      <c r="C656" s="239"/>
      <c r="D656" s="239" t="s">
        <v>1298</v>
      </c>
      <c r="E656" s="240">
        <v>4</v>
      </c>
      <c r="F656" s="239" t="s">
        <v>1515</v>
      </c>
      <c r="G656" s="241">
        <v>0</v>
      </c>
      <c r="H656" s="241">
        <v>3457100</v>
      </c>
      <c r="I656" s="241">
        <v>653000</v>
      </c>
      <c r="J656" s="241">
        <v>2804100</v>
      </c>
    </row>
    <row r="657" spans="1:10">
      <c r="A657" s="239" t="s">
        <v>1299</v>
      </c>
      <c r="B657" s="239"/>
      <c r="C657" s="239"/>
      <c r="D657" s="239" t="s">
        <v>1300</v>
      </c>
      <c r="E657" s="240">
        <v>5</v>
      </c>
      <c r="F657" s="239" t="s">
        <v>1515</v>
      </c>
      <c r="G657" s="241">
        <v>0</v>
      </c>
      <c r="H657" s="241">
        <v>1480200</v>
      </c>
      <c r="I657" s="241">
        <v>0</v>
      </c>
      <c r="J657" s="241">
        <v>1480200</v>
      </c>
    </row>
    <row r="658" spans="1:10" ht="25.5">
      <c r="A658" s="239" t="s">
        <v>1299</v>
      </c>
      <c r="B658" s="239" t="s">
        <v>1565</v>
      </c>
      <c r="C658" s="239" t="s">
        <v>1517</v>
      </c>
      <c r="D658" s="239" t="s">
        <v>1566</v>
      </c>
      <c r="E658" s="240">
        <v>5</v>
      </c>
      <c r="F658" s="239" t="s">
        <v>1515</v>
      </c>
      <c r="G658" s="241">
        <v>0</v>
      </c>
      <c r="H658" s="241">
        <v>1480200</v>
      </c>
      <c r="I658" s="241">
        <v>0</v>
      </c>
      <c r="J658" s="241">
        <v>1480200</v>
      </c>
    </row>
    <row r="659" spans="1:10">
      <c r="A659" s="239" t="s">
        <v>1302</v>
      </c>
      <c r="B659" s="239"/>
      <c r="C659" s="239"/>
      <c r="D659" s="239" t="s">
        <v>1303</v>
      </c>
      <c r="E659" s="240">
        <v>5</v>
      </c>
      <c r="F659" s="239" t="s">
        <v>1515</v>
      </c>
      <c r="G659" s="241">
        <v>0</v>
      </c>
      <c r="H659" s="241">
        <v>1976900</v>
      </c>
      <c r="I659" s="241">
        <v>653000</v>
      </c>
      <c r="J659" s="241">
        <v>1323900</v>
      </c>
    </row>
    <row r="660" spans="1:10" ht="25.5">
      <c r="A660" s="239" t="s">
        <v>1302</v>
      </c>
      <c r="B660" s="239" t="s">
        <v>1565</v>
      </c>
      <c r="C660" s="239" t="s">
        <v>1517</v>
      </c>
      <c r="D660" s="239" t="s">
        <v>1566</v>
      </c>
      <c r="E660" s="240">
        <v>5</v>
      </c>
      <c r="F660" s="239" t="s">
        <v>1515</v>
      </c>
      <c r="G660" s="241">
        <v>0</v>
      </c>
      <c r="H660" s="241">
        <v>1939900</v>
      </c>
      <c r="I660" s="241">
        <v>653000</v>
      </c>
      <c r="J660" s="241">
        <v>1286900</v>
      </c>
    </row>
    <row r="661" spans="1:10" ht="25.5">
      <c r="A661" s="239" t="s">
        <v>1302</v>
      </c>
      <c r="B661" s="239" t="s">
        <v>1593</v>
      </c>
      <c r="C661" s="239" t="s">
        <v>1517</v>
      </c>
      <c r="D661" s="239" t="s">
        <v>1594</v>
      </c>
      <c r="E661" s="240">
        <v>5</v>
      </c>
      <c r="F661" s="239" t="s">
        <v>1515</v>
      </c>
      <c r="G661" s="241">
        <v>0</v>
      </c>
      <c r="H661" s="241">
        <v>37000</v>
      </c>
      <c r="I661" s="241">
        <v>0</v>
      </c>
      <c r="J661" s="241">
        <v>37000</v>
      </c>
    </row>
    <row r="662" spans="1:10">
      <c r="A662" s="239" t="s">
        <v>1311</v>
      </c>
      <c r="B662" s="239"/>
      <c r="C662" s="239"/>
      <c r="D662" s="239" t="s">
        <v>150</v>
      </c>
      <c r="E662" s="240">
        <v>4</v>
      </c>
      <c r="F662" s="239" t="s">
        <v>1515</v>
      </c>
      <c r="G662" s="241">
        <v>0</v>
      </c>
      <c r="H662" s="241">
        <v>37000</v>
      </c>
      <c r="I662" s="241">
        <v>0</v>
      </c>
      <c r="J662" s="241">
        <v>37000</v>
      </c>
    </row>
    <row r="663" spans="1:10">
      <c r="A663" s="239" t="s">
        <v>1742</v>
      </c>
      <c r="B663" s="239"/>
      <c r="C663" s="239"/>
      <c r="D663" s="239" t="s">
        <v>1743</v>
      </c>
      <c r="E663" s="240">
        <v>5</v>
      </c>
      <c r="F663" s="239" t="s">
        <v>1515</v>
      </c>
      <c r="G663" s="241">
        <v>0</v>
      </c>
      <c r="H663" s="241">
        <v>37000</v>
      </c>
      <c r="I663" s="241">
        <v>0</v>
      </c>
      <c r="J663" s="241">
        <v>37000</v>
      </c>
    </row>
    <row r="664" spans="1:10" ht="25.5">
      <c r="A664" s="239" t="s">
        <v>1742</v>
      </c>
      <c r="B664" s="239" t="s">
        <v>1593</v>
      </c>
      <c r="C664" s="239" t="s">
        <v>1517</v>
      </c>
      <c r="D664" s="239" t="s">
        <v>1594</v>
      </c>
      <c r="E664" s="240">
        <v>5</v>
      </c>
      <c r="F664" s="239" t="s">
        <v>1515</v>
      </c>
      <c r="G664" s="241">
        <v>0</v>
      </c>
      <c r="H664" s="241">
        <v>37000</v>
      </c>
      <c r="I664" s="241">
        <v>0</v>
      </c>
      <c r="J664" s="241">
        <v>37000</v>
      </c>
    </row>
    <row r="665" spans="1:10">
      <c r="A665" s="239" t="s">
        <v>1333</v>
      </c>
      <c r="B665" s="239"/>
      <c r="C665" s="239"/>
      <c r="D665" s="239" t="s">
        <v>1334</v>
      </c>
      <c r="E665" s="240">
        <v>3</v>
      </c>
      <c r="F665" s="239" t="s">
        <v>1515</v>
      </c>
      <c r="G665" s="241">
        <v>0</v>
      </c>
      <c r="H665" s="241">
        <v>266000</v>
      </c>
      <c r="I665" s="241">
        <v>0</v>
      </c>
      <c r="J665" s="241">
        <v>266000</v>
      </c>
    </row>
    <row r="666" spans="1:10">
      <c r="A666" s="239" t="s">
        <v>1744</v>
      </c>
      <c r="B666" s="239"/>
      <c r="C666" s="239"/>
      <c r="D666" s="239" t="s">
        <v>1745</v>
      </c>
      <c r="E666" s="240">
        <v>4</v>
      </c>
      <c r="F666" s="239" t="s">
        <v>1515</v>
      </c>
      <c r="G666" s="241">
        <v>0</v>
      </c>
      <c r="H666" s="241">
        <v>266000</v>
      </c>
      <c r="I666" s="241">
        <v>0</v>
      </c>
      <c r="J666" s="241">
        <v>266000</v>
      </c>
    </row>
    <row r="667" spans="1:10">
      <c r="A667" s="239" t="s">
        <v>1746</v>
      </c>
      <c r="B667" s="239"/>
      <c r="C667" s="239"/>
      <c r="D667" s="239" t="s">
        <v>1747</v>
      </c>
      <c r="E667" s="240">
        <v>5</v>
      </c>
      <c r="F667" s="239" t="s">
        <v>1515</v>
      </c>
      <c r="G667" s="241">
        <v>0</v>
      </c>
      <c r="H667" s="241">
        <v>266000</v>
      </c>
      <c r="I667" s="241">
        <v>0</v>
      </c>
      <c r="J667" s="241">
        <v>266000</v>
      </c>
    </row>
    <row r="668" spans="1:10" ht="25.5">
      <c r="A668" s="239" t="s">
        <v>1746</v>
      </c>
      <c r="B668" s="239" t="s">
        <v>1611</v>
      </c>
      <c r="C668" s="239" t="s">
        <v>1517</v>
      </c>
      <c r="D668" s="239" t="s">
        <v>1612</v>
      </c>
      <c r="E668" s="240">
        <v>5</v>
      </c>
      <c r="F668" s="239" t="s">
        <v>1515</v>
      </c>
      <c r="G668" s="241">
        <v>0</v>
      </c>
      <c r="H668" s="241">
        <v>266000</v>
      </c>
      <c r="I668" s="241">
        <v>0</v>
      </c>
      <c r="J668" s="241">
        <v>266000</v>
      </c>
    </row>
    <row r="669" spans="1:10">
      <c r="A669" s="239" t="s">
        <v>1359</v>
      </c>
      <c r="B669" s="239"/>
      <c r="C669" s="239"/>
      <c r="D669" s="239" t="s">
        <v>1360</v>
      </c>
      <c r="E669" s="240">
        <v>3</v>
      </c>
      <c r="F669" s="239" t="s">
        <v>1515</v>
      </c>
      <c r="G669" s="241">
        <v>0</v>
      </c>
      <c r="H669" s="241">
        <v>21126660</v>
      </c>
      <c r="I669" s="241">
        <v>0</v>
      </c>
      <c r="J669" s="241">
        <v>21126660</v>
      </c>
    </row>
    <row r="670" spans="1:10" ht="25.5">
      <c r="A670" s="239" t="s">
        <v>1364</v>
      </c>
      <c r="B670" s="239"/>
      <c r="C670" s="239"/>
      <c r="D670" s="239" t="s">
        <v>392</v>
      </c>
      <c r="E670" s="240">
        <v>4</v>
      </c>
      <c r="F670" s="239" t="s">
        <v>1515</v>
      </c>
      <c r="G670" s="241">
        <v>0</v>
      </c>
      <c r="H670" s="241">
        <v>21126660</v>
      </c>
      <c r="I670" s="241">
        <v>0</v>
      </c>
      <c r="J670" s="241">
        <v>21126660</v>
      </c>
    </row>
    <row r="671" spans="1:10">
      <c r="A671" s="239" t="s">
        <v>1365</v>
      </c>
      <c r="B671" s="239"/>
      <c r="C671" s="239"/>
      <c r="D671" s="239" t="s">
        <v>416</v>
      </c>
      <c r="E671" s="240">
        <v>5</v>
      </c>
      <c r="F671" s="239" t="s">
        <v>1515</v>
      </c>
      <c r="G671" s="241">
        <v>0</v>
      </c>
      <c r="H671" s="241">
        <v>19161144</v>
      </c>
      <c r="I671" s="241">
        <v>0</v>
      </c>
      <c r="J671" s="241">
        <v>19161144</v>
      </c>
    </row>
    <row r="672" spans="1:10" ht="25.5">
      <c r="A672" s="239" t="s">
        <v>1365</v>
      </c>
      <c r="B672" s="239" t="s">
        <v>1516</v>
      </c>
      <c r="C672" s="239" t="s">
        <v>1517</v>
      </c>
      <c r="D672" s="239" t="s">
        <v>1518</v>
      </c>
      <c r="E672" s="240">
        <v>5</v>
      </c>
      <c r="F672" s="239" t="s">
        <v>1515</v>
      </c>
      <c r="G672" s="241">
        <v>0</v>
      </c>
      <c r="H672" s="241">
        <v>19161144</v>
      </c>
      <c r="I672" s="241">
        <v>0</v>
      </c>
      <c r="J672" s="241">
        <v>19161144</v>
      </c>
    </row>
    <row r="673" spans="1:10">
      <c r="A673" s="239" t="s">
        <v>1368</v>
      </c>
      <c r="B673" s="239"/>
      <c r="C673" s="239"/>
      <c r="D673" s="239" t="s">
        <v>404</v>
      </c>
      <c r="E673" s="240">
        <v>5</v>
      </c>
      <c r="F673" s="239" t="s">
        <v>1515</v>
      </c>
      <c r="G673" s="241">
        <v>0</v>
      </c>
      <c r="H673" s="241">
        <v>1965516</v>
      </c>
      <c r="I673" s="241">
        <v>0</v>
      </c>
      <c r="J673" s="241">
        <v>1965516</v>
      </c>
    </row>
    <row r="674" spans="1:10" ht="25.5">
      <c r="A674" s="239" t="s">
        <v>1368</v>
      </c>
      <c r="B674" s="239" t="s">
        <v>1516</v>
      </c>
      <c r="C674" s="239" t="s">
        <v>1517</v>
      </c>
      <c r="D674" s="239" t="s">
        <v>1518</v>
      </c>
      <c r="E674" s="240">
        <v>5</v>
      </c>
      <c r="F674" s="239" t="s">
        <v>1515</v>
      </c>
      <c r="G674" s="241">
        <v>0</v>
      </c>
      <c r="H674" s="241">
        <v>1965516</v>
      </c>
      <c r="I674" s="241">
        <v>0</v>
      </c>
      <c r="J674" s="241">
        <v>1965516</v>
      </c>
    </row>
    <row r="675" spans="1:10">
      <c r="A675" s="239" t="s">
        <v>1388</v>
      </c>
      <c r="B675" s="239"/>
      <c r="C675" s="239"/>
      <c r="D675" s="239" t="s">
        <v>1389</v>
      </c>
      <c r="E675" s="240">
        <v>3</v>
      </c>
      <c r="F675" s="239" t="s">
        <v>1515</v>
      </c>
      <c r="G675" s="241">
        <v>0</v>
      </c>
      <c r="H675" s="241">
        <v>5001345</v>
      </c>
      <c r="I675" s="241">
        <v>0</v>
      </c>
      <c r="J675" s="241">
        <v>5001345</v>
      </c>
    </row>
    <row r="676" spans="1:10">
      <c r="A676" s="239" t="s">
        <v>1390</v>
      </c>
      <c r="B676" s="239"/>
      <c r="C676" s="239"/>
      <c r="D676" s="239" t="s">
        <v>1391</v>
      </c>
      <c r="E676" s="240">
        <v>4</v>
      </c>
      <c r="F676" s="239" t="s">
        <v>1515</v>
      </c>
      <c r="G676" s="241">
        <v>0</v>
      </c>
      <c r="H676" s="241">
        <v>5001345</v>
      </c>
      <c r="I676" s="241">
        <v>0</v>
      </c>
      <c r="J676" s="241">
        <v>5001345</v>
      </c>
    </row>
    <row r="677" spans="1:10">
      <c r="A677" s="239" t="s">
        <v>1394</v>
      </c>
      <c r="B677" s="239"/>
      <c r="C677" s="239"/>
      <c r="D677" s="239" t="s">
        <v>1395</v>
      </c>
      <c r="E677" s="240">
        <v>5</v>
      </c>
      <c r="F677" s="239" t="s">
        <v>1515</v>
      </c>
      <c r="G677" s="241">
        <v>0</v>
      </c>
      <c r="H677" s="241">
        <v>551395</v>
      </c>
      <c r="I677" s="241">
        <v>0</v>
      </c>
      <c r="J677" s="241">
        <v>551395</v>
      </c>
    </row>
    <row r="678" spans="1:10" ht="25.5">
      <c r="A678" s="239" t="s">
        <v>1394</v>
      </c>
      <c r="B678" s="239" t="s">
        <v>1595</v>
      </c>
      <c r="C678" s="239" t="s">
        <v>1517</v>
      </c>
      <c r="D678" s="239" t="s">
        <v>1596</v>
      </c>
      <c r="E678" s="240">
        <v>5</v>
      </c>
      <c r="F678" s="239" t="s">
        <v>1515</v>
      </c>
      <c r="G678" s="241">
        <v>0</v>
      </c>
      <c r="H678" s="241">
        <v>172261</v>
      </c>
      <c r="I678" s="241">
        <v>0</v>
      </c>
      <c r="J678" s="241">
        <v>172261</v>
      </c>
    </row>
    <row r="679" spans="1:10" ht="25.5">
      <c r="A679" s="239" t="s">
        <v>1394</v>
      </c>
      <c r="B679" s="239" t="s">
        <v>1609</v>
      </c>
      <c r="C679" s="239" t="s">
        <v>1517</v>
      </c>
      <c r="D679" s="239" t="s">
        <v>1610</v>
      </c>
      <c r="E679" s="240">
        <v>5</v>
      </c>
      <c r="F679" s="239" t="s">
        <v>1515</v>
      </c>
      <c r="G679" s="241">
        <v>0</v>
      </c>
      <c r="H679" s="241">
        <v>379134</v>
      </c>
      <c r="I679" s="241">
        <v>0</v>
      </c>
      <c r="J679" s="241">
        <v>379134</v>
      </c>
    </row>
    <row r="680" spans="1:10">
      <c r="A680" s="239" t="s">
        <v>1396</v>
      </c>
      <c r="B680" s="239"/>
      <c r="C680" s="239"/>
      <c r="D680" s="239" t="s">
        <v>1397</v>
      </c>
      <c r="E680" s="240">
        <v>5</v>
      </c>
      <c r="F680" s="239" t="s">
        <v>1515</v>
      </c>
      <c r="G680" s="241">
        <v>0</v>
      </c>
      <c r="H680" s="241">
        <v>4449950</v>
      </c>
      <c r="I680" s="241">
        <v>0</v>
      </c>
      <c r="J680" s="241">
        <v>4449950</v>
      </c>
    </row>
    <row r="681" spans="1:10" ht="25.5">
      <c r="A681" s="239" t="s">
        <v>1396</v>
      </c>
      <c r="B681" s="239" t="s">
        <v>1553</v>
      </c>
      <c r="C681" s="239" t="s">
        <v>1517</v>
      </c>
      <c r="D681" s="239" t="s">
        <v>1554</v>
      </c>
      <c r="E681" s="240">
        <v>5</v>
      </c>
      <c r="F681" s="239" t="s">
        <v>1515</v>
      </c>
      <c r="G681" s="241">
        <v>0</v>
      </c>
      <c r="H681" s="241">
        <v>4360000</v>
      </c>
      <c r="I681" s="241">
        <v>0</v>
      </c>
      <c r="J681" s="241">
        <v>4360000</v>
      </c>
    </row>
    <row r="682" spans="1:10" ht="25.5">
      <c r="A682" s="239" t="s">
        <v>1396</v>
      </c>
      <c r="B682" s="239" t="s">
        <v>1587</v>
      </c>
      <c r="C682" s="239" t="s">
        <v>1517</v>
      </c>
      <c r="D682" s="239" t="s">
        <v>1588</v>
      </c>
      <c r="E682" s="240">
        <v>5</v>
      </c>
      <c r="F682" s="239" t="s">
        <v>1515</v>
      </c>
      <c r="G682" s="241">
        <v>0</v>
      </c>
      <c r="H682" s="241">
        <v>89950</v>
      </c>
      <c r="I682" s="241">
        <v>0</v>
      </c>
      <c r="J682" s="241">
        <v>89950</v>
      </c>
    </row>
    <row r="683" spans="1:10">
      <c r="A683" s="239" t="s">
        <v>1403</v>
      </c>
      <c r="B683" s="239"/>
      <c r="C683" s="239"/>
      <c r="D683" s="239" t="s">
        <v>1404</v>
      </c>
      <c r="E683" s="240">
        <v>3</v>
      </c>
      <c r="F683" s="239" t="s">
        <v>1515</v>
      </c>
      <c r="G683" s="241">
        <v>0</v>
      </c>
      <c r="H683" s="241">
        <v>58445788</v>
      </c>
      <c r="I683" s="241">
        <v>0</v>
      </c>
      <c r="J683" s="241">
        <v>58445788</v>
      </c>
    </row>
    <row r="684" spans="1:10">
      <c r="A684" s="239" t="s">
        <v>1410</v>
      </c>
      <c r="B684" s="239"/>
      <c r="C684" s="239"/>
      <c r="D684" s="239" t="s">
        <v>547</v>
      </c>
      <c r="E684" s="240">
        <v>4</v>
      </c>
      <c r="F684" s="239" t="s">
        <v>1515</v>
      </c>
      <c r="G684" s="241">
        <v>0</v>
      </c>
      <c r="H684" s="241">
        <v>56218759</v>
      </c>
      <c r="I684" s="241">
        <v>0</v>
      </c>
      <c r="J684" s="241">
        <v>56218759</v>
      </c>
    </row>
    <row r="685" spans="1:10">
      <c r="A685" s="239" t="s">
        <v>1411</v>
      </c>
      <c r="B685" s="239"/>
      <c r="C685" s="239"/>
      <c r="D685" s="239" t="s">
        <v>1412</v>
      </c>
      <c r="E685" s="240">
        <v>5</v>
      </c>
      <c r="F685" s="239" t="s">
        <v>1515</v>
      </c>
      <c r="G685" s="241">
        <v>0</v>
      </c>
      <c r="H685" s="241">
        <v>23460653</v>
      </c>
      <c r="I685" s="241">
        <v>0</v>
      </c>
      <c r="J685" s="241">
        <v>23460653</v>
      </c>
    </row>
    <row r="686" spans="1:10" ht="25.5">
      <c r="A686" s="239" t="s">
        <v>1411</v>
      </c>
      <c r="B686" s="239" t="s">
        <v>1551</v>
      </c>
      <c r="C686" s="239" t="s">
        <v>1517</v>
      </c>
      <c r="D686" s="239" t="s">
        <v>1552</v>
      </c>
      <c r="E686" s="240">
        <v>5</v>
      </c>
      <c r="F686" s="239" t="s">
        <v>1515</v>
      </c>
      <c r="G686" s="241">
        <v>0</v>
      </c>
      <c r="H686" s="241">
        <v>2301500</v>
      </c>
      <c r="I686" s="241">
        <v>0</v>
      </c>
      <c r="J686" s="241">
        <v>2301500</v>
      </c>
    </row>
    <row r="687" spans="1:10" ht="25.5">
      <c r="A687" s="239" t="s">
        <v>1411</v>
      </c>
      <c r="B687" s="239" t="s">
        <v>1563</v>
      </c>
      <c r="C687" s="239" t="s">
        <v>1517</v>
      </c>
      <c r="D687" s="239" t="s">
        <v>1564</v>
      </c>
      <c r="E687" s="240">
        <v>5</v>
      </c>
      <c r="F687" s="239" t="s">
        <v>1515</v>
      </c>
      <c r="G687" s="241">
        <v>0</v>
      </c>
      <c r="H687" s="241">
        <v>19261942</v>
      </c>
      <c r="I687" s="241">
        <v>0</v>
      </c>
      <c r="J687" s="241">
        <v>19261942</v>
      </c>
    </row>
    <row r="688" spans="1:10" ht="25.5">
      <c r="A688" s="239" t="s">
        <v>1411</v>
      </c>
      <c r="B688" s="239" t="s">
        <v>1639</v>
      </c>
      <c r="C688" s="239" t="s">
        <v>1517</v>
      </c>
      <c r="D688" s="239" t="s">
        <v>1640</v>
      </c>
      <c r="E688" s="240">
        <v>5</v>
      </c>
      <c r="F688" s="239" t="s">
        <v>1515</v>
      </c>
      <c r="G688" s="241">
        <v>0</v>
      </c>
      <c r="H688" s="241">
        <v>546711</v>
      </c>
      <c r="I688" s="241">
        <v>0</v>
      </c>
      <c r="J688" s="241">
        <v>546711</v>
      </c>
    </row>
    <row r="689" spans="1:10" ht="25.5">
      <c r="A689" s="239" t="s">
        <v>1411</v>
      </c>
      <c r="B689" s="239" t="s">
        <v>1611</v>
      </c>
      <c r="C689" s="239" t="s">
        <v>1517</v>
      </c>
      <c r="D689" s="239" t="s">
        <v>1612</v>
      </c>
      <c r="E689" s="240">
        <v>5</v>
      </c>
      <c r="F689" s="239" t="s">
        <v>1515</v>
      </c>
      <c r="G689" s="241">
        <v>0</v>
      </c>
      <c r="H689" s="241">
        <v>1350500</v>
      </c>
      <c r="I689" s="241">
        <v>0</v>
      </c>
      <c r="J689" s="241">
        <v>1350500</v>
      </c>
    </row>
    <row r="690" spans="1:10">
      <c r="A690" s="239" t="s">
        <v>1413</v>
      </c>
      <c r="B690" s="239"/>
      <c r="C690" s="239"/>
      <c r="D690" s="239" t="s">
        <v>1414</v>
      </c>
      <c r="E690" s="240">
        <v>5</v>
      </c>
      <c r="F690" s="239" t="s">
        <v>1515</v>
      </c>
      <c r="G690" s="241">
        <v>0</v>
      </c>
      <c r="H690" s="241">
        <v>32758106</v>
      </c>
      <c r="I690" s="241">
        <v>0</v>
      </c>
      <c r="J690" s="241">
        <v>32758106</v>
      </c>
    </row>
    <row r="691" spans="1:10" ht="25.5">
      <c r="A691" s="239" t="s">
        <v>1413</v>
      </c>
      <c r="B691" s="239" t="s">
        <v>1563</v>
      </c>
      <c r="C691" s="239" t="s">
        <v>1517</v>
      </c>
      <c r="D691" s="239" t="s">
        <v>1564</v>
      </c>
      <c r="E691" s="240">
        <v>5</v>
      </c>
      <c r="F691" s="239" t="s">
        <v>1515</v>
      </c>
      <c r="G691" s="241">
        <v>0</v>
      </c>
      <c r="H691" s="241">
        <v>28505128</v>
      </c>
      <c r="I691" s="241">
        <v>0</v>
      </c>
      <c r="J691" s="241">
        <v>28505128</v>
      </c>
    </row>
    <row r="692" spans="1:10" ht="25.5">
      <c r="A692" s="239" t="s">
        <v>1413</v>
      </c>
      <c r="B692" s="239" t="s">
        <v>1577</v>
      </c>
      <c r="C692" s="239" t="s">
        <v>1517</v>
      </c>
      <c r="D692" s="239" t="s">
        <v>1578</v>
      </c>
      <c r="E692" s="240">
        <v>5</v>
      </c>
      <c r="F692" s="239" t="s">
        <v>1515</v>
      </c>
      <c r="G692" s="241">
        <v>0</v>
      </c>
      <c r="H692" s="241">
        <v>2757074</v>
      </c>
      <c r="I692" s="241">
        <v>0</v>
      </c>
      <c r="J692" s="241">
        <v>2757074</v>
      </c>
    </row>
    <row r="693" spans="1:10" ht="25.5">
      <c r="A693" s="239" t="s">
        <v>1413</v>
      </c>
      <c r="B693" s="239" t="s">
        <v>1597</v>
      </c>
      <c r="C693" s="239" t="s">
        <v>1517</v>
      </c>
      <c r="D693" s="239" t="s">
        <v>1598</v>
      </c>
      <c r="E693" s="240">
        <v>5</v>
      </c>
      <c r="F693" s="239" t="s">
        <v>1515</v>
      </c>
      <c r="G693" s="241">
        <v>0</v>
      </c>
      <c r="H693" s="241">
        <v>1284000</v>
      </c>
      <c r="I693" s="241">
        <v>0</v>
      </c>
      <c r="J693" s="241">
        <v>1284000</v>
      </c>
    </row>
    <row r="694" spans="1:10" ht="25.5">
      <c r="A694" s="239" t="s">
        <v>1413</v>
      </c>
      <c r="B694" s="239" t="s">
        <v>1603</v>
      </c>
      <c r="C694" s="239" t="s">
        <v>1517</v>
      </c>
      <c r="D694" s="239" t="s">
        <v>1604</v>
      </c>
      <c r="E694" s="240">
        <v>5</v>
      </c>
      <c r="F694" s="239" t="s">
        <v>1515</v>
      </c>
      <c r="G694" s="241">
        <v>0</v>
      </c>
      <c r="H694" s="241">
        <v>211904</v>
      </c>
      <c r="I694" s="241">
        <v>0</v>
      </c>
      <c r="J694" s="241">
        <v>211904</v>
      </c>
    </row>
    <row r="695" spans="1:10">
      <c r="A695" s="239" t="s">
        <v>1415</v>
      </c>
      <c r="B695" s="239"/>
      <c r="C695" s="239"/>
      <c r="D695" s="239" t="s">
        <v>1416</v>
      </c>
      <c r="E695" s="240">
        <v>4</v>
      </c>
      <c r="F695" s="239" t="s">
        <v>1515</v>
      </c>
      <c r="G695" s="241">
        <v>0</v>
      </c>
      <c r="H695" s="241">
        <v>2227029</v>
      </c>
      <c r="I695" s="241">
        <v>0</v>
      </c>
      <c r="J695" s="241">
        <v>2227029</v>
      </c>
    </row>
    <row r="696" spans="1:10">
      <c r="A696" s="239" t="s">
        <v>1417</v>
      </c>
      <c r="B696" s="239"/>
      <c r="C696" s="239"/>
      <c r="D696" s="239" t="s">
        <v>1418</v>
      </c>
      <c r="E696" s="240">
        <v>5</v>
      </c>
      <c r="F696" s="239" t="s">
        <v>1515</v>
      </c>
      <c r="G696" s="241">
        <v>0</v>
      </c>
      <c r="H696" s="241">
        <v>2227029</v>
      </c>
      <c r="I696" s="241">
        <v>0</v>
      </c>
      <c r="J696" s="241">
        <v>2227029</v>
      </c>
    </row>
    <row r="697" spans="1:10" ht="25.5">
      <c r="A697" s="239" t="s">
        <v>1417</v>
      </c>
      <c r="B697" s="239" t="s">
        <v>1607</v>
      </c>
      <c r="C697" s="239" t="s">
        <v>1517</v>
      </c>
      <c r="D697" s="239" t="s">
        <v>1608</v>
      </c>
      <c r="E697" s="240">
        <v>5</v>
      </c>
      <c r="F697" s="239" t="s">
        <v>1515</v>
      </c>
      <c r="G697" s="241">
        <v>0</v>
      </c>
      <c r="H697" s="241">
        <v>2227029</v>
      </c>
      <c r="I697" s="241">
        <v>0</v>
      </c>
      <c r="J697" s="241">
        <v>2227029</v>
      </c>
    </row>
    <row r="698" spans="1:10">
      <c r="A698" s="239" t="s">
        <v>1457</v>
      </c>
      <c r="B698" s="239"/>
      <c r="C698" s="239"/>
      <c r="D698" s="239" t="s">
        <v>1034</v>
      </c>
      <c r="E698" s="240">
        <v>2</v>
      </c>
      <c r="F698" s="239" t="s">
        <v>1515</v>
      </c>
      <c r="G698" s="241">
        <v>0</v>
      </c>
      <c r="H698" s="241">
        <v>37218992.630000003</v>
      </c>
      <c r="I698" s="241">
        <v>1801292.85</v>
      </c>
      <c r="J698" s="241">
        <v>35417699.780000001</v>
      </c>
    </row>
    <row r="699" spans="1:10">
      <c r="A699" s="239" t="s">
        <v>1458</v>
      </c>
      <c r="B699" s="239"/>
      <c r="C699" s="239"/>
      <c r="D699" s="239" t="s">
        <v>1036</v>
      </c>
      <c r="E699" s="240">
        <v>3</v>
      </c>
      <c r="F699" s="239" t="s">
        <v>1515</v>
      </c>
      <c r="G699" s="241">
        <v>0</v>
      </c>
      <c r="H699" s="241">
        <v>32804101.699999999</v>
      </c>
      <c r="I699" s="241">
        <v>1801292.85</v>
      </c>
      <c r="J699" s="241">
        <v>31002808.850000001</v>
      </c>
    </row>
    <row r="700" spans="1:10">
      <c r="A700" s="239" t="s">
        <v>1459</v>
      </c>
      <c r="B700" s="239"/>
      <c r="C700" s="239"/>
      <c r="D700" s="239" t="s">
        <v>1460</v>
      </c>
      <c r="E700" s="240">
        <v>4</v>
      </c>
      <c r="F700" s="239" t="s">
        <v>1515</v>
      </c>
      <c r="G700" s="241">
        <v>0</v>
      </c>
      <c r="H700" s="241">
        <v>2452803.52</v>
      </c>
      <c r="I700" s="241">
        <v>0</v>
      </c>
      <c r="J700" s="241">
        <v>2452803.52</v>
      </c>
    </row>
    <row r="701" spans="1:10">
      <c r="A701" s="239" t="s">
        <v>1461</v>
      </c>
      <c r="B701" s="239"/>
      <c r="C701" s="239"/>
      <c r="D701" s="239" t="s">
        <v>1462</v>
      </c>
      <c r="E701" s="240">
        <v>5</v>
      </c>
      <c r="F701" s="239" t="s">
        <v>1515</v>
      </c>
      <c r="G701" s="241">
        <v>0</v>
      </c>
      <c r="H701" s="241">
        <v>830400</v>
      </c>
      <c r="I701" s="241">
        <v>0</v>
      </c>
      <c r="J701" s="241">
        <v>830400</v>
      </c>
    </row>
    <row r="702" spans="1:10" ht="25.5">
      <c r="A702" s="239" t="s">
        <v>1461</v>
      </c>
      <c r="B702" s="239" t="s">
        <v>1579</v>
      </c>
      <c r="C702" s="239" t="s">
        <v>1517</v>
      </c>
      <c r="D702" s="239" t="s">
        <v>1580</v>
      </c>
      <c r="E702" s="240">
        <v>5</v>
      </c>
      <c r="F702" s="239" t="s">
        <v>1515</v>
      </c>
      <c r="G702" s="241">
        <v>0</v>
      </c>
      <c r="H702" s="241">
        <v>830400</v>
      </c>
      <c r="I702" s="241">
        <v>0</v>
      </c>
      <c r="J702" s="241">
        <v>830400</v>
      </c>
    </row>
    <row r="703" spans="1:10">
      <c r="A703" s="239" t="s">
        <v>1464</v>
      </c>
      <c r="B703" s="239"/>
      <c r="C703" s="239"/>
      <c r="D703" s="239" t="s">
        <v>1465</v>
      </c>
      <c r="E703" s="240">
        <v>5</v>
      </c>
      <c r="F703" s="239" t="s">
        <v>1515</v>
      </c>
      <c r="G703" s="241">
        <v>0</v>
      </c>
      <c r="H703" s="241">
        <v>157080</v>
      </c>
      <c r="I703" s="241">
        <v>0</v>
      </c>
      <c r="J703" s="241">
        <v>157080</v>
      </c>
    </row>
    <row r="704" spans="1:10" ht="25.5">
      <c r="A704" s="239" t="s">
        <v>1464</v>
      </c>
      <c r="B704" s="239" t="s">
        <v>1579</v>
      </c>
      <c r="C704" s="239" t="s">
        <v>1517</v>
      </c>
      <c r="D704" s="239" t="s">
        <v>1580</v>
      </c>
      <c r="E704" s="240">
        <v>5</v>
      </c>
      <c r="F704" s="239" t="s">
        <v>1515</v>
      </c>
      <c r="G704" s="241">
        <v>0</v>
      </c>
      <c r="H704" s="241">
        <v>157080</v>
      </c>
      <c r="I704" s="241">
        <v>0</v>
      </c>
      <c r="J704" s="241">
        <v>157080</v>
      </c>
    </row>
    <row r="705" spans="1:10">
      <c r="A705" s="239" t="s">
        <v>1467</v>
      </c>
      <c r="B705" s="239"/>
      <c r="C705" s="239"/>
      <c r="D705" s="239" t="s">
        <v>1468</v>
      </c>
      <c r="E705" s="240">
        <v>5</v>
      </c>
      <c r="F705" s="239" t="s">
        <v>1515</v>
      </c>
      <c r="G705" s="241">
        <v>0</v>
      </c>
      <c r="H705" s="241">
        <v>1465323.52</v>
      </c>
      <c r="I705" s="241">
        <v>0</v>
      </c>
      <c r="J705" s="241">
        <v>1465323.52</v>
      </c>
    </row>
    <row r="706" spans="1:10" ht="25.5">
      <c r="A706" s="239" t="s">
        <v>1467</v>
      </c>
      <c r="B706" s="239" t="s">
        <v>1579</v>
      </c>
      <c r="C706" s="239" t="s">
        <v>1517</v>
      </c>
      <c r="D706" s="239" t="s">
        <v>1580</v>
      </c>
      <c r="E706" s="240">
        <v>5</v>
      </c>
      <c r="F706" s="239" t="s">
        <v>1515</v>
      </c>
      <c r="G706" s="241">
        <v>0</v>
      </c>
      <c r="H706" s="241">
        <v>1465323.52</v>
      </c>
      <c r="I706" s="241">
        <v>0</v>
      </c>
      <c r="J706" s="241">
        <v>1465323.52</v>
      </c>
    </row>
    <row r="707" spans="1:10">
      <c r="A707" s="239" t="s">
        <v>1471</v>
      </c>
      <c r="B707" s="239"/>
      <c r="C707" s="239"/>
      <c r="D707" s="239" t="s">
        <v>211</v>
      </c>
      <c r="E707" s="240">
        <v>4</v>
      </c>
      <c r="F707" s="239" t="s">
        <v>1515</v>
      </c>
      <c r="G707" s="241">
        <v>0</v>
      </c>
      <c r="H707" s="241">
        <v>4011194.13</v>
      </c>
      <c r="I707" s="241">
        <v>0</v>
      </c>
      <c r="J707" s="241">
        <v>4011194.13</v>
      </c>
    </row>
    <row r="708" spans="1:10">
      <c r="A708" s="239" t="s">
        <v>1748</v>
      </c>
      <c r="B708" s="239"/>
      <c r="C708" s="239"/>
      <c r="D708" s="239" t="s">
        <v>1749</v>
      </c>
      <c r="E708" s="240">
        <v>5</v>
      </c>
      <c r="F708" s="239" t="s">
        <v>1515</v>
      </c>
      <c r="G708" s="241">
        <v>0</v>
      </c>
      <c r="H708" s="241">
        <v>123774.13</v>
      </c>
      <c r="I708" s="241">
        <v>0</v>
      </c>
      <c r="J708" s="241">
        <v>123774.13</v>
      </c>
    </row>
    <row r="709" spans="1:10" ht="25.5">
      <c r="A709" s="239" t="s">
        <v>1748</v>
      </c>
      <c r="B709" s="239" t="s">
        <v>1555</v>
      </c>
      <c r="C709" s="239" t="s">
        <v>1517</v>
      </c>
      <c r="D709" s="239" t="s">
        <v>1556</v>
      </c>
      <c r="E709" s="240">
        <v>5</v>
      </c>
      <c r="F709" s="239" t="s">
        <v>1515</v>
      </c>
      <c r="G709" s="241">
        <v>0</v>
      </c>
      <c r="H709" s="241">
        <v>254.13</v>
      </c>
      <c r="I709" s="241">
        <v>0</v>
      </c>
      <c r="J709" s="241">
        <v>254.13</v>
      </c>
    </row>
    <row r="710" spans="1:10" ht="25.5">
      <c r="A710" s="239" t="s">
        <v>1748</v>
      </c>
      <c r="B710" s="239" t="s">
        <v>1583</v>
      </c>
      <c r="C710" s="239" t="s">
        <v>1517</v>
      </c>
      <c r="D710" s="239" t="s">
        <v>1584</v>
      </c>
      <c r="E710" s="240">
        <v>5</v>
      </c>
      <c r="F710" s="239" t="s">
        <v>1515</v>
      </c>
      <c r="G710" s="241">
        <v>0</v>
      </c>
      <c r="H710" s="241">
        <v>11000</v>
      </c>
      <c r="I710" s="241">
        <v>0</v>
      </c>
      <c r="J710" s="241">
        <v>11000</v>
      </c>
    </row>
    <row r="711" spans="1:10" ht="25.5">
      <c r="A711" s="239" t="s">
        <v>1748</v>
      </c>
      <c r="B711" s="239" t="s">
        <v>1589</v>
      </c>
      <c r="C711" s="239" t="s">
        <v>1517</v>
      </c>
      <c r="D711" s="239" t="s">
        <v>1590</v>
      </c>
      <c r="E711" s="240">
        <v>5</v>
      </c>
      <c r="F711" s="239" t="s">
        <v>1515</v>
      </c>
      <c r="G711" s="241">
        <v>0</v>
      </c>
      <c r="H711" s="241">
        <v>112520</v>
      </c>
      <c r="I711" s="241">
        <v>0</v>
      </c>
      <c r="J711" s="241">
        <v>112520</v>
      </c>
    </row>
    <row r="712" spans="1:10">
      <c r="A712" s="239" t="s">
        <v>1750</v>
      </c>
      <c r="B712" s="239"/>
      <c r="C712" s="239"/>
      <c r="D712" s="239" t="s">
        <v>97</v>
      </c>
      <c r="E712" s="240">
        <v>5</v>
      </c>
      <c r="F712" s="239" t="s">
        <v>1515</v>
      </c>
      <c r="G712" s="241">
        <v>0</v>
      </c>
      <c r="H712" s="241">
        <v>3887420</v>
      </c>
      <c r="I712" s="241">
        <v>0</v>
      </c>
      <c r="J712" s="241">
        <v>3887420</v>
      </c>
    </row>
    <row r="713" spans="1:10" ht="25.5">
      <c r="A713" s="239" t="s">
        <v>1750</v>
      </c>
      <c r="B713" s="239" t="s">
        <v>1537</v>
      </c>
      <c r="C713" s="239" t="s">
        <v>1517</v>
      </c>
      <c r="D713" s="239" t="s">
        <v>1538</v>
      </c>
      <c r="E713" s="240">
        <v>5</v>
      </c>
      <c r="F713" s="239" t="s">
        <v>1515</v>
      </c>
      <c r="G713" s="241">
        <v>0</v>
      </c>
      <c r="H713" s="241">
        <v>3887420</v>
      </c>
      <c r="I713" s="241">
        <v>0</v>
      </c>
      <c r="J713" s="241">
        <v>3887420</v>
      </c>
    </row>
    <row r="714" spans="1:10">
      <c r="A714" s="239" t="s">
        <v>1472</v>
      </c>
      <c r="B714" s="239"/>
      <c r="C714" s="239"/>
      <c r="D714" s="239" t="s">
        <v>1046</v>
      </c>
      <c r="E714" s="240">
        <v>4</v>
      </c>
      <c r="F714" s="239" t="s">
        <v>1515</v>
      </c>
      <c r="G714" s="241">
        <v>0</v>
      </c>
      <c r="H714" s="241">
        <v>25495944.649999999</v>
      </c>
      <c r="I714" s="241">
        <v>1792151</v>
      </c>
      <c r="J714" s="241">
        <v>23703793.649999999</v>
      </c>
    </row>
    <row r="715" spans="1:10">
      <c r="A715" s="239" t="s">
        <v>1751</v>
      </c>
      <c r="B715" s="239"/>
      <c r="C715" s="239"/>
      <c r="D715" s="239" t="s">
        <v>1752</v>
      </c>
      <c r="E715" s="240">
        <v>5</v>
      </c>
      <c r="F715" s="239" t="s">
        <v>1515</v>
      </c>
      <c r="G715" s="241">
        <v>0</v>
      </c>
      <c r="H715" s="241">
        <v>25495944.649999999</v>
      </c>
      <c r="I715" s="241">
        <v>1792151</v>
      </c>
      <c r="J715" s="241">
        <v>23703793.649999999</v>
      </c>
    </row>
    <row r="716" spans="1:10" ht="25.5">
      <c r="A716" s="239" t="s">
        <v>1751</v>
      </c>
      <c r="B716" s="239" t="s">
        <v>1539</v>
      </c>
      <c r="C716" s="239" t="s">
        <v>1517</v>
      </c>
      <c r="D716" s="239" t="s">
        <v>1540</v>
      </c>
      <c r="E716" s="240">
        <v>5</v>
      </c>
      <c r="F716" s="239" t="s">
        <v>1515</v>
      </c>
      <c r="G716" s="241">
        <v>0</v>
      </c>
      <c r="H716" s="241">
        <v>7520270</v>
      </c>
      <c r="I716" s="241">
        <v>0</v>
      </c>
      <c r="J716" s="241">
        <v>7520270</v>
      </c>
    </row>
    <row r="717" spans="1:10">
      <c r="A717" s="239" t="s">
        <v>1751</v>
      </c>
      <c r="B717" s="239" t="s">
        <v>1543</v>
      </c>
      <c r="C717" s="239" t="s">
        <v>1517</v>
      </c>
      <c r="D717" s="239" t="s">
        <v>1544</v>
      </c>
      <c r="E717" s="240">
        <v>5</v>
      </c>
      <c r="F717" s="239" t="s">
        <v>1515</v>
      </c>
      <c r="G717" s="241">
        <v>0</v>
      </c>
      <c r="H717" s="241">
        <v>17973939.039999999</v>
      </c>
      <c r="I717" s="241">
        <v>1792151</v>
      </c>
      <c r="J717" s="241">
        <v>16181788.039999999</v>
      </c>
    </row>
    <row r="718" spans="1:10" ht="25.5">
      <c r="A718" s="239" t="s">
        <v>1751</v>
      </c>
      <c r="B718" s="239" t="s">
        <v>1545</v>
      </c>
      <c r="C718" s="239" t="s">
        <v>1517</v>
      </c>
      <c r="D718" s="239" t="s">
        <v>1546</v>
      </c>
      <c r="E718" s="240">
        <v>5</v>
      </c>
      <c r="F718" s="239" t="s">
        <v>1515</v>
      </c>
      <c r="G718" s="241">
        <v>0</v>
      </c>
      <c r="H718" s="241">
        <v>1735.61</v>
      </c>
      <c r="I718" s="241">
        <v>0</v>
      </c>
      <c r="J718" s="241">
        <v>1735.61</v>
      </c>
    </row>
    <row r="719" spans="1:10">
      <c r="A719" s="239" t="s">
        <v>1480</v>
      </c>
      <c r="B719" s="239"/>
      <c r="C719" s="239"/>
      <c r="D719" s="239" t="s">
        <v>150</v>
      </c>
      <c r="E719" s="240">
        <v>4</v>
      </c>
      <c r="F719" s="239" t="s">
        <v>1515</v>
      </c>
      <c r="G719" s="241">
        <v>0</v>
      </c>
      <c r="H719" s="241">
        <v>844159.4</v>
      </c>
      <c r="I719" s="241">
        <v>9141.85</v>
      </c>
      <c r="J719" s="241">
        <v>835017.55</v>
      </c>
    </row>
    <row r="720" spans="1:10">
      <c r="A720" s="239" t="s">
        <v>1484</v>
      </c>
      <c r="B720" s="239"/>
      <c r="C720" s="239"/>
      <c r="D720" s="239" t="s">
        <v>1065</v>
      </c>
      <c r="E720" s="240">
        <v>5</v>
      </c>
      <c r="F720" s="239" t="s">
        <v>1515</v>
      </c>
      <c r="G720" s="241">
        <v>0</v>
      </c>
      <c r="H720" s="241">
        <v>844159.4</v>
      </c>
      <c r="I720" s="241">
        <v>9141.85</v>
      </c>
      <c r="J720" s="241">
        <v>835017.55</v>
      </c>
    </row>
    <row r="721" spans="1:10" ht="25.5">
      <c r="A721" s="239" t="s">
        <v>1484</v>
      </c>
      <c r="B721" s="239" t="s">
        <v>1521</v>
      </c>
      <c r="C721" s="239" t="s">
        <v>1517</v>
      </c>
      <c r="D721" s="239" t="s">
        <v>1522</v>
      </c>
      <c r="E721" s="240">
        <v>5</v>
      </c>
      <c r="F721" s="239" t="s">
        <v>1515</v>
      </c>
      <c r="G721" s="241">
        <v>0</v>
      </c>
      <c r="H721" s="241">
        <v>100</v>
      </c>
      <c r="I721" s="241">
        <v>0</v>
      </c>
      <c r="J721" s="241">
        <v>100</v>
      </c>
    </row>
    <row r="722" spans="1:10" ht="25.5">
      <c r="A722" s="239" t="s">
        <v>1484</v>
      </c>
      <c r="B722" s="239" t="s">
        <v>1523</v>
      </c>
      <c r="C722" s="239" t="s">
        <v>1517</v>
      </c>
      <c r="D722" s="239" t="s">
        <v>1524</v>
      </c>
      <c r="E722" s="240">
        <v>5</v>
      </c>
      <c r="F722" s="239" t="s">
        <v>1515</v>
      </c>
      <c r="G722" s="241">
        <v>0</v>
      </c>
      <c r="H722" s="241">
        <v>10</v>
      </c>
      <c r="I722" s="241">
        <v>0</v>
      </c>
      <c r="J722" s="241">
        <v>10</v>
      </c>
    </row>
    <row r="723" spans="1:10" ht="25.5">
      <c r="A723" s="239" t="s">
        <v>1484</v>
      </c>
      <c r="B723" s="239" t="s">
        <v>1537</v>
      </c>
      <c r="C723" s="239" t="s">
        <v>1517</v>
      </c>
      <c r="D723" s="239" t="s">
        <v>1538</v>
      </c>
      <c r="E723" s="240">
        <v>5</v>
      </c>
      <c r="F723" s="239" t="s">
        <v>1515</v>
      </c>
      <c r="G723" s="241">
        <v>0</v>
      </c>
      <c r="H723" s="241">
        <v>1070</v>
      </c>
      <c r="I723" s="241">
        <v>0</v>
      </c>
      <c r="J723" s="241">
        <v>1070</v>
      </c>
    </row>
    <row r="724" spans="1:10" ht="25.5">
      <c r="A724" s="239" t="s">
        <v>1484</v>
      </c>
      <c r="B724" s="239" t="s">
        <v>1539</v>
      </c>
      <c r="C724" s="239" t="s">
        <v>1517</v>
      </c>
      <c r="D724" s="239" t="s">
        <v>1540</v>
      </c>
      <c r="E724" s="240">
        <v>5</v>
      </c>
      <c r="F724" s="239" t="s">
        <v>1515</v>
      </c>
      <c r="G724" s="241">
        <v>0</v>
      </c>
      <c r="H724" s="241">
        <v>0</v>
      </c>
      <c r="I724" s="241">
        <v>3000</v>
      </c>
      <c r="J724" s="241">
        <v>-3000</v>
      </c>
    </row>
    <row r="725" spans="1:10" ht="25.5">
      <c r="A725" s="239" t="s">
        <v>1484</v>
      </c>
      <c r="B725" s="239" t="s">
        <v>1551</v>
      </c>
      <c r="C725" s="239" t="s">
        <v>1517</v>
      </c>
      <c r="D725" s="239" t="s">
        <v>1552</v>
      </c>
      <c r="E725" s="240">
        <v>5</v>
      </c>
      <c r="F725" s="239" t="s">
        <v>1515</v>
      </c>
      <c r="G725" s="241">
        <v>0</v>
      </c>
      <c r="H725" s="241">
        <v>1551</v>
      </c>
      <c r="I725" s="241">
        <v>0</v>
      </c>
      <c r="J725" s="241">
        <v>1551</v>
      </c>
    </row>
    <row r="726" spans="1:10" ht="25.5">
      <c r="A726" s="239" t="s">
        <v>1484</v>
      </c>
      <c r="B726" s="239" t="s">
        <v>1727</v>
      </c>
      <c r="C726" s="239" t="s">
        <v>1517</v>
      </c>
      <c r="D726" s="239" t="s">
        <v>1728</v>
      </c>
      <c r="E726" s="240">
        <v>5</v>
      </c>
      <c r="F726" s="239" t="s">
        <v>1515</v>
      </c>
      <c r="G726" s="241">
        <v>0</v>
      </c>
      <c r="H726" s="241">
        <v>350</v>
      </c>
      <c r="I726" s="241">
        <v>0</v>
      </c>
      <c r="J726" s="241">
        <v>350</v>
      </c>
    </row>
    <row r="727" spans="1:10" ht="25.5">
      <c r="A727" s="239" t="s">
        <v>1484</v>
      </c>
      <c r="B727" s="239" t="s">
        <v>1555</v>
      </c>
      <c r="C727" s="239" t="s">
        <v>1517</v>
      </c>
      <c r="D727" s="239" t="s">
        <v>1556</v>
      </c>
      <c r="E727" s="240">
        <v>5</v>
      </c>
      <c r="F727" s="239" t="s">
        <v>1515</v>
      </c>
      <c r="G727" s="241">
        <v>0</v>
      </c>
      <c r="H727" s="241">
        <v>750809.53</v>
      </c>
      <c r="I727" s="241">
        <v>0.85</v>
      </c>
      <c r="J727" s="241">
        <v>750808.68</v>
      </c>
    </row>
    <row r="728" spans="1:10" ht="25.5">
      <c r="A728" s="239" t="s">
        <v>1484</v>
      </c>
      <c r="B728" s="239" t="s">
        <v>1557</v>
      </c>
      <c r="C728" s="239" t="s">
        <v>1517</v>
      </c>
      <c r="D728" s="239" t="s">
        <v>1558</v>
      </c>
      <c r="E728" s="240">
        <v>5</v>
      </c>
      <c r="F728" s="239" t="s">
        <v>1515</v>
      </c>
      <c r="G728" s="241">
        <v>0</v>
      </c>
      <c r="H728" s="241">
        <v>78375.37</v>
      </c>
      <c r="I728" s="241">
        <v>1334</v>
      </c>
      <c r="J728" s="241">
        <v>77041.37</v>
      </c>
    </row>
    <row r="729" spans="1:10" ht="25.5">
      <c r="A729" s="239" t="s">
        <v>1484</v>
      </c>
      <c r="B729" s="239" t="s">
        <v>1563</v>
      </c>
      <c r="C729" s="239" t="s">
        <v>1517</v>
      </c>
      <c r="D729" s="239" t="s">
        <v>1564</v>
      </c>
      <c r="E729" s="240">
        <v>5</v>
      </c>
      <c r="F729" s="239" t="s">
        <v>1515</v>
      </c>
      <c r="G729" s="241">
        <v>0</v>
      </c>
      <c r="H729" s="241">
        <v>50</v>
      </c>
      <c r="I729" s="241">
        <v>1</v>
      </c>
      <c r="J729" s="241">
        <v>49</v>
      </c>
    </row>
    <row r="730" spans="1:10" ht="25.5">
      <c r="A730" s="239" t="s">
        <v>1484</v>
      </c>
      <c r="B730" s="239" t="s">
        <v>1571</v>
      </c>
      <c r="C730" s="239" t="s">
        <v>1517</v>
      </c>
      <c r="D730" s="239" t="s">
        <v>1572</v>
      </c>
      <c r="E730" s="240">
        <v>5</v>
      </c>
      <c r="F730" s="239" t="s">
        <v>1515</v>
      </c>
      <c r="G730" s="241">
        <v>0</v>
      </c>
      <c r="H730" s="241">
        <v>4</v>
      </c>
      <c r="I730" s="241">
        <v>0</v>
      </c>
      <c r="J730" s="241">
        <v>4</v>
      </c>
    </row>
    <row r="731" spans="1:10" ht="25.5">
      <c r="A731" s="239" t="s">
        <v>1484</v>
      </c>
      <c r="B731" s="239" t="s">
        <v>1573</v>
      </c>
      <c r="C731" s="239" t="s">
        <v>1517</v>
      </c>
      <c r="D731" s="239" t="s">
        <v>1574</v>
      </c>
      <c r="E731" s="240">
        <v>5</v>
      </c>
      <c r="F731" s="239" t="s">
        <v>1515</v>
      </c>
      <c r="G731" s="241">
        <v>0</v>
      </c>
      <c r="H731" s="241">
        <v>10500</v>
      </c>
      <c r="I731" s="241">
        <v>3017</v>
      </c>
      <c r="J731" s="241">
        <v>7483</v>
      </c>
    </row>
    <row r="732" spans="1:10" ht="25.5">
      <c r="A732" s="239" t="s">
        <v>1484</v>
      </c>
      <c r="B732" s="239" t="s">
        <v>1583</v>
      </c>
      <c r="C732" s="239" t="s">
        <v>1517</v>
      </c>
      <c r="D732" s="239" t="s">
        <v>1584</v>
      </c>
      <c r="E732" s="240">
        <v>5</v>
      </c>
      <c r="F732" s="239" t="s">
        <v>1515</v>
      </c>
      <c r="G732" s="241">
        <v>0</v>
      </c>
      <c r="H732" s="241">
        <v>1270</v>
      </c>
      <c r="I732" s="241">
        <v>1789</v>
      </c>
      <c r="J732" s="241">
        <v>-519</v>
      </c>
    </row>
    <row r="733" spans="1:10" ht="25.5">
      <c r="A733" s="239" t="s">
        <v>1484</v>
      </c>
      <c r="B733" s="239" t="s">
        <v>1585</v>
      </c>
      <c r="C733" s="239" t="s">
        <v>1517</v>
      </c>
      <c r="D733" s="239" t="s">
        <v>1586</v>
      </c>
      <c r="E733" s="240">
        <v>5</v>
      </c>
      <c r="F733" s="239" t="s">
        <v>1515</v>
      </c>
      <c r="G733" s="241">
        <v>0</v>
      </c>
      <c r="H733" s="241">
        <v>48</v>
      </c>
      <c r="I733" s="241">
        <v>0</v>
      </c>
      <c r="J733" s="241">
        <v>48</v>
      </c>
    </row>
    <row r="734" spans="1:10" ht="25.5">
      <c r="A734" s="239" t="s">
        <v>1484</v>
      </c>
      <c r="B734" s="239" t="s">
        <v>1599</v>
      </c>
      <c r="C734" s="239" t="s">
        <v>1517</v>
      </c>
      <c r="D734" s="239" t="s">
        <v>1600</v>
      </c>
      <c r="E734" s="240">
        <v>5</v>
      </c>
      <c r="F734" s="239" t="s">
        <v>1515</v>
      </c>
      <c r="G734" s="241">
        <v>0</v>
      </c>
      <c r="H734" s="241">
        <v>0.5</v>
      </c>
      <c r="I734" s="241">
        <v>0</v>
      </c>
      <c r="J734" s="241">
        <v>0.5</v>
      </c>
    </row>
    <row r="735" spans="1:10" ht="25.5">
      <c r="A735" s="239" t="s">
        <v>1484</v>
      </c>
      <c r="B735" s="239" t="s">
        <v>1601</v>
      </c>
      <c r="C735" s="239" t="s">
        <v>1517</v>
      </c>
      <c r="D735" s="239" t="s">
        <v>1602</v>
      </c>
      <c r="E735" s="240">
        <v>5</v>
      </c>
      <c r="F735" s="239" t="s">
        <v>1515</v>
      </c>
      <c r="G735" s="241">
        <v>0</v>
      </c>
      <c r="H735" s="241">
        <v>20</v>
      </c>
      <c r="I735" s="241">
        <v>0</v>
      </c>
      <c r="J735" s="241">
        <v>20</v>
      </c>
    </row>
    <row r="736" spans="1:10" ht="25.5">
      <c r="A736" s="239" t="s">
        <v>1484</v>
      </c>
      <c r="B736" s="239" t="s">
        <v>1611</v>
      </c>
      <c r="C736" s="239" t="s">
        <v>1517</v>
      </c>
      <c r="D736" s="239" t="s">
        <v>1612</v>
      </c>
      <c r="E736" s="240">
        <v>5</v>
      </c>
      <c r="F736" s="239" t="s">
        <v>1515</v>
      </c>
      <c r="G736" s="241">
        <v>0</v>
      </c>
      <c r="H736" s="241">
        <v>1</v>
      </c>
      <c r="I736" s="241">
        <v>0</v>
      </c>
      <c r="J736" s="241">
        <v>1</v>
      </c>
    </row>
    <row r="737" spans="1:10">
      <c r="A737" s="239" t="s">
        <v>1487</v>
      </c>
      <c r="B737" s="239"/>
      <c r="C737" s="239"/>
      <c r="D737" s="239" t="s">
        <v>1488</v>
      </c>
      <c r="E737" s="240">
        <v>3</v>
      </c>
      <c r="F737" s="239" t="s">
        <v>1515</v>
      </c>
      <c r="G737" s="241">
        <v>0</v>
      </c>
      <c r="H737" s="241">
        <v>2688890.93</v>
      </c>
      <c r="I737" s="241">
        <v>0</v>
      </c>
      <c r="J737" s="241">
        <v>2688890.93</v>
      </c>
    </row>
    <row r="738" spans="1:10">
      <c r="A738" s="239" t="s">
        <v>1489</v>
      </c>
      <c r="B738" s="239"/>
      <c r="C738" s="239"/>
      <c r="D738" s="239" t="s">
        <v>1490</v>
      </c>
      <c r="E738" s="240">
        <v>4</v>
      </c>
      <c r="F738" s="239" t="s">
        <v>1515</v>
      </c>
      <c r="G738" s="241">
        <v>0</v>
      </c>
      <c r="H738" s="241">
        <v>2688890.93</v>
      </c>
      <c r="I738" s="241">
        <v>0</v>
      </c>
      <c r="J738" s="241">
        <v>2688890.93</v>
      </c>
    </row>
    <row r="739" spans="1:10">
      <c r="A739" s="239" t="s">
        <v>1497</v>
      </c>
      <c r="B739" s="239"/>
      <c r="C739" s="239"/>
      <c r="D739" s="239" t="s">
        <v>1498</v>
      </c>
      <c r="E739" s="240">
        <v>5</v>
      </c>
      <c r="F739" s="239" t="s">
        <v>1515</v>
      </c>
      <c r="G739" s="241">
        <v>0</v>
      </c>
      <c r="H739" s="241">
        <v>7890.93</v>
      </c>
      <c r="I739" s="241">
        <v>0</v>
      </c>
      <c r="J739" s="241">
        <v>7890.93</v>
      </c>
    </row>
    <row r="740" spans="1:10" ht="25.5">
      <c r="A740" s="239" t="s">
        <v>1497</v>
      </c>
      <c r="B740" s="239" t="s">
        <v>1557</v>
      </c>
      <c r="C740" s="239" t="s">
        <v>1517</v>
      </c>
      <c r="D740" s="239" t="s">
        <v>1558</v>
      </c>
      <c r="E740" s="240">
        <v>5</v>
      </c>
      <c r="F740" s="239" t="s">
        <v>1515</v>
      </c>
      <c r="G740" s="241">
        <v>0</v>
      </c>
      <c r="H740" s="241">
        <v>7890.93</v>
      </c>
      <c r="I740" s="241">
        <v>0</v>
      </c>
      <c r="J740" s="241">
        <v>7890.93</v>
      </c>
    </row>
    <row r="741" spans="1:10">
      <c r="A741" s="239" t="s">
        <v>1753</v>
      </c>
      <c r="B741" s="239"/>
      <c r="C741" s="239"/>
      <c r="D741" s="239" t="s">
        <v>1754</v>
      </c>
      <c r="E741" s="240">
        <v>5</v>
      </c>
      <c r="F741" s="239" t="s">
        <v>1515</v>
      </c>
      <c r="G741" s="241">
        <v>0</v>
      </c>
      <c r="H741" s="241">
        <v>2681000</v>
      </c>
      <c r="I741" s="241">
        <v>0</v>
      </c>
      <c r="J741" s="241">
        <v>2681000</v>
      </c>
    </row>
    <row r="742" spans="1:10" ht="25.5">
      <c r="A742" s="239" t="s">
        <v>1753</v>
      </c>
      <c r="B742" s="239" t="s">
        <v>1557</v>
      </c>
      <c r="C742" s="239" t="s">
        <v>1517</v>
      </c>
      <c r="D742" s="239" t="s">
        <v>1558</v>
      </c>
      <c r="E742" s="240">
        <v>5</v>
      </c>
      <c r="F742" s="239" t="s">
        <v>1515</v>
      </c>
      <c r="G742" s="241">
        <v>0</v>
      </c>
      <c r="H742" s="241">
        <v>2681000</v>
      </c>
      <c r="I742" s="241">
        <v>0</v>
      </c>
      <c r="J742" s="241">
        <v>2681000</v>
      </c>
    </row>
    <row r="743" spans="1:10">
      <c r="A743" s="239" t="s">
        <v>1755</v>
      </c>
      <c r="B743" s="239"/>
      <c r="C743" s="239"/>
      <c r="D743" s="239" t="s">
        <v>1756</v>
      </c>
      <c r="E743" s="240">
        <v>3</v>
      </c>
      <c r="F743" s="239" t="s">
        <v>1515</v>
      </c>
      <c r="G743" s="241">
        <v>0</v>
      </c>
      <c r="H743" s="241">
        <v>1726000</v>
      </c>
      <c r="I743" s="241">
        <v>0</v>
      </c>
      <c r="J743" s="241">
        <v>1726000</v>
      </c>
    </row>
    <row r="744" spans="1:10">
      <c r="A744" s="239" t="s">
        <v>1757</v>
      </c>
      <c r="B744" s="239"/>
      <c r="C744" s="239"/>
      <c r="D744" s="239" t="s">
        <v>1758</v>
      </c>
      <c r="E744" s="240">
        <v>4</v>
      </c>
      <c r="F744" s="239" t="s">
        <v>1515</v>
      </c>
      <c r="G744" s="241">
        <v>0</v>
      </c>
      <c r="H744" s="241">
        <v>1726000</v>
      </c>
      <c r="I744" s="241">
        <v>0</v>
      </c>
      <c r="J744" s="241">
        <v>1726000</v>
      </c>
    </row>
    <row r="745" spans="1:10" ht="25.5">
      <c r="A745" s="239" t="s">
        <v>1757</v>
      </c>
      <c r="B745" s="239" t="s">
        <v>1557</v>
      </c>
      <c r="C745" s="239" t="s">
        <v>1517</v>
      </c>
      <c r="D745" s="239" t="s">
        <v>1558</v>
      </c>
      <c r="E745" s="240">
        <v>4</v>
      </c>
      <c r="F745" s="239" t="s">
        <v>1515</v>
      </c>
      <c r="G745" s="241">
        <v>0</v>
      </c>
      <c r="H745" s="241">
        <v>1726000</v>
      </c>
      <c r="I745" s="241">
        <v>0</v>
      </c>
      <c r="J745" s="241">
        <v>1726000</v>
      </c>
    </row>
    <row r="746" spans="1:10" ht="25.5">
      <c r="A746" s="239" t="s">
        <v>1499</v>
      </c>
      <c r="B746" s="239"/>
      <c r="C746" s="239"/>
      <c r="D746" s="239" t="s">
        <v>1500</v>
      </c>
      <c r="E746" s="240">
        <v>2</v>
      </c>
      <c r="F746" s="239" t="s">
        <v>1515</v>
      </c>
      <c r="G746" s="241">
        <v>0</v>
      </c>
      <c r="H746" s="241">
        <v>61714938</v>
      </c>
      <c r="I746" s="241">
        <v>23321000</v>
      </c>
      <c r="J746" s="241">
        <v>38393938</v>
      </c>
    </row>
    <row r="747" spans="1:10" ht="25.5">
      <c r="A747" s="239" t="s">
        <v>1501</v>
      </c>
      <c r="B747" s="239"/>
      <c r="C747" s="239"/>
      <c r="D747" s="239" t="s">
        <v>1500</v>
      </c>
      <c r="E747" s="240">
        <v>3</v>
      </c>
      <c r="F747" s="239" t="s">
        <v>1515</v>
      </c>
      <c r="G747" s="241">
        <v>0</v>
      </c>
      <c r="H747" s="241">
        <v>61714938</v>
      </c>
      <c r="I747" s="241">
        <v>23321000</v>
      </c>
      <c r="J747" s="241">
        <v>38393938</v>
      </c>
    </row>
    <row r="748" spans="1:10" ht="25.5">
      <c r="A748" s="239" t="s">
        <v>1502</v>
      </c>
      <c r="B748" s="239"/>
      <c r="C748" s="239"/>
      <c r="D748" s="239" t="s">
        <v>1500</v>
      </c>
      <c r="E748" s="240">
        <v>4</v>
      </c>
      <c r="F748" s="239" t="s">
        <v>1515</v>
      </c>
      <c r="G748" s="241">
        <v>0</v>
      </c>
      <c r="H748" s="241">
        <v>61714938</v>
      </c>
      <c r="I748" s="241">
        <v>23321000</v>
      </c>
      <c r="J748" s="241">
        <v>38393938</v>
      </c>
    </row>
    <row r="749" spans="1:10">
      <c r="A749" s="239" t="s">
        <v>1759</v>
      </c>
      <c r="B749" s="239"/>
      <c r="C749" s="239"/>
      <c r="D749" s="239" t="s">
        <v>1760</v>
      </c>
      <c r="E749" s="240">
        <v>5</v>
      </c>
      <c r="F749" s="239" t="s">
        <v>1515</v>
      </c>
      <c r="G749" s="241">
        <v>0</v>
      </c>
      <c r="H749" s="241">
        <v>58924000</v>
      </c>
      <c r="I749" s="241">
        <v>23321000</v>
      </c>
      <c r="J749" s="241">
        <v>35603000</v>
      </c>
    </row>
    <row r="750" spans="1:10" ht="25.5">
      <c r="A750" s="239" t="s">
        <v>1759</v>
      </c>
      <c r="B750" s="239" t="s">
        <v>1557</v>
      </c>
      <c r="C750" s="239" t="s">
        <v>1517</v>
      </c>
      <c r="D750" s="239" t="s">
        <v>1558</v>
      </c>
      <c r="E750" s="240">
        <v>5</v>
      </c>
      <c r="F750" s="239" t="s">
        <v>1515</v>
      </c>
      <c r="G750" s="241">
        <v>0</v>
      </c>
      <c r="H750" s="241">
        <v>58924000</v>
      </c>
      <c r="I750" s="241">
        <v>23321000</v>
      </c>
      <c r="J750" s="241">
        <v>35603000</v>
      </c>
    </row>
    <row r="751" spans="1:10">
      <c r="A751" s="182" t="s">
        <v>4237</v>
      </c>
      <c r="D751" s="182" t="s">
        <v>4238</v>
      </c>
      <c r="E751" s="182">
        <v>5</v>
      </c>
      <c r="F751" s="182" t="s">
        <v>1515</v>
      </c>
      <c r="G751" s="182">
        <v>0</v>
      </c>
      <c r="H751" s="182">
        <v>2790938</v>
      </c>
      <c r="I751" s="182">
        <v>0</v>
      </c>
      <c r="J751" s="182">
        <v>2790938</v>
      </c>
    </row>
    <row r="752" spans="1:10">
      <c r="A752" s="182" t="s">
        <v>4237</v>
      </c>
      <c r="B752" s="182" t="s">
        <v>1557</v>
      </c>
      <c r="C752" s="182" t="s">
        <v>1517</v>
      </c>
      <c r="D752" s="182" t="s">
        <v>1558</v>
      </c>
      <c r="E752" s="182">
        <v>5</v>
      </c>
      <c r="F752" s="182" t="s">
        <v>1515</v>
      </c>
      <c r="G752" s="182">
        <v>0</v>
      </c>
      <c r="H752" s="182">
        <v>2790938</v>
      </c>
      <c r="I752" s="182">
        <v>0</v>
      </c>
      <c r="J752" s="182">
        <v>2790938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E393B-1959-4F67-907B-04DBB92D2278}">
  <dimension ref="A1:M264"/>
  <sheetViews>
    <sheetView showGridLines="0" workbookViewId="0">
      <pane ySplit="1" topLeftCell="A2" activePane="bottomLeft" state="frozen"/>
      <selection pane="bottomLeft" activeCell="G3" sqref="G3"/>
    </sheetView>
  </sheetViews>
  <sheetFormatPr baseColWidth="10" defaultColWidth="11.42578125" defaultRowHeight="12.75"/>
  <cols>
    <col min="1" max="1" width="18.42578125" style="182" customWidth="1"/>
    <col min="2" max="3" width="8.7109375" style="182" customWidth="1"/>
    <col min="4" max="4" width="40.7109375" style="182" customWidth="1"/>
    <col min="5" max="5" width="7.140625" style="182" customWidth="1"/>
    <col min="6" max="6" width="14.28515625" style="182" customWidth="1"/>
    <col min="7" max="10" width="18.5703125" style="182" customWidth="1"/>
    <col min="11" max="11" width="15.85546875" style="182" bestFit="1" customWidth="1"/>
    <col min="12" max="12" width="14.85546875" style="182" bestFit="1" customWidth="1"/>
    <col min="13" max="13" width="13.85546875" style="182" customWidth="1"/>
    <col min="14" max="25" width="1.7109375" style="182" customWidth="1"/>
    <col min="26" max="258" width="11.5703125" style="182"/>
    <col min="259" max="259" width="18.42578125" style="182" customWidth="1"/>
    <col min="260" max="260" width="16.5703125" style="182" customWidth="1"/>
    <col min="261" max="261" width="24.85546875" style="182" customWidth="1"/>
    <col min="262" max="262" width="37.28515625" style="182" customWidth="1"/>
    <col min="263" max="263" width="7.140625" style="182" customWidth="1"/>
    <col min="264" max="264" width="14.28515625" style="182" customWidth="1"/>
    <col min="265" max="268" width="18.5703125" style="182" customWidth="1"/>
    <col min="269" max="514" width="11.5703125" style="182"/>
    <col min="515" max="515" width="18.42578125" style="182" customWidth="1"/>
    <col min="516" max="516" width="16.5703125" style="182" customWidth="1"/>
    <col min="517" max="517" width="24.85546875" style="182" customWidth="1"/>
    <col min="518" max="518" width="37.28515625" style="182" customWidth="1"/>
    <col min="519" max="519" width="7.140625" style="182" customWidth="1"/>
    <col min="520" max="520" width="14.28515625" style="182" customWidth="1"/>
    <col min="521" max="524" width="18.5703125" style="182" customWidth="1"/>
    <col min="525" max="770" width="11.5703125" style="182"/>
    <col min="771" max="771" width="18.42578125" style="182" customWidth="1"/>
    <col min="772" max="772" width="16.5703125" style="182" customWidth="1"/>
    <col min="773" max="773" width="24.85546875" style="182" customWidth="1"/>
    <col min="774" max="774" width="37.28515625" style="182" customWidth="1"/>
    <col min="775" max="775" width="7.140625" style="182" customWidth="1"/>
    <col min="776" max="776" width="14.28515625" style="182" customWidth="1"/>
    <col min="777" max="780" width="18.5703125" style="182" customWidth="1"/>
    <col min="781" max="1026" width="11.5703125" style="182"/>
    <col min="1027" max="1027" width="18.42578125" style="182" customWidth="1"/>
    <col min="1028" max="1028" width="16.5703125" style="182" customWidth="1"/>
    <col min="1029" max="1029" width="24.85546875" style="182" customWidth="1"/>
    <col min="1030" max="1030" width="37.28515625" style="182" customWidth="1"/>
    <col min="1031" max="1031" width="7.140625" style="182" customWidth="1"/>
    <col min="1032" max="1032" width="14.28515625" style="182" customWidth="1"/>
    <col min="1033" max="1036" width="18.5703125" style="182" customWidth="1"/>
    <col min="1037" max="1282" width="11.5703125" style="182"/>
    <col min="1283" max="1283" width="18.42578125" style="182" customWidth="1"/>
    <col min="1284" max="1284" width="16.5703125" style="182" customWidth="1"/>
    <col min="1285" max="1285" width="24.85546875" style="182" customWidth="1"/>
    <col min="1286" max="1286" width="37.28515625" style="182" customWidth="1"/>
    <col min="1287" max="1287" width="7.140625" style="182" customWidth="1"/>
    <col min="1288" max="1288" width="14.28515625" style="182" customWidth="1"/>
    <col min="1289" max="1292" width="18.5703125" style="182" customWidth="1"/>
    <col min="1293" max="1538" width="11.5703125" style="182"/>
    <col min="1539" max="1539" width="18.42578125" style="182" customWidth="1"/>
    <col min="1540" max="1540" width="16.5703125" style="182" customWidth="1"/>
    <col min="1541" max="1541" width="24.85546875" style="182" customWidth="1"/>
    <col min="1542" max="1542" width="37.28515625" style="182" customWidth="1"/>
    <col min="1543" max="1543" width="7.140625" style="182" customWidth="1"/>
    <col min="1544" max="1544" width="14.28515625" style="182" customWidth="1"/>
    <col min="1545" max="1548" width="18.5703125" style="182" customWidth="1"/>
    <col min="1549" max="1794" width="11.5703125" style="182"/>
    <col min="1795" max="1795" width="18.42578125" style="182" customWidth="1"/>
    <col min="1796" max="1796" width="16.5703125" style="182" customWidth="1"/>
    <col min="1797" max="1797" width="24.85546875" style="182" customWidth="1"/>
    <col min="1798" max="1798" width="37.28515625" style="182" customWidth="1"/>
    <col min="1799" max="1799" width="7.140625" style="182" customWidth="1"/>
    <col min="1800" max="1800" width="14.28515625" style="182" customWidth="1"/>
    <col min="1801" max="1804" width="18.5703125" style="182" customWidth="1"/>
    <col min="1805" max="2050" width="11.5703125" style="182"/>
    <col min="2051" max="2051" width="18.42578125" style="182" customWidth="1"/>
    <col min="2052" max="2052" width="16.5703125" style="182" customWidth="1"/>
    <col min="2053" max="2053" width="24.85546875" style="182" customWidth="1"/>
    <col min="2054" max="2054" width="37.28515625" style="182" customWidth="1"/>
    <col min="2055" max="2055" width="7.140625" style="182" customWidth="1"/>
    <col min="2056" max="2056" width="14.28515625" style="182" customWidth="1"/>
    <col min="2057" max="2060" width="18.5703125" style="182" customWidth="1"/>
    <col min="2061" max="2306" width="11.5703125" style="182"/>
    <col min="2307" max="2307" width="18.42578125" style="182" customWidth="1"/>
    <col min="2308" max="2308" width="16.5703125" style="182" customWidth="1"/>
    <col min="2309" max="2309" width="24.85546875" style="182" customWidth="1"/>
    <col min="2310" max="2310" width="37.28515625" style="182" customWidth="1"/>
    <col min="2311" max="2311" width="7.140625" style="182" customWidth="1"/>
    <col min="2312" max="2312" width="14.28515625" style="182" customWidth="1"/>
    <col min="2313" max="2316" width="18.5703125" style="182" customWidth="1"/>
    <col min="2317" max="2562" width="11.5703125" style="182"/>
    <col min="2563" max="2563" width="18.42578125" style="182" customWidth="1"/>
    <col min="2564" max="2564" width="16.5703125" style="182" customWidth="1"/>
    <col min="2565" max="2565" width="24.85546875" style="182" customWidth="1"/>
    <col min="2566" max="2566" width="37.28515625" style="182" customWidth="1"/>
    <col min="2567" max="2567" width="7.140625" style="182" customWidth="1"/>
    <col min="2568" max="2568" width="14.28515625" style="182" customWidth="1"/>
    <col min="2569" max="2572" width="18.5703125" style="182" customWidth="1"/>
    <col min="2573" max="2818" width="11.5703125" style="182"/>
    <col min="2819" max="2819" width="18.42578125" style="182" customWidth="1"/>
    <col min="2820" max="2820" width="16.5703125" style="182" customWidth="1"/>
    <col min="2821" max="2821" width="24.85546875" style="182" customWidth="1"/>
    <col min="2822" max="2822" width="37.28515625" style="182" customWidth="1"/>
    <col min="2823" max="2823" width="7.140625" style="182" customWidth="1"/>
    <col min="2824" max="2824" width="14.28515625" style="182" customWidth="1"/>
    <col min="2825" max="2828" width="18.5703125" style="182" customWidth="1"/>
    <col min="2829" max="3074" width="11.5703125" style="182"/>
    <col min="3075" max="3075" width="18.42578125" style="182" customWidth="1"/>
    <col min="3076" max="3076" width="16.5703125" style="182" customWidth="1"/>
    <col min="3077" max="3077" width="24.85546875" style="182" customWidth="1"/>
    <col min="3078" max="3078" width="37.28515625" style="182" customWidth="1"/>
    <col min="3079" max="3079" width="7.140625" style="182" customWidth="1"/>
    <col min="3080" max="3080" width="14.28515625" style="182" customWidth="1"/>
    <col min="3081" max="3084" width="18.5703125" style="182" customWidth="1"/>
    <col min="3085" max="3330" width="11.5703125" style="182"/>
    <col min="3331" max="3331" width="18.42578125" style="182" customWidth="1"/>
    <col min="3332" max="3332" width="16.5703125" style="182" customWidth="1"/>
    <col min="3333" max="3333" width="24.85546875" style="182" customWidth="1"/>
    <col min="3334" max="3334" width="37.28515625" style="182" customWidth="1"/>
    <col min="3335" max="3335" width="7.140625" style="182" customWidth="1"/>
    <col min="3336" max="3336" width="14.28515625" style="182" customWidth="1"/>
    <col min="3337" max="3340" width="18.5703125" style="182" customWidth="1"/>
    <col min="3341" max="3586" width="11.5703125" style="182"/>
    <col min="3587" max="3587" width="18.42578125" style="182" customWidth="1"/>
    <col min="3588" max="3588" width="16.5703125" style="182" customWidth="1"/>
    <col min="3589" max="3589" width="24.85546875" style="182" customWidth="1"/>
    <col min="3590" max="3590" width="37.28515625" style="182" customWidth="1"/>
    <col min="3591" max="3591" width="7.140625" style="182" customWidth="1"/>
    <col min="3592" max="3592" width="14.28515625" style="182" customWidth="1"/>
    <col min="3593" max="3596" width="18.5703125" style="182" customWidth="1"/>
    <col min="3597" max="3842" width="11.5703125" style="182"/>
    <col min="3843" max="3843" width="18.42578125" style="182" customWidth="1"/>
    <col min="3844" max="3844" width="16.5703125" style="182" customWidth="1"/>
    <col min="3845" max="3845" width="24.85546875" style="182" customWidth="1"/>
    <col min="3846" max="3846" width="37.28515625" style="182" customWidth="1"/>
    <col min="3847" max="3847" width="7.140625" style="182" customWidth="1"/>
    <col min="3848" max="3848" width="14.28515625" style="182" customWidth="1"/>
    <col min="3849" max="3852" width="18.5703125" style="182" customWidth="1"/>
    <col min="3853" max="4098" width="11.5703125" style="182"/>
    <col min="4099" max="4099" width="18.42578125" style="182" customWidth="1"/>
    <col min="4100" max="4100" width="16.5703125" style="182" customWidth="1"/>
    <col min="4101" max="4101" width="24.85546875" style="182" customWidth="1"/>
    <col min="4102" max="4102" width="37.28515625" style="182" customWidth="1"/>
    <col min="4103" max="4103" width="7.140625" style="182" customWidth="1"/>
    <col min="4104" max="4104" width="14.28515625" style="182" customWidth="1"/>
    <col min="4105" max="4108" width="18.5703125" style="182" customWidth="1"/>
    <col min="4109" max="4354" width="11.5703125" style="182"/>
    <col min="4355" max="4355" width="18.42578125" style="182" customWidth="1"/>
    <col min="4356" max="4356" width="16.5703125" style="182" customWidth="1"/>
    <col min="4357" max="4357" width="24.85546875" style="182" customWidth="1"/>
    <col min="4358" max="4358" width="37.28515625" style="182" customWidth="1"/>
    <col min="4359" max="4359" width="7.140625" style="182" customWidth="1"/>
    <col min="4360" max="4360" width="14.28515625" style="182" customWidth="1"/>
    <col min="4361" max="4364" width="18.5703125" style="182" customWidth="1"/>
    <col min="4365" max="4610" width="11.5703125" style="182"/>
    <col min="4611" max="4611" width="18.42578125" style="182" customWidth="1"/>
    <col min="4612" max="4612" width="16.5703125" style="182" customWidth="1"/>
    <col min="4613" max="4613" width="24.85546875" style="182" customWidth="1"/>
    <col min="4614" max="4614" width="37.28515625" style="182" customWidth="1"/>
    <col min="4615" max="4615" width="7.140625" style="182" customWidth="1"/>
    <col min="4616" max="4616" width="14.28515625" style="182" customWidth="1"/>
    <col min="4617" max="4620" width="18.5703125" style="182" customWidth="1"/>
    <col min="4621" max="4866" width="11.5703125" style="182"/>
    <col min="4867" max="4867" width="18.42578125" style="182" customWidth="1"/>
    <col min="4868" max="4868" width="16.5703125" style="182" customWidth="1"/>
    <col min="4869" max="4869" width="24.85546875" style="182" customWidth="1"/>
    <col min="4870" max="4870" width="37.28515625" style="182" customWidth="1"/>
    <col min="4871" max="4871" width="7.140625" style="182" customWidth="1"/>
    <col min="4872" max="4872" width="14.28515625" style="182" customWidth="1"/>
    <col min="4873" max="4876" width="18.5703125" style="182" customWidth="1"/>
    <col min="4877" max="5122" width="11.5703125" style="182"/>
    <col min="5123" max="5123" width="18.42578125" style="182" customWidth="1"/>
    <col min="5124" max="5124" width="16.5703125" style="182" customWidth="1"/>
    <col min="5125" max="5125" width="24.85546875" style="182" customWidth="1"/>
    <col min="5126" max="5126" width="37.28515625" style="182" customWidth="1"/>
    <col min="5127" max="5127" width="7.140625" style="182" customWidth="1"/>
    <col min="5128" max="5128" width="14.28515625" style="182" customWidth="1"/>
    <col min="5129" max="5132" width="18.5703125" style="182" customWidth="1"/>
    <col min="5133" max="5378" width="11.5703125" style="182"/>
    <col min="5379" max="5379" width="18.42578125" style="182" customWidth="1"/>
    <col min="5380" max="5380" width="16.5703125" style="182" customWidth="1"/>
    <col min="5381" max="5381" width="24.85546875" style="182" customWidth="1"/>
    <col min="5382" max="5382" width="37.28515625" style="182" customWidth="1"/>
    <col min="5383" max="5383" width="7.140625" style="182" customWidth="1"/>
    <col min="5384" max="5384" width="14.28515625" style="182" customWidth="1"/>
    <col min="5385" max="5388" width="18.5703125" style="182" customWidth="1"/>
    <col min="5389" max="5634" width="11.5703125" style="182"/>
    <col min="5635" max="5635" width="18.42578125" style="182" customWidth="1"/>
    <col min="5636" max="5636" width="16.5703125" style="182" customWidth="1"/>
    <col min="5637" max="5637" width="24.85546875" style="182" customWidth="1"/>
    <col min="5638" max="5638" width="37.28515625" style="182" customWidth="1"/>
    <col min="5639" max="5639" width="7.140625" style="182" customWidth="1"/>
    <col min="5640" max="5640" width="14.28515625" style="182" customWidth="1"/>
    <col min="5641" max="5644" width="18.5703125" style="182" customWidth="1"/>
    <col min="5645" max="5890" width="11.5703125" style="182"/>
    <col min="5891" max="5891" width="18.42578125" style="182" customWidth="1"/>
    <col min="5892" max="5892" width="16.5703125" style="182" customWidth="1"/>
    <col min="5893" max="5893" width="24.85546875" style="182" customWidth="1"/>
    <col min="5894" max="5894" width="37.28515625" style="182" customWidth="1"/>
    <col min="5895" max="5895" width="7.140625" style="182" customWidth="1"/>
    <col min="5896" max="5896" width="14.28515625" style="182" customWidth="1"/>
    <col min="5897" max="5900" width="18.5703125" style="182" customWidth="1"/>
    <col min="5901" max="6146" width="11.5703125" style="182"/>
    <col min="6147" max="6147" width="18.42578125" style="182" customWidth="1"/>
    <col min="6148" max="6148" width="16.5703125" style="182" customWidth="1"/>
    <col min="6149" max="6149" width="24.85546875" style="182" customWidth="1"/>
    <col min="6150" max="6150" width="37.28515625" style="182" customWidth="1"/>
    <col min="6151" max="6151" width="7.140625" style="182" customWidth="1"/>
    <col min="6152" max="6152" width="14.28515625" style="182" customWidth="1"/>
    <col min="6153" max="6156" width="18.5703125" style="182" customWidth="1"/>
    <col min="6157" max="6402" width="11.5703125" style="182"/>
    <col min="6403" max="6403" width="18.42578125" style="182" customWidth="1"/>
    <col min="6404" max="6404" width="16.5703125" style="182" customWidth="1"/>
    <col min="6405" max="6405" width="24.85546875" style="182" customWidth="1"/>
    <col min="6406" max="6406" width="37.28515625" style="182" customWidth="1"/>
    <col min="6407" max="6407" width="7.140625" style="182" customWidth="1"/>
    <col min="6408" max="6408" width="14.28515625" style="182" customWidth="1"/>
    <col min="6409" max="6412" width="18.5703125" style="182" customWidth="1"/>
    <col min="6413" max="6658" width="11.5703125" style="182"/>
    <col min="6659" max="6659" width="18.42578125" style="182" customWidth="1"/>
    <col min="6660" max="6660" width="16.5703125" style="182" customWidth="1"/>
    <col min="6661" max="6661" width="24.85546875" style="182" customWidth="1"/>
    <col min="6662" max="6662" width="37.28515625" style="182" customWidth="1"/>
    <col min="6663" max="6663" width="7.140625" style="182" customWidth="1"/>
    <col min="6664" max="6664" width="14.28515625" style="182" customWidth="1"/>
    <col min="6665" max="6668" width="18.5703125" style="182" customWidth="1"/>
    <col min="6669" max="6914" width="11.5703125" style="182"/>
    <col min="6915" max="6915" width="18.42578125" style="182" customWidth="1"/>
    <col min="6916" max="6916" width="16.5703125" style="182" customWidth="1"/>
    <col min="6917" max="6917" width="24.85546875" style="182" customWidth="1"/>
    <col min="6918" max="6918" width="37.28515625" style="182" customWidth="1"/>
    <col min="6919" max="6919" width="7.140625" style="182" customWidth="1"/>
    <col min="6920" max="6920" width="14.28515625" style="182" customWidth="1"/>
    <col min="6921" max="6924" width="18.5703125" style="182" customWidth="1"/>
    <col min="6925" max="7170" width="11.5703125" style="182"/>
    <col min="7171" max="7171" width="18.42578125" style="182" customWidth="1"/>
    <col min="7172" max="7172" width="16.5703125" style="182" customWidth="1"/>
    <col min="7173" max="7173" width="24.85546875" style="182" customWidth="1"/>
    <col min="7174" max="7174" width="37.28515625" style="182" customWidth="1"/>
    <col min="7175" max="7175" width="7.140625" style="182" customWidth="1"/>
    <col min="7176" max="7176" width="14.28515625" style="182" customWidth="1"/>
    <col min="7177" max="7180" width="18.5703125" style="182" customWidth="1"/>
    <col min="7181" max="7426" width="11.5703125" style="182"/>
    <col min="7427" max="7427" width="18.42578125" style="182" customWidth="1"/>
    <col min="7428" max="7428" width="16.5703125" style="182" customWidth="1"/>
    <col min="7429" max="7429" width="24.85546875" style="182" customWidth="1"/>
    <col min="7430" max="7430" width="37.28515625" style="182" customWidth="1"/>
    <col min="7431" max="7431" width="7.140625" style="182" customWidth="1"/>
    <col min="7432" max="7432" width="14.28515625" style="182" customWidth="1"/>
    <col min="7433" max="7436" width="18.5703125" style="182" customWidth="1"/>
    <col min="7437" max="7682" width="11.5703125" style="182"/>
    <col min="7683" max="7683" width="18.42578125" style="182" customWidth="1"/>
    <col min="7684" max="7684" width="16.5703125" style="182" customWidth="1"/>
    <col min="7685" max="7685" width="24.85546875" style="182" customWidth="1"/>
    <col min="7686" max="7686" width="37.28515625" style="182" customWidth="1"/>
    <col min="7687" max="7687" width="7.140625" style="182" customWidth="1"/>
    <col min="7688" max="7688" width="14.28515625" style="182" customWidth="1"/>
    <col min="7689" max="7692" width="18.5703125" style="182" customWidth="1"/>
    <col min="7693" max="7938" width="11.5703125" style="182"/>
    <col min="7939" max="7939" width="18.42578125" style="182" customWidth="1"/>
    <col min="7940" max="7940" width="16.5703125" style="182" customWidth="1"/>
    <col min="7941" max="7941" width="24.85546875" style="182" customWidth="1"/>
    <col min="7942" max="7942" width="37.28515625" style="182" customWidth="1"/>
    <col min="7943" max="7943" width="7.140625" style="182" customWidth="1"/>
    <col min="7944" max="7944" width="14.28515625" style="182" customWidth="1"/>
    <col min="7945" max="7948" width="18.5703125" style="182" customWidth="1"/>
    <col min="7949" max="8194" width="11.5703125" style="182"/>
    <col min="8195" max="8195" width="18.42578125" style="182" customWidth="1"/>
    <col min="8196" max="8196" width="16.5703125" style="182" customWidth="1"/>
    <col min="8197" max="8197" width="24.85546875" style="182" customWidth="1"/>
    <col min="8198" max="8198" width="37.28515625" style="182" customWidth="1"/>
    <col min="8199" max="8199" width="7.140625" style="182" customWidth="1"/>
    <col min="8200" max="8200" width="14.28515625" style="182" customWidth="1"/>
    <col min="8201" max="8204" width="18.5703125" style="182" customWidth="1"/>
    <col min="8205" max="8450" width="11.5703125" style="182"/>
    <col min="8451" max="8451" width="18.42578125" style="182" customWidth="1"/>
    <col min="8452" max="8452" width="16.5703125" style="182" customWidth="1"/>
    <col min="8453" max="8453" width="24.85546875" style="182" customWidth="1"/>
    <col min="8454" max="8454" width="37.28515625" style="182" customWidth="1"/>
    <col min="8455" max="8455" width="7.140625" style="182" customWidth="1"/>
    <col min="8456" max="8456" width="14.28515625" style="182" customWidth="1"/>
    <col min="8457" max="8460" width="18.5703125" style="182" customWidth="1"/>
    <col min="8461" max="8706" width="11.5703125" style="182"/>
    <col min="8707" max="8707" width="18.42578125" style="182" customWidth="1"/>
    <col min="8708" max="8708" width="16.5703125" style="182" customWidth="1"/>
    <col min="8709" max="8709" width="24.85546875" style="182" customWidth="1"/>
    <col min="8710" max="8710" width="37.28515625" style="182" customWidth="1"/>
    <col min="8711" max="8711" width="7.140625" style="182" customWidth="1"/>
    <col min="8712" max="8712" width="14.28515625" style="182" customWidth="1"/>
    <col min="8713" max="8716" width="18.5703125" style="182" customWidth="1"/>
    <col min="8717" max="8962" width="11.5703125" style="182"/>
    <col min="8963" max="8963" width="18.42578125" style="182" customWidth="1"/>
    <col min="8964" max="8964" width="16.5703125" style="182" customWidth="1"/>
    <col min="8965" max="8965" width="24.85546875" style="182" customWidth="1"/>
    <col min="8966" max="8966" width="37.28515625" style="182" customWidth="1"/>
    <col min="8967" max="8967" width="7.140625" style="182" customWidth="1"/>
    <col min="8968" max="8968" width="14.28515625" style="182" customWidth="1"/>
    <col min="8969" max="8972" width="18.5703125" style="182" customWidth="1"/>
    <col min="8973" max="9218" width="11.5703125" style="182"/>
    <col min="9219" max="9219" width="18.42578125" style="182" customWidth="1"/>
    <col min="9220" max="9220" width="16.5703125" style="182" customWidth="1"/>
    <col min="9221" max="9221" width="24.85546875" style="182" customWidth="1"/>
    <col min="9222" max="9222" width="37.28515625" style="182" customWidth="1"/>
    <col min="9223" max="9223" width="7.140625" style="182" customWidth="1"/>
    <col min="9224" max="9224" width="14.28515625" style="182" customWidth="1"/>
    <col min="9225" max="9228" width="18.5703125" style="182" customWidth="1"/>
    <col min="9229" max="9474" width="11.5703125" style="182"/>
    <col min="9475" max="9475" width="18.42578125" style="182" customWidth="1"/>
    <col min="9476" max="9476" width="16.5703125" style="182" customWidth="1"/>
    <col min="9477" max="9477" width="24.85546875" style="182" customWidth="1"/>
    <col min="9478" max="9478" width="37.28515625" style="182" customWidth="1"/>
    <col min="9479" max="9479" width="7.140625" style="182" customWidth="1"/>
    <col min="9480" max="9480" width="14.28515625" style="182" customWidth="1"/>
    <col min="9481" max="9484" width="18.5703125" style="182" customWidth="1"/>
    <col min="9485" max="9730" width="11.5703125" style="182"/>
    <col min="9731" max="9731" width="18.42578125" style="182" customWidth="1"/>
    <col min="9732" max="9732" width="16.5703125" style="182" customWidth="1"/>
    <col min="9733" max="9733" width="24.85546875" style="182" customWidth="1"/>
    <col min="9734" max="9734" width="37.28515625" style="182" customWidth="1"/>
    <col min="9735" max="9735" width="7.140625" style="182" customWidth="1"/>
    <col min="9736" max="9736" width="14.28515625" style="182" customWidth="1"/>
    <col min="9737" max="9740" width="18.5703125" style="182" customWidth="1"/>
    <col min="9741" max="9986" width="11.5703125" style="182"/>
    <col min="9987" max="9987" width="18.42578125" style="182" customWidth="1"/>
    <col min="9988" max="9988" width="16.5703125" style="182" customWidth="1"/>
    <col min="9989" max="9989" width="24.85546875" style="182" customWidth="1"/>
    <col min="9990" max="9990" width="37.28515625" style="182" customWidth="1"/>
    <col min="9991" max="9991" width="7.140625" style="182" customWidth="1"/>
    <col min="9992" max="9992" width="14.28515625" style="182" customWidth="1"/>
    <col min="9993" max="9996" width="18.5703125" style="182" customWidth="1"/>
    <col min="9997" max="10242" width="11.5703125" style="182"/>
    <col min="10243" max="10243" width="18.42578125" style="182" customWidth="1"/>
    <col min="10244" max="10244" width="16.5703125" style="182" customWidth="1"/>
    <col min="10245" max="10245" width="24.85546875" style="182" customWidth="1"/>
    <col min="10246" max="10246" width="37.28515625" style="182" customWidth="1"/>
    <col min="10247" max="10247" width="7.140625" style="182" customWidth="1"/>
    <col min="10248" max="10248" width="14.28515625" style="182" customWidth="1"/>
    <col min="10249" max="10252" width="18.5703125" style="182" customWidth="1"/>
    <col min="10253" max="10498" width="11.5703125" style="182"/>
    <col min="10499" max="10499" width="18.42578125" style="182" customWidth="1"/>
    <col min="10500" max="10500" width="16.5703125" style="182" customWidth="1"/>
    <col min="10501" max="10501" width="24.85546875" style="182" customWidth="1"/>
    <col min="10502" max="10502" width="37.28515625" style="182" customWidth="1"/>
    <col min="10503" max="10503" width="7.140625" style="182" customWidth="1"/>
    <col min="10504" max="10504" width="14.28515625" style="182" customWidth="1"/>
    <col min="10505" max="10508" width="18.5703125" style="182" customWidth="1"/>
    <col min="10509" max="10754" width="11.5703125" style="182"/>
    <col min="10755" max="10755" width="18.42578125" style="182" customWidth="1"/>
    <col min="10756" max="10756" width="16.5703125" style="182" customWidth="1"/>
    <col min="10757" max="10757" width="24.85546875" style="182" customWidth="1"/>
    <col min="10758" max="10758" width="37.28515625" style="182" customWidth="1"/>
    <col min="10759" max="10759" width="7.140625" style="182" customWidth="1"/>
    <col min="10760" max="10760" width="14.28515625" style="182" customWidth="1"/>
    <col min="10761" max="10764" width="18.5703125" style="182" customWidth="1"/>
    <col min="10765" max="11010" width="11.5703125" style="182"/>
    <col min="11011" max="11011" width="18.42578125" style="182" customWidth="1"/>
    <col min="11012" max="11012" width="16.5703125" style="182" customWidth="1"/>
    <col min="11013" max="11013" width="24.85546875" style="182" customWidth="1"/>
    <col min="11014" max="11014" width="37.28515625" style="182" customWidth="1"/>
    <col min="11015" max="11015" width="7.140625" style="182" customWidth="1"/>
    <col min="11016" max="11016" width="14.28515625" style="182" customWidth="1"/>
    <col min="11017" max="11020" width="18.5703125" style="182" customWidth="1"/>
    <col min="11021" max="11266" width="11.5703125" style="182"/>
    <col min="11267" max="11267" width="18.42578125" style="182" customWidth="1"/>
    <col min="11268" max="11268" width="16.5703125" style="182" customWidth="1"/>
    <col min="11269" max="11269" width="24.85546875" style="182" customWidth="1"/>
    <col min="11270" max="11270" width="37.28515625" style="182" customWidth="1"/>
    <col min="11271" max="11271" width="7.140625" style="182" customWidth="1"/>
    <col min="11272" max="11272" width="14.28515625" style="182" customWidth="1"/>
    <col min="11273" max="11276" width="18.5703125" style="182" customWidth="1"/>
    <col min="11277" max="11522" width="11.5703125" style="182"/>
    <col min="11523" max="11523" width="18.42578125" style="182" customWidth="1"/>
    <col min="11524" max="11524" width="16.5703125" style="182" customWidth="1"/>
    <col min="11525" max="11525" width="24.85546875" style="182" customWidth="1"/>
    <col min="11526" max="11526" width="37.28515625" style="182" customWidth="1"/>
    <col min="11527" max="11527" width="7.140625" style="182" customWidth="1"/>
    <col min="11528" max="11528" width="14.28515625" style="182" customWidth="1"/>
    <col min="11529" max="11532" width="18.5703125" style="182" customWidth="1"/>
    <col min="11533" max="11778" width="11.5703125" style="182"/>
    <col min="11779" max="11779" width="18.42578125" style="182" customWidth="1"/>
    <col min="11780" max="11780" width="16.5703125" style="182" customWidth="1"/>
    <col min="11781" max="11781" width="24.85546875" style="182" customWidth="1"/>
    <col min="11782" max="11782" width="37.28515625" style="182" customWidth="1"/>
    <col min="11783" max="11783" width="7.140625" style="182" customWidth="1"/>
    <col min="11784" max="11784" width="14.28515625" style="182" customWidth="1"/>
    <col min="11785" max="11788" width="18.5703125" style="182" customWidth="1"/>
    <col min="11789" max="12034" width="11.5703125" style="182"/>
    <col min="12035" max="12035" width="18.42578125" style="182" customWidth="1"/>
    <col min="12036" max="12036" width="16.5703125" style="182" customWidth="1"/>
    <col min="12037" max="12037" width="24.85546875" style="182" customWidth="1"/>
    <col min="12038" max="12038" width="37.28515625" style="182" customWidth="1"/>
    <col min="12039" max="12039" width="7.140625" style="182" customWidth="1"/>
    <col min="12040" max="12040" width="14.28515625" style="182" customWidth="1"/>
    <col min="12041" max="12044" width="18.5703125" style="182" customWidth="1"/>
    <col min="12045" max="12290" width="11.5703125" style="182"/>
    <col min="12291" max="12291" width="18.42578125" style="182" customWidth="1"/>
    <col min="12292" max="12292" width="16.5703125" style="182" customWidth="1"/>
    <col min="12293" max="12293" width="24.85546875" style="182" customWidth="1"/>
    <col min="12294" max="12294" width="37.28515625" style="182" customWidth="1"/>
    <col min="12295" max="12295" width="7.140625" style="182" customWidth="1"/>
    <col min="12296" max="12296" width="14.28515625" style="182" customWidth="1"/>
    <col min="12297" max="12300" width="18.5703125" style="182" customWidth="1"/>
    <col min="12301" max="12546" width="11.5703125" style="182"/>
    <col min="12547" max="12547" width="18.42578125" style="182" customWidth="1"/>
    <col min="12548" max="12548" width="16.5703125" style="182" customWidth="1"/>
    <col min="12549" max="12549" width="24.85546875" style="182" customWidth="1"/>
    <col min="12550" max="12550" width="37.28515625" style="182" customWidth="1"/>
    <col min="12551" max="12551" width="7.140625" style="182" customWidth="1"/>
    <col min="12552" max="12552" width="14.28515625" style="182" customWidth="1"/>
    <col min="12553" max="12556" width="18.5703125" style="182" customWidth="1"/>
    <col min="12557" max="12802" width="11.5703125" style="182"/>
    <col min="12803" max="12803" width="18.42578125" style="182" customWidth="1"/>
    <col min="12804" max="12804" width="16.5703125" style="182" customWidth="1"/>
    <col min="12805" max="12805" width="24.85546875" style="182" customWidth="1"/>
    <col min="12806" max="12806" width="37.28515625" style="182" customWidth="1"/>
    <col min="12807" max="12807" width="7.140625" style="182" customWidth="1"/>
    <col min="12808" max="12808" width="14.28515625" style="182" customWidth="1"/>
    <col min="12809" max="12812" width="18.5703125" style="182" customWidth="1"/>
    <col min="12813" max="13058" width="11.5703125" style="182"/>
    <col min="13059" max="13059" width="18.42578125" style="182" customWidth="1"/>
    <col min="13060" max="13060" width="16.5703125" style="182" customWidth="1"/>
    <col min="13061" max="13061" width="24.85546875" style="182" customWidth="1"/>
    <col min="13062" max="13062" width="37.28515625" style="182" customWidth="1"/>
    <col min="13063" max="13063" width="7.140625" style="182" customWidth="1"/>
    <col min="13064" max="13064" width="14.28515625" style="182" customWidth="1"/>
    <col min="13065" max="13068" width="18.5703125" style="182" customWidth="1"/>
    <col min="13069" max="13314" width="11.5703125" style="182"/>
    <col min="13315" max="13315" width="18.42578125" style="182" customWidth="1"/>
    <col min="13316" max="13316" width="16.5703125" style="182" customWidth="1"/>
    <col min="13317" max="13317" width="24.85546875" style="182" customWidth="1"/>
    <col min="13318" max="13318" width="37.28515625" style="182" customWidth="1"/>
    <col min="13319" max="13319" width="7.140625" style="182" customWidth="1"/>
    <col min="13320" max="13320" width="14.28515625" style="182" customWidth="1"/>
    <col min="13321" max="13324" width="18.5703125" style="182" customWidth="1"/>
    <col min="13325" max="13570" width="11.5703125" style="182"/>
    <col min="13571" max="13571" width="18.42578125" style="182" customWidth="1"/>
    <col min="13572" max="13572" width="16.5703125" style="182" customWidth="1"/>
    <col min="13573" max="13573" width="24.85546875" style="182" customWidth="1"/>
    <col min="13574" max="13574" width="37.28515625" style="182" customWidth="1"/>
    <col min="13575" max="13575" width="7.140625" style="182" customWidth="1"/>
    <col min="13576" max="13576" width="14.28515625" style="182" customWidth="1"/>
    <col min="13577" max="13580" width="18.5703125" style="182" customWidth="1"/>
    <col min="13581" max="13826" width="11.5703125" style="182"/>
    <col min="13827" max="13827" width="18.42578125" style="182" customWidth="1"/>
    <col min="13828" max="13828" width="16.5703125" style="182" customWidth="1"/>
    <col min="13829" max="13829" width="24.85546875" style="182" customWidth="1"/>
    <col min="13830" max="13830" width="37.28515625" style="182" customWidth="1"/>
    <col min="13831" max="13831" width="7.140625" style="182" customWidth="1"/>
    <col min="13832" max="13832" width="14.28515625" style="182" customWidth="1"/>
    <col min="13833" max="13836" width="18.5703125" style="182" customWidth="1"/>
    <col min="13837" max="14082" width="11.5703125" style="182"/>
    <col min="14083" max="14083" width="18.42578125" style="182" customWidth="1"/>
    <col min="14084" max="14084" width="16.5703125" style="182" customWidth="1"/>
    <col min="14085" max="14085" width="24.85546875" style="182" customWidth="1"/>
    <col min="14086" max="14086" width="37.28515625" style="182" customWidth="1"/>
    <col min="14087" max="14087" width="7.140625" style="182" customWidth="1"/>
    <col min="14088" max="14088" width="14.28515625" style="182" customWidth="1"/>
    <col min="14089" max="14092" width="18.5703125" style="182" customWidth="1"/>
    <col min="14093" max="14338" width="11.5703125" style="182"/>
    <col min="14339" max="14339" width="18.42578125" style="182" customWidth="1"/>
    <col min="14340" max="14340" width="16.5703125" style="182" customWidth="1"/>
    <col min="14341" max="14341" width="24.85546875" style="182" customWidth="1"/>
    <col min="14342" max="14342" width="37.28515625" style="182" customWidth="1"/>
    <col min="14343" max="14343" width="7.140625" style="182" customWidth="1"/>
    <col min="14344" max="14344" width="14.28515625" style="182" customWidth="1"/>
    <col min="14345" max="14348" width="18.5703125" style="182" customWidth="1"/>
    <col min="14349" max="14594" width="11.5703125" style="182"/>
    <col min="14595" max="14595" width="18.42578125" style="182" customWidth="1"/>
    <col min="14596" max="14596" width="16.5703125" style="182" customWidth="1"/>
    <col min="14597" max="14597" width="24.85546875" style="182" customWidth="1"/>
    <col min="14598" max="14598" width="37.28515625" style="182" customWidth="1"/>
    <col min="14599" max="14599" width="7.140625" style="182" customWidth="1"/>
    <col min="14600" max="14600" width="14.28515625" style="182" customWidth="1"/>
    <col min="14601" max="14604" width="18.5703125" style="182" customWidth="1"/>
    <col min="14605" max="14850" width="11.5703125" style="182"/>
    <col min="14851" max="14851" width="18.42578125" style="182" customWidth="1"/>
    <col min="14852" max="14852" width="16.5703125" style="182" customWidth="1"/>
    <col min="14853" max="14853" width="24.85546875" style="182" customWidth="1"/>
    <col min="14854" max="14854" width="37.28515625" style="182" customWidth="1"/>
    <col min="14855" max="14855" width="7.140625" style="182" customWidth="1"/>
    <col min="14856" max="14856" width="14.28515625" style="182" customWidth="1"/>
    <col min="14857" max="14860" width="18.5703125" style="182" customWidth="1"/>
    <col min="14861" max="15106" width="11.5703125" style="182"/>
    <col min="15107" max="15107" width="18.42578125" style="182" customWidth="1"/>
    <col min="15108" max="15108" width="16.5703125" style="182" customWidth="1"/>
    <col min="15109" max="15109" width="24.85546875" style="182" customWidth="1"/>
    <col min="15110" max="15110" width="37.28515625" style="182" customWidth="1"/>
    <col min="15111" max="15111" width="7.140625" style="182" customWidth="1"/>
    <col min="15112" max="15112" width="14.28515625" style="182" customWidth="1"/>
    <col min="15113" max="15116" width="18.5703125" style="182" customWidth="1"/>
    <col min="15117" max="15362" width="11.5703125" style="182"/>
    <col min="15363" max="15363" width="18.42578125" style="182" customWidth="1"/>
    <col min="15364" max="15364" width="16.5703125" style="182" customWidth="1"/>
    <col min="15365" max="15365" width="24.85546875" style="182" customWidth="1"/>
    <col min="15366" max="15366" width="37.28515625" style="182" customWidth="1"/>
    <col min="15367" max="15367" width="7.140625" style="182" customWidth="1"/>
    <col min="15368" max="15368" width="14.28515625" style="182" customWidth="1"/>
    <col min="15369" max="15372" width="18.5703125" style="182" customWidth="1"/>
    <col min="15373" max="15618" width="11.5703125" style="182"/>
    <col min="15619" max="15619" width="18.42578125" style="182" customWidth="1"/>
    <col min="15620" max="15620" width="16.5703125" style="182" customWidth="1"/>
    <col min="15621" max="15621" width="24.85546875" style="182" customWidth="1"/>
    <col min="15622" max="15622" width="37.28515625" style="182" customWidth="1"/>
    <col min="15623" max="15623" width="7.140625" style="182" customWidth="1"/>
    <col min="15624" max="15624" width="14.28515625" style="182" customWidth="1"/>
    <col min="15625" max="15628" width="18.5703125" style="182" customWidth="1"/>
    <col min="15629" max="15874" width="11.5703125" style="182"/>
    <col min="15875" max="15875" width="18.42578125" style="182" customWidth="1"/>
    <col min="15876" max="15876" width="16.5703125" style="182" customWidth="1"/>
    <col min="15877" max="15877" width="24.85546875" style="182" customWidth="1"/>
    <col min="15878" max="15878" width="37.28515625" style="182" customWidth="1"/>
    <col min="15879" max="15879" width="7.140625" style="182" customWidth="1"/>
    <col min="15880" max="15880" width="14.28515625" style="182" customWidth="1"/>
    <col min="15881" max="15884" width="18.5703125" style="182" customWidth="1"/>
    <col min="15885" max="16130" width="11.5703125" style="182"/>
    <col min="16131" max="16131" width="18.42578125" style="182" customWidth="1"/>
    <col min="16132" max="16132" width="16.5703125" style="182" customWidth="1"/>
    <col min="16133" max="16133" width="24.85546875" style="182" customWidth="1"/>
    <col min="16134" max="16134" width="37.28515625" style="182" customWidth="1"/>
    <col min="16135" max="16135" width="7.140625" style="182" customWidth="1"/>
    <col min="16136" max="16136" width="14.28515625" style="182" customWidth="1"/>
    <col min="16137" max="16140" width="18.5703125" style="182" customWidth="1"/>
    <col min="16141" max="16384" width="11.5703125" style="182"/>
  </cols>
  <sheetData>
    <row r="1" spans="1:12" ht="25.5">
      <c r="A1" s="183" t="s">
        <v>0</v>
      </c>
      <c r="B1" s="183" t="s">
        <v>1507</v>
      </c>
      <c r="C1" s="183" t="s">
        <v>1508</v>
      </c>
      <c r="D1" s="183" t="s">
        <v>1</v>
      </c>
      <c r="E1" s="183" t="s">
        <v>1509</v>
      </c>
      <c r="F1" s="183" t="s">
        <v>1510</v>
      </c>
      <c r="G1" s="183" t="s">
        <v>1511</v>
      </c>
      <c r="H1" s="183" t="s">
        <v>1512</v>
      </c>
      <c r="I1" s="183" t="s">
        <v>1513</v>
      </c>
      <c r="J1" s="183" t="s">
        <v>1514</v>
      </c>
    </row>
    <row r="2" spans="1:12">
      <c r="A2" s="239" t="s">
        <v>6</v>
      </c>
      <c r="B2" s="239"/>
      <c r="C2" s="239"/>
      <c r="D2" s="239" t="s">
        <v>7</v>
      </c>
      <c r="E2" s="240">
        <v>1</v>
      </c>
      <c r="F2" s="239" t="s">
        <v>1515</v>
      </c>
      <c r="G2" s="241">
        <v>280741100.38999999</v>
      </c>
      <c r="H2" s="241">
        <v>2014495291.1500001</v>
      </c>
      <c r="I2" s="241">
        <v>2129780750.53</v>
      </c>
      <c r="J2" s="241">
        <v>165455641.00999999</v>
      </c>
    </row>
    <row r="3" spans="1:12">
      <c r="A3" s="239" t="s">
        <v>10</v>
      </c>
      <c r="B3" s="239"/>
      <c r="C3" s="239"/>
      <c r="D3" s="239" t="s">
        <v>11</v>
      </c>
      <c r="E3" s="240">
        <v>2</v>
      </c>
      <c r="F3" s="239" t="s">
        <v>1515</v>
      </c>
      <c r="G3" s="241">
        <v>39647234.509999998</v>
      </c>
      <c r="H3" s="241">
        <v>862859330.30999994</v>
      </c>
      <c r="I3" s="241">
        <v>853726693.80999994</v>
      </c>
      <c r="J3" s="241">
        <v>48779871.009999998</v>
      </c>
    </row>
    <row r="4" spans="1:12">
      <c r="A4" s="239" t="s">
        <v>12</v>
      </c>
      <c r="B4" s="239"/>
      <c r="C4" s="239"/>
      <c r="D4" s="239" t="s">
        <v>13</v>
      </c>
      <c r="E4" s="240">
        <v>3</v>
      </c>
      <c r="F4" s="239" t="s">
        <v>1515</v>
      </c>
      <c r="G4" s="241">
        <v>38</v>
      </c>
      <c r="H4" s="241">
        <v>0</v>
      </c>
      <c r="I4" s="241">
        <v>38</v>
      </c>
      <c r="J4" s="241">
        <v>0</v>
      </c>
    </row>
    <row r="5" spans="1:12" ht="15" customHeight="1">
      <c r="A5" s="239" t="s">
        <v>14</v>
      </c>
      <c r="B5" s="239"/>
      <c r="C5" s="239"/>
      <c r="D5" s="239" t="s">
        <v>15</v>
      </c>
      <c r="E5" s="240">
        <v>4</v>
      </c>
      <c r="F5" s="239" t="s">
        <v>1515</v>
      </c>
      <c r="G5" s="241">
        <v>38</v>
      </c>
      <c r="H5" s="241">
        <v>0</v>
      </c>
      <c r="I5" s="241">
        <v>38</v>
      </c>
      <c r="J5" s="241">
        <v>0</v>
      </c>
    </row>
    <row r="6" spans="1:12" ht="15" customHeight="1">
      <c r="A6" s="239" t="s">
        <v>34</v>
      </c>
      <c r="B6" s="239"/>
      <c r="C6" s="239"/>
      <c r="D6" s="239" t="s">
        <v>35</v>
      </c>
      <c r="E6" s="240">
        <v>3</v>
      </c>
      <c r="F6" s="239" t="s">
        <v>1515</v>
      </c>
      <c r="G6" s="241">
        <v>39647196.509999998</v>
      </c>
      <c r="H6" s="241">
        <v>862859330.30999994</v>
      </c>
      <c r="I6" s="241">
        <v>853726655.80999994</v>
      </c>
      <c r="J6" s="241">
        <v>48779871.009999998</v>
      </c>
    </row>
    <row r="7" spans="1:12" ht="15" customHeight="1">
      <c r="A7" s="239" t="s">
        <v>36</v>
      </c>
      <c r="B7" s="239"/>
      <c r="C7" s="239"/>
      <c r="D7" s="239" t="s">
        <v>24</v>
      </c>
      <c r="E7" s="240">
        <v>4</v>
      </c>
      <c r="F7" s="239" t="s">
        <v>1515</v>
      </c>
      <c r="G7" s="241">
        <v>39647196.509999998</v>
      </c>
      <c r="H7" s="241">
        <v>862859330.30999994</v>
      </c>
      <c r="I7" s="241">
        <v>853726655.80999994</v>
      </c>
      <c r="J7" s="241">
        <v>48779871.009999998</v>
      </c>
      <c r="K7" s="238"/>
      <c r="L7" s="202"/>
    </row>
    <row r="8" spans="1:12" ht="15" customHeight="1">
      <c r="A8" s="239" t="s">
        <v>56</v>
      </c>
      <c r="B8" s="239"/>
      <c r="C8" s="239"/>
      <c r="D8" s="239" t="s">
        <v>57</v>
      </c>
      <c r="E8" s="240">
        <v>2</v>
      </c>
      <c r="F8" s="239" t="s">
        <v>1515</v>
      </c>
      <c r="G8" s="241">
        <v>104090497.88</v>
      </c>
      <c r="H8" s="241">
        <v>1151635960.8399999</v>
      </c>
      <c r="I8" s="241">
        <v>1216533458.72</v>
      </c>
      <c r="J8" s="241">
        <v>39193000</v>
      </c>
    </row>
    <row r="9" spans="1:12" ht="15" customHeight="1">
      <c r="A9" s="239" t="s">
        <v>58</v>
      </c>
      <c r="B9" s="239"/>
      <c r="C9" s="239"/>
      <c r="D9" s="239" t="s">
        <v>59</v>
      </c>
      <c r="E9" s="240">
        <v>3</v>
      </c>
      <c r="F9" s="239" t="s">
        <v>1515</v>
      </c>
      <c r="G9" s="241">
        <v>35250626.880000003</v>
      </c>
      <c r="H9" s="241">
        <v>885414488.84000003</v>
      </c>
      <c r="I9" s="241">
        <v>920665115.72000003</v>
      </c>
      <c r="J9" s="241">
        <v>0</v>
      </c>
      <c r="K9" s="202">
        <f>+H9-I9</f>
        <v>-35250626.879999995</v>
      </c>
    </row>
    <row r="10" spans="1:12" ht="15" customHeight="1">
      <c r="A10" s="239" t="s">
        <v>60</v>
      </c>
      <c r="B10" s="239"/>
      <c r="C10" s="239"/>
      <c r="D10" s="239" t="s">
        <v>61</v>
      </c>
      <c r="E10" s="240">
        <v>4</v>
      </c>
      <c r="F10" s="239" t="s">
        <v>1515</v>
      </c>
      <c r="G10" s="241">
        <v>0</v>
      </c>
      <c r="H10" s="241">
        <v>129085600</v>
      </c>
      <c r="I10" s="241">
        <v>129085600</v>
      </c>
      <c r="J10" s="241">
        <v>0</v>
      </c>
    </row>
    <row r="11" spans="1:12" ht="15" customHeight="1">
      <c r="A11" s="239" t="s">
        <v>63</v>
      </c>
      <c r="B11" s="239"/>
      <c r="C11" s="239"/>
      <c r="D11" s="239" t="s">
        <v>64</v>
      </c>
      <c r="E11" s="240">
        <v>4</v>
      </c>
      <c r="F11" s="239" t="s">
        <v>1515</v>
      </c>
      <c r="G11" s="241">
        <v>35250626.880000003</v>
      </c>
      <c r="H11" s="241">
        <v>756328888.84000003</v>
      </c>
      <c r="I11" s="241">
        <v>791579515.72000003</v>
      </c>
      <c r="J11" s="241">
        <v>0</v>
      </c>
    </row>
    <row r="12" spans="1:12" ht="15" customHeight="1">
      <c r="A12" s="239" t="s">
        <v>68</v>
      </c>
      <c r="B12" s="239"/>
      <c r="C12" s="239"/>
      <c r="D12" s="239" t="s">
        <v>69</v>
      </c>
      <c r="E12" s="240">
        <v>3</v>
      </c>
      <c r="F12" s="239" t="s">
        <v>1515</v>
      </c>
      <c r="G12" s="241">
        <v>0</v>
      </c>
      <c r="H12" s="241">
        <v>100600000</v>
      </c>
      <c r="I12" s="241">
        <v>100600000</v>
      </c>
      <c r="J12" s="241">
        <v>0</v>
      </c>
    </row>
    <row r="13" spans="1:12" ht="15" customHeight="1">
      <c r="A13" s="239" t="s">
        <v>76</v>
      </c>
      <c r="B13" s="239"/>
      <c r="C13" s="239"/>
      <c r="D13" s="239" t="s">
        <v>77</v>
      </c>
      <c r="E13" s="240">
        <v>4</v>
      </c>
      <c r="F13" s="239" t="s">
        <v>1515</v>
      </c>
      <c r="G13" s="241">
        <v>0</v>
      </c>
      <c r="H13" s="241">
        <v>100600000</v>
      </c>
      <c r="I13" s="241">
        <v>100600000</v>
      </c>
      <c r="J13" s="241">
        <v>0</v>
      </c>
    </row>
    <row r="14" spans="1:12" ht="15" customHeight="1">
      <c r="A14" s="239" t="s">
        <v>110</v>
      </c>
      <c r="B14" s="239"/>
      <c r="C14" s="239"/>
      <c r="D14" s="239" t="s">
        <v>111</v>
      </c>
      <c r="E14" s="240">
        <v>3</v>
      </c>
      <c r="F14" s="239" t="s">
        <v>1515</v>
      </c>
      <c r="G14" s="241">
        <v>400000</v>
      </c>
      <c r="H14" s="241">
        <v>0</v>
      </c>
      <c r="I14" s="241">
        <v>400000</v>
      </c>
      <c r="J14" s="241">
        <v>0</v>
      </c>
    </row>
    <row r="15" spans="1:12" ht="15" customHeight="1">
      <c r="A15" s="239" t="s">
        <v>115</v>
      </c>
      <c r="B15" s="239"/>
      <c r="C15" s="239"/>
      <c r="D15" s="239" t="s">
        <v>116</v>
      </c>
      <c r="E15" s="240">
        <v>4</v>
      </c>
      <c r="F15" s="239" t="s">
        <v>1515</v>
      </c>
      <c r="G15" s="241">
        <v>400000</v>
      </c>
      <c r="H15" s="241">
        <v>0</v>
      </c>
      <c r="I15" s="241">
        <v>400000</v>
      </c>
      <c r="J15" s="241">
        <v>0</v>
      </c>
    </row>
    <row r="16" spans="1:12" ht="15" customHeight="1">
      <c r="A16" s="239" t="s">
        <v>120</v>
      </c>
      <c r="B16" s="239"/>
      <c r="C16" s="239"/>
      <c r="D16" s="239" t="s">
        <v>121</v>
      </c>
      <c r="E16" s="240">
        <v>3</v>
      </c>
      <c r="F16" s="239" t="s">
        <v>1515</v>
      </c>
      <c r="G16" s="241">
        <v>27042</v>
      </c>
      <c r="H16" s="241">
        <v>24563930</v>
      </c>
      <c r="I16" s="241">
        <v>24590972</v>
      </c>
      <c r="J16" s="241">
        <v>0</v>
      </c>
    </row>
    <row r="17" spans="1:12" ht="15" customHeight="1">
      <c r="A17" s="239" t="s">
        <v>122</v>
      </c>
      <c r="B17" s="239"/>
      <c r="C17" s="239"/>
      <c r="D17" s="239" t="s">
        <v>123</v>
      </c>
      <c r="E17" s="240">
        <v>4</v>
      </c>
      <c r="F17" s="239" t="s">
        <v>1515</v>
      </c>
      <c r="G17" s="241">
        <v>27042</v>
      </c>
      <c r="H17" s="241">
        <v>21563930</v>
      </c>
      <c r="I17" s="241">
        <v>21590972</v>
      </c>
      <c r="J17" s="241">
        <v>0</v>
      </c>
    </row>
    <row r="18" spans="1:12" ht="15" customHeight="1">
      <c r="A18" s="239" t="s">
        <v>128</v>
      </c>
      <c r="B18" s="239"/>
      <c r="C18" s="239"/>
      <c r="D18" s="239" t="s">
        <v>129</v>
      </c>
      <c r="E18" s="240">
        <v>5</v>
      </c>
      <c r="F18" s="239" t="s">
        <v>1515</v>
      </c>
      <c r="G18" s="241">
        <v>27042</v>
      </c>
      <c r="H18" s="241">
        <v>21563930</v>
      </c>
      <c r="I18" s="241">
        <v>21590972</v>
      </c>
      <c r="J18" s="241">
        <v>0</v>
      </c>
    </row>
    <row r="19" spans="1:12" ht="15" customHeight="1">
      <c r="A19" s="239" t="s">
        <v>137</v>
      </c>
      <c r="B19" s="239"/>
      <c r="C19" s="239"/>
      <c r="D19" s="239" t="s">
        <v>138</v>
      </c>
      <c r="E19" s="240">
        <v>4</v>
      </c>
      <c r="F19" s="239" t="s">
        <v>1515</v>
      </c>
      <c r="G19" s="241">
        <v>0</v>
      </c>
      <c r="H19" s="241">
        <v>3000000</v>
      </c>
      <c r="I19" s="241">
        <v>3000000</v>
      </c>
      <c r="J19" s="241">
        <v>0</v>
      </c>
    </row>
    <row r="20" spans="1:12" ht="15" customHeight="1">
      <c r="A20" s="239" t="s">
        <v>205</v>
      </c>
      <c r="B20" s="239"/>
      <c r="C20" s="239"/>
      <c r="D20" s="239" t="s">
        <v>206</v>
      </c>
      <c r="E20" s="240">
        <v>3</v>
      </c>
      <c r="F20" s="239" t="s">
        <v>1515</v>
      </c>
      <c r="G20" s="241">
        <v>0</v>
      </c>
      <c r="H20" s="241">
        <v>70104960</v>
      </c>
      <c r="I20" s="241">
        <v>70104960</v>
      </c>
      <c r="J20" s="241">
        <v>0</v>
      </c>
    </row>
    <row r="21" spans="1:12" ht="15" customHeight="1">
      <c r="A21" s="239" t="s">
        <v>219</v>
      </c>
      <c r="B21" s="239"/>
      <c r="C21" s="239"/>
      <c r="D21" s="239" t="s">
        <v>132</v>
      </c>
      <c r="E21" s="240">
        <v>4</v>
      </c>
      <c r="F21" s="239" t="s">
        <v>1515</v>
      </c>
      <c r="G21" s="241">
        <v>0</v>
      </c>
      <c r="H21" s="241">
        <v>70104960</v>
      </c>
      <c r="I21" s="241">
        <v>70104960</v>
      </c>
      <c r="J21" s="241">
        <v>0</v>
      </c>
      <c r="K21" s="238"/>
      <c r="L21" s="202"/>
    </row>
    <row r="22" spans="1:12" ht="15" customHeight="1">
      <c r="A22" s="239" t="s">
        <v>229</v>
      </c>
      <c r="B22" s="239"/>
      <c r="C22" s="239"/>
      <c r="D22" s="239" t="s">
        <v>230</v>
      </c>
      <c r="E22" s="240">
        <v>3</v>
      </c>
      <c r="F22" s="239" t="s">
        <v>1515</v>
      </c>
      <c r="G22" s="241">
        <v>48351000</v>
      </c>
      <c r="H22" s="241">
        <v>70952582</v>
      </c>
      <c r="I22" s="241">
        <v>80110582</v>
      </c>
      <c r="J22" s="241">
        <v>39193000</v>
      </c>
    </row>
    <row r="23" spans="1:12" ht="15" customHeight="1">
      <c r="A23" s="239" t="s">
        <v>268</v>
      </c>
      <c r="B23" s="239"/>
      <c r="C23" s="239"/>
      <c r="D23" s="239" t="s">
        <v>269</v>
      </c>
      <c r="E23" s="240">
        <v>4</v>
      </c>
      <c r="F23" s="239" t="s">
        <v>1515</v>
      </c>
      <c r="G23" s="241">
        <v>0</v>
      </c>
      <c r="H23" s="241">
        <v>8242582</v>
      </c>
      <c r="I23" s="241">
        <v>8242582</v>
      </c>
      <c r="J23" s="241">
        <v>0</v>
      </c>
      <c r="L23" s="202"/>
    </row>
    <row r="24" spans="1:12" ht="15" customHeight="1">
      <c r="A24" s="239" t="s">
        <v>270</v>
      </c>
      <c r="B24" s="239"/>
      <c r="C24" s="239"/>
      <c r="D24" s="239" t="s">
        <v>271</v>
      </c>
      <c r="E24" s="240">
        <v>5</v>
      </c>
      <c r="F24" s="239" t="s">
        <v>1515</v>
      </c>
      <c r="G24" s="241">
        <v>0</v>
      </c>
      <c r="H24" s="241">
        <v>3466583</v>
      </c>
      <c r="I24" s="241">
        <v>3466583</v>
      </c>
      <c r="J24" s="241">
        <v>0</v>
      </c>
      <c r="L24" s="202"/>
    </row>
    <row r="25" spans="1:12" ht="15" customHeight="1">
      <c r="A25" s="239" t="s">
        <v>1613</v>
      </c>
      <c r="B25" s="239"/>
      <c r="C25" s="239"/>
      <c r="D25" s="239" t="s">
        <v>1614</v>
      </c>
      <c r="E25" s="240">
        <v>5</v>
      </c>
      <c r="F25" s="239" t="s">
        <v>1515</v>
      </c>
      <c r="G25" s="241">
        <v>0</v>
      </c>
      <c r="H25" s="241">
        <v>4775999</v>
      </c>
      <c r="I25" s="241">
        <v>4775999</v>
      </c>
      <c r="J25" s="241">
        <v>0</v>
      </c>
      <c r="L25" s="202"/>
    </row>
    <row r="26" spans="1:12" ht="15" customHeight="1">
      <c r="A26" s="239" t="s">
        <v>273</v>
      </c>
      <c r="B26" s="239"/>
      <c r="C26" s="239"/>
      <c r="D26" s="239" t="s">
        <v>274</v>
      </c>
      <c r="E26" s="240">
        <v>4</v>
      </c>
      <c r="F26" s="239" t="s">
        <v>1515</v>
      </c>
      <c r="G26" s="241">
        <v>48351000</v>
      </c>
      <c r="H26" s="241">
        <v>62710000</v>
      </c>
      <c r="I26" s="241">
        <v>71868000</v>
      </c>
      <c r="J26" s="241">
        <v>39193000</v>
      </c>
      <c r="L26" s="202"/>
    </row>
    <row r="27" spans="1:12" ht="15" customHeight="1">
      <c r="A27" s="239" t="s">
        <v>275</v>
      </c>
      <c r="B27" s="239"/>
      <c r="C27" s="239"/>
      <c r="D27" s="239" t="s">
        <v>276</v>
      </c>
      <c r="E27" s="240">
        <v>5</v>
      </c>
      <c r="F27" s="239" t="s">
        <v>1515</v>
      </c>
      <c r="G27" s="241">
        <v>44863000</v>
      </c>
      <c r="H27" s="241">
        <v>54467000</v>
      </c>
      <c r="I27" s="241">
        <v>71868000</v>
      </c>
      <c r="J27" s="241">
        <v>27462000</v>
      </c>
      <c r="L27" s="202"/>
    </row>
    <row r="28" spans="1:12" ht="15" customHeight="1">
      <c r="A28" s="239" t="s">
        <v>5610</v>
      </c>
      <c r="B28" s="239"/>
      <c r="C28" s="239"/>
      <c r="D28" s="239" t="s">
        <v>5611</v>
      </c>
      <c r="E28" s="240">
        <v>5</v>
      </c>
      <c r="F28" s="239" t="s">
        <v>1515</v>
      </c>
      <c r="G28" s="241">
        <v>3488000</v>
      </c>
      <c r="H28" s="241">
        <v>8243000</v>
      </c>
      <c r="I28" s="241">
        <v>0</v>
      </c>
      <c r="J28" s="241">
        <v>11731000</v>
      </c>
      <c r="K28" s="274">
        <f>1760955*3+J28</f>
        <v>17013865</v>
      </c>
      <c r="L28" s="274">
        <f>+K28*35%</f>
        <v>5954852.75</v>
      </c>
    </row>
    <row r="29" spans="1:12" ht="15" customHeight="1">
      <c r="A29" s="239" t="s">
        <v>318</v>
      </c>
      <c r="B29" s="239"/>
      <c r="C29" s="239"/>
      <c r="D29" s="239" t="s">
        <v>319</v>
      </c>
      <c r="E29" s="240">
        <v>3</v>
      </c>
      <c r="F29" s="239" t="s">
        <v>1515</v>
      </c>
      <c r="G29" s="241">
        <v>20000000</v>
      </c>
      <c r="H29" s="241">
        <v>0</v>
      </c>
      <c r="I29" s="241">
        <v>20000000</v>
      </c>
      <c r="J29" s="241">
        <v>0</v>
      </c>
    </row>
    <row r="30" spans="1:12" ht="15" customHeight="1">
      <c r="A30" s="239" t="s">
        <v>323</v>
      </c>
      <c r="B30" s="239"/>
      <c r="C30" s="239"/>
      <c r="D30" s="239" t="s">
        <v>324</v>
      </c>
      <c r="E30" s="240">
        <v>4</v>
      </c>
      <c r="F30" s="239" t="s">
        <v>1515</v>
      </c>
      <c r="G30" s="241">
        <v>20000000</v>
      </c>
      <c r="H30" s="241">
        <v>0</v>
      </c>
      <c r="I30" s="241">
        <v>20000000</v>
      </c>
      <c r="J30" s="241">
        <v>0</v>
      </c>
    </row>
    <row r="31" spans="1:12" ht="15" customHeight="1">
      <c r="A31" s="239" t="s">
        <v>326</v>
      </c>
      <c r="B31" s="239"/>
      <c r="C31" s="239"/>
      <c r="D31" s="239" t="s">
        <v>327</v>
      </c>
      <c r="E31" s="240">
        <v>3</v>
      </c>
      <c r="F31" s="239" t="s">
        <v>1515</v>
      </c>
      <c r="G31" s="241">
        <v>61829</v>
      </c>
      <c r="H31" s="241">
        <v>0</v>
      </c>
      <c r="I31" s="241">
        <v>61829</v>
      </c>
      <c r="J31" s="290">
        <v>0</v>
      </c>
    </row>
    <row r="32" spans="1:12" ht="15" customHeight="1">
      <c r="A32" s="239" t="s">
        <v>349</v>
      </c>
      <c r="B32" s="239"/>
      <c r="C32" s="239"/>
      <c r="D32" s="239" t="s">
        <v>150</v>
      </c>
      <c r="E32" s="240">
        <v>4</v>
      </c>
      <c r="F32" s="239" t="s">
        <v>1515</v>
      </c>
      <c r="G32" s="241">
        <v>61829</v>
      </c>
      <c r="H32" s="241">
        <v>0</v>
      </c>
      <c r="I32" s="241">
        <v>61829</v>
      </c>
      <c r="J32" s="241">
        <v>0</v>
      </c>
    </row>
    <row r="33" spans="1:12" ht="15" customHeight="1">
      <c r="A33" s="239" t="s">
        <v>389</v>
      </c>
      <c r="B33" s="239"/>
      <c r="C33" s="239"/>
      <c r="D33" s="239" t="s">
        <v>390</v>
      </c>
      <c r="E33" s="240">
        <v>2</v>
      </c>
      <c r="F33" s="239" t="s">
        <v>1515</v>
      </c>
      <c r="G33" s="241">
        <v>84328430</v>
      </c>
      <c r="H33" s="241">
        <v>0</v>
      </c>
      <c r="I33" s="241">
        <v>21126660</v>
      </c>
      <c r="J33" s="241">
        <v>63201770</v>
      </c>
    </row>
    <row r="34" spans="1:12" ht="15" customHeight="1">
      <c r="A34" s="239" t="s">
        <v>391</v>
      </c>
      <c r="B34" s="239"/>
      <c r="C34" s="239"/>
      <c r="D34" s="239" t="s">
        <v>392</v>
      </c>
      <c r="E34" s="240">
        <v>3</v>
      </c>
      <c r="F34" s="239" t="s">
        <v>1515</v>
      </c>
      <c r="G34" s="241">
        <v>105633276</v>
      </c>
      <c r="H34" s="241">
        <v>0</v>
      </c>
      <c r="I34" s="241">
        <v>0</v>
      </c>
      <c r="J34" s="241">
        <v>105633276</v>
      </c>
    </row>
    <row r="35" spans="1:12" ht="15" customHeight="1">
      <c r="A35" s="239" t="s">
        <v>393</v>
      </c>
      <c r="B35" s="239"/>
      <c r="C35" s="239"/>
      <c r="D35" s="239" t="s">
        <v>394</v>
      </c>
      <c r="E35" s="240">
        <v>4</v>
      </c>
      <c r="F35" s="239" t="s">
        <v>1515</v>
      </c>
      <c r="G35" s="241">
        <v>105633276</v>
      </c>
      <c r="H35" s="241">
        <v>0</v>
      </c>
      <c r="I35" s="241">
        <v>0</v>
      </c>
      <c r="J35" s="241">
        <v>105633276</v>
      </c>
    </row>
    <row r="36" spans="1:12" ht="15" customHeight="1">
      <c r="A36" s="239" t="s">
        <v>395</v>
      </c>
      <c r="B36" s="239"/>
      <c r="C36" s="239"/>
      <c r="D36" s="239" t="s">
        <v>396</v>
      </c>
      <c r="E36" s="240">
        <v>5</v>
      </c>
      <c r="F36" s="239" t="s">
        <v>1515</v>
      </c>
      <c r="G36" s="241">
        <v>95805676</v>
      </c>
      <c r="H36" s="241">
        <v>0</v>
      </c>
      <c r="I36" s="241">
        <v>0</v>
      </c>
      <c r="J36" s="241">
        <v>95805676</v>
      </c>
    </row>
    <row r="37" spans="1:12" ht="15" customHeight="1">
      <c r="A37" s="239" t="s">
        <v>403</v>
      </c>
      <c r="B37" s="239"/>
      <c r="C37" s="239"/>
      <c r="D37" s="239" t="s">
        <v>404</v>
      </c>
      <c r="E37" s="240">
        <v>5</v>
      </c>
      <c r="F37" s="239" t="s">
        <v>1515</v>
      </c>
      <c r="G37" s="241">
        <v>9827600</v>
      </c>
      <c r="H37" s="241">
        <v>0</v>
      </c>
      <c r="I37" s="241">
        <v>0</v>
      </c>
      <c r="J37" s="241">
        <v>9827600</v>
      </c>
    </row>
    <row r="38" spans="1:12" ht="15" customHeight="1">
      <c r="A38" s="239" t="s">
        <v>411</v>
      </c>
      <c r="B38" s="239"/>
      <c r="C38" s="239"/>
      <c r="D38" s="239" t="s">
        <v>412</v>
      </c>
      <c r="E38" s="240">
        <v>3</v>
      </c>
      <c r="F38" s="239" t="s">
        <v>1515</v>
      </c>
      <c r="G38" s="241">
        <v>-21304846</v>
      </c>
      <c r="H38" s="241">
        <v>0</v>
      </c>
      <c r="I38" s="241">
        <v>21126660</v>
      </c>
      <c r="J38" s="241">
        <v>-42431506</v>
      </c>
    </row>
    <row r="39" spans="1:12" ht="15" customHeight="1">
      <c r="A39" s="239" t="s">
        <v>413</v>
      </c>
      <c r="B39" s="239"/>
      <c r="C39" s="239"/>
      <c r="D39" s="239" t="s">
        <v>414</v>
      </c>
      <c r="E39" s="240">
        <v>4</v>
      </c>
      <c r="F39" s="239" t="s">
        <v>1515</v>
      </c>
      <c r="G39" s="241">
        <v>-21304846</v>
      </c>
      <c r="H39" s="241">
        <v>0</v>
      </c>
      <c r="I39" s="241">
        <v>21126660</v>
      </c>
      <c r="J39" s="241">
        <v>-42431506</v>
      </c>
    </row>
    <row r="40" spans="1:12" ht="15" customHeight="1">
      <c r="A40" s="239" t="s">
        <v>415</v>
      </c>
      <c r="B40" s="239"/>
      <c r="C40" s="239"/>
      <c r="D40" s="239" t="s">
        <v>416</v>
      </c>
      <c r="E40" s="240">
        <v>5</v>
      </c>
      <c r="F40" s="239" t="s">
        <v>1515</v>
      </c>
      <c r="G40" s="241">
        <v>-19559895</v>
      </c>
      <c r="H40" s="241">
        <v>0</v>
      </c>
      <c r="I40" s="241">
        <v>19161144</v>
      </c>
      <c r="J40" s="290">
        <v>-38721039</v>
      </c>
    </row>
    <row r="41" spans="1:12" ht="15" customHeight="1">
      <c r="A41" s="239" t="s">
        <v>421</v>
      </c>
      <c r="B41" s="239"/>
      <c r="C41" s="239"/>
      <c r="D41" s="239" t="s">
        <v>404</v>
      </c>
      <c r="E41" s="240">
        <v>5</v>
      </c>
      <c r="F41" s="239" t="s">
        <v>1515</v>
      </c>
      <c r="G41" s="241">
        <v>-1744951</v>
      </c>
      <c r="H41" s="241">
        <v>0</v>
      </c>
      <c r="I41" s="241">
        <v>1965516</v>
      </c>
      <c r="J41" s="290">
        <v>-3710467</v>
      </c>
    </row>
    <row r="42" spans="1:12" ht="15" customHeight="1">
      <c r="A42" s="239" t="s">
        <v>423</v>
      </c>
      <c r="B42" s="239"/>
      <c r="C42" s="239"/>
      <c r="D42" s="239" t="s">
        <v>424</v>
      </c>
      <c r="E42" s="240">
        <v>2</v>
      </c>
      <c r="F42" s="239" t="s">
        <v>1515</v>
      </c>
      <c r="G42" s="241">
        <v>52674938</v>
      </c>
      <c r="H42" s="241">
        <v>0</v>
      </c>
      <c r="I42" s="241">
        <v>38393938</v>
      </c>
      <c r="J42" s="241">
        <v>14281000</v>
      </c>
      <c r="K42" s="238"/>
    </row>
    <row r="43" spans="1:12" ht="15" customHeight="1">
      <c r="A43" s="239" t="s">
        <v>1625</v>
      </c>
      <c r="B43" s="239"/>
      <c r="C43" s="239"/>
      <c r="D43" s="239" t="s">
        <v>1385</v>
      </c>
      <c r="E43" s="240">
        <v>3</v>
      </c>
      <c r="F43" s="239" t="s">
        <v>1515</v>
      </c>
      <c r="G43" s="241">
        <v>52674938</v>
      </c>
      <c r="H43" s="241">
        <v>0</v>
      </c>
      <c r="I43" s="241">
        <v>38393938</v>
      </c>
      <c r="J43" s="241">
        <v>14281000</v>
      </c>
      <c r="K43" s="238"/>
    </row>
    <row r="44" spans="1:12" ht="15" customHeight="1">
      <c r="A44" s="239" t="s">
        <v>1626</v>
      </c>
      <c r="B44" s="239"/>
      <c r="C44" s="239"/>
      <c r="D44" s="239" t="s">
        <v>1627</v>
      </c>
      <c r="E44" s="240">
        <v>4</v>
      </c>
      <c r="F44" s="239" t="s">
        <v>1515</v>
      </c>
      <c r="G44" s="241">
        <v>52674938</v>
      </c>
      <c r="H44" s="241">
        <v>0</v>
      </c>
      <c r="I44" s="241">
        <v>38393938</v>
      </c>
      <c r="J44" s="241">
        <v>14281000</v>
      </c>
      <c r="K44" s="238"/>
    </row>
    <row r="45" spans="1:12" ht="15" customHeight="1">
      <c r="A45" s="239" t="s">
        <v>433</v>
      </c>
      <c r="B45" s="239"/>
      <c r="C45" s="239"/>
      <c r="D45" s="239" t="s">
        <v>434</v>
      </c>
      <c r="E45" s="240">
        <v>1</v>
      </c>
      <c r="F45" s="239" t="s">
        <v>1628</v>
      </c>
      <c r="G45" s="241">
        <v>400992008.07999998</v>
      </c>
      <c r="H45" s="241">
        <v>1268933986.4000001</v>
      </c>
      <c r="I45" s="241">
        <v>1003285126.9400001</v>
      </c>
      <c r="J45" s="241">
        <v>135343148.62</v>
      </c>
      <c r="K45" s="238"/>
    </row>
    <row r="46" spans="1:12" ht="15" customHeight="1">
      <c r="A46" s="239" t="s">
        <v>435</v>
      </c>
      <c r="B46" s="239"/>
      <c r="C46" s="239"/>
      <c r="D46" s="239" t="s">
        <v>436</v>
      </c>
      <c r="E46" s="240">
        <v>2</v>
      </c>
      <c r="F46" s="239" t="s">
        <v>1628</v>
      </c>
      <c r="G46" s="241">
        <v>392705400</v>
      </c>
      <c r="H46" s="241">
        <v>267213680</v>
      </c>
      <c r="I46" s="241">
        <v>0</v>
      </c>
      <c r="J46" s="241">
        <v>125491720</v>
      </c>
      <c r="K46" s="238"/>
      <c r="L46" s="238"/>
    </row>
    <row r="47" spans="1:12" ht="15" customHeight="1">
      <c r="A47" s="239" t="s">
        <v>437</v>
      </c>
      <c r="B47" s="239"/>
      <c r="C47" s="239"/>
      <c r="D47" s="239" t="s">
        <v>438</v>
      </c>
      <c r="E47" s="240">
        <v>3</v>
      </c>
      <c r="F47" s="239" t="s">
        <v>1628</v>
      </c>
      <c r="G47" s="241">
        <v>392705400</v>
      </c>
      <c r="H47" s="241">
        <v>267213680</v>
      </c>
      <c r="I47" s="241">
        <v>0</v>
      </c>
      <c r="J47" s="241">
        <v>125491720</v>
      </c>
    </row>
    <row r="48" spans="1:12" ht="15" customHeight="1">
      <c r="A48" s="239" t="s">
        <v>1629</v>
      </c>
      <c r="B48" s="239"/>
      <c r="C48" s="239"/>
      <c r="D48" s="239" t="s">
        <v>1630</v>
      </c>
      <c r="E48" s="240">
        <v>4</v>
      </c>
      <c r="F48" s="239" t="s">
        <v>1628</v>
      </c>
      <c r="G48" s="241">
        <v>286703000</v>
      </c>
      <c r="H48" s="241">
        <v>239331280</v>
      </c>
      <c r="I48" s="241">
        <v>0</v>
      </c>
      <c r="J48" s="241">
        <v>47371720</v>
      </c>
    </row>
    <row r="49" spans="1:10" ht="15" customHeight="1">
      <c r="A49" s="239" t="s">
        <v>1631</v>
      </c>
      <c r="B49" s="239"/>
      <c r="C49" s="239"/>
      <c r="D49" s="239" t="s">
        <v>1632</v>
      </c>
      <c r="E49" s="240">
        <v>4</v>
      </c>
      <c r="F49" s="239" t="s">
        <v>1628</v>
      </c>
      <c r="G49" s="241">
        <v>106002400</v>
      </c>
      <c r="H49" s="241">
        <v>27882400</v>
      </c>
      <c r="I49" s="241">
        <v>0</v>
      </c>
      <c r="J49" s="241">
        <v>78120000</v>
      </c>
    </row>
    <row r="50" spans="1:10" ht="15" customHeight="1">
      <c r="A50" s="239" t="s">
        <v>442</v>
      </c>
      <c r="B50" s="239"/>
      <c r="C50" s="239"/>
      <c r="D50" s="239" t="s">
        <v>443</v>
      </c>
      <c r="E50" s="240">
        <v>2</v>
      </c>
      <c r="F50" s="239" t="s">
        <v>1628</v>
      </c>
      <c r="G50" s="241">
        <v>5560177.0800000001</v>
      </c>
      <c r="H50" s="241">
        <v>617207338.09000003</v>
      </c>
      <c r="I50" s="241">
        <v>613431647.63</v>
      </c>
      <c r="J50" s="241">
        <v>1784486.62</v>
      </c>
    </row>
    <row r="51" spans="1:10" ht="15" customHeight="1">
      <c r="A51" s="239" t="s">
        <v>444</v>
      </c>
      <c r="B51" s="239"/>
      <c r="C51" s="239"/>
      <c r="D51" s="239" t="s">
        <v>445</v>
      </c>
      <c r="E51" s="240">
        <v>3</v>
      </c>
      <c r="F51" s="239" t="s">
        <v>1628</v>
      </c>
      <c r="G51" s="241">
        <v>1506007.08</v>
      </c>
      <c r="H51" s="241">
        <v>531608415.08999997</v>
      </c>
      <c r="I51" s="241">
        <v>530825894.63</v>
      </c>
      <c r="J51" s="241">
        <v>723486.62</v>
      </c>
    </row>
    <row r="52" spans="1:10" ht="15" customHeight="1">
      <c r="A52" s="239" t="s">
        <v>449</v>
      </c>
      <c r="B52" s="239"/>
      <c r="C52" s="239"/>
      <c r="D52" s="239" t="s">
        <v>450</v>
      </c>
      <c r="E52" s="240">
        <v>4</v>
      </c>
      <c r="F52" s="239" t="s">
        <v>1628</v>
      </c>
      <c r="G52" s="241">
        <v>0</v>
      </c>
      <c r="H52" s="241">
        <v>3486200</v>
      </c>
      <c r="I52" s="241">
        <v>3494100</v>
      </c>
      <c r="J52" s="241">
        <v>7900</v>
      </c>
    </row>
    <row r="53" spans="1:10" ht="15" customHeight="1">
      <c r="A53" s="239" t="s">
        <v>452</v>
      </c>
      <c r="B53" s="239"/>
      <c r="C53" s="239"/>
      <c r="D53" s="239" t="s">
        <v>453</v>
      </c>
      <c r="E53" s="240">
        <v>5</v>
      </c>
      <c r="F53" s="239" t="s">
        <v>1628</v>
      </c>
      <c r="G53" s="241">
        <v>0</v>
      </c>
      <c r="H53" s="241">
        <v>3486200</v>
      </c>
      <c r="I53" s="241">
        <v>3494100</v>
      </c>
      <c r="J53" s="241">
        <v>7900</v>
      </c>
    </row>
    <row r="54" spans="1:10" ht="15" customHeight="1">
      <c r="A54" s="239" t="s">
        <v>459</v>
      </c>
      <c r="B54" s="239"/>
      <c r="C54" s="239"/>
      <c r="D54" s="239" t="s">
        <v>217</v>
      </c>
      <c r="E54" s="240">
        <v>4</v>
      </c>
      <c r="F54" s="239" t="s">
        <v>1628</v>
      </c>
      <c r="G54" s="241">
        <v>0</v>
      </c>
      <c r="H54" s="241">
        <v>2650232</v>
      </c>
      <c r="I54" s="241">
        <v>2650232</v>
      </c>
      <c r="J54" s="241">
        <v>0</v>
      </c>
    </row>
    <row r="55" spans="1:10" ht="15" customHeight="1">
      <c r="A55" s="239" t="s">
        <v>465</v>
      </c>
      <c r="B55" s="239"/>
      <c r="C55" s="239"/>
      <c r="D55" s="239" t="s">
        <v>466</v>
      </c>
      <c r="E55" s="240">
        <v>5</v>
      </c>
      <c r="F55" s="239" t="s">
        <v>1628</v>
      </c>
      <c r="G55" s="241">
        <v>0</v>
      </c>
      <c r="H55" s="241">
        <v>238229</v>
      </c>
      <c r="I55" s="241">
        <v>238229</v>
      </c>
      <c r="J55" s="241">
        <v>0</v>
      </c>
    </row>
    <row r="56" spans="1:10" ht="15" customHeight="1">
      <c r="A56" s="239" t="s">
        <v>469</v>
      </c>
      <c r="B56" s="239"/>
      <c r="C56" s="239"/>
      <c r="D56" s="239" t="s">
        <v>470</v>
      </c>
      <c r="E56" s="240">
        <v>5</v>
      </c>
      <c r="F56" s="239" t="s">
        <v>1628</v>
      </c>
      <c r="G56" s="241">
        <v>0</v>
      </c>
      <c r="H56" s="241">
        <v>855000</v>
      </c>
      <c r="I56" s="241">
        <v>855000</v>
      </c>
      <c r="J56" s="241">
        <v>0</v>
      </c>
    </row>
    <row r="57" spans="1:10" ht="15" customHeight="1">
      <c r="A57" s="239" t="s">
        <v>1633</v>
      </c>
      <c r="B57" s="239"/>
      <c r="C57" s="239"/>
      <c r="D57" s="239" t="s">
        <v>1634</v>
      </c>
      <c r="E57" s="240">
        <v>5</v>
      </c>
      <c r="F57" s="239" t="s">
        <v>1628</v>
      </c>
      <c r="G57" s="241">
        <v>0</v>
      </c>
      <c r="H57" s="241">
        <v>1182384</v>
      </c>
      <c r="I57" s="241">
        <v>1182384</v>
      </c>
      <c r="J57" s="241">
        <v>0</v>
      </c>
    </row>
    <row r="58" spans="1:10" ht="15" customHeight="1">
      <c r="A58" s="239" t="s">
        <v>1635</v>
      </c>
      <c r="B58" s="239"/>
      <c r="C58" s="239"/>
      <c r="D58" s="239" t="s">
        <v>1636</v>
      </c>
      <c r="E58" s="240">
        <v>5</v>
      </c>
      <c r="F58" s="239" t="s">
        <v>1628</v>
      </c>
      <c r="G58" s="241">
        <v>0</v>
      </c>
      <c r="H58" s="241">
        <v>374619</v>
      </c>
      <c r="I58" s="241">
        <v>374619</v>
      </c>
      <c r="J58" s="241">
        <v>0</v>
      </c>
    </row>
    <row r="59" spans="1:10" ht="15" customHeight="1">
      <c r="A59" s="239" t="s">
        <v>481</v>
      </c>
      <c r="B59" s="239"/>
      <c r="C59" s="239"/>
      <c r="D59" s="239" t="s">
        <v>222</v>
      </c>
      <c r="E59" s="240">
        <v>4</v>
      </c>
      <c r="F59" s="239" t="s">
        <v>1628</v>
      </c>
      <c r="G59" s="241">
        <v>0</v>
      </c>
      <c r="H59" s="241">
        <v>245854922</v>
      </c>
      <c r="I59" s="241">
        <v>245854922</v>
      </c>
      <c r="J59" s="241">
        <v>0</v>
      </c>
    </row>
    <row r="60" spans="1:10" ht="15" customHeight="1">
      <c r="A60" s="239" t="s">
        <v>483</v>
      </c>
      <c r="B60" s="239"/>
      <c r="C60" s="239"/>
      <c r="D60" s="239" t="s">
        <v>484</v>
      </c>
      <c r="E60" s="240">
        <v>5</v>
      </c>
      <c r="F60" s="239" t="s">
        <v>1628</v>
      </c>
      <c r="G60" s="241">
        <v>0</v>
      </c>
      <c r="H60" s="241">
        <v>245854922</v>
      </c>
      <c r="I60" s="241">
        <v>245854922</v>
      </c>
      <c r="J60" s="241">
        <v>0</v>
      </c>
    </row>
    <row r="61" spans="1:10" ht="15" customHeight="1">
      <c r="A61" s="239" t="s">
        <v>498</v>
      </c>
      <c r="B61" s="239"/>
      <c r="C61" s="239"/>
      <c r="D61" s="239" t="s">
        <v>499</v>
      </c>
      <c r="E61" s="240">
        <v>4</v>
      </c>
      <c r="F61" s="239" t="s">
        <v>1628</v>
      </c>
      <c r="G61" s="241">
        <v>1391973.08</v>
      </c>
      <c r="H61" s="241">
        <v>192512215.09</v>
      </c>
      <c r="I61" s="241">
        <v>191212391.63</v>
      </c>
      <c r="J61" s="241">
        <v>92149.62</v>
      </c>
    </row>
    <row r="62" spans="1:10" ht="15" customHeight="1">
      <c r="A62" s="239" t="s">
        <v>501</v>
      </c>
      <c r="B62" s="239"/>
      <c r="C62" s="239"/>
      <c r="D62" s="239" t="s">
        <v>502</v>
      </c>
      <c r="E62" s="240">
        <v>5</v>
      </c>
      <c r="F62" s="239" t="s">
        <v>1628</v>
      </c>
      <c r="G62" s="241">
        <v>0</v>
      </c>
      <c r="H62" s="241">
        <v>390182.25</v>
      </c>
      <c r="I62" s="241">
        <v>390182.25</v>
      </c>
      <c r="J62" s="241">
        <v>0</v>
      </c>
    </row>
    <row r="63" spans="1:10" ht="15" customHeight="1">
      <c r="A63" s="239" t="s">
        <v>505</v>
      </c>
      <c r="B63" s="239"/>
      <c r="C63" s="239"/>
      <c r="D63" s="239" t="s">
        <v>506</v>
      </c>
      <c r="E63" s="240">
        <v>5</v>
      </c>
      <c r="F63" s="239" t="s">
        <v>1628</v>
      </c>
      <c r="G63" s="241">
        <v>0</v>
      </c>
      <c r="H63" s="241">
        <v>5682726.8200000003</v>
      </c>
      <c r="I63" s="241">
        <v>5774876.4400000004</v>
      </c>
      <c r="J63" s="241">
        <v>92149.62</v>
      </c>
    </row>
    <row r="64" spans="1:10" ht="15" customHeight="1">
      <c r="A64" s="239" t="s">
        <v>512</v>
      </c>
      <c r="B64" s="239"/>
      <c r="C64" s="239"/>
      <c r="D64" s="239" t="s">
        <v>513</v>
      </c>
      <c r="E64" s="240">
        <v>5</v>
      </c>
      <c r="F64" s="239" t="s">
        <v>1628</v>
      </c>
      <c r="G64" s="241">
        <v>1391973.08</v>
      </c>
      <c r="H64" s="241">
        <v>41289706.659999996</v>
      </c>
      <c r="I64" s="241">
        <v>39897733.579999998</v>
      </c>
      <c r="J64" s="241">
        <v>0</v>
      </c>
    </row>
    <row r="65" spans="1:10" ht="15" customHeight="1">
      <c r="A65" s="239" t="s">
        <v>515</v>
      </c>
      <c r="B65" s="239"/>
      <c r="C65" s="239"/>
      <c r="D65" s="239" t="s">
        <v>516</v>
      </c>
      <c r="E65" s="240">
        <v>5</v>
      </c>
      <c r="F65" s="239" t="s">
        <v>1628</v>
      </c>
      <c r="G65" s="241">
        <v>0</v>
      </c>
      <c r="H65" s="241">
        <v>69080510</v>
      </c>
      <c r="I65" s="241">
        <v>69080510</v>
      </c>
      <c r="J65" s="241">
        <v>0</v>
      </c>
    </row>
    <row r="66" spans="1:10" ht="15" customHeight="1">
      <c r="A66" s="239" t="s">
        <v>518</v>
      </c>
      <c r="B66" s="239"/>
      <c r="C66" s="239"/>
      <c r="D66" s="239" t="s">
        <v>519</v>
      </c>
      <c r="E66" s="240">
        <v>5</v>
      </c>
      <c r="F66" s="239" t="s">
        <v>1628</v>
      </c>
      <c r="G66" s="241">
        <v>0</v>
      </c>
      <c r="H66" s="241">
        <v>70948832</v>
      </c>
      <c r="I66" s="241">
        <v>70948832</v>
      </c>
      <c r="J66" s="241">
        <v>0</v>
      </c>
    </row>
    <row r="67" spans="1:10" ht="15" customHeight="1">
      <c r="A67" s="239" t="s">
        <v>1637</v>
      </c>
      <c r="B67" s="239"/>
      <c r="C67" s="239"/>
      <c r="D67" s="239" t="s">
        <v>1638</v>
      </c>
      <c r="E67" s="240">
        <v>5</v>
      </c>
      <c r="F67" s="239" t="s">
        <v>1628</v>
      </c>
      <c r="G67" s="241">
        <v>0</v>
      </c>
      <c r="H67" s="241">
        <v>5120257.3600000003</v>
      </c>
      <c r="I67" s="241">
        <v>5120257.3600000003</v>
      </c>
      <c r="J67" s="241">
        <v>0</v>
      </c>
    </row>
    <row r="68" spans="1:10" ht="15" customHeight="1">
      <c r="A68" s="239" t="s">
        <v>521</v>
      </c>
      <c r="B68" s="239"/>
      <c r="C68" s="239"/>
      <c r="D68" s="239" t="s">
        <v>522</v>
      </c>
      <c r="E68" s="240">
        <v>4</v>
      </c>
      <c r="F68" s="239" t="s">
        <v>1628</v>
      </c>
      <c r="G68" s="241">
        <v>0</v>
      </c>
      <c r="H68" s="241">
        <v>365382</v>
      </c>
      <c r="I68" s="241">
        <v>365382</v>
      </c>
      <c r="J68" s="241">
        <v>0</v>
      </c>
    </row>
    <row r="69" spans="1:10" ht="15" customHeight="1">
      <c r="A69" s="239" t="s">
        <v>541</v>
      </c>
      <c r="B69" s="239"/>
      <c r="C69" s="239"/>
      <c r="D69" s="239" t="s">
        <v>150</v>
      </c>
      <c r="E69" s="240">
        <v>4</v>
      </c>
      <c r="F69" s="239" t="s">
        <v>1628</v>
      </c>
      <c r="G69" s="241">
        <v>114034</v>
      </c>
      <c r="H69" s="241">
        <v>86739464</v>
      </c>
      <c r="I69" s="241">
        <v>87248867</v>
      </c>
      <c r="J69" s="241">
        <v>623437</v>
      </c>
    </row>
    <row r="70" spans="1:10" ht="15" customHeight="1">
      <c r="A70" s="239" t="s">
        <v>546</v>
      </c>
      <c r="B70" s="239"/>
      <c r="C70" s="239"/>
      <c r="D70" s="239" t="s">
        <v>547</v>
      </c>
      <c r="E70" s="240">
        <v>5</v>
      </c>
      <c r="F70" s="239" t="s">
        <v>1628</v>
      </c>
      <c r="G70" s="241">
        <v>114034</v>
      </c>
      <c r="H70" s="241">
        <v>75945669</v>
      </c>
      <c r="I70" s="241">
        <v>76455072</v>
      </c>
      <c r="J70" s="241">
        <v>623437</v>
      </c>
    </row>
    <row r="71" spans="1:10" ht="15" customHeight="1">
      <c r="A71" s="239" t="s">
        <v>552</v>
      </c>
      <c r="B71" s="239"/>
      <c r="C71" s="239"/>
      <c r="D71" s="239" t="s">
        <v>553</v>
      </c>
      <c r="E71" s="240">
        <v>5</v>
      </c>
      <c r="F71" s="239" t="s">
        <v>1628</v>
      </c>
      <c r="G71" s="241">
        <v>0</v>
      </c>
      <c r="H71" s="241">
        <v>4518350</v>
      </c>
      <c r="I71" s="241">
        <v>4518350</v>
      </c>
      <c r="J71" s="241">
        <v>0</v>
      </c>
    </row>
    <row r="72" spans="1:10" ht="15" customHeight="1">
      <c r="A72" s="239" t="s">
        <v>556</v>
      </c>
      <c r="B72" s="239"/>
      <c r="C72" s="239"/>
      <c r="D72" s="239" t="s">
        <v>557</v>
      </c>
      <c r="E72" s="240">
        <v>5</v>
      </c>
      <c r="F72" s="239" t="s">
        <v>1628</v>
      </c>
      <c r="G72" s="241">
        <v>0</v>
      </c>
      <c r="H72" s="241">
        <v>2553145</v>
      </c>
      <c r="I72" s="241">
        <v>2553145</v>
      </c>
      <c r="J72" s="241">
        <v>0</v>
      </c>
    </row>
    <row r="73" spans="1:10" ht="15" customHeight="1">
      <c r="A73" s="239" t="s">
        <v>1641</v>
      </c>
      <c r="B73" s="239"/>
      <c r="C73" s="239"/>
      <c r="D73" s="239" t="s">
        <v>1642</v>
      </c>
      <c r="E73" s="240">
        <v>5</v>
      </c>
      <c r="F73" s="239" t="s">
        <v>1628</v>
      </c>
      <c r="G73" s="241">
        <v>0</v>
      </c>
      <c r="H73" s="241">
        <v>1722300</v>
      </c>
      <c r="I73" s="241">
        <v>1722300</v>
      </c>
      <c r="J73" s="241">
        <v>0</v>
      </c>
    </row>
    <row r="74" spans="1:10" ht="15" customHeight="1">
      <c r="A74" s="239" t="s">
        <v>1643</v>
      </c>
      <c r="B74" s="239"/>
      <c r="C74" s="239"/>
      <c r="D74" s="239" t="s">
        <v>1644</v>
      </c>
      <c r="E74" s="240">
        <v>5</v>
      </c>
      <c r="F74" s="239" t="s">
        <v>1628</v>
      </c>
      <c r="G74" s="241">
        <v>0</v>
      </c>
      <c r="H74" s="241">
        <v>2000000</v>
      </c>
      <c r="I74" s="241">
        <v>2000000</v>
      </c>
      <c r="J74" s="241">
        <v>0</v>
      </c>
    </row>
    <row r="75" spans="1:10" ht="15" customHeight="1">
      <c r="A75" s="239" t="s">
        <v>576</v>
      </c>
      <c r="B75" s="239"/>
      <c r="C75" s="239"/>
      <c r="D75" s="239" t="s">
        <v>236</v>
      </c>
      <c r="E75" s="240">
        <v>3</v>
      </c>
      <c r="F75" s="239" t="s">
        <v>1628</v>
      </c>
      <c r="G75" s="241">
        <v>1163000</v>
      </c>
      <c r="H75" s="241">
        <v>32589911</v>
      </c>
      <c r="I75" s="241">
        <v>32105911</v>
      </c>
      <c r="J75" s="241">
        <v>679000</v>
      </c>
    </row>
    <row r="76" spans="1:10" ht="15" customHeight="1">
      <c r="A76" s="239" t="s">
        <v>581</v>
      </c>
      <c r="B76" s="239"/>
      <c r="C76" s="239"/>
      <c r="D76" s="239" t="s">
        <v>217</v>
      </c>
      <c r="E76" s="240">
        <v>4</v>
      </c>
      <c r="F76" s="239" t="s">
        <v>1628</v>
      </c>
      <c r="G76" s="241">
        <v>0</v>
      </c>
      <c r="H76" s="241">
        <v>88563</v>
      </c>
      <c r="I76" s="241">
        <v>88563</v>
      </c>
      <c r="J76" s="241">
        <v>0</v>
      </c>
    </row>
    <row r="77" spans="1:10" ht="15" customHeight="1">
      <c r="A77" s="239" t="s">
        <v>585</v>
      </c>
      <c r="B77" s="239"/>
      <c r="C77" s="239"/>
      <c r="D77" s="239" t="s">
        <v>244</v>
      </c>
      <c r="E77" s="240">
        <v>5</v>
      </c>
      <c r="F77" s="239" t="s">
        <v>1628</v>
      </c>
      <c r="G77" s="241">
        <v>0</v>
      </c>
      <c r="H77" s="241">
        <v>88563</v>
      </c>
      <c r="I77" s="241">
        <v>88563</v>
      </c>
      <c r="J77" s="241">
        <v>0</v>
      </c>
    </row>
    <row r="78" spans="1:10" ht="15" customHeight="1">
      <c r="A78" s="239" t="s">
        <v>594</v>
      </c>
      <c r="B78" s="239"/>
      <c r="C78" s="239"/>
      <c r="D78" s="239" t="s">
        <v>132</v>
      </c>
      <c r="E78" s="240">
        <v>4</v>
      </c>
      <c r="F78" s="239" t="s">
        <v>1628</v>
      </c>
      <c r="G78" s="241">
        <v>0</v>
      </c>
      <c r="H78" s="241">
        <v>24660</v>
      </c>
      <c r="I78" s="241">
        <v>24660</v>
      </c>
      <c r="J78" s="241">
        <v>0</v>
      </c>
    </row>
    <row r="79" spans="1:10" ht="15" customHeight="1">
      <c r="A79" s="239" t="s">
        <v>595</v>
      </c>
      <c r="B79" s="239"/>
      <c r="C79" s="239"/>
      <c r="D79" s="239" t="s">
        <v>596</v>
      </c>
      <c r="E79" s="240">
        <v>5</v>
      </c>
      <c r="F79" s="239" t="s">
        <v>1628</v>
      </c>
      <c r="G79" s="241">
        <v>0</v>
      </c>
      <c r="H79" s="241">
        <v>2792</v>
      </c>
      <c r="I79" s="241">
        <v>2792</v>
      </c>
      <c r="J79" s="241">
        <v>0</v>
      </c>
    </row>
    <row r="80" spans="1:10" ht="15" customHeight="1">
      <c r="A80" s="239" t="s">
        <v>604</v>
      </c>
      <c r="B80" s="239"/>
      <c r="C80" s="239"/>
      <c r="D80" s="239" t="s">
        <v>247</v>
      </c>
      <c r="E80" s="240">
        <v>5</v>
      </c>
      <c r="F80" s="239" t="s">
        <v>1628</v>
      </c>
      <c r="G80" s="241">
        <v>0</v>
      </c>
      <c r="H80" s="241">
        <v>21868</v>
      </c>
      <c r="I80" s="241">
        <v>21868</v>
      </c>
      <c r="J80" s="241">
        <v>0</v>
      </c>
    </row>
    <row r="81" spans="1:11" ht="15" customHeight="1">
      <c r="A81" s="239" t="s">
        <v>609</v>
      </c>
      <c r="B81" s="239"/>
      <c r="C81" s="239"/>
      <c r="D81" s="239" t="s">
        <v>222</v>
      </c>
      <c r="E81" s="240">
        <v>4</v>
      </c>
      <c r="F81" s="239" t="s">
        <v>1628</v>
      </c>
      <c r="G81" s="241">
        <v>0</v>
      </c>
      <c r="H81" s="241">
        <v>6202932</v>
      </c>
      <c r="I81" s="241">
        <v>6202932</v>
      </c>
      <c r="J81" s="241">
        <v>0</v>
      </c>
    </row>
    <row r="82" spans="1:11" ht="15" customHeight="1">
      <c r="A82" s="239" t="s">
        <v>610</v>
      </c>
      <c r="B82" s="239"/>
      <c r="C82" s="239"/>
      <c r="D82" s="239" t="s">
        <v>611</v>
      </c>
      <c r="E82" s="240">
        <v>5</v>
      </c>
      <c r="F82" s="239" t="s">
        <v>1628</v>
      </c>
      <c r="G82" s="241">
        <v>0</v>
      </c>
      <c r="H82" s="241">
        <v>6151572</v>
      </c>
      <c r="I82" s="241">
        <v>6151572</v>
      </c>
      <c r="J82" s="241">
        <v>0</v>
      </c>
    </row>
    <row r="83" spans="1:11" ht="15" customHeight="1">
      <c r="A83" s="239" t="s">
        <v>613</v>
      </c>
      <c r="B83" s="239"/>
      <c r="C83" s="239"/>
      <c r="D83" s="239" t="s">
        <v>241</v>
      </c>
      <c r="E83" s="240">
        <v>5</v>
      </c>
      <c r="F83" s="239" t="s">
        <v>1628</v>
      </c>
      <c r="G83" s="241">
        <v>0</v>
      </c>
      <c r="H83" s="241">
        <v>51360</v>
      </c>
      <c r="I83" s="241">
        <v>51360</v>
      </c>
      <c r="J83" s="241">
        <v>0</v>
      </c>
    </row>
    <row r="84" spans="1:11" ht="15" customHeight="1">
      <c r="A84" s="239" t="s">
        <v>620</v>
      </c>
      <c r="B84" s="239"/>
      <c r="C84" s="239"/>
      <c r="D84" s="239" t="s">
        <v>129</v>
      </c>
      <c r="E84" s="240">
        <v>4</v>
      </c>
      <c r="F84" s="239" t="s">
        <v>1628</v>
      </c>
      <c r="G84" s="241">
        <v>0</v>
      </c>
      <c r="H84" s="241">
        <v>1278174</v>
      </c>
      <c r="I84" s="241">
        <v>1278174</v>
      </c>
      <c r="J84" s="241">
        <v>0</v>
      </c>
    </row>
    <row r="85" spans="1:11" ht="15" customHeight="1">
      <c r="A85" s="239" t="s">
        <v>621</v>
      </c>
      <c r="B85" s="239"/>
      <c r="C85" s="239"/>
      <c r="D85" s="239" t="s">
        <v>622</v>
      </c>
      <c r="E85" s="240">
        <v>5</v>
      </c>
      <c r="F85" s="239" t="s">
        <v>1628</v>
      </c>
      <c r="G85" s="241">
        <v>0</v>
      </c>
      <c r="H85" s="241">
        <v>1278174</v>
      </c>
      <c r="I85" s="241">
        <v>1278174</v>
      </c>
      <c r="J85" s="241">
        <v>0</v>
      </c>
    </row>
    <row r="86" spans="1:11" ht="15" customHeight="1">
      <c r="A86" s="239" t="s">
        <v>643</v>
      </c>
      <c r="B86" s="239"/>
      <c r="C86" s="239"/>
      <c r="D86" s="239" t="s">
        <v>644</v>
      </c>
      <c r="E86" s="240">
        <v>4</v>
      </c>
      <c r="F86" s="239" t="s">
        <v>1628</v>
      </c>
      <c r="G86" s="241">
        <v>0</v>
      </c>
      <c r="H86" s="241">
        <v>8242582</v>
      </c>
      <c r="I86" s="241">
        <v>8242582</v>
      </c>
      <c r="J86" s="241">
        <v>0</v>
      </c>
      <c r="K86" s="225"/>
    </row>
    <row r="87" spans="1:11" ht="15" customHeight="1">
      <c r="A87" s="239" t="s">
        <v>645</v>
      </c>
      <c r="B87" s="239"/>
      <c r="C87" s="239"/>
      <c r="D87" s="239" t="s">
        <v>646</v>
      </c>
      <c r="E87" s="240">
        <v>5</v>
      </c>
      <c r="F87" s="239" t="s">
        <v>1628</v>
      </c>
      <c r="G87" s="241">
        <v>0</v>
      </c>
      <c r="H87" s="241">
        <v>399751</v>
      </c>
      <c r="I87" s="241">
        <v>399751</v>
      </c>
      <c r="J87" s="241">
        <v>0</v>
      </c>
    </row>
    <row r="88" spans="1:11" ht="15" customHeight="1">
      <c r="A88" s="239" t="s">
        <v>1645</v>
      </c>
      <c r="B88" s="239"/>
      <c r="C88" s="239"/>
      <c r="D88" s="239" t="s">
        <v>1646</v>
      </c>
      <c r="E88" s="240">
        <v>5</v>
      </c>
      <c r="F88" s="239" t="s">
        <v>1628</v>
      </c>
      <c r="G88" s="241">
        <v>0</v>
      </c>
      <c r="H88" s="241">
        <v>7842831</v>
      </c>
      <c r="I88" s="241">
        <v>7842831</v>
      </c>
      <c r="J88" s="241">
        <v>0</v>
      </c>
    </row>
    <row r="89" spans="1:11" ht="15" customHeight="1">
      <c r="A89" s="239" t="s">
        <v>647</v>
      </c>
      <c r="B89" s="239"/>
      <c r="C89" s="239"/>
      <c r="D89" s="239" t="s">
        <v>648</v>
      </c>
      <c r="E89" s="240">
        <v>4</v>
      </c>
      <c r="F89" s="239" t="s">
        <v>1628</v>
      </c>
      <c r="G89" s="241">
        <v>1163000</v>
      </c>
      <c r="H89" s="241">
        <v>16753000</v>
      </c>
      <c r="I89" s="241">
        <v>16269000</v>
      </c>
      <c r="J89" s="241">
        <v>679000</v>
      </c>
    </row>
    <row r="90" spans="1:11" ht="15" customHeight="1">
      <c r="A90" s="239" t="s">
        <v>650</v>
      </c>
      <c r="B90" s="239"/>
      <c r="C90" s="239"/>
      <c r="D90" s="239" t="s">
        <v>253</v>
      </c>
      <c r="E90" s="240">
        <v>3</v>
      </c>
      <c r="F90" s="239" t="s">
        <v>1628</v>
      </c>
      <c r="G90" s="241">
        <v>179170</v>
      </c>
      <c r="H90" s="241">
        <v>179170</v>
      </c>
      <c r="I90" s="241">
        <v>0</v>
      </c>
      <c r="J90" s="241">
        <v>0</v>
      </c>
      <c r="K90" s="225"/>
    </row>
    <row r="91" spans="1:11" ht="15" customHeight="1">
      <c r="A91" s="239" t="s">
        <v>651</v>
      </c>
      <c r="B91" s="239"/>
      <c r="C91" s="239"/>
      <c r="D91" s="239" t="s">
        <v>652</v>
      </c>
      <c r="E91" s="240">
        <v>4</v>
      </c>
      <c r="F91" s="239" t="s">
        <v>1628</v>
      </c>
      <c r="G91" s="241">
        <v>179170</v>
      </c>
      <c r="H91" s="241">
        <v>179170</v>
      </c>
      <c r="I91" s="241">
        <v>0</v>
      </c>
      <c r="J91" s="241">
        <v>0</v>
      </c>
    </row>
    <row r="92" spans="1:11" ht="15" customHeight="1">
      <c r="A92" s="239" t="s">
        <v>653</v>
      </c>
      <c r="B92" s="239"/>
      <c r="C92" s="239"/>
      <c r="D92" s="239" t="s">
        <v>654</v>
      </c>
      <c r="E92" s="240">
        <v>5</v>
      </c>
      <c r="F92" s="239" t="s">
        <v>1628</v>
      </c>
      <c r="G92" s="241">
        <v>179170</v>
      </c>
      <c r="H92" s="241">
        <v>179170</v>
      </c>
      <c r="I92" s="241">
        <v>0</v>
      </c>
      <c r="J92" s="241">
        <v>0</v>
      </c>
    </row>
    <row r="93" spans="1:11" ht="15" customHeight="1">
      <c r="A93" s="239" t="s">
        <v>656</v>
      </c>
      <c r="B93" s="239"/>
      <c r="C93" s="239"/>
      <c r="D93" s="239" t="s">
        <v>258</v>
      </c>
      <c r="E93" s="240">
        <v>3</v>
      </c>
      <c r="F93" s="239" t="s">
        <v>1628</v>
      </c>
      <c r="G93" s="241">
        <v>2712000</v>
      </c>
      <c r="H93" s="241">
        <v>6873519</v>
      </c>
      <c r="I93" s="241">
        <v>4543519</v>
      </c>
      <c r="J93" s="241">
        <v>382000</v>
      </c>
    </row>
    <row r="94" spans="1:11" ht="15" customHeight="1">
      <c r="A94" s="239" t="s">
        <v>657</v>
      </c>
      <c r="B94" s="239"/>
      <c r="C94" s="239"/>
      <c r="D94" s="239" t="s">
        <v>258</v>
      </c>
      <c r="E94" s="240">
        <v>4</v>
      </c>
      <c r="F94" s="239" t="s">
        <v>1628</v>
      </c>
      <c r="G94" s="241">
        <v>0</v>
      </c>
      <c r="H94" s="241">
        <v>2272519</v>
      </c>
      <c r="I94" s="241">
        <v>2272519</v>
      </c>
      <c r="J94" s="241">
        <v>0</v>
      </c>
    </row>
    <row r="95" spans="1:11" ht="15" customHeight="1">
      <c r="A95" s="239" t="s">
        <v>661</v>
      </c>
      <c r="B95" s="239"/>
      <c r="C95" s="239"/>
      <c r="D95" s="239" t="s">
        <v>662</v>
      </c>
      <c r="E95" s="240">
        <v>5</v>
      </c>
      <c r="F95" s="239" t="s">
        <v>1628</v>
      </c>
      <c r="G95" s="241">
        <v>0</v>
      </c>
      <c r="H95" s="241">
        <v>15880</v>
      </c>
      <c r="I95" s="241">
        <v>15880</v>
      </c>
      <c r="J95" s="241">
        <v>0</v>
      </c>
      <c r="K95" s="225"/>
    </row>
    <row r="96" spans="1:11" ht="15" customHeight="1">
      <c r="A96" s="239" t="s">
        <v>664</v>
      </c>
      <c r="B96" s="239"/>
      <c r="C96" s="239"/>
      <c r="D96" s="239" t="s">
        <v>665</v>
      </c>
      <c r="E96" s="240">
        <v>5</v>
      </c>
      <c r="F96" s="239" t="s">
        <v>1628</v>
      </c>
      <c r="G96" s="241">
        <v>0</v>
      </c>
      <c r="H96" s="241">
        <v>1733493</v>
      </c>
      <c r="I96" s="241">
        <v>1733493</v>
      </c>
      <c r="J96" s="241">
        <v>0</v>
      </c>
    </row>
    <row r="97" spans="1:12" ht="15" customHeight="1">
      <c r="A97" s="239" t="s">
        <v>667</v>
      </c>
      <c r="B97" s="239"/>
      <c r="C97" s="239"/>
      <c r="D97" s="239" t="s">
        <v>668</v>
      </c>
      <c r="E97" s="240">
        <v>5</v>
      </c>
      <c r="F97" s="239" t="s">
        <v>1628</v>
      </c>
      <c r="G97" s="241">
        <v>0</v>
      </c>
      <c r="H97" s="241">
        <v>523146</v>
      </c>
      <c r="I97" s="241">
        <v>523146</v>
      </c>
      <c r="J97" s="241">
        <v>0</v>
      </c>
      <c r="K97" s="225"/>
    </row>
    <row r="98" spans="1:12" ht="15" customHeight="1">
      <c r="A98" s="239" t="s">
        <v>1647</v>
      </c>
      <c r="B98" s="239"/>
      <c r="C98" s="239"/>
      <c r="D98" s="239" t="s">
        <v>1648</v>
      </c>
      <c r="E98" s="240">
        <v>4</v>
      </c>
      <c r="F98" s="239" t="s">
        <v>1628</v>
      </c>
      <c r="G98" s="241">
        <v>2712000</v>
      </c>
      <c r="H98" s="241">
        <v>4601000</v>
      </c>
      <c r="I98" s="241">
        <v>2271000</v>
      </c>
      <c r="J98" s="241">
        <v>382000</v>
      </c>
    </row>
    <row r="99" spans="1:12" ht="15" customHeight="1">
      <c r="A99" s="239" t="s">
        <v>673</v>
      </c>
      <c r="B99" s="239"/>
      <c r="C99" s="239"/>
      <c r="D99" s="239" t="s">
        <v>674</v>
      </c>
      <c r="E99" s="240">
        <v>3</v>
      </c>
      <c r="F99" s="239" t="s">
        <v>1628</v>
      </c>
      <c r="G99" s="241">
        <v>0</v>
      </c>
      <c r="H99" s="241">
        <v>30287780</v>
      </c>
      <c r="I99" s="241">
        <v>30287780</v>
      </c>
      <c r="J99" s="241">
        <v>0</v>
      </c>
    </row>
    <row r="100" spans="1:12" ht="15" customHeight="1">
      <c r="A100" s="239" t="s">
        <v>675</v>
      </c>
      <c r="B100" s="239"/>
      <c r="C100" s="239"/>
      <c r="D100" s="239" t="s">
        <v>676</v>
      </c>
      <c r="E100" s="240">
        <v>4</v>
      </c>
      <c r="F100" s="239" t="s">
        <v>1628</v>
      </c>
      <c r="G100" s="241">
        <v>0</v>
      </c>
      <c r="H100" s="241">
        <v>3916401</v>
      </c>
      <c r="I100" s="241">
        <v>3916401</v>
      </c>
      <c r="J100" s="241">
        <v>0</v>
      </c>
    </row>
    <row r="101" spans="1:12" ht="15" customHeight="1">
      <c r="A101" s="239" t="s">
        <v>679</v>
      </c>
      <c r="B101" s="239"/>
      <c r="C101" s="239"/>
      <c r="D101" s="239" t="s">
        <v>680</v>
      </c>
      <c r="E101" s="240">
        <v>4</v>
      </c>
      <c r="F101" s="239" t="s">
        <v>1628</v>
      </c>
      <c r="G101" s="241">
        <v>0</v>
      </c>
      <c r="H101" s="241">
        <v>462783</v>
      </c>
      <c r="I101" s="241">
        <v>462783</v>
      </c>
      <c r="J101" s="241">
        <v>0</v>
      </c>
    </row>
    <row r="102" spans="1:12" ht="15" customHeight="1">
      <c r="A102" s="239" t="s">
        <v>682</v>
      </c>
      <c r="B102" s="239"/>
      <c r="C102" s="239"/>
      <c r="D102" s="239" t="s">
        <v>683</v>
      </c>
      <c r="E102" s="240">
        <v>4</v>
      </c>
      <c r="F102" s="239" t="s">
        <v>1628</v>
      </c>
      <c r="G102" s="241">
        <v>0</v>
      </c>
      <c r="H102" s="241">
        <v>2273991</v>
      </c>
      <c r="I102" s="241">
        <v>2273991</v>
      </c>
      <c r="J102" s="241">
        <v>0</v>
      </c>
    </row>
    <row r="103" spans="1:12" ht="15" customHeight="1">
      <c r="A103" s="239" t="s">
        <v>703</v>
      </c>
      <c r="B103" s="239"/>
      <c r="C103" s="239"/>
      <c r="D103" s="239" t="s">
        <v>150</v>
      </c>
      <c r="E103" s="240">
        <v>4</v>
      </c>
      <c r="F103" s="239" t="s">
        <v>1628</v>
      </c>
      <c r="G103" s="241">
        <v>0</v>
      </c>
      <c r="H103" s="241">
        <v>23634605</v>
      </c>
      <c r="I103" s="241">
        <v>23634605</v>
      </c>
      <c r="J103" s="241">
        <v>0</v>
      </c>
    </row>
    <row r="104" spans="1:12" ht="15" customHeight="1">
      <c r="A104" s="239" t="s">
        <v>705</v>
      </c>
      <c r="B104" s="239"/>
      <c r="C104" s="239"/>
      <c r="D104" s="239" t="s">
        <v>706</v>
      </c>
      <c r="E104" s="240">
        <v>3</v>
      </c>
      <c r="F104" s="239" t="s">
        <v>1628</v>
      </c>
      <c r="G104" s="241">
        <v>0</v>
      </c>
      <c r="H104" s="241">
        <v>15668543</v>
      </c>
      <c r="I104" s="241">
        <v>15668543</v>
      </c>
      <c r="J104" s="241">
        <v>0</v>
      </c>
    </row>
    <row r="105" spans="1:12" ht="15" customHeight="1">
      <c r="A105" s="239" t="s">
        <v>720</v>
      </c>
      <c r="B105" s="239"/>
      <c r="C105" s="239"/>
      <c r="D105" s="239" t="s">
        <v>721</v>
      </c>
      <c r="E105" s="240">
        <v>4</v>
      </c>
      <c r="F105" s="239" t="s">
        <v>1628</v>
      </c>
      <c r="G105" s="241">
        <v>0</v>
      </c>
      <c r="H105" s="241">
        <v>15668543</v>
      </c>
      <c r="I105" s="241">
        <v>15668543</v>
      </c>
      <c r="J105" s="241">
        <v>0</v>
      </c>
    </row>
    <row r="106" spans="1:12" ht="15" customHeight="1">
      <c r="A106" s="239" t="s">
        <v>727</v>
      </c>
      <c r="B106" s="239"/>
      <c r="C106" s="239"/>
      <c r="D106" s="239" t="s">
        <v>728</v>
      </c>
      <c r="E106" s="240">
        <v>2</v>
      </c>
      <c r="F106" s="239" t="s">
        <v>1628</v>
      </c>
      <c r="G106" s="241">
        <v>98000</v>
      </c>
      <c r="H106" s="241">
        <v>167966209.31</v>
      </c>
      <c r="I106" s="241">
        <v>167869209.31</v>
      </c>
      <c r="J106" s="241">
        <v>1000</v>
      </c>
    </row>
    <row r="107" spans="1:12" ht="15" customHeight="1">
      <c r="A107" s="239" t="s">
        <v>729</v>
      </c>
      <c r="B107" s="239"/>
      <c r="C107" s="239"/>
      <c r="D107" s="239" t="s">
        <v>730</v>
      </c>
      <c r="E107" s="240">
        <v>3</v>
      </c>
      <c r="F107" s="239" t="s">
        <v>1628</v>
      </c>
      <c r="G107" s="241">
        <v>0</v>
      </c>
      <c r="H107" s="241">
        <v>58924000</v>
      </c>
      <c r="I107" s="241">
        <v>58924000</v>
      </c>
      <c r="J107" s="241">
        <v>0</v>
      </c>
    </row>
    <row r="108" spans="1:12" ht="15" customHeight="1">
      <c r="A108" s="239" t="s">
        <v>731</v>
      </c>
      <c r="B108" s="239"/>
      <c r="C108" s="239"/>
      <c r="D108" s="239" t="s">
        <v>732</v>
      </c>
      <c r="E108" s="240">
        <v>4</v>
      </c>
      <c r="F108" s="239" t="s">
        <v>1628</v>
      </c>
      <c r="G108" s="241">
        <v>0</v>
      </c>
      <c r="H108" s="241">
        <v>58924000</v>
      </c>
      <c r="I108" s="241">
        <v>58924000</v>
      </c>
      <c r="J108" s="241">
        <v>0</v>
      </c>
    </row>
    <row r="109" spans="1:12" ht="15" customHeight="1">
      <c r="A109" s="239" t="s">
        <v>737</v>
      </c>
      <c r="B109" s="239"/>
      <c r="C109" s="239"/>
      <c r="D109" s="239" t="s">
        <v>738</v>
      </c>
      <c r="E109" s="240">
        <v>3</v>
      </c>
      <c r="F109" s="239" t="s">
        <v>1628</v>
      </c>
      <c r="G109" s="241">
        <v>0</v>
      </c>
      <c r="H109" s="241">
        <v>108944209.31</v>
      </c>
      <c r="I109" s="241">
        <v>108944209.31</v>
      </c>
      <c r="J109" s="241">
        <v>0</v>
      </c>
    </row>
    <row r="110" spans="1:12" ht="15" customHeight="1">
      <c r="A110" s="239" t="s">
        <v>744</v>
      </c>
      <c r="B110" s="239"/>
      <c r="C110" s="239"/>
      <c r="D110" s="239" t="s">
        <v>1669</v>
      </c>
      <c r="E110" s="240">
        <v>4</v>
      </c>
      <c r="F110" s="239" t="s">
        <v>1628</v>
      </c>
      <c r="G110" s="241">
        <v>0</v>
      </c>
      <c r="H110" s="241">
        <v>54476432.299999997</v>
      </c>
      <c r="I110" s="241">
        <v>54476432.299999997</v>
      </c>
      <c r="J110" s="290">
        <v>0</v>
      </c>
    </row>
    <row r="111" spans="1:12" ht="15" customHeight="1">
      <c r="A111" s="239" t="s">
        <v>746</v>
      </c>
      <c r="B111" s="239"/>
      <c r="C111" s="239"/>
      <c r="D111" s="239" t="s">
        <v>1670</v>
      </c>
      <c r="E111" s="240">
        <v>5</v>
      </c>
      <c r="F111" s="239" t="s">
        <v>1628</v>
      </c>
      <c r="G111" s="241">
        <v>0</v>
      </c>
      <c r="H111" s="241">
        <v>5741846.1399999997</v>
      </c>
      <c r="I111" s="241">
        <v>5741846.1399999997</v>
      </c>
      <c r="J111" s="241">
        <v>0</v>
      </c>
      <c r="K111" s="202"/>
      <c r="L111" s="202"/>
    </row>
    <row r="112" spans="1:12" ht="15" customHeight="1">
      <c r="A112" s="239" t="s">
        <v>749</v>
      </c>
      <c r="B112" s="239"/>
      <c r="C112" s="239"/>
      <c r="D112" s="239" t="s">
        <v>1687</v>
      </c>
      <c r="E112" s="240">
        <v>5</v>
      </c>
      <c r="F112" s="239" t="s">
        <v>1628</v>
      </c>
      <c r="G112" s="241">
        <v>0</v>
      </c>
      <c r="H112" s="241">
        <v>47449553.159999996</v>
      </c>
      <c r="I112" s="241">
        <v>47449553.159999996</v>
      </c>
      <c r="J112" s="241">
        <v>0</v>
      </c>
      <c r="K112" s="202"/>
      <c r="L112" s="202"/>
    </row>
    <row r="113" spans="1:12" ht="15" customHeight="1">
      <c r="A113" s="239" t="s">
        <v>755</v>
      </c>
      <c r="B113" s="239"/>
      <c r="C113" s="239"/>
      <c r="D113" s="239" t="s">
        <v>1688</v>
      </c>
      <c r="E113" s="240">
        <v>5</v>
      </c>
      <c r="F113" s="239" t="s">
        <v>1628</v>
      </c>
      <c r="G113" s="241">
        <v>0</v>
      </c>
      <c r="H113" s="241">
        <v>1285033</v>
      </c>
      <c r="I113" s="241">
        <v>1285033</v>
      </c>
      <c r="J113" s="241">
        <v>0</v>
      </c>
      <c r="K113" s="202"/>
      <c r="L113" s="202"/>
    </row>
    <row r="114" spans="1:12" ht="15" customHeight="1">
      <c r="A114" s="239" t="s">
        <v>1689</v>
      </c>
      <c r="B114" s="239"/>
      <c r="C114" s="239"/>
      <c r="D114" s="239" t="s">
        <v>745</v>
      </c>
      <c r="E114" s="240">
        <v>4</v>
      </c>
      <c r="F114" s="239" t="s">
        <v>1628</v>
      </c>
      <c r="G114" s="241">
        <v>0</v>
      </c>
      <c r="H114" s="241">
        <v>54467777.009999998</v>
      </c>
      <c r="I114" s="241">
        <v>54467777.009999998</v>
      </c>
      <c r="J114" s="241">
        <v>0</v>
      </c>
      <c r="K114" s="202"/>
      <c r="L114" s="202"/>
    </row>
    <row r="115" spans="1:12" ht="15" customHeight="1">
      <c r="A115" s="239" t="s">
        <v>1690</v>
      </c>
      <c r="B115" s="239"/>
      <c r="C115" s="239"/>
      <c r="D115" s="239" t="s">
        <v>747</v>
      </c>
      <c r="E115" s="240">
        <v>5</v>
      </c>
      <c r="F115" s="239" t="s">
        <v>1628</v>
      </c>
      <c r="G115" s="241">
        <v>0</v>
      </c>
      <c r="H115" s="241">
        <v>5740422</v>
      </c>
      <c r="I115" s="241">
        <v>5740422</v>
      </c>
      <c r="J115" s="241">
        <v>0</v>
      </c>
      <c r="K115" s="202"/>
      <c r="L115" s="202"/>
    </row>
    <row r="116" spans="1:12" ht="15" customHeight="1">
      <c r="A116" s="239" t="s">
        <v>1691</v>
      </c>
      <c r="B116" s="239"/>
      <c r="C116" s="239"/>
      <c r="D116" s="239" t="s">
        <v>750</v>
      </c>
      <c r="E116" s="240">
        <v>5</v>
      </c>
      <c r="F116" s="239" t="s">
        <v>1628</v>
      </c>
      <c r="G116" s="241">
        <v>0</v>
      </c>
      <c r="H116" s="241">
        <v>47442289.009999998</v>
      </c>
      <c r="I116" s="241">
        <v>47442289.009999998</v>
      </c>
      <c r="J116" s="241">
        <v>0</v>
      </c>
      <c r="K116" s="202"/>
      <c r="L116" s="202"/>
    </row>
    <row r="117" spans="1:12" ht="15" customHeight="1">
      <c r="A117" s="239" t="s">
        <v>1692</v>
      </c>
      <c r="B117" s="239"/>
      <c r="C117" s="239"/>
      <c r="D117" s="239" t="s">
        <v>756</v>
      </c>
      <c r="E117" s="240">
        <v>5</v>
      </c>
      <c r="F117" s="239" t="s">
        <v>1628</v>
      </c>
      <c r="G117" s="241">
        <v>0</v>
      </c>
      <c r="H117" s="241">
        <v>1285066</v>
      </c>
      <c r="I117" s="241">
        <v>1285066</v>
      </c>
      <c r="J117" s="241">
        <v>0</v>
      </c>
      <c r="K117" s="202"/>
      <c r="L117" s="202"/>
    </row>
    <row r="118" spans="1:12" ht="15" customHeight="1">
      <c r="A118" s="239" t="s">
        <v>758</v>
      </c>
      <c r="B118" s="239"/>
      <c r="C118" s="239"/>
      <c r="D118" s="239" t="s">
        <v>759</v>
      </c>
      <c r="E118" s="240">
        <v>3</v>
      </c>
      <c r="F118" s="239" t="s">
        <v>1628</v>
      </c>
      <c r="G118" s="241">
        <v>98000</v>
      </c>
      <c r="H118" s="241">
        <v>98000</v>
      </c>
      <c r="I118" s="241">
        <v>1000</v>
      </c>
      <c r="J118" s="241">
        <v>1000</v>
      </c>
      <c r="K118" s="202"/>
      <c r="L118" s="202"/>
    </row>
    <row r="119" spans="1:12" ht="15" customHeight="1">
      <c r="A119" s="239" t="s">
        <v>760</v>
      </c>
      <c r="B119" s="239"/>
      <c r="C119" s="239"/>
      <c r="D119" s="239" t="s">
        <v>732</v>
      </c>
      <c r="E119" s="240">
        <v>4</v>
      </c>
      <c r="F119" s="239" t="s">
        <v>1628</v>
      </c>
      <c r="G119" s="241">
        <v>98000</v>
      </c>
      <c r="H119" s="241">
        <v>98000</v>
      </c>
      <c r="I119" s="241">
        <v>1000</v>
      </c>
      <c r="J119" s="241">
        <v>1000</v>
      </c>
      <c r="K119" s="202"/>
      <c r="L119" s="202"/>
    </row>
    <row r="120" spans="1:12" ht="15" customHeight="1">
      <c r="A120" s="239" t="s">
        <v>764</v>
      </c>
      <c r="B120" s="239"/>
      <c r="C120" s="239"/>
      <c r="D120" s="239" t="s">
        <v>765</v>
      </c>
      <c r="E120" s="240">
        <v>2</v>
      </c>
      <c r="F120" s="239" t="s">
        <v>1628</v>
      </c>
      <c r="G120" s="241">
        <v>2628431</v>
      </c>
      <c r="H120" s="241">
        <v>148198477</v>
      </c>
      <c r="I120" s="241">
        <v>153635988</v>
      </c>
      <c r="J120" s="241">
        <v>8065942</v>
      </c>
      <c r="K120" s="202"/>
      <c r="L120" s="202"/>
    </row>
    <row r="121" spans="1:12" ht="15" customHeight="1">
      <c r="A121" s="239" t="s">
        <v>766</v>
      </c>
      <c r="B121" s="239"/>
      <c r="C121" s="239"/>
      <c r="D121" s="239" t="s">
        <v>767</v>
      </c>
      <c r="E121" s="240">
        <v>3</v>
      </c>
      <c r="F121" s="239" t="s">
        <v>1628</v>
      </c>
      <c r="G121" s="241">
        <v>0</v>
      </c>
      <c r="H121" s="241">
        <v>119992582</v>
      </c>
      <c r="I121" s="241">
        <v>128058524</v>
      </c>
      <c r="J121" s="241">
        <v>8065942</v>
      </c>
      <c r="K121" s="202"/>
      <c r="L121" s="202"/>
    </row>
    <row r="122" spans="1:12" ht="15" customHeight="1">
      <c r="A122" s="239" t="s">
        <v>768</v>
      </c>
      <c r="B122" s="239"/>
      <c r="C122" s="239"/>
      <c r="D122" s="239" t="s">
        <v>767</v>
      </c>
      <c r="E122" s="240">
        <v>4</v>
      </c>
      <c r="F122" s="239" t="s">
        <v>1628</v>
      </c>
      <c r="G122" s="241">
        <v>0</v>
      </c>
      <c r="H122" s="241">
        <v>119992582</v>
      </c>
      <c r="I122" s="241">
        <v>128058524</v>
      </c>
      <c r="J122" s="241">
        <v>8065942</v>
      </c>
      <c r="K122" s="202"/>
      <c r="L122" s="202"/>
    </row>
    <row r="123" spans="1:12" ht="15" customHeight="1">
      <c r="A123" s="239" t="s">
        <v>770</v>
      </c>
      <c r="B123" s="239"/>
      <c r="C123" s="239"/>
      <c r="D123" s="239" t="s">
        <v>771</v>
      </c>
      <c r="E123" s="240">
        <v>3</v>
      </c>
      <c r="F123" s="239" t="s">
        <v>1628</v>
      </c>
      <c r="G123" s="241">
        <v>1467963</v>
      </c>
      <c r="H123" s="241">
        <v>11945768</v>
      </c>
      <c r="I123" s="241">
        <v>10477805</v>
      </c>
      <c r="J123" s="241">
        <v>0</v>
      </c>
      <c r="K123" s="202"/>
      <c r="L123" s="202"/>
    </row>
    <row r="124" spans="1:12" ht="15" customHeight="1">
      <c r="A124" s="239" t="s">
        <v>775</v>
      </c>
      <c r="B124" s="239"/>
      <c r="C124" s="239"/>
      <c r="D124" s="239" t="s">
        <v>776</v>
      </c>
      <c r="E124" s="240">
        <v>4</v>
      </c>
      <c r="F124" s="239" t="s">
        <v>1628</v>
      </c>
      <c r="G124" s="241">
        <v>1467963</v>
      </c>
      <c r="H124" s="241">
        <v>11945768</v>
      </c>
      <c r="I124" s="241">
        <v>10477805</v>
      </c>
      <c r="J124" s="241">
        <v>0</v>
      </c>
      <c r="K124" s="202"/>
      <c r="L124" s="202"/>
    </row>
    <row r="125" spans="1:12" ht="15" customHeight="1">
      <c r="A125" s="239" t="s">
        <v>778</v>
      </c>
      <c r="B125" s="239"/>
      <c r="C125" s="239"/>
      <c r="D125" s="239" t="s">
        <v>779</v>
      </c>
      <c r="E125" s="240">
        <v>3</v>
      </c>
      <c r="F125" s="239" t="s">
        <v>1628</v>
      </c>
      <c r="G125" s="241">
        <v>422128</v>
      </c>
      <c r="H125" s="241">
        <v>1836781</v>
      </c>
      <c r="I125" s="241">
        <v>1414653</v>
      </c>
      <c r="J125" s="241">
        <v>0</v>
      </c>
      <c r="K125" s="202"/>
      <c r="L125" s="202"/>
    </row>
    <row r="126" spans="1:12" ht="15" customHeight="1">
      <c r="A126" s="239" t="s">
        <v>780</v>
      </c>
      <c r="B126" s="239"/>
      <c r="C126" s="239"/>
      <c r="D126" s="239" t="s">
        <v>779</v>
      </c>
      <c r="E126" s="240">
        <v>4</v>
      </c>
      <c r="F126" s="239" t="s">
        <v>1628</v>
      </c>
      <c r="G126" s="241">
        <v>422128</v>
      </c>
      <c r="H126" s="241">
        <v>1836781</v>
      </c>
      <c r="I126" s="241">
        <v>1414653</v>
      </c>
      <c r="J126" s="241">
        <v>0</v>
      </c>
      <c r="K126" s="202"/>
      <c r="L126" s="202"/>
    </row>
    <row r="127" spans="1:12" ht="15" customHeight="1">
      <c r="A127" s="239" t="s">
        <v>782</v>
      </c>
      <c r="B127" s="239"/>
      <c r="C127" s="239"/>
      <c r="D127" s="239" t="s">
        <v>783</v>
      </c>
      <c r="E127" s="240">
        <v>3</v>
      </c>
      <c r="F127" s="239" t="s">
        <v>1628</v>
      </c>
      <c r="G127" s="241">
        <v>58916</v>
      </c>
      <c r="H127" s="241">
        <v>8883577</v>
      </c>
      <c r="I127" s="241">
        <v>8824661</v>
      </c>
      <c r="J127" s="241">
        <v>0</v>
      </c>
      <c r="K127" s="202"/>
      <c r="L127" s="202"/>
    </row>
    <row r="128" spans="1:12" ht="15" customHeight="1">
      <c r="A128" s="239" t="s">
        <v>784</v>
      </c>
      <c r="B128" s="239"/>
      <c r="C128" s="239"/>
      <c r="D128" s="239" t="s">
        <v>783</v>
      </c>
      <c r="E128" s="240">
        <v>4</v>
      </c>
      <c r="F128" s="239" t="s">
        <v>1628</v>
      </c>
      <c r="G128" s="241">
        <v>58916</v>
      </c>
      <c r="H128" s="241">
        <v>8883577</v>
      </c>
      <c r="I128" s="241">
        <v>8824661</v>
      </c>
      <c r="J128" s="241">
        <v>0</v>
      </c>
      <c r="K128" s="202"/>
      <c r="L128" s="202"/>
    </row>
    <row r="129" spans="1:12" ht="15" customHeight="1">
      <c r="A129" s="239" t="s">
        <v>786</v>
      </c>
      <c r="B129" s="239"/>
      <c r="C129" s="239"/>
      <c r="D129" s="239" t="s">
        <v>787</v>
      </c>
      <c r="E129" s="240">
        <v>3</v>
      </c>
      <c r="F129" s="239" t="s">
        <v>1628</v>
      </c>
      <c r="G129" s="241">
        <v>679424</v>
      </c>
      <c r="H129" s="241">
        <v>5539769</v>
      </c>
      <c r="I129" s="241">
        <v>4860345</v>
      </c>
      <c r="J129" s="241">
        <v>0</v>
      </c>
      <c r="K129" s="202"/>
      <c r="L129" s="202"/>
    </row>
    <row r="130" spans="1:12" ht="15" customHeight="1">
      <c r="A130" s="239" t="s">
        <v>788</v>
      </c>
      <c r="B130" s="239"/>
      <c r="C130" s="239"/>
      <c r="D130" s="239" t="s">
        <v>787</v>
      </c>
      <c r="E130" s="240">
        <v>4</v>
      </c>
      <c r="F130" s="239" t="s">
        <v>1628</v>
      </c>
      <c r="G130" s="241">
        <v>679424</v>
      </c>
      <c r="H130" s="241">
        <v>5539769</v>
      </c>
      <c r="I130" s="241">
        <v>4860345</v>
      </c>
      <c r="J130" s="241">
        <v>0</v>
      </c>
      <c r="K130" s="202"/>
      <c r="L130" s="202"/>
    </row>
    <row r="131" spans="1:12" ht="15" customHeight="1">
      <c r="A131" s="239" t="s">
        <v>829</v>
      </c>
      <c r="B131" s="239"/>
      <c r="C131" s="239"/>
      <c r="D131" s="239" t="s">
        <v>830</v>
      </c>
      <c r="E131" s="240">
        <v>2</v>
      </c>
      <c r="F131" s="239" t="s">
        <v>1628</v>
      </c>
      <c r="G131" s="241">
        <v>0</v>
      </c>
      <c r="H131" s="241">
        <v>68348282</v>
      </c>
      <c r="I131" s="241">
        <v>68348282</v>
      </c>
      <c r="J131" s="241">
        <v>0</v>
      </c>
      <c r="K131" s="202"/>
      <c r="L131" s="202"/>
    </row>
    <row r="132" spans="1:12" ht="15" customHeight="1">
      <c r="A132" s="239" t="s">
        <v>831</v>
      </c>
      <c r="B132" s="239"/>
      <c r="C132" s="239"/>
      <c r="D132" s="239" t="s">
        <v>832</v>
      </c>
      <c r="E132" s="240">
        <v>3</v>
      </c>
      <c r="F132" s="239" t="s">
        <v>1628</v>
      </c>
      <c r="G132" s="241">
        <v>0</v>
      </c>
      <c r="H132" s="241">
        <v>68348282</v>
      </c>
      <c r="I132" s="241">
        <v>68348282</v>
      </c>
      <c r="J132" s="241">
        <v>0</v>
      </c>
      <c r="K132" s="202"/>
      <c r="L132" s="202"/>
    </row>
    <row r="133" spans="1:12" ht="15" customHeight="1">
      <c r="A133" s="239" t="s">
        <v>833</v>
      </c>
      <c r="B133" s="239"/>
      <c r="C133" s="239"/>
      <c r="D133" s="239" t="s">
        <v>834</v>
      </c>
      <c r="E133" s="240">
        <v>4</v>
      </c>
      <c r="F133" s="239" t="s">
        <v>1628</v>
      </c>
      <c r="G133" s="241">
        <v>0</v>
      </c>
      <c r="H133" s="241">
        <v>68348282</v>
      </c>
      <c r="I133" s="241">
        <v>68348282</v>
      </c>
      <c r="J133" s="241">
        <v>0</v>
      </c>
      <c r="K133" s="202"/>
      <c r="L133" s="202"/>
    </row>
    <row r="134" spans="1:12" ht="15" customHeight="1">
      <c r="A134" s="239" t="s">
        <v>844</v>
      </c>
      <c r="B134" s="239"/>
      <c r="C134" s="239"/>
      <c r="D134" s="239" t="s">
        <v>845</v>
      </c>
      <c r="E134" s="240">
        <v>1</v>
      </c>
      <c r="F134" s="239" t="s">
        <v>1628</v>
      </c>
      <c r="G134" s="241">
        <v>-120250907.69</v>
      </c>
      <c r="H134" s="241">
        <v>171627508.55000001</v>
      </c>
      <c r="I134" s="241">
        <v>272227508.55000001</v>
      </c>
      <c r="J134" s="241">
        <v>-19650907.690000001</v>
      </c>
      <c r="K134" s="202"/>
      <c r="L134" s="202"/>
    </row>
    <row r="135" spans="1:12" ht="15" customHeight="1">
      <c r="A135" s="239" t="s">
        <v>846</v>
      </c>
      <c r="B135" s="239"/>
      <c r="C135" s="239"/>
      <c r="D135" s="239" t="s">
        <v>847</v>
      </c>
      <c r="E135" s="240">
        <v>2</v>
      </c>
      <c r="F135" s="239" t="s">
        <v>1628</v>
      </c>
      <c r="G135" s="241">
        <v>400000</v>
      </c>
      <c r="H135" s="241">
        <v>100000000</v>
      </c>
      <c r="I135" s="241">
        <v>200600000</v>
      </c>
      <c r="J135" s="241">
        <v>101000000</v>
      </c>
      <c r="K135" s="202"/>
      <c r="L135" s="202"/>
    </row>
    <row r="136" spans="1:12" ht="15" customHeight="1">
      <c r="A136" s="239" t="s">
        <v>848</v>
      </c>
      <c r="B136" s="239"/>
      <c r="C136" s="239"/>
      <c r="D136" s="239" t="s">
        <v>849</v>
      </c>
      <c r="E136" s="240">
        <v>3</v>
      </c>
      <c r="F136" s="239" t="s">
        <v>1628</v>
      </c>
      <c r="G136" s="241">
        <v>400000</v>
      </c>
      <c r="H136" s="241">
        <v>100000000</v>
      </c>
      <c r="I136" s="241">
        <v>200600000</v>
      </c>
      <c r="J136" s="241">
        <v>101000000</v>
      </c>
      <c r="K136" s="202"/>
      <c r="L136" s="202"/>
    </row>
    <row r="137" spans="1:12" ht="15" customHeight="1">
      <c r="A137" s="239" t="s">
        <v>850</v>
      </c>
      <c r="B137" s="239"/>
      <c r="C137" s="239"/>
      <c r="D137" s="239" t="s">
        <v>851</v>
      </c>
      <c r="E137" s="240">
        <v>4</v>
      </c>
      <c r="F137" s="239" t="s">
        <v>1628</v>
      </c>
      <c r="G137" s="241">
        <v>1000000</v>
      </c>
      <c r="H137" s="241">
        <v>0</v>
      </c>
      <c r="I137" s="241">
        <v>100000000</v>
      </c>
      <c r="J137" s="241">
        <v>101000000</v>
      </c>
      <c r="K137" s="202"/>
      <c r="L137" s="202"/>
    </row>
    <row r="138" spans="1:12" ht="15" customHeight="1">
      <c r="A138" s="239" t="s">
        <v>852</v>
      </c>
      <c r="B138" s="239"/>
      <c r="C138" s="239"/>
      <c r="D138" s="239" t="s">
        <v>853</v>
      </c>
      <c r="E138" s="240">
        <v>4</v>
      </c>
      <c r="F138" s="239" t="s">
        <v>1628</v>
      </c>
      <c r="G138" s="241">
        <v>-600000</v>
      </c>
      <c r="H138" s="241">
        <v>100000000</v>
      </c>
      <c r="I138" s="241">
        <v>100600000</v>
      </c>
      <c r="J138" s="241">
        <v>0</v>
      </c>
      <c r="K138" s="202"/>
      <c r="L138" s="202"/>
    </row>
    <row r="139" spans="1:12" ht="15" customHeight="1">
      <c r="A139" s="239" t="s">
        <v>963</v>
      </c>
      <c r="B139" s="239"/>
      <c r="C139" s="239"/>
      <c r="D139" s="239" t="s">
        <v>964</v>
      </c>
      <c r="E139" s="240">
        <v>2</v>
      </c>
      <c r="F139" s="239" t="s">
        <v>1628</v>
      </c>
      <c r="G139" s="241">
        <v>-71627508.549999997</v>
      </c>
      <c r="H139" s="241">
        <v>0</v>
      </c>
      <c r="I139" s="241">
        <v>71627508.549999997</v>
      </c>
      <c r="J139" s="241">
        <v>0</v>
      </c>
    </row>
    <row r="140" spans="1:12" ht="15" customHeight="1">
      <c r="A140" s="239" t="s">
        <v>970</v>
      </c>
      <c r="B140" s="239"/>
      <c r="C140" s="239"/>
      <c r="D140" s="239" t="s">
        <v>971</v>
      </c>
      <c r="E140" s="240">
        <v>3</v>
      </c>
      <c r="F140" s="239" t="s">
        <v>1628</v>
      </c>
      <c r="G140" s="241">
        <v>-71627508.549999997</v>
      </c>
      <c r="H140" s="241">
        <v>0</v>
      </c>
      <c r="I140" s="241">
        <v>71627508.549999997</v>
      </c>
      <c r="J140" s="241">
        <v>0</v>
      </c>
    </row>
    <row r="141" spans="1:12" ht="15" customHeight="1">
      <c r="A141" s="239" t="s">
        <v>972</v>
      </c>
      <c r="B141" s="239"/>
      <c r="C141" s="239"/>
      <c r="D141" s="239" t="s">
        <v>971</v>
      </c>
      <c r="E141" s="240">
        <v>4</v>
      </c>
      <c r="F141" s="239" t="s">
        <v>1628</v>
      </c>
      <c r="G141" s="241">
        <v>-71627508.549999997</v>
      </c>
      <c r="H141" s="241">
        <v>0</v>
      </c>
      <c r="I141" s="241">
        <v>71627508.549999997</v>
      </c>
      <c r="J141" s="241">
        <v>0</v>
      </c>
    </row>
    <row r="142" spans="1:12" ht="15" customHeight="1">
      <c r="A142" s="239" t="s">
        <v>975</v>
      </c>
      <c r="B142" s="239"/>
      <c r="C142" s="239"/>
      <c r="D142" s="239" t="s">
        <v>976</v>
      </c>
      <c r="E142" s="240">
        <v>2</v>
      </c>
      <c r="F142" s="239" t="s">
        <v>1628</v>
      </c>
      <c r="G142" s="241">
        <v>-49023399.140000001</v>
      </c>
      <c r="H142" s="241">
        <v>71627508.549999997</v>
      </c>
      <c r="I142" s="241">
        <v>0</v>
      </c>
      <c r="J142" s="241">
        <v>-120650907.69</v>
      </c>
    </row>
    <row r="143" spans="1:12" ht="15" customHeight="1">
      <c r="A143" s="239" t="s">
        <v>980</v>
      </c>
      <c r="B143" s="239"/>
      <c r="C143" s="239"/>
      <c r="D143" s="239" t="s">
        <v>981</v>
      </c>
      <c r="E143" s="240">
        <v>3</v>
      </c>
      <c r="F143" s="239" t="s">
        <v>1628</v>
      </c>
      <c r="G143" s="241">
        <v>-49023399.140000001</v>
      </c>
      <c r="H143" s="241">
        <v>71627508.549999997</v>
      </c>
      <c r="I143" s="241">
        <v>0</v>
      </c>
      <c r="J143" s="241">
        <v>-120650907.69</v>
      </c>
      <c r="K143" s="225">
        <f>+J143</f>
        <v>-120650907.69</v>
      </c>
      <c r="L143" s="202">
        <f>+K143+K144</f>
        <v>-125650907.69</v>
      </c>
    </row>
    <row r="144" spans="1:12" ht="15" customHeight="1">
      <c r="A144" s="239" t="s">
        <v>982</v>
      </c>
      <c r="B144" s="239"/>
      <c r="C144" s="239"/>
      <c r="D144" s="239" t="s">
        <v>981</v>
      </c>
      <c r="E144" s="240">
        <v>4</v>
      </c>
      <c r="F144" s="239" t="s">
        <v>1628</v>
      </c>
      <c r="G144" s="241">
        <v>-49023399.140000001</v>
      </c>
      <c r="H144" s="241">
        <v>71627508.549999997</v>
      </c>
      <c r="I144" s="241">
        <v>0</v>
      </c>
      <c r="J144" s="241">
        <v>-120650907.69</v>
      </c>
      <c r="K144" s="225">
        <f>-J160</f>
        <v>-5000000</v>
      </c>
      <c r="L144" s="202">
        <f>+L143+J132</f>
        <v>-125650907.69</v>
      </c>
    </row>
    <row r="145" spans="1:13" ht="15" customHeight="1">
      <c r="A145" s="239" t="s">
        <v>983</v>
      </c>
      <c r="B145" s="239"/>
      <c r="C145" s="239"/>
      <c r="D145" s="239" t="s">
        <v>984</v>
      </c>
      <c r="E145" s="240">
        <v>1</v>
      </c>
      <c r="F145" s="239" t="s">
        <v>1628</v>
      </c>
      <c r="G145" s="241">
        <v>0</v>
      </c>
      <c r="H145" s="241">
        <v>70550718.799999997</v>
      </c>
      <c r="I145" s="241">
        <v>838912251.77999997</v>
      </c>
      <c r="J145" s="241">
        <v>768361532.98000002</v>
      </c>
    </row>
    <row r="146" spans="1:13" ht="15" customHeight="1">
      <c r="A146" s="239" t="s">
        <v>985</v>
      </c>
      <c r="B146" s="239"/>
      <c r="C146" s="239"/>
      <c r="D146" s="239" t="s">
        <v>986</v>
      </c>
      <c r="E146" s="240">
        <v>2</v>
      </c>
      <c r="F146" s="239" t="s">
        <v>1628</v>
      </c>
      <c r="G146" s="241">
        <v>0</v>
      </c>
      <c r="H146" s="241">
        <v>70104960</v>
      </c>
      <c r="I146" s="241">
        <v>826433848.84000003</v>
      </c>
      <c r="J146" s="241">
        <v>756328888.84000003</v>
      </c>
    </row>
    <row r="147" spans="1:13" ht="15" customHeight="1">
      <c r="A147" s="239" t="s">
        <v>987</v>
      </c>
      <c r="B147" s="239"/>
      <c r="C147" s="239"/>
      <c r="D147" s="239" t="s">
        <v>988</v>
      </c>
      <c r="E147" s="240">
        <v>3</v>
      </c>
      <c r="F147" s="239" t="s">
        <v>1628</v>
      </c>
      <c r="G147" s="241">
        <v>0</v>
      </c>
      <c r="H147" s="241">
        <v>70104960</v>
      </c>
      <c r="I147" s="241">
        <v>826433848.84000003</v>
      </c>
      <c r="J147" s="241">
        <v>756328888.84000003</v>
      </c>
    </row>
    <row r="148" spans="1:13" ht="15" customHeight="1">
      <c r="A148" s="239" t="s">
        <v>1025</v>
      </c>
      <c r="B148" s="239"/>
      <c r="C148" s="239"/>
      <c r="D148" s="239" t="s">
        <v>1026</v>
      </c>
      <c r="E148" s="240">
        <v>4</v>
      </c>
      <c r="F148" s="239" t="s">
        <v>1628</v>
      </c>
      <c r="G148" s="241">
        <v>0</v>
      </c>
      <c r="H148" s="241">
        <v>70104960</v>
      </c>
      <c r="I148" s="241">
        <v>826433848.84000003</v>
      </c>
      <c r="J148" s="241">
        <v>756328888.84000003</v>
      </c>
    </row>
    <row r="149" spans="1:13" ht="15" customHeight="1">
      <c r="A149" s="239" t="s">
        <v>1707</v>
      </c>
      <c r="B149" s="239"/>
      <c r="C149" s="239"/>
      <c r="D149" s="239" t="s">
        <v>1708</v>
      </c>
      <c r="E149" s="240">
        <v>5</v>
      </c>
      <c r="F149" s="239" t="s">
        <v>1628</v>
      </c>
      <c r="G149" s="241">
        <v>0</v>
      </c>
      <c r="H149" s="241">
        <v>0</v>
      </c>
      <c r="I149" s="241">
        <v>756328888.84000003</v>
      </c>
      <c r="J149" s="241">
        <v>756328888.84000003</v>
      </c>
      <c r="K149" s="238"/>
      <c r="L149" s="225"/>
      <c r="M149" s="202"/>
    </row>
    <row r="150" spans="1:13" ht="15" customHeight="1">
      <c r="A150" s="239" t="s">
        <v>1709</v>
      </c>
      <c r="B150" s="239"/>
      <c r="C150" s="239"/>
      <c r="D150" s="239" t="s">
        <v>1710</v>
      </c>
      <c r="E150" s="240">
        <v>5</v>
      </c>
      <c r="F150" s="239" t="s">
        <v>1628</v>
      </c>
      <c r="G150" s="241">
        <v>0</v>
      </c>
      <c r="H150" s="241">
        <v>70104960</v>
      </c>
      <c r="I150" s="241">
        <v>70104960</v>
      </c>
      <c r="J150" s="241">
        <v>0</v>
      </c>
    </row>
    <row r="151" spans="1:13" ht="15" customHeight="1">
      <c r="A151" s="239" t="s">
        <v>1033</v>
      </c>
      <c r="B151" s="239"/>
      <c r="C151" s="239"/>
      <c r="D151" s="239" t="s">
        <v>1034</v>
      </c>
      <c r="E151" s="240">
        <v>2</v>
      </c>
      <c r="F151" s="239" t="s">
        <v>1628</v>
      </c>
      <c r="G151" s="241">
        <v>0</v>
      </c>
      <c r="H151" s="241">
        <v>445758.8</v>
      </c>
      <c r="I151" s="241">
        <v>12478402.939999999</v>
      </c>
      <c r="J151" s="241">
        <v>12032644.140000001</v>
      </c>
    </row>
    <row r="152" spans="1:13" ht="15" customHeight="1">
      <c r="A152" s="239" t="s">
        <v>1035</v>
      </c>
      <c r="B152" s="239"/>
      <c r="C152" s="239"/>
      <c r="D152" s="239" t="s">
        <v>1036</v>
      </c>
      <c r="E152" s="240">
        <v>3</v>
      </c>
      <c r="F152" s="239" t="s">
        <v>1628</v>
      </c>
      <c r="G152" s="241">
        <v>0</v>
      </c>
      <c r="H152" s="241">
        <v>445758.8</v>
      </c>
      <c r="I152" s="241">
        <v>7478402.9400000004</v>
      </c>
      <c r="J152" s="241">
        <v>7032644.1399999997</v>
      </c>
      <c r="L152" s="202">
        <v>24</v>
      </c>
    </row>
    <row r="153" spans="1:13" ht="15" customHeight="1">
      <c r="A153" s="239" t="s">
        <v>1037</v>
      </c>
      <c r="B153" s="239"/>
      <c r="C153" s="239"/>
      <c r="D153" s="239" t="s">
        <v>211</v>
      </c>
      <c r="E153" s="240">
        <v>4</v>
      </c>
      <c r="F153" s="239" t="s">
        <v>1628</v>
      </c>
      <c r="G153" s="241">
        <v>0</v>
      </c>
      <c r="H153" s="241">
        <v>0</v>
      </c>
      <c r="I153" s="241">
        <v>82688.31</v>
      </c>
      <c r="J153" s="241">
        <v>82688.31</v>
      </c>
      <c r="L153" s="202">
        <v>125.5</v>
      </c>
    </row>
    <row r="154" spans="1:13" ht="15" customHeight="1">
      <c r="A154" s="239" t="s">
        <v>1038</v>
      </c>
      <c r="B154" s="239"/>
      <c r="C154" s="239"/>
      <c r="D154" s="239" t="s">
        <v>1039</v>
      </c>
      <c r="E154" s="240">
        <v>5</v>
      </c>
      <c r="F154" s="239" t="s">
        <v>1628</v>
      </c>
      <c r="G154" s="241">
        <v>0</v>
      </c>
      <c r="H154" s="241">
        <v>0</v>
      </c>
      <c r="I154" s="241">
        <v>82688.31</v>
      </c>
      <c r="J154" s="241">
        <v>82688.31</v>
      </c>
      <c r="L154" s="202">
        <v>1.5</v>
      </c>
    </row>
    <row r="155" spans="1:13" ht="15" customHeight="1">
      <c r="A155" s="239" t="s">
        <v>1045</v>
      </c>
      <c r="B155" s="239"/>
      <c r="C155" s="239"/>
      <c r="D155" s="239" t="s">
        <v>1046</v>
      </c>
      <c r="E155" s="240">
        <v>4</v>
      </c>
      <c r="F155" s="239" t="s">
        <v>1628</v>
      </c>
      <c r="G155" s="241">
        <v>0</v>
      </c>
      <c r="H155" s="241">
        <v>445702.8</v>
      </c>
      <c r="I155" s="241">
        <v>7208951.1200000001</v>
      </c>
      <c r="J155" s="241">
        <v>6763248.3200000003</v>
      </c>
      <c r="L155" s="202">
        <v>0.5</v>
      </c>
    </row>
    <row r="156" spans="1:13" ht="15" customHeight="1">
      <c r="A156" s="239" t="s">
        <v>1711</v>
      </c>
      <c r="B156" s="239"/>
      <c r="C156" s="239"/>
      <c r="D156" s="239" t="s">
        <v>1712</v>
      </c>
      <c r="E156" s="240">
        <v>5</v>
      </c>
      <c r="F156" s="239" t="s">
        <v>1628</v>
      </c>
      <c r="G156" s="241">
        <v>0</v>
      </c>
      <c r="H156" s="241">
        <v>445702.8</v>
      </c>
      <c r="I156" s="241">
        <v>7208951.1200000001</v>
      </c>
      <c r="J156" s="241">
        <v>6763248.3200000003</v>
      </c>
      <c r="L156" s="202">
        <v>53</v>
      </c>
    </row>
    <row r="157" spans="1:13" ht="15" customHeight="1">
      <c r="A157" s="239" t="s">
        <v>1053</v>
      </c>
      <c r="B157" s="239"/>
      <c r="C157" s="239"/>
      <c r="D157" s="239" t="s">
        <v>1054</v>
      </c>
      <c r="E157" s="240">
        <v>4</v>
      </c>
      <c r="F157" s="239" t="s">
        <v>1628</v>
      </c>
      <c r="G157" s="241">
        <v>0</v>
      </c>
      <c r="H157" s="241">
        <v>0</v>
      </c>
      <c r="I157" s="241">
        <v>1985</v>
      </c>
      <c r="J157" s="241">
        <v>1985</v>
      </c>
      <c r="L157" s="202">
        <v>16.3</v>
      </c>
    </row>
    <row r="158" spans="1:13" ht="15" customHeight="1">
      <c r="A158" s="239" t="s">
        <v>1063</v>
      </c>
      <c r="B158" s="239"/>
      <c r="C158" s="239"/>
      <c r="D158" s="239" t="s">
        <v>150</v>
      </c>
      <c r="E158" s="240">
        <v>4</v>
      </c>
      <c r="F158" s="239" t="s">
        <v>1628</v>
      </c>
      <c r="G158" s="241">
        <v>0</v>
      </c>
      <c r="H158" s="241">
        <v>56</v>
      </c>
      <c r="I158" s="241">
        <v>184778.51</v>
      </c>
      <c r="J158" s="241">
        <v>184722.51</v>
      </c>
      <c r="L158" s="202">
        <f>SUM(L152:L157)</f>
        <v>220.8</v>
      </c>
    </row>
    <row r="159" spans="1:13" ht="15" customHeight="1">
      <c r="A159" s="239" t="s">
        <v>1713</v>
      </c>
      <c r="B159" s="239"/>
      <c r="C159" s="239"/>
      <c r="D159" s="239" t="s">
        <v>1714</v>
      </c>
      <c r="E159" s="240">
        <v>5</v>
      </c>
      <c r="F159" s="239" t="s">
        <v>1628</v>
      </c>
      <c r="G159" s="241">
        <v>0</v>
      </c>
      <c r="H159" s="241">
        <v>56</v>
      </c>
      <c r="I159" s="241">
        <v>184778.51</v>
      </c>
      <c r="J159" s="241">
        <v>184722.51</v>
      </c>
    </row>
    <row r="160" spans="1:13" ht="15" customHeight="1">
      <c r="A160" s="239" t="s">
        <v>1715</v>
      </c>
      <c r="B160" s="239"/>
      <c r="C160" s="239"/>
      <c r="D160" s="239" t="s">
        <v>1716</v>
      </c>
      <c r="E160" s="240">
        <v>3</v>
      </c>
      <c r="F160" s="239" t="s">
        <v>1628</v>
      </c>
      <c r="G160" s="290">
        <v>0</v>
      </c>
      <c r="H160" s="241">
        <v>0</v>
      </c>
      <c r="I160" s="241">
        <v>5000000</v>
      </c>
      <c r="J160" s="241">
        <v>5000000</v>
      </c>
    </row>
    <row r="161" spans="1:12" ht="15" customHeight="1">
      <c r="A161" s="239" t="s">
        <v>1717</v>
      </c>
      <c r="B161" s="239"/>
      <c r="C161" s="239"/>
      <c r="D161" s="239" t="s">
        <v>1718</v>
      </c>
      <c r="E161" s="240">
        <v>4</v>
      </c>
      <c r="F161" s="239" t="s">
        <v>1628</v>
      </c>
      <c r="G161" s="241">
        <v>0</v>
      </c>
      <c r="H161" s="241">
        <v>0</v>
      </c>
      <c r="I161" s="241">
        <v>5000000</v>
      </c>
      <c r="J161" s="241">
        <v>5000000</v>
      </c>
    </row>
    <row r="162" spans="1:12" ht="15" customHeight="1">
      <c r="A162" s="239" t="s">
        <v>1067</v>
      </c>
      <c r="B162" s="239"/>
      <c r="C162" s="239"/>
      <c r="D162" s="239" t="s">
        <v>1068</v>
      </c>
      <c r="E162" s="240">
        <v>1</v>
      </c>
      <c r="F162" s="239" t="s">
        <v>1515</v>
      </c>
      <c r="G162" s="241">
        <v>0</v>
      </c>
      <c r="H162" s="241">
        <v>753421302.11000001</v>
      </c>
      <c r="I162" s="241">
        <v>34823169.210000001</v>
      </c>
      <c r="J162" s="241">
        <v>718598132.89999998</v>
      </c>
      <c r="K162" s="238"/>
      <c r="L162" s="238"/>
    </row>
    <row r="163" spans="1:12" ht="15" customHeight="1">
      <c r="A163" s="239" t="s">
        <v>1069</v>
      </c>
      <c r="B163" s="239"/>
      <c r="C163" s="239"/>
      <c r="D163" s="239" t="s">
        <v>1070</v>
      </c>
      <c r="E163" s="240">
        <v>2</v>
      </c>
      <c r="F163" s="239" t="s">
        <v>1515</v>
      </c>
      <c r="G163" s="241">
        <v>0</v>
      </c>
      <c r="H163" s="241">
        <v>654487371.48000002</v>
      </c>
      <c r="I163" s="241">
        <v>9700876.3599999994</v>
      </c>
      <c r="J163" s="241">
        <v>644786495.12</v>
      </c>
    </row>
    <row r="164" spans="1:12" ht="15" customHeight="1">
      <c r="A164" s="239" t="s">
        <v>1071</v>
      </c>
      <c r="B164" s="239"/>
      <c r="C164" s="239"/>
      <c r="D164" s="239" t="s">
        <v>1072</v>
      </c>
      <c r="E164" s="240">
        <v>3</v>
      </c>
      <c r="F164" s="239" t="s">
        <v>1515</v>
      </c>
      <c r="G164" s="241">
        <v>0</v>
      </c>
      <c r="H164" s="241">
        <v>165737403.86000001</v>
      </c>
      <c r="I164" s="241">
        <v>8907014</v>
      </c>
      <c r="J164" s="241">
        <v>156830389.86000001</v>
      </c>
    </row>
    <row r="165" spans="1:12" ht="15" customHeight="1">
      <c r="A165" s="239" t="s">
        <v>1075</v>
      </c>
      <c r="B165" s="239"/>
      <c r="C165" s="239"/>
      <c r="D165" s="239" t="s">
        <v>1076</v>
      </c>
      <c r="E165" s="240">
        <v>4</v>
      </c>
      <c r="F165" s="239" t="s">
        <v>1515</v>
      </c>
      <c r="G165" s="241">
        <v>0</v>
      </c>
      <c r="H165" s="241">
        <v>83127000</v>
      </c>
      <c r="I165" s="241">
        <v>8197634</v>
      </c>
      <c r="J165" s="241">
        <v>74929366</v>
      </c>
    </row>
    <row r="166" spans="1:12" ht="15" customHeight="1">
      <c r="A166" s="239" t="s">
        <v>1079</v>
      </c>
      <c r="B166" s="239"/>
      <c r="C166" s="239"/>
      <c r="D166" s="239" t="s">
        <v>1080</v>
      </c>
      <c r="E166" s="240">
        <v>4</v>
      </c>
      <c r="F166" s="239" t="s">
        <v>1515</v>
      </c>
      <c r="G166" s="241">
        <v>0</v>
      </c>
      <c r="H166" s="241">
        <v>5410427</v>
      </c>
      <c r="I166" s="241">
        <v>0</v>
      </c>
      <c r="J166" s="241">
        <v>5410427</v>
      </c>
    </row>
    <row r="167" spans="1:12" ht="15" customHeight="1">
      <c r="A167" s="239" t="s">
        <v>1086</v>
      </c>
      <c r="B167" s="239"/>
      <c r="C167" s="239"/>
      <c r="D167" s="239" t="s">
        <v>1087</v>
      </c>
      <c r="E167" s="240">
        <v>4</v>
      </c>
      <c r="F167" s="239" t="s">
        <v>1515</v>
      </c>
      <c r="G167" s="241">
        <v>0</v>
      </c>
      <c r="H167" s="241">
        <v>7754750</v>
      </c>
      <c r="I167" s="241">
        <v>0</v>
      </c>
      <c r="J167" s="241">
        <v>7754750</v>
      </c>
    </row>
    <row r="168" spans="1:12" ht="15" customHeight="1">
      <c r="A168" s="239" t="s">
        <v>1719</v>
      </c>
      <c r="B168" s="239"/>
      <c r="C168" s="239"/>
      <c r="D168" s="239" t="s">
        <v>1720</v>
      </c>
      <c r="E168" s="240">
        <v>5</v>
      </c>
      <c r="F168" s="239" t="s">
        <v>1515</v>
      </c>
      <c r="G168" s="241">
        <v>0</v>
      </c>
      <c r="H168" s="241">
        <v>7661250</v>
      </c>
      <c r="I168" s="241">
        <v>0</v>
      </c>
      <c r="J168" s="241">
        <v>7661250</v>
      </c>
    </row>
    <row r="169" spans="1:12" ht="15" customHeight="1">
      <c r="A169" s="239" t="s">
        <v>1721</v>
      </c>
      <c r="B169" s="239"/>
      <c r="C169" s="239"/>
      <c r="D169" s="239" t="s">
        <v>1722</v>
      </c>
      <c r="E169" s="240">
        <v>5</v>
      </c>
      <c r="F169" s="239" t="s">
        <v>1515</v>
      </c>
      <c r="G169" s="241">
        <v>0</v>
      </c>
      <c r="H169" s="241">
        <v>93500</v>
      </c>
      <c r="I169" s="241">
        <v>0</v>
      </c>
      <c r="J169" s="241">
        <v>93500</v>
      </c>
    </row>
    <row r="170" spans="1:12" ht="15" customHeight="1">
      <c r="A170" s="239" t="s">
        <v>1088</v>
      </c>
      <c r="B170" s="239"/>
      <c r="C170" s="239"/>
      <c r="D170" s="239" t="s">
        <v>1089</v>
      </c>
      <c r="E170" s="240">
        <v>4</v>
      </c>
      <c r="F170" s="239" t="s">
        <v>1515</v>
      </c>
      <c r="G170" s="241">
        <v>0</v>
      </c>
      <c r="H170" s="241">
        <v>8253572</v>
      </c>
      <c r="I170" s="241">
        <v>9374</v>
      </c>
      <c r="J170" s="241">
        <v>8244198</v>
      </c>
    </row>
    <row r="171" spans="1:12" ht="15" customHeight="1">
      <c r="A171" s="239" t="s">
        <v>1090</v>
      </c>
      <c r="B171" s="239"/>
      <c r="C171" s="239"/>
      <c r="D171" s="239" t="s">
        <v>813</v>
      </c>
      <c r="E171" s="240">
        <v>4</v>
      </c>
      <c r="F171" s="239" t="s">
        <v>1515</v>
      </c>
      <c r="G171" s="241">
        <v>0</v>
      </c>
      <c r="H171" s="241">
        <v>9202250</v>
      </c>
      <c r="I171" s="241">
        <v>21267</v>
      </c>
      <c r="J171" s="241">
        <v>9180983</v>
      </c>
    </row>
    <row r="172" spans="1:12" ht="15" customHeight="1">
      <c r="A172" s="239" t="s">
        <v>1091</v>
      </c>
      <c r="B172" s="239"/>
      <c r="C172" s="239"/>
      <c r="D172" s="239" t="s">
        <v>779</v>
      </c>
      <c r="E172" s="240">
        <v>4</v>
      </c>
      <c r="F172" s="239" t="s">
        <v>1515</v>
      </c>
      <c r="G172" s="241">
        <v>0</v>
      </c>
      <c r="H172" s="241">
        <v>952042</v>
      </c>
      <c r="I172" s="241">
        <v>504438</v>
      </c>
      <c r="J172" s="241">
        <v>447604</v>
      </c>
    </row>
    <row r="173" spans="1:12" ht="15" customHeight="1">
      <c r="A173" s="239" t="s">
        <v>1092</v>
      </c>
      <c r="B173" s="239"/>
      <c r="C173" s="239"/>
      <c r="D173" s="239" t="s">
        <v>783</v>
      </c>
      <c r="E173" s="240">
        <v>4</v>
      </c>
      <c r="F173" s="239" t="s">
        <v>1515</v>
      </c>
      <c r="G173" s="241">
        <v>0</v>
      </c>
      <c r="H173" s="241">
        <v>9639167</v>
      </c>
      <c r="I173" s="241">
        <v>0</v>
      </c>
      <c r="J173" s="241">
        <v>9639167</v>
      </c>
    </row>
    <row r="174" spans="1:12" ht="15" customHeight="1">
      <c r="A174" s="239" t="s">
        <v>1093</v>
      </c>
      <c r="B174" s="239"/>
      <c r="C174" s="239"/>
      <c r="D174" s="239" t="s">
        <v>818</v>
      </c>
      <c r="E174" s="240">
        <v>4</v>
      </c>
      <c r="F174" s="239" t="s">
        <v>1515</v>
      </c>
      <c r="G174" s="241">
        <v>0</v>
      </c>
      <c r="H174" s="241">
        <v>4816204</v>
      </c>
      <c r="I174" s="241">
        <v>0</v>
      </c>
      <c r="J174" s="241">
        <v>4816204</v>
      </c>
    </row>
    <row r="175" spans="1:12" ht="15" customHeight="1">
      <c r="A175" s="239" t="s">
        <v>1096</v>
      </c>
      <c r="B175" s="239"/>
      <c r="C175" s="239"/>
      <c r="D175" s="239" t="s">
        <v>796</v>
      </c>
      <c r="E175" s="240">
        <v>4</v>
      </c>
      <c r="F175" s="239" t="s">
        <v>1515</v>
      </c>
      <c r="G175" s="241">
        <v>0</v>
      </c>
      <c r="H175" s="241">
        <v>300000</v>
      </c>
      <c r="I175" s="241">
        <v>100000</v>
      </c>
      <c r="J175" s="241">
        <v>200000</v>
      </c>
    </row>
    <row r="176" spans="1:12" ht="15" customHeight="1">
      <c r="A176" s="239" t="s">
        <v>1723</v>
      </c>
      <c r="B176" s="239"/>
      <c r="C176" s="239"/>
      <c r="D176" s="239" t="s">
        <v>1724</v>
      </c>
      <c r="E176" s="240">
        <v>5</v>
      </c>
      <c r="F176" s="239" t="s">
        <v>1515</v>
      </c>
      <c r="G176" s="241">
        <v>0</v>
      </c>
      <c r="H176" s="241">
        <v>300000</v>
      </c>
      <c r="I176" s="241">
        <v>100000</v>
      </c>
      <c r="J176" s="241">
        <v>200000</v>
      </c>
    </row>
    <row r="177" spans="1:10" ht="15" customHeight="1">
      <c r="A177" s="239" t="s">
        <v>1097</v>
      </c>
      <c r="B177" s="239"/>
      <c r="C177" s="239"/>
      <c r="D177" s="239" t="s">
        <v>802</v>
      </c>
      <c r="E177" s="240">
        <v>4</v>
      </c>
      <c r="F177" s="239" t="s">
        <v>1515</v>
      </c>
      <c r="G177" s="241">
        <v>0</v>
      </c>
      <c r="H177" s="241">
        <v>610000</v>
      </c>
      <c r="I177" s="241">
        <v>0</v>
      </c>
      <c r="J177" s="241">
        <v>610000</v>
      </c>
    </row>
    <row r="178" spans="1:10" ht="15" customHeight="1">
      <c r="A178" s="239" t="s">
        <v>1725</v>
      </c>
      <c r="B178" s="239"/>
      <c r="C178" s="239"/>
      <c r="D178" s="239" t="s">
        <v>1726</v>
      </c>
      <c r="E178" s="240">
        <v>5</v>
      </c>
      <c r="F178" s="239" t="s">
        <v>1515</v>
      </c>
      <c r="G178" s="241">
        <v>0</v>
      </c>
      <c r="H178" s="241">
        <v>610000</v>
      </c>
      <c r="I178" s="241">
        <v>0</v>
      </c>
      <c r="J178" s="241">
        <v>610000</v>
      </c>
    </row>
    <row r="179" spans="1:10" ht="15" customHeight="1">
      <c r="A179" s="239" t="s">
        <v>1098</v>
      </c>
      <c r="B179" s="239"/>
      <c r="C179" s="239"/>
      <c r="D179" s="239" t="s">
        <v>799</v>
      </c>
      <c r="E179" s="240">
        <v>4</v>
      </c>
      <c r="F179" s="239" t="s">
        <v>1515</v>
      </c>
      <c r="G179" s="241">
        <v>0</v>
      </c>
      <c r="H179" s="241">
        <v>2643649.86</v>
      </c>
      <c r="I179" s="241">
        <v>39700</v>
      </c>
      <c r="J179" s="241">
        <v>2603949.86</v>
      </c>
    </row>
    <row r="180" spans="1:10" ht="15" customHeight="1">
      <c r="A180" s="239" t="s">
        <v>1106</v>
      </c>
      <c r="B180" s="239"/>
      <c r="C180" s="239"/>
      <c r="D180" s="239" t="s">
        <v>1107</v>
      </c>
      <c r="E180" s="240">
        <v>4</v>
      </c>
      <c r="F180" s="239" t="s">
        <v>1515</v>
      </c>
      <c r="G180" s="241">
        <v>0</v>
      </c>
      <c r="H180" s="241">
        <v>6538887</v>
      </c>
      <c r="I180" s="241">
        <v>0</v>
      </c>
      <c r="J180" s="241">
        <v>6538887</v>
      </c>
    </row>
    <row r="181" spans="1:10" ht="15" customHeight="1">
      <c r="A181" s="239" t="s">
        <v>1112</v>
      </c>
      <c r="B181" s="239"/>
      <c r="C181" s="239"/>
      <c r="D181" s="239" t="s">
        <v>680</v>
      </c>
      <c r="E181" s="240">
        <v>4</v>
      </c>
      <c r="F181" s="239" t="s">
        <v>1515</v>
      </c>
      <c r="G181" s="241">
        <v>0</v>
      </c>
      <c r="H181" s="241">
        <v>463783</v>
      </c>
      <c r="I181" s="241">
        <v>0</v>
      </c>
      <c r="J181" s="241">
        <v>463783</v>
      </c>
    </row>
    <row r="182" spans="1:10" ht="15" customHeight="1">
      <c r="A182" s="239" t="s">
        <v>1113</v>
      </c>
      <c r="B182" s="239"/>
      <c r="C182" s="239"/>
      <c r="D182" s="239" t="s">
        <v>1114</v>
      </c>
      <c r="E182" s="240">
        <v>4</v>
      </c>
      <c r="F182" s="239" t="s">
        <v>1515</v>
      </c>
      <c r="G182" s="241">
        <v>0</v>
      </c>
      <c r="H182" s="241">
        <v>39297</v>
      </c>
      <c r="I182" s="241">
        <v>0</v>
      </c>
      <c r="J182" s="241">
        <v>39297</v>
      </c>
    </row>
    <row r="183" spans="1:10" ht="15" customHeight="1">
      <c r="A183" s="239" t="s">
        <v>1115</v>
      </c>
      <c r="B183" s="239"/>
      <c r="C183" s="239"/>
      <c r="D183" s="239" t="s">
        <v>1116</v>
      </c>
      <c r="E183" s="240">
        <v>4</v>
      </c>
      <c r="F183" s="239" t="s">
        <v>1515</v>
      </c>
      <c r="G183" s="241">
        <v>0</v>
      </c>
      <c r="H183" s="241">
        <v>11852885</v>
      </c>
      <c r="I183" s="241">
        <v>0</v>
      </c>
      <c r="J183" s="241">
        <v>11852885</v>
      </c>
    </row>
    <row r="184" spans="1:10" ht="15" customHeight="1">
      <c r="A184" s="239" t="s">
        <v>1117</v>
      </c>
      <c r="B184" s="239"/>
      <c r="C184" s="239"/>
      <c r="D184" s="239" t="s">
        <v>1118</v>
      </c>
      <c r="E184" s="240">
        <v>4</v>
      </c>
      <c r="F184" s="239" t="s">
        <v>1515</v>
      </c>
      <c r="G184" s="241">
        <v>0</v>
      </c>
      <c r="H184" s="241">
        <v>2286291</v>
      </c>
      <c r="I184" s="241">
        <v>34601</v>
      </c>
      <c r="J184" s="241">
        <v>2251690</v>
      </c>
    </row>
    <row r="185" spans="1:10" ht="15" customHeight="1">
      <c r="A185" s="239" t="s">
        <v>1127</v>
      </c>
      <c r="B185" s="239"/>
      <c r="C185" s="239"/>
      <c r="D185" s="239" t="s">
        <v>150</v>
      </c>
      <c r="E185" s="240">
        <v>4</v>
      </c>
      <c r="F185" s="239" t="s">
        <v>1515</v>
      </c>
      <c r="G185" s="241">
        <v>0</v>
      </c>
      <c r="H185" s="241">
        <v>11847199</v>
      </c>
      <c r="I185" s="241">
        <v>0</v>
      </c>
      <c r="J185" s="241">
        <v>11847199</v>
      </c>
    </row>
    <row r="186" spans="1:10" ht="15" customHeight="1">
      <c r="A186" s="239" t="s">
        <v>1128</v>
      </c>
      <c r="B186" s="239"/>
      <c r="C186" s="239"/>
      <c r="D186" s="239" t="s">
        <v>1129</v>
      </c>
      <c r="E186" s="240">
        <v>5</v>
      </c>
      <c r="F186" s="239" t="s">
        <v>1515</v>
      </c>
      <c r="G186" s="241">
        <v>0</v>
      </c>
      <c r="H186" s="241">
        <v>855000</v>
      </c>
      <c r="I186" s="241">
        <v>0</v>
      </c>
      <c r="J186" s="241">
        <v>855000</v>
      </c>
    </row>
    <row r="187" spans="1:10" ht="15" customHeight="1">
      <c r="A187" s="239" t="s">
        <v>1131</v>
      </c>
      <c r="B187" s="239"/>
      <c r="C187" s="239"/>
      <c r="D187" s="239" t="s">
        <v>1132</v>
      </c>
      <c r="E187" s="240">
        <v>5</v>
      </c>
      <c r="F187" s="239" t="s">
        <v>1515</v>
      </c>
      <c r="G187" s="241">
        <v>0</v>
      </c>
      <c r="H187" s="241">
        <v>10992199</v>
      </c>
      <c r="I187" s="241">
        <v>0</v>
      </c>
      <c r="J187" s="241">
        <v>10992199</v>
      </c>
    </row>
    <row r="188" spans="1:10" ht="15" customHeight="1">
      <c r="A188" s="239" t="s">
        <v>1134</v>
      </c>
      <c r="B188" s="239"/>
      <c r="C188" s="239"/>
      <c r="D188" s="239" t="s">
        <v>217</v>
      </c>
      <c r="E188" s="240">
        <v>3</v>
      </c>
      <c r="F188" s="239" t="s">
        <v>1515</v>
      </c>
      <c r="G188" s="241">
        <v>0</v>
      </c>
      <c r="H188" s="241">
        <v>1286120</v>
      </c>
      <c r="I188" s="241">
        <v>0</v>
      </c>
      <c r="J188" s="241">
        <v>1286120</v>
      </c>
    </row>
    <row r="189" spans="1:10" ht="15" customHeight="1">
      <c r="A189" s="239" t="s">
        <v>1150</v>
      </c>
      <c r="B189" s="239"/>
      <c r="C189" s="239"/>
      <c r="D189" s="239" t="s">
        <v>1151</v>
      </c>
      <c r="E189" s="240">
        <v>4</v>
      </c>
      <c r="F189" s="239" t="s">
        <v>1515</v>
      </c>
      <c r="G189" s="241">
        <v>0</v>
      </c>
      <c r="H189" s="241">
        <v>350000</v>
      </c>
      <c r="I189" s="241">
        <v>0</v>
      </c>
      <c r="J189" s="241">
        <v>350000</v>
      </c>
    </row>
    <row r="190" spans="1:10" ht="15" customHeight="1">
      <c r="A190" s="239" t="s">
        <v>1731</v>
      </c>
      <c r="B190" s="239"/>
      <c r="C190" s="239"/>
      <c r="D190" s="239" t="s">
        <v>1732</v>
      </c>
      <c r="E190" s="240">
        <v>5</v>
      </c>
      <c r="F190" s="239" t="s">
        <v>1515</v>
      </c>
      <c r="G190" s="241">
        <v>0</v>
      </c>
      <c r="H190" s="241">
        <v>350000</v>
      </c>
      <c r="I190" s="241">
        <v>0</v>
      </c>
      <c r="J190" s="241">
        <v>350000</v>
      </c>
    </row>
    <row r="191" spans="1:10" ht="15" customHeight="1">
      <c r="A191" s="239" t="s">
        <v>1152</v>
      </c>
      <c r="B191" s="239"/>
      <c r="C191" s="239"/>
      <c r="D191" s="239" t="s">
        <v>150</v>
      </c>
      <c r="E191" s="240">
        <v>4</v>
      </c>
      <c r="F191" s="239" t="s">
        <v>1515</v>
      </c>
      <c r="G191" s="241">
        <v>0</v>
      </c>
      <c r="H191" s="241">
        <v>936120</v>
      </c>
      <c r="I191" s="241">
        <v>0</v>
      </c>
      <c r="J191" s="241">
        <v>936120</v>
      </c>
    </row>
    <row r="192" spans="1:10" ht="15" customHeight="1">
      <c r="A192" s="239" t="s">
        <v>1153</v>
      </c>
      <c r="B192" s="239"/>
      <c r="C192" s="239"/>
      <c r="D192" s="239" t="s">
        <v>468</v>
      </c>
      <c r="E192" s="240">
        <v>5</v>
      </c>
      <c r="F192" s="239" t="s">
        <v>1515</v>
      </c>
      <c r="G192" s="241">
        <v>0</v>
      </c>
      <c r="H192" s="241">
        <v>261120</v>
      </c>
      <c r="I192" s="241">
        <v>0</v>
      </c>
      <c r="J192" s="241">
        <v>261120</v>
      </c>
    </row>
    <row r="193" spans="1:10" ht="15" customHeight="1">
      <c r="A193" s="239" t="s">
        <v>1733</v>
      </c>
      <c r="B193" s="239"/>
      <c r="C193" s="239"/>
      <c r="D193" s="239" t="s">
        <v>1734</v>
      </c>
      <c r="E193" s="240">
        <v>5</v>
      </c>
      <c r="F193" s="239" t="s">
        <v>1515</v>
      </c>
      <c r="G193" s="241">
        <v>0</v>
      </c>
      <c r="H193" s="241">
        <v>675000</v>
      </c>
      <c r="I193" s="241">
        <v>0</v>
      </c>
      <c r="J193" s="241">
        <v>675000</v>
      </c>
    </row>
    <row r="194" spans="1:10" ht="15" customHeight="1">
      <c r="A194" s="239" t="s">
        <v>1156</v>
      </c>
      <c r="B194" s="239"/>
      <c r="C194" s="239"/>
      <c r="D194" s="239" t="s">
        <v>1157</v>
      </c>
      <c r="E194" s="240">
        <v>3</v>
      </c>
      <c r="F194" s="239" t="s">
        <v>1515</v>
      </c>
      <c r="G194" s="241">
        <v>0</v>
      </c>
      <c r="H194" s="241">
        <v>3403959.23</v>
      </c>
      <c r="I194" s="241">
        <v>0</v>
      </c>
      <c r="J194" s="241">
        <v>3403959.23</v>
      </c>
    </row>
    <row r="195" spans="1:10" ht="15" customHeight="1">
      <c r="A195" s="239" t="s">
        <v>1158</v>
      </c>
      <c r="B195" s="239"/>
      <c r="C195" s="239"/>
      <c r="D195" s="239" t="s">
        <v>1159</v>
      </c>
      <c r="E195" s="240">
        <v>4</v>
      </c>
      <c r="F195" s="239" t="s">
        <v>1515</v>
      </c>
      <c r="G195" s="241">
        <v>0</v>
      </c>
      <c r="H195" s="241">
        <v>1000</v>
      </c>
      <c r="I195" s="241">
        <v>0</v>
      </c>
      <c r="J195" s="241">
        <v>1000</v>
      </c>
    </row>
    <row r="196" spans="1:10" ht="15" customHeight="1">
      <c r="A196" s="239" t="s">
        <v>1179</v>
      </c>
      <c r="B196" s="239"/>
      <c r="C196" s="239"/>
      <c r="D196" s="239" t="s">
        <v>150</v>
      </c>
      <c r="E196" s="240">
        <v>4</v>
      </c>
      <c r="F196" s="239" t="s">
        <v>1515</v>
      </c>
      <c r="G196" s="241">
        <v>0</v>
      </c>
      <c r="H196" s="241">
        <v>3402959.23</v>
      </c>
      <c r="I196" s="241">
        <v>0</v>
      </c>
      <c r="J196" s="241">
        <v>3402959.23</v>
      </c>
    </row>
    <row r="197" spans="1:10" ht="15" customHeight="1">
      <c r="A197" s="239" t="s">
        <v>1180</v>
      </c>
      <c r="B197" s="239"/>
      <c r="C197" s="239"/>
      <c r="D197" s="239" t="s">
        <v>1181</v>
      </c>
      <c r="E197" s="240">
        <v>5</v>
      </c>
      <c r="F197" s="239" t="s">
        <v>1515</v>
      </c>
      <c r="G197" s="241">
        <v>0</v>
      </c>
      <c r="H197" s="241">
        <v>3401300.89</v>
      </c>
      <c r="I197" s="241">
        <v>0</v>
      </c>
      <c r="J197" s="241">
        <v>3401300.89</v>
      </c>
    </row>
    <row r="198" spans="1:10" ht="15" customHeight="1">
      <c r="A198" s="239" t="s">
        <v>1735</v>
      </c>
      <c r="B198" s="239"/>
      <c r="C198" s="239"/>
      <c r="D198" s="239" t="s">
        <v>1736</v>
      </c>
      <c r="E198" s="240">
        <v>5</v>
      </c>
      <c r="F198" s="239" t="s">
        <v>1515</v>
      </c>
      <c r="G198" s="241">
        <v>0</v>
      </c>
      <c r="H198" s="241">
        <v>1658.34</v>
      </c>
      <c r="I198" s="241">
        <v>0</v>
      </c>
      <c r="J198" s="241">
        <v>1658.34</v>
      </c>
    </row>
    <row r="199" spans="1:10" ht="15" customHeight="1">
      <c r="A199" s="239" t="s">
        <v>1183</v>
      </c>
      <c r="B199" s="239"/>
      <c r="C199" s="239"/>
      <c r="D199" s="239" t="s">
        <v>222</v>
      </c>
      <c r="E199" s="240">
        <v>3</v>
      </c>
      <c r="F199" s="239" t="s">
        <v>1515</v>
      </c>
      <c r="G199" s="241">
        <v>0</v>
      </c>
      <c r="H199" s="241">
        <v>175759200</v>
      </c>
      <c r="I199" s="241">
        <v>0</v>
      </c>
      <c r="J199" s="241">
        <v>175759200</v>
      </c>
    </row>
    <row r="200" spans="1:10" ht="15" customHeight="1">
      <c r="A200" s="239" t="s">
        <v>1186</v>
      </c>
      <c r="B200" s="239"/>
      <c r="C200" s="239"/>
      <c r="D200" s="239" t="s">
        <v>1187</v>
      </c>
      <c r="E200" s="240">
        <v>4</v>
      </c>
      <c r="F200" s="239" t="s">
        <v>1515</v>
      </c>
      <c r="G200" s="241">
        <v>0</v>
      </c>
      <c r="H200" s="241">
        <v>175759200</v>
      </c>
      <c r="I200" s="241">
        <v>0</v>
      </c>
      <c r="J200" s="241">
        <v>175759200</v>
      </c>
    </row>
    <row r="201" spans="1:10" ht="15" customHeight="1">
      <c r="A201" s="239" t="s">
        <v>1188</v>
      </c>
      <c r="B201" s="239"/>
      <c r="C201" s="239"/>
      <c r="D201" s="239" t="s">
        <v>1189</v>
      </c>
      <c r="E201" s="240">
        <v>5</v>
      </c>
      <c r="F201" s="239" t="s">
        <v>1515</v>
      </c>
      <c r="G201" s="241">
        <v>0</v>
      </c>
      <c r="H201" s="241">
        <v>175759200</v>
      </c>
      <c r="I201" s="241">
        <v>0</v>
      </c>
      <c r="J201" s="241">
        <v>175759200</v>
      </c>
    </row>
    <row r="202" spans="1:10" ht="15" customHeight="1">
      <c r="A202" s="239" t="s">
        <v>1221</v>
      </c>
      <c r="B202" s="239"/>
      <c r="C202" s="239"/>
      <c r="D202" s="239" t="s">
        <v>522</v>
      </c>
      <c r="E202" s="240">
        <v>3</v>
      </c>
      <c r="F202" s="239" t="s">
        <v>1515</v>
      </c>
      <c r="G202" s="241">
        <v>0</v>
      </c>
      <c r="H202" s="241">
        <v>307044</v>
      </c>
      <c r="I202" s="241">
        <v>0</v>
      </c>
      <c r="J202" s="241">
        <v>307044</v>
      </c>
    </row>
    <row r="203" spans="1:10" ht="15" customHeight="1">
      <c r="A203" s="239" t="s">
        <v>1240</v>
      </c>
      <c r="B203" s="239"/>
      <c r="C203" s="239"/>
      <c r="D203" s="239" t="s">
        <v>1241</v>
      </c>
      <c r="E203" s="240">
        <v>4</v>
      </c>
      <c r="F203" s="239" t="s">
        <v>1515</v>
      </c>
      <c r="G203" s="241">
        <v>0</v>
      </c>
      <c r="H203" s="241">
        <v>307044</v>
      </c>
      <c r="I203" s="241">
        <v>0</v>
      </c>
      <c r="J203" s="241">
        <v>307044</v>
      </c>
    </row>
    <row r="204" spans="1:10" ht="15" customHeight="1">
      <c r="A204" s="239" t="s">
        <v>1252</v>
      </c>
      <c r="B204" s="239"/>
      <c r="C204" s="239"/>
      <c r="D204" s="239" t="s">
        <v>132</v>
      </c>
      <c r="E204" s="240">
        <v>3</v>
      </c>
      <c r="F204" s="239" t="s">
        <v>1515</v>
      </c>
      <c r="G204" s="241">
        <v>0</v>
      </c>
      <c r="H204" s="241">
        <v>219659751.38999999</v>
      </c>
      <c r="I204" s="241">
        <v>140862.35999999999</v>
      </c>
      <c r="J204" s="241">
        <v>219518889.03</v>
      </c>
    </row>
    <row r="205" spans="1:10" ht="15" customHeight="1">
      <c r="A205" s="239" t="s">
        <v>1253</v>
      </c>
      <c r="B205" s="239"/>
      <c r="C205" s="239"/>
      <c r="D205" s="239" t="s">
        <v>1254</v>
      </c>
      <c r="E205" s="240">
        <v>4</v>
      </c>
      <c r="F205" s="239" t="s">
        <v>1515</v>
      </c>
      <c r="G205" s="241">
        <v>0</v>
      </c>
      <c r="H205" s="241">
        <v>44958200.039999999</v>
      </c>
      <c r="I205" s="241">
        <v>140862.35999999999</v>
      </c>
      <c r="J205" s="241">
        <v>44817337.68</v>
      </c>
    </row>
    <row r="206" spans="1:10" ht="15" customHeight="1">
      <c r="A206" s="239" t="s">
        <v>1255</v>
      </c>
      <c r="B206" s="239"/>
      <c r="C206" s="239"/>
      <c r="D206" s="239" t="s">
        <v>1256</v>
      </c>
      <c r="E206" s="240">
        <v>5</v>
      </c>
      <c r="F206" s="239" t="s">
        <v>1515</v>
      </c>
      <c r="G206" s="241">
        <v>0</v>
      </c>
      <c r="H206" s="241">
        <v>39223038.670000002</v>
      </c>
      <c r="I206" s="241">
        <v>0</v>
      </c>
      <c r="J206" s="241">
        <v>39223038.670000002</v>
      </c>
    </row>
    <row r="207" spans="1:10" ht="15" customHeight="1">
      <c r="A207" s="239" t="s">
        <v>1737</v>
      </c>
      <c r="B207" s="239"/>
      <c r="C207" s="239"/>
      <c r="D207" s="239" t="s">
        <v>1738</v>
      </c>
      <c r="E207" s="240">
        <v>5</v>
      </c>
      <c r="F207" s="239" t="s">
        <v>1515</v>
      </c>
      <c r="G207" s="241">
        <v>0</v>
      </c>
      <c r="H207" s="241">
        <v>612420</v>
      </c>
      <c r="I207" s="241">
        <v>0</v>
      </c>
      <c r="J207" s="241">
        <v>612420</v>
      </c>
    </row>
    <row r="208" spans="1:10" ht="15" customHeight="1">
      <c r="A208" s="239" t="s">
        <v>1741</v>
      </c>
      <c r="B208" s="239"/>
      <c r="C208" s="239"/>
      <c r="D208" s="239" t="s">
        <v>1638</v>
      </c>
      <c r="E208" s="240">
        <v>5</v>
      </c>
      <c r="F208" s="239" t="s">
        <v>1515</v>
      </c>
      <c r="G208" s="241">
        <v>0</v>
      </c>
      <c r="H208" s="241">
        <v>5122741.37</v>
      </c>
      <c r="I208" s="241">
        <v>140862.35999999999</v>
      </c>
      <c r="J208" s="241">
        <v>4981879.01</v>
      </c>
    </row>
    <row r="209" spans="1:10" ht="15" customHeight="1">
      <c r="A209" s="239" t="s">
        <v>1264</v>
      </c>
      <c r="B209" s="239"/>
      <c r="C209" s="239"/>
      <c r="D209" s="239" t="s">
        <v>1265</v>
      </c>
      <c r="E209" s="240">
        <v>4</v>
      </c>
      <c r="F209" s="239" t="s">
        <v>1515</v>
      </c>
      <c r="G209" s="241">
        <v>0</v>
      </c>
      <c r="H209" s="241">
        <v>61356769.439999998</v>
      </c>
      <c r="I209" s="241">
        <v>0</v>
      </c>
      <c r="J209" s="241">
        <v>61356769.439999998</v>
      </c>
    </row>
    <row r="210" spans="1:10" ht="15" customHeight="1">
      <c r="A210" s="239" t="s">
        <v>1266</v>
      </c>
      <c r="B210" s="239"/>
      <c r="C210" s="239"/>
      <c r="D210" s="239" t="s">
        <v>1267</v>
      </c>
      <c r="E210" s="240">
        <v>5</v>
      </c>
      <c r="F210" s="239" t="s">
        <v>1515</v>
      </c>
      <c r="G210" s="241">
        <v>0</v>
      </c>
      <c r="H210" s="241">
        <v>1614798.44</v>
      </c>
      <c r="I210" s="241">
        <v>0</v>
      </c>
      <c r="J210" s="241">
        <v>1614798.44</v>
      </c>
    </row>
    <row r="211" spans="1:10" ht="15" customHeight="1">
      <c r="A211" s="239" t="s">
        <v>1269</v>
      </c>
      <c r="B211" s="239"/>
      <c r="C211" s="239"/>
      <c r="D211" s="239" t="s">
        <v>1270</v>
      </c>
      <c r="E211" s="240">
        <v>5</v>
      </c>
      <c r="F211" s="239" t="s">
        <v>1515</v>
      </c>
      <c r="G211" s="241">
        <v>0</v>
      </c>
      <c r="H211" s="241">
        <v>59741971</v>
      </c>
      <c r="I211" s="241">
        <v>0</v>
      </c>
      <c r="J211" s="241">
        <v>59741971</v>
      </c>
    </row>
    <row r="212" spans="1:10" ht="15" customHeight="1">
      <c r="A212" s="239" t="s">
        <v>1273</v>
      </c>
      <c r="B212" s="239"/>
      <c r="C212" s="239"/>
      <c r="D212" s="239" t="s">
        <v>516</v>
      </c>
      <c r="E212" s="240">
        <v>4</v>
      </c>
      <c r="F212" s="239" t="s">
        <v>1515</v>
      </c>
      <c r="G212" s="241">
        <v>0</v>
      </c>
      <c r="H212" s="241">
        <v>68468086</v>
      </c>
      <c r="I212" s="241">
        <v>0</v>
      </c>
      <c r="J212" s="241">
        <v>68468086</v>
      </c>
    </row>
    <row r="213" spans="1:10" ht="15" customHeight="1">
      <c r="A213" s="239" t="s">
        <v>1274</v>
      </c>
      <c r="B213" s="239"/>
      <c r="C213" s="239"/>
      <c r="D213" s="239" t="s">
        <v>516</v>
      </c>
      <c r="E213" s="240">
        <v>5</v>
      </c>
      <c r="F213" s="239" t="s">
        <v>1515</v>
      </c>
      <c r="G213" s="241">
        <v>0</v>
      </c>
      <c r="H213" s="241">
        <v>68468086</v>
      </c>
      <c r="I213" s="241">
        <v>0</v>
      </c>
      <c r="J213" s="241">
        <v>68468086</v>
      </c>
    </row>
    <row r="214" spans="1:10" ht="15" customHeight="1">
      <c r="A214" s="239" t="s">
        <v>1275</v>
      </c>
      <c r="B214" s="239"/>
      <c r="C214" s="239"/>
      <c r="D214" s="239" t="s">
        <v>1276</v>
      </c>
      <c r="E214" s="240">
        <v>4</v>
      </c>
      <c r="F214" s="239" t="s">
        <v>1515</v>
      </c>
      <c r="G214" s="241">
        <v>0</v>
      </c>
      <c r="H214" s="241">
        <v>325815.90999999997</v>
      </c>
      <c r="I214" s="241">
        <v>0</v>
      </c>
      <c r="J214" s="241">
        <v>325815.90999999997</v>
      </c>
    </row>
    <row r="215" spans="1:10" ht="15" customHeight="1">
      <c r="A215" s="239" t="s">
        <v>1277</v>
      </c>
      <c r="B215" s="239"/>
      <c r="C215" s="239"/>
      <c r="D215" s="239" t="s">
        <v>502</v>
      </c>
      <c r="E215" s="240">
        <v>5</v>
      </c>
      <c r="F215" s="239" t="s">
        <v>1515</v>
      </c>
      <c r="G215" s="241">
        <v>0</v>
      </c>
      <c r="H215" s="241">
        <v>325815.90999999997</v>
      </c>
      <c r="I215" s="241">
        <v>0</v>
      </c>
      <c r="J215" s="241">
        <v>325815.90999999997</v>
      </c>
    </row>
    <row r="216" spans="1:10" ht="15" customHeight="1">
      <c r="A216" s="239" t="s">
        <v>1288</v>
      </c>
      <c r="B216" s="239"/>
      <c r="C216" s="239"/>
      <c r="D216" s="239" t="s">
        <v>150</v>
      </c>
      <c r="E216" s="240">
        <v>4</v>
      </c>
      <c r="F216" s="239" t="s">
        <v>1515</v>
      </c>
      <c r="G216" s="241">
        <v>0</v>
      </c>
      <c r="H216" s="241">
        <v>44550880</v>
      </c>
      <c r="I216" s="241">
        <v>0</v>
      </c>
      <c r="J216" s="241">
        <v>44550880</v>
      </c>
    </row>
    <row r="217" spans="1:10" ht="15" customHeight="1">
      <c r="A217" s="239" t="s">
        <v>1289</v>
      </c>
      <c r="B217" s="239"/>
      <c r="C217" s="239"/>
      <c r="D217" s="239" t="s">
        <v>1290</v>
      </c>
      <c r="E217" s="240">
        <v>5</v>
      </c>
      <c r="F217" s="239" t="s">
        <v>1515</v>
      </c>
      <c r="G217" s="241">
        <v>0</v>
      </c>
      <c r="H217" s="241">
        <v>44550880</v>
      </c>
      <c r="I217" s="241">
        <v>0</v>
      </c>
      <c r="J217" s="241">
        <v>44550880</v>
      </c>
    </row>
    <row r="218" spans="1:10" ht="15" customHeight="1">
      <c r="A218" s="239" t="s">
        <v>1292</v>
      </c>
      <c r="B218" s="239"/>
      <c r="C218" s="239"/>
      <c r="D218" s="239" t="s">
        <v>450</v>
      </c>
      <c r="E218" s="240">
        <v>3</v>
      </c>
      <c r="F218" s="239" t="s">
        <v>1515</v>
      </c>
      <c r="G218" s="241">
        <v>0</v>
      </c>
      <c r="H218" s="241">
        <v>3494100</v>
      </c>
      <c r="I218" s="241">
        <v>653000</v>
      </c>
      <c r="J218" s="241">
        <v>2841100</v>
      </c>
    </row>
    <row r="219" spans="1:10" ht="15" customHeight="1">
      <c r="A219" s="239" t="s">
        <v>1297</v>
      </c>
      <c r="B219" s="239"/>
      <c r="C219" s="239"/>
      <c r="D219" s="239" t="s">
        <v>1298</v>
      </c>
      <c r="E219" s="240">
        <v>4</v>
      </c>
      <c r="F219" s="239" t="s">
        <v>1515</v>
      </c>
      <c r="G219" s="241">
        <v>0</v>
      </c>
      <c r="H219" s="241">
        <v>3457100</v>
      </c>
      <c r="I219" s="241">
        <v>653000</v>
      </c>
      <c r="J219" s="241">
        <v>2804100</v>
      </c>
    </row>
    <row r="220" spans="1:10" ht="15" customHeight="1">
      <c r="A220" s="239" t="s">
        <v>1299</v>
      </c>
      <c r="B220" s="239"/>
      <c r="C220" s="239"/>
      <c r="D220" s="239" t="s">
        <v>1300</v>
      </c>
      <c r="E220" s="240">
        <v>5</v>
      </c>
      <c r="F220" s="239" t="s">
        <v>1515</v>
      </c>
      <c r="G220" s="241">
        <v>0</v>
      </c>
      <c r="H220" s="241">
        <v>1480200</v>
      </c>
      <c r="I220" s="241">
        <v>0</v>
      </c>
      <c r="J220" s="241">
        <v>1480200</v>
      </c>
    </row>
    <row r="221" spans="1:10" ht="15" customHeight="1">
      <c r="A221" s="239" t="s">
        <v>1302</v>
      </c>
      <c r="B221" s="239"/>
      <c r="C221" s="239"/>
      <c r="D221" s="239" t="s">
        <v>1303</v>
      </c>
      <c r="E221" s="240">
        <v>5</v>
      </c>
      <c r="F221" s="239" t="s">
        <v>1515</v>
      </c>
      <c r="G221" s="241">
        <v>0</v>
      </c>
      <c r="H221" s="241">
        <v>1976900</v>
      </c>
      <c r="I221" s="241">
        <v>653000</v>
      </c>
      <c r="J221" s="241">
        <v>1323900</v>
      </c>
    </row>
    <row r="222" spans="1:10" ht="15" customHeight="1">
      <c r="A222" s="239" t="s">
        <v>1311</v>
      </c>
      <c r="B222" s="239"/>
      <c r="C222" s="239"/>
      <c r="D222" s="239" t="s">
        <v>150</v>
      </c>
      <c r="E222" s="240">
        <v>4</v>
      </c>
      <c r="F222" s="239" t="s">
        <v>1515</v>
      </c>
      <c r="G222" s="241">
        <v>0</v>
      </c>
      <c r="H222" s="241">
        <v>37000</v>
      </c>
      <c r="I222" s="241">
        <v>0</v>
      </c>
      <c r="J222" s="241">
        <v>37000</v>
      </c>
    </row>
    <row r="223" spans="1:10" ht="15" customHeight="1">
      <c r="A223" s="239" t="s">
        <v>1742</v>
      </c>
      <c r="B223" s="239"/>
      <c r="C223" s="239"/>
      <c r="D223" s="239" t="s">
        <v>1743</v>
      </c>
      <c r="E223" s="240">
        <v>5</v>
      </c>
      <c r="F223" s="239" t="s">
        <v>1515</v>
      </c>
      <c r="G223" s="241">
        <v>0</v>
      </c>
      <c r="H223" s="241">
        <v>37000</v>
      </c>
      <c r="I223" s="241">
        <v>0</v>
      </c>
      <c r="J223" s="241">
        <v>37000</v>
      </c>
    </row>
    <row r="224" spans="1:10" ht="15" customHeight="1">
      <c r="A224" s="239" t="s">
        <v>1333</v>
      </c>
      <c r="B224" s="239"/>
      <c r="C224" s="239"/>
      <c r="D224" s="239" t="s">
        <v>1334</v>
      </c>
      <c r="E224" s="240">
        <v>3</v>
      </c>
      <c r="F224" s="239" t="s">
        <v>1515</v>
      </c>
      <c r="G224" s="241">
        <v>0</v>
      </c>
      <c r="H224" s="241">
        <v>266000</v>
      </c>
      <c r="I224" s="241">
        <v>0</v>
      </c>
      <c r="J224" s="241">
        <v>266000</v>
      </c>
    </row>
    <row r="225" spans="1:10" ht="15" customHeight="1">
      <c r="A225" s="239" t="s">
        <v>1744</v>
      </c>
      <c r="B225" s="239"/>
      <c r="C225" s="239"/>
      <c r="D225" s="239" t="s">
        <v>1745</v>
      </c>
      <c r="E225" s="240">
        <v>4</v>
      </c>
      <c r="F225" s="239" t="s">
        <v>1515</v>
      </c>
      <c r="G225" s="241">
        <v>0</v>
      </c>
      <c r="H225" s="241">
        <v>266000</v>
      </c>
      <c r="I225" s="241">
        <v>0</v>
      </c>
      <c r="J225" s="241">
        <v>266000</v>
      </c>
    </row>
    <row r="226" spans="1:10" ht="15" customHeight="1">
      <c r="A226" s="239" t="s">
        <v>1746</v>
      </c>
      <c r="B226" s="239"/>
      <c r="C226" s="239"/>
      <c r="D226" s="239" t="s">
        <v>1747</v>
      </c>
      <c r="E226" s="240">
        <v>5</v>
      </c>
      <c r="F226" s="239" t="s">
        <v>1515</v>
      </c>
      <c r="G226" s="241">
        <v>0</v>
      </c>
      <c r="H226" s="241">
        <v>266000</v>
      </c>
      <c r="I226" s="241">
        <v>0</v>
      </c>
      <c r="J226" s="241">
        <v>266000</v>
      </c>
    </row>
    <row r="227" spans="1:10" ht="15" customHeight="1">
      <c r="A227" s="239" t="s">
        <v>1359</v>
      </c>
      <c r="B227" s="239"/>
      <c r="C227" s="239"/>
      <c r="D227" s="239" t="s">
        <v>1360</v>
      </c>
      <c r="E227" s="240">
        <v>3</v>
      </c>
      <c r="F227" s="239" t="s">
        <v>1515</v>
      </c>
      <c r="G227" s="241">
        <v>0</v>
      </c>
      <c r="H227" s="241">
        <v>21126660</v>
      </c>
      <c r="I227" s="241">
        <v>0</v>
      </c>
      <c r="J227" s="241">
        <v>21126660</v>
      </c>
    </row>
    <row r="228" spans="1:10" ht="15" customHeight="1">
      <c r="A228" s="239" t="s">
        <v>1364</v>
      </c>
      <c r="B228" s="239"/>
      <c r="C228" s="239"/>
      <c r="D228" s="239" t="s">
        <v>392</v>
      </c>
      <c r="E228" s="240">
        <v>4</v>
      </c>
      <c r="F228" s="239" t="s">
        <v>1515</v>
      </c>
      <c r="G228" s="241">
        <v>0</v>
      </c>
      <c r="H228" s="241">
        <v>21126660</v>
      </c>
      <c r="I228" s="241">
        <v>0</v>
      </c>
      <c r="J228" s="241">
        <v>21126660</v>
      </c>
    </row>
    <row r="229" spans="1:10" ht="15" customHeight="1">
      <c r="A229" s="239" t="s">
        <v>1365</v>
      </c>
      <c r="B229" s="239"/>
      <c r="C229" s="239"/>
      <c r="D229" s="239" t="s">
        <v>416</v>
      </c>
      <c r="E229" s="240">
        <v>5</v>
      </c>
      <c r="F229" s="239" t="s">
        <v>1515</v>
      </c>
      <c r="G229" s="241">
        <v>0</v>
      </c>
      <c r="H229" s="241">
        <v>19161144</v>
      </c>
      <c r="I229" s="241">
        <v>0</v>
      </c>
      <c r="J229" s="241">
        <v>19161144</v>
      </c>
    </row>
    <row r="230" spans="1:10" ht="15" customHeight="1">
      <c r="A230" s="239" t="s">
        <v>1368</v>
      </c>
      <c r="B230" s="239"/>
      <c r="C230" s="239"/>
      <c r="D230" s="239" t="s">
        <v>404</v>
      </c>
      <c r="E230" s="240">
        <v>5</v>
      </c>
      <c r="F230" s="239" t="s">
        <v>1515</v>
      </c>
      <c r="G230" s="241">
        <v>0</v>
      </c>
      <c r="H230" s="241">
        <v>1965516</v>
      </c>
      <c r="I230" s="241">
        <v>0</v>
      </c>
      <c r="J230" s="241">
        <v>1965516</v>
      </c>
    </row>
    <row r="231" spans="1:10" ht="15" customHeight="1">
      <c r="A231" s="239" t="s">
        <v>1388</v>
      </c>
      <c r="B231" s="239"/>
      <c r="C231" s="239"/>
      <c r="D231" s="239" t="s">
        <v>1389</v>
      </c>
      <c r="E231" s="240">
        <v>3</v>
      </c>
      <c r="F231" s="239" t="s">
        <v>1515</v>
      </c>
      <c r="G231" s="241">
        <v>0</v>
      </c>
      <c r="H231" s="241">
        <v>5001345</v>
      </c>
      <c r="I231" s="241">
        <v>0</v>
      </c>
      <c r="J231" s="241">
        <v>5001345</v>
      </c>
    </row>
    <row r="232" spans="1:10" ht="15" customHeight="1">
      <c r="A232" s="239" t="s">
        <v>1390</v>
      </c>
      <c r="B232" s="239"/>
      <c r="C232" s="239"/>
      <c r="D232" s="239" t="s">
        <v>1391</v>
      </c>
      <c r="E232" s="240">
        <v>4</v>
      </c>
      <c r="F232" s="239" t="s">
        <v>1515</v>
      </c>
      <c r="G232" s="241">
        <v>0</v>
      </c>
      <c r="H232" s="241">
        <v>5001345</v>
      </c>
      <c r="I232" s="241">
        <v>0</v>
      </c>
      <c r="J232" s="241">
        <v>5001345</v>
      </c>
    </row>
    <row r="233" spans="1:10" ht="15" customHeight="1">
      <c r="A233" s="239" t="s">
        <v>1394</v>
      </c>
      <c r="B233" s="239"/>
      <c r="C233" s="239"/>
      <c r="D233" s="239" t="s">
        <v>1395</v>
      </c>
      <c r="E233" s="240">
        <v>5</v>
      </c>
      <c r="F233" s="239" t="s">
        <v>1515</v>
      </c>
      <c r="G233" s="241">
        <v>0</v>
      </c>
      <c r="H233" s="241">
        <v>551395</v>
      </c>
      <c r="I233" s="241">
        <v>0</v>
      </c>
      <c r="J233" s="241">
        <v>551395</v>
      </c>
    </row>
    <row r="234" spans="1:10" ht="15" customHeight="1">
      <c r="A234" s="239" t="s">
        <v>1396</v>
      </c>
      <c r="B234" s="239"/>
      <c r="C234" s="239"/>
      <c r="D234" s="239" t="s">
        <v>1397</v>
      </c>
      <c r="E234" s="240">
        <v>5</v>
      </c>
      <c r="F234" s="239" t="s">
        <v>1515</v>
      </c>
      <c r="G234" s="241">
        <v>0</v>
      </c>
      <c r="H234" s="241">
        <v>4449950</v>
      </c>
      <c r="I234" s="241">
        <v>0</v>
      </c>
      <c r="J234" s="241">
        <v>4449950</v>
      </c>
    </row>
    <row r="235" spans="1:10" ht="15" customHeight="1">
      <c r="A235" s="239" t="s">
        <v>1403</v>
      </c>
      <c r="B235" s="239"/>
      <c r="C235" s="239"/>
      <c r="D235" s="239" t="s">
        <v>1404</v>
      </c>
      <c r="E235" s="240">
        <v>3</v>
      </c>
      <c r="F235" s="239" t="s">
        <v>1515</v>
      </c>
      <c r="G235" s="241">
        <v>0</v>
      </c>
      <c r="H235" s="241">
        <v>58445788</v>
      </c>
      <c r="I235" s="241">
        <v>0</v>
      </c>
      <c r="J235" s="241">
        <v>58445788</v>
      </c>
    </row>
    <row r="236" spans="1:10" ht="15" customHeight="1">
      <c r="A236" s="239" t="s">
        <v>1410</v>
      </c>
      <c r="B236" s="239"/>
      <c r="C236" s="239"/>
      <c r="D236" s="239" t="s">
        <v>547</v>
      </c>
      <c r="E236" s="240">
        <v>4</v>
      </c>
      <c r="F236" s="239" t="s">
        <v>1515</v>
      </c>
      <c r="G236" s="241">
        <v>0</v>
      </c>
      <c r="H236" s="241">
        <v>56218759</v>
      </c>
      <c r="I236" s="241">
        <v>0</v>
      </c>
      <c r="J236" s="241">
        <v>56218759</v>
      </c>
    </row>
    <row r="237" spans="1:10" ht="15" customHeight="1">
      <c r="A237" s="239" t="s">
        <v>1411</v>
      </c>
      <c r="B237" s="239"/>
      <c r="C237" s="239"/>
      <c r="D237" s="239" t="s">
        <v>1412</v>
      </c>
      <c r="E237" s="240">
        <v>5</v>
      </c>
      <c r="F237" s="239" t="s">
        <v>1515</v>
      </c>
      <c r="G237" s="241">
        <v>0</v>
      </c>
      <c r="H237" s="241">
        <v>23460653</v>
      </c>
      <c r="I237" s="241">
        <v>0</v>
      </c>
      <c r="J237" s="241">
        <v>23460653</v>
      </c>
    </row>
    <row r="238" spans="1:10" ht="15" customHeight="1">
      <c r="A238" s="239" t="s">
        <v>1413</v>
      </c>
      <c r="B238" s="239"/>
      <c r="C238" s="239"/>
      <c r="D238" s="239" t="s">
        <v>1414</v>
      </c>
      <c r="E238" s="240">
        <v>5</v>
      </c>
      <c r="F238" s="239" t="s">
        <v>1515</v>
      </c>
      <c r="G238" s="241">
        <v>0</v>
      </c>
      <c r="H238" s="241">
        <v>32758106</v>
      </c>
      <c r="I238" s="241">
        <v>0</v>
      </c>
      <c r="J238" s="241">
        <v>32758106</v>
      </c>
    </row>
    <row r="239" spans="1:10" ht="15" customHeight="1">
      <c r="A239" s="239" t="s">
        <v>1415</v>
      </c>
      <c r="B239" s="239"/>
      <c r="C239" s="239"/>
      <c r="D239" s="239" t="s">
        <v>1416</v>
      </c>
      <c r="E239" s="240">
        <v>4</v>
      </c>
      <c r="F239" s="239" t="s">
        <v>1515</v>
      </c>
      <c r="G239" s="241">
        <v>0</v>
      </c>
      <c r="H239" s="241">
        <v>2227029</v>
      </c>
      <c r="I239" s="241">
        <v>0</v>
      </c>
      <c r="J239" s="241">
        <v>2227029</v>
      </c>
    </row>
    <row r="240" spans="1:10" ht="15" customHeight="1">
      <c r="A240" s="239" t="s">
        <v>1417</v>
      </c>
      <c r="B240" s="239"/>
      <c r="C240" s="239"/>
      <c r="D240" s="239" t="s">
        <v>1418</v>
      </c>
      <c r="E240" s="240">
        <v>5</v>
      </c>
      <c r="F240" s="239" t="s">
        <v>1515</v>
      </c>
      <c r="G240" s="241">
        <v>0</v>
      </c>
      <c r="H240" s="241">
        <v>2227029</v>
      </c>
      <c r="I240" s="241">
        <v>0</v>
      </c>
      <c r="J240" s="241">
        <v>2227029</v>
      </c>
    </row>
    <row r="241" spans="1:10" ht="15" customHeight="1">
      <c r="A241" s="239" t="s">
        <v>1457</v>
      </c>
      <c r="B241" s="239"/>
      <c r="C241" s="239"/>
      <c r="D241" s="239" t="s">
        <v>1034</v>
      </c>
      <c r="E241" s="240">
        <v>2</v>
      </c>
      <c r="F241" s="239" t="s">
        <v>1515</v>
      </c>
      <c r="G241" s="241">
        <v>0</v>
      </c>
      <c r="H241" s="241">
        <v>37218992.630000003</v>
      </c>
      <c r="I241" s="241">
        <v>1801292.85</v>
      </c>
      <c r="J241" s="241">
        <v>35417699.780000001</v>
      </c>
    </row>
    <row r="242" spans="1:10" ht="15" customHeight="1">
      <c r="A242" s="239" t="s">
        <v>1458</v>
      </c>
      <c r="B242" s="239"/>
      <c r="C242" s="239"/>
      <c r="D242" s="239" t="s">
        <v>1036</v>
      </c>
      <c r="E242" s="240">
        <v>3</v>
      </c>
      <c r="F242" s="239" t="s">
        <v>1515</v>
      </c>
      <c r="G242" s="241">
        <v>0</v>
      </c>
      <c r="H242" s="241">
        <v>32804101.699999999</v>
      </c>
      <c r="I242" s="241">
        <v>1801292.85</v>
      </c>
      <c r="J242" s="241">
        <v>31002808.850000001</v>
      </c>
    </row>
    <row r="243" spans="1:10" ht="15" customHeight="1">
      <c r="A243" s="239" t="s">
        <v>1459</v>
      </c>
      <c r="B243" s="239"/>
      <c r="C243" s="239"/>
      <c r="D243" s="239" t="s">
        <v>1460</v>
      </c>
      <c r="E243" s="240">
        <v>4</v>
      </c>
      <c r="F243" s="239" t="s">
        <v>1515</v>
      </c>
      <c r="G243" s="241">
        <v>0</v>
      </c>
      <c r="H243" s="241">
        <v>2452803.52</v>
      </c>
      <c r="I243" s="241">
        <v>0</v>
      </c>
      <c r="J243" s="241">
        <v>2452803.52</v>
      </c>
    </row>
    <row r="244" spans="1:10" ht="15" customHeight="1">
      <c r="A244" s="239" t="s">
        <v>1461</v>
      </c>
      <c r="B244" s="239"/>
      <c r="C244" s="239"/>
      <c r="D244" s="239" t="s">
        <v>1462</v>
      </c>
      <c r="E244" s="240">
        <v>5</v>
      </c>
      <c r="F244" s="239" t="s">
        <v>1515</v>
      </c>
      <c r="G244" s="241">
        <v>0</v>
      </c>
      <c r="H244" s="241">
        <v>830400</v>
      </c>
      <c r="I244" s="241">
        <v>0</v>
      </c>
      <c r="J244" s="241">
        <v>830400</v>
      </c>
    </row>
    <row r="245" spans="1:10" ht="15" customHeight="1">
      <c r="A245" s="239" t="s">
        <v>1464</v>
      </c>
      <c r="B245" s="239"/>
      <c r="C245" s="239"/>
      <c r="D245" s="239" t="s">
        <v>1465</v>
      </c>
      <c r="E245" s="240">
        <v>5</v>
      </c>
      <c r="F245" s="239" t="s">
        <v>1515</v>
      </c>
      <c r="G245" s="241">
        <v>0</v>
      </c>
      <c r="H245" s="241">
        <v>157080</v>
      </c>
      <c r="I245" s="241">
        <v>0</v>
      </c>
      <c r="J245" s="241">
        <v>157080</v>
      </c>
    </row>
    <row r="246" spans="1:10" ht="15" customHeight="1">
      <c r="A246" s="239" t="s">
        <v>1467</v>
      </c>
      <c r="B246" s="239"/>
      <c r="C246" s="239"/>
      <c r="D246" s="239" t="s">
        <v>1468</v>
      </c>
      <c r="E246" s="240">
        <v>5</v>
      </c>
      <c r="F246" s="239" t="s">
        <v>1515</v>
      </c>
      <c r="G246" s="241">
        <v>0</v>
      </c>
      <c r="H246" s="241">
        <v>1465323.52</v>
      </c>
      <c r="I246" s="241">
        <v>0</v>
      </c>
      <c r="J246" s="241">
        <v>1465323.52</v>
      </c>
    </row>
    <row r="247" spans="1:10" ht="15" customHeight="1">
      <c r="A247" s="239" t="s">
        <v>1471</v>
      </c>
      <c r="B247" s="239"/>
      <c r="C247" s="239"/>
      <c r="D247" s="239" t="s">
        <v>211</v>
      </c>
      <c r="E247" s="240">
        <v>4</v>
      </c>
      <c r="F247" s="239" t="s">
        <v>1515</v>
      </c>
      <c r="G247" s="241">
        <v>0</v>
      </c>
      <c r="H247" s="241">
        <v>4011194.13</v>
      </c>
      <c r="I247" s="241">
        <v>0</v>
      </c>
      <c r="J247" s="241">
        <v>4011194.13</v>
      </c>
    </row>
    <row r="248" spans="1:10" ht="15" customHeight="1">
      <c r="A248" s="239" t="s">
        <v>1748</v>
      </c>
      <c r="B248" s="239"/>
      <c r="C248" s="239"/>
      <c r="D248" s="239" t="s">
        <v>1749</v>
      </c>
      <c r="E248" s="240">
        <v>5</v>
      </c>
      <c r="F248" s="239" t="s">
        <v>1515</v>
      </c>
      <c r="G248" s="241">
        <v>0</v>
      </c>
      <c r="H248" s="241">
        <v>123774.13</v>
      </c>
      <c r="I248" s="241">
        <v>0</v>
      </c>
      <c r="J248" s="241">
        <v>123774.13</v>
      </c>
    </row>
    <row r="249" spans="1:10" ht="15" customHeight="1">
      <c r="A249" s="239" t="s">
        <v>1750</v>
      </c>
      <c r="B249" s="239"/>
      <c r="C249" s="239"/>
      <c r="D249" s="239" t="s">
        <v>97</v>
      </c>
      <c r="E249" s="240">
        <v>5</v>
      </c>
      <c r="F249" s="239" t="s">
        <v>1515</v>
      </c>
      <c r="G249" s="241">
        <v>0</v>
      </c>
      <c r="H249" s="241">
        <v>3887420</v>
      </c>
      <c r="I249" s="241">
        <v>0</v>
      </c>
      <c r="J249" s="241">
        <v>3887420</v>
      </c>
    </row>
    <row r="250" spans="1:10" ht="15" customHeight="1">
      <c r="A250" s="239" t="s">
        <v>1472</v>
      </c>
      <c r="B250" s="239"/>
      <c r="C250" s="239"/>
      <c r="D250" s="239" t="s">
        <v>1046</v>
      </c>
      <c r="E250" s="240">
        <v>4</v>
      </c>
      <c r="F250" s="239" t="s">
        <v>1515</v>
      </c>
      <c r="G250" s="241">
        <v>0</v>
      </c>
      <c r="H250" s="241">
        <v>25495944.649999999</v>
      </c>
      <c r="I250" s="241">
        <v>1792151</v>
      </c>
      <c r="J250" s="241">
        <v>23703793.649999999</v>
      </c>
    </row>
    <row r="251" spans="1:10" ht="15" customHeight="1">
      <c r="A251" s="239" t="s">
        <v>1751</v>
      </c>
      <c r="B251" s="239"/>
      <c r="C251" s="239"/>
      <c r="D251" s="239" t="s">
        <v>1752</v>
      </c>
      <c r="E251" s="240">
        <v>5</v>
      </c>
      <c r="F251" s="239" t="s">
        <v>1515</v>
      </c>
      <c r="G251" s="290">
        <v>0</v>
      </c>
      <c r="H251" s="241">
        <v>25495944.649999999</v>
      </c>
      <c r="I251" s="241">
        <v>1792151</v>
      </c>
      <c r="J251" s="241">
        <v>23703793.649999999</v>
      </c>
    </row>
    <row r="252" spans="1:10" ht="15" customHeight="1">
      <c r="A252" s="239" t="s">
        <v>1480</v>
      </c>
      <c r="B252" s="239"/>
      <c r="C252" s="239"/>
      <c r="D252" s="239" t="s">
        <v>150</v>
      </c>
      <c r="E252" s="240">
        <v>4</v>
      </c>
      <c r="F252" s="239" t="s">
        <v>1515</v>
      </c>
      <c r="G252" s="241">
        <v>0</v>
      </c>
      <c r="H252" s="241">
        <v>844159.4</v>
      </c>
      <c r="I252" s="241">
        <v>9141.85</v>
      </c>
      <c r="J252" s="241">
        <v>835017.55</v>
      </c>
    </row>
    <row r="253" spans="1:10" ht="15" customHeight="1">
      <c r="A253" s="239" t="s">
        <v>1484</v>
      </c>
      <c r="B253" s="239"/>
      <c r="C253" s="239"/>
      <c r="D253" s="239" t="s">
        <v>1065</v>
      </c>
      <c r="E253" s="240">
        <v>5</v>
      </c>
      <c r="F253" s="239" t="s">
        <v>1515</v>
      </c>
      <c r="G253" s="241">
        <v>0</v>
      </c>
      <c r="H253" s="241">
        <v>844159.4</v>
      </c>
      <c r="I253" s="241">
        <v>9141.85</v>
      </c>
      <c r="J253" s="241">
        <v>835017.55</v>
      </c>
    </row>
    <row r="254" spans="1:10" ht="15" customHeight="1">
      <c r="A254" s="239" t="s">
        <v>1487</v>
      </c>
      <c r="B254" s="239"/>
      <c r="C254" s="239"/>
      <c r="D254" s="239" t="s">
        <v>1488</v>
      </c>
      <c r="E254" s="240">
        <v>3</v>
      </c>
      <c r="F254" s="239" t="s">
        <v>1515</v>
      </c>
      <c r="G254" s="241">
        <v>0</v>
      </c>
      <c r="H254" s="241">
        <v>2688890.93</v>
      </c>
      <c r="I254" s="241">
        <v>0</v>
      </c>
      <c r="J254" s="241">
        <v>2688890.93</v>
      </c>
    </row>
    <row r="255" spans="1:10" ht="15" customHeight="1">
      <c r="A255" s="239" t="s">
        <v>1489</v>
      </c>
      <c r="B255" s="239"/>
      <c r="C255" s="239"/>
      <c r="D255" s="239" t="s">
        <v>1490</v>
      </c>
      <c r="E255" s="240">
        <v>4</v>
      </c>
      <c r="F255" s="239" t="s">
        <v>1515</v>
      </c>
      <c r="G255" s="241">
        <v>0</v>
      </c>
      <c r="H255" s="241">
        <v>2688890.93</v>
      </c>
      <c r="I255" s="241">
        <v>0</v>
      </c>
      <c r="J255" s="241">
        <v>2688890.93</v>
      </c>
    </row>
    <row r="256" spans="1:10">
      <c r="A256" s="239" t="s">
        <v>1497</v>
      </c>
      <c r="B256" s="239"/>
      <c r="C256" s="239"/>
      <c r="D256" s="239" t="s">
        <v>1498</v>
      </c>
      <c r="E256" s="240">
        <v>5</v>
      </c>
      <c r="F256" s="239" t="s">
        <v>1515</v>
      </c>
      <c r="G256" s="241">
        <v>0</v>
      </c>
      <c r="H256" s="241">
        <v>7890.93</v>
      </c>
      <c r="I256" s="241">
        <v>0</v>
      </c>
      <c r="J256" s="241">
        <v>7890.93</v>
      </c>
    </row>
    <row r="257" spans="1:10">
      <c r="A257" s="239" t="s">
        <v>1753</v>
      </c>
      <c r="B257" s="239"/>
      <c r="C257" s="239"/>
      <c r="D257" s="239" t="s">
        <v>1754</v>
      </c>
      <c r="E257" s="240">
        <v>5</v>
      </c>
      <c r="F257" s="239" t="s">
        <v>1515</v>
      </c>
      <c r="G257" s="241">
        <v>0</v>
      </c>
      <c r="H257" s="241">
        <v>2681000</v>
      </c>
      <c r="I257" s="241">
        <v>0</v>
      </c>
      <c r="J257" s="241">
        <v>2681000</v>
      </c>
    </row>
    <row r="258" spans="1:10">
      <c r="A258" s="239" t="s">
        <v>1755</v>
      </c>
      <c r="B258" s="239"/>
      <c r="C258" s="239"/>
      <c r="D258" s="239" t="s">
        <v>1756</v>
      </c>
      <c r="E258" s="240">
        <v>3</v>
      </c>
      <c r="F258" s="239" t="s">
        <v>1515</v>
      </c>
      <c r="G258" s="241">
        <v>0</v>
      </c>
      <c r="H258" s="241">
        <v>1726000</v>
      </c>
      <c r="I258" s="241">
        <v>0</v>
      </c>
      <c r="J258" s="241">
        <v>1726000</v>
      </c>
    </row>
    <row r="259" spans="1:10">
      <c r="A259" s="239" t="s">
        <v>1757</v>
      </c>
      <c r="B259" s="239"/>
      <c r="C259" s="239"/>
      <c r="D259" s="239" t="s">
        <v>1758</v>
      </c>
      <c r="E259" s="240">
        <v>4</v>
      </c>
      <c r="F259" s="239" t="s">
        <v>1515</v>
      </c>
      <c r="G259" s="241">
        <v>0</v>
      </c>
      <c r="H259" s="241">
        <v>1726000</v>
      </c>
      <c r="I259" s="241">
        <v>0</v>
      </c>
      <c r="J259" s="241">
        <v>1726000</v>
      </c>
    </row>
    <row r="260" spans="1:10" ht="25.5">
      <c r="A260" s="239" t="s">
        <v>1499</v>
      </c>
      <c r="B260" s="239"/>
      <c r="C260" s="239"/>
      <c r="D260" s="239" t="s">
        <v>1500</v>
      </c>
      <c r="E260" s="240">
        <v>2</v>
      </c>
      <c r="F260" s="239" t="s">
        <v>1515</v>
      </c>
      <c r="G260" s="241">
        <v>0</v>
      </c>
      <c r="H260" s="241">
        <v>61714938</v>
      </c>
      <c r="I260" s="241">
        <v>23321000</v>
      </c>
      <c r="J260" s="241">
        <v>38393938</v>
      </c>
    </row>
    <row r="261" spans="1:10" ht="25.5">
      <c r="A261" s="239" t="s">
        <v>1501</v>
      </c>
      <c r="B261" s="239"/>
      <c r="C261" s="239"/>
      <c r="D261" s="239" t="s">
        <v>1500</v>
      </c>
      <c r="E261" s="240">
        <v>3</v>
      </c>
      <c r="F261" s="239" t="s">
        <v>1515</v>
      </c>
      <c r="G261" s="241">
        <v>0</v>
      </c>
      <c r="H261" s="241">
        <v>61714938</v>
      </c>
      <c r="I261" s="241">
        <v>23321000</v>
      </c>
      <c r="J261" s="241">
        <v>38393938</v>
      </c>
    </row>
    <row r="262" spans="1:10" ht="25.5">
      <c r="A262" s="239" t="s">
        <v>1502</v>
      </c>
      <c r="B262" s="239"/>
      <c r="C262" s="239"/>
      <c r="D262" s="239" t="s">
        <v>1500</v>
      </c>
      <c r="E262" s="240">
        <v>4</v>
      </c>
      <c r="F262" s="239" t="s">
        <v>1515</v>
      </c>
      <c r="G262" s="241">
        <v>0</v>
      </c>
      <c r="H262" s="241">
        <v>61714938</v>
      </c>
      <c r="I262" s="241">
        <v>23321000</v>
      </c>
      <c r="J262" s="241">
        <v>38393938</v>
      </c>
    </row>
    <row r="263" spans="1:10">
      <c r="A263" s="239" t="s">
        <v>1759</v>
      </c>
      <c r="B263" s="239"/>
      <c r="C263" s="239"/>
      <c r="D263" s="239" t="s">
        <v>1760</v>
      </c>
      <c r="E263" s="240">
        <v>5</v>
      </c>
      <c r="F263" s="239" t="s">
        <v>1515</v>
      </c>
      <c r="G263" s="241">
        <v>0</v>
      </c>
      <c r="H263" s="241">
        <v>58924000</v>
      </c>
      <c r="I263" s="241">
        <v>23321000</v>
      </c>
      <c r="J263" s="241">
        <v>35603000</v>
      </c>
    </row>
    <row r="264" spans="1:10">
      <c r="A264" s="239" t="s">
        <v>4237</v>
      </c>
      <c r="B264" s="239"/>
      <c r="C264" s="239"/>
      <c r="D264" s="239" t="s">
        <v>4238</v>
      </c>
      <c r="E264" s="240">
        <v>5</v>
      </c>
      <c r="F264" s="239" t="s">
        <v>1515</v>
      </c>
      <c r="G264" s="241">
        <v>0</v>
      </c>
      <c r="H264" s="241">
        <v>2790938</v>
      </c>
      <c r="I264" s="241">
        <v>0</v>
      </c>
      <c r="J264" s="241">
        <v>2790938</v>
      </c>
    </row>
  </sheetData>
  <autoFilter ref="A1:L255" xr:uid="{AB2E393B-1959-4F67-907B-04DBB92D2278}"/>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D9AF5-623B-414F-8D92-B15BA2291631}">
  <dimension ref="A1:AA3915"/>
  <sheetViews>
    <sheetView tabSelected="1" workbookViewId="0">
      <pane ySplit="1" topLeftCell="A3871" activePane="bottomLeft" state="frozen"/>
      <selection pane="bottomLeft" activeCell="J3875" sqref="J3875"/>
    </sheetView>
  </sheetViews>
  <sheetFormatPr baseColWidth="10" defaultColWidth="8.85546875" defaultRowHeight="15"/>
  <cols>
    <col min="1" max="1" width="11" style="171" customWidth="1"/>
    <col min="2" max="2" width="13.85546875" style="171" bestFit="1" customWidth="1"/>
    <col min="3" max="3" width="3.85546875" style="171" bestFit="1" customWidth="1"/>
    <col min="4" max="5" width="7.7109375" style="171" bestFit="1" customWidth="1"/>
    <col min="6" max="7" width="40.7109375" style="171" customWidth="1"/>
    <col min="8" max="8" width="2" style="171" customWidth="1"/>
    <col min="9" max="9" width="6" style="171" customWidth="1"/>
    <col min="10" max="10" width="14.7109375" style="171" bestFit="1" customWidth="1"/>
    <col min="11" max="11" width="6.7109375" style="171" bestFit="1" customWidth="1"/>
    <col min="12" max="13" width="12.7109375" style="171" bestFit="1" customWidth="1"/>
    <col min="14" max="14" width="12" style="259" customWidth="1"/>
    <col min="15" max="15" width="13" style="171" customWidth="1"/>
    <col min="16" max="16" width="12.7109375" style="171" customWidth="1"/>
    <col min="17" max="17" width="12" style="171" customWidth="1"/>
    <col min="18" max="18" width="3" style="171" customWidth="1"/>
    <col min="19" max="19" width="37.140625" style="171" customWidth="1"/>
    <col min="20" max="20" width="10.7109375" style="171" customWidth="1"/>
    <col min="21" max="21" width="30.7109375" style="171" customWidth="1"/>
    <col min="22" max="22" width="14.42578125" style="171" bestFit="1" customWidth="1"/>
    <col min="23" max="23" width="15.7109375" style="171" bestFit="1" customWidth="1"/>
    <col min="24" max="24" width="9.28515625" style="171" bestFit="1" customWidth="1"/>
    <col min="25" max="25" width="10.140625" style="171" bestFit="1" customWidth="1"/>
    <col min="26" max="26" width="10.7109375" style="171" customWidth="1"/>
    <col min="27" max="16384" width="8.85546875" style="171"/>
  </cols>
  <sheetData>
    <row r="1" spans="1:27" ht="33.75">
      <c r="A1" s="168" t="s">
        <v>1761</v>
      </c>
      <c r="B1" s="168" t="s">
        <v>1762</v>
      </c>
      <c r="C1" s="169" t="s">
        <v>1763</v>
      </c>
      <c r="D1" s="168" t="s">
        <v>1764</v>
      </c>
      <c r="E1" s="170" t="s">
        <v>0</v>
      </c>
      <c r="F1" s="254" t="s">
        <v>1765</v>
      </c>
      <c r="G1" s="254" t="s">
        <v>1766</v>
      </c>
      <c r="H1" s="168" t="s">
        <v>1510</v>
      </c>
      <c r="I1" s="179" t="s">
        <v>1767</v>
      </c>
      <c r="J1" s="176" t="s">
        <v>1768</v>
      </c>
      <c r="K1" s="176" t="s">
        <v>1769</v>
      </c>
      <c r="L1" s="220" t="s">
        <v>1512</v>
      </c>
      <c r="M1" s="220" t="s">
        <v>1513</v>
      </c>
      <c r="N1" s="222" t="s">
        <v>1770</v>
      </c>
      <c r="O1" s="168" t="s">
        <v>1771</v>
      </c>
      <c r="P1" s="169" t="s">
        <v>1772</v>
      </c>
      <c r="Q1" s="169" t="s">
        <v>1773</v>
      </c>
      <c r="R1" s="168" t="s">
        <v>1774</v>
      </c>
      <c r="S1" s="168" t="s">
        <v>1775</v>
      </c>
      <c r="T1" s="168" t="s">
        <v>1776</v>
      </c>
      <c r="U1" s="342" t="s">
        <v>1777</v>
      </c>
      <c r="V1" s="179" t="s">
        <v>1778</v>
      </c>
      <c r="W1" s="168" t="s">
        <v>1779</v>
      </c>
      <c r="X1" s="168" t="s">
        <v>1780</v>
      </c>
      <c r="Y1" s="168" t="s">
        <v>1781</v>
      </c>
      <c r="Z1" s="168" t="s">
        <v>1782</v>
      </c>
    </row>
    <row r="2" spans="1:27" customFormat="1">
      <c r="A2" s="248" t="s">
        <v>1783</v>
      </c>
      <c r="B2" s="248" t="s">
        <v>1784</v>
      </c>
      <c r="C2" s="248" t="s">
        <v>1785</v>
      </c>
      <c r="D2" s="248" t="s">
        <v>1786</v>
      </c>
      <c r="E2" s="248">
        <v>361005</v>
      </c>
      <c r="F2" s="248" t="s">
        <v>971</v>
      </c>
      <c r="G2" s="248"/>
      <c r="H2" s="248" t="s">
        <v>1628</v>
      </c>
      <c r="I2" s="257" t="str">
        <f>LEFT(E2,1)</f>
        <v>3</v>
      </c>
      <c r="J2" s="255">
        <f t="shared" ref="J2" si="0">L2-M2</f>
        <v>0</v>
      </c>
      <c r="K2" s="257">
        <f>MONTH(A2)</f>
        <v>1</v>
      </c>
      <c r="L2" s="250">
        <v>0</v>
      </c>
      <c r="M2" s="250">
        <v>0</v>
      </c>
      <c r="N2" s="260">
        <v>901513634</v>
      </c>
      <c r="O2" s="249"/>
      <c r="P2" s="251">
        <v>44957.751863425903</v>
      </c>
      <c r="Q2" s="252">
        <v>6124</v>
      </c>
      <c r="R2" s="248" t="s">
        <v>6</v>
      </c>
      <c r="S2" s="248" t="s">
        <v>1518</v>
      </c>
      <c r="T2" s="249"/>
      <c r="U2" s="249">
        <f>IF($L2&gt;0,VLOOKUP($E2,Valida!$A$1:$G$270,6,FALSE),IF($M2&gt;=0,VLOOKUP($E2,Valida!$A$1:$G$270,7,FALSE)))</f>
        <v>0</v>
      </c>
      <c r="V2" s="253">
        <f>VLOOKUP(E2,Valida!$A$2:$K$271,4,FALSE)</f>
        <v>0</v>
      </c>
      <c r="W2" s="248" t="s">
        <v>1787</v>
      </c>
      <c r="X2" s="248" t="s">
        <v>1788</v>
      </c>
      <c r="Y2" s="248" t="s">
        <v>1789</v>
      </c>
      <c r="Z2" s="249"/>
      <c r="AA2" s="171"/>
    </row>
    <row r="3" spans="1:27">
      <c r="A3" s="185" t="s">
        <v>1790</v>
      </c>
      <c r="B3" s="185" t="s">
        <v>1791</v>
      </c>
      <c r="C3" s="185" t="s">
        <v>1792</v>
      </c>
      <c r="D3" s="185" t="s">
        <v>1793</v>
      </c>
      <c r="E3" s="185">
        <v>51350501</v>
      </c>
      <c r="F3" s="185" t="s">
        <v>1256</v>
      </c>
      <c r="G3" s="185" t="s">
        <v>1794</v>
      </c>
      <c r="H3" s="185" t="s">
        <v>1515</v>
      </c>
      <c r="I3" s="258" t="str">
        <f t="shared" ref="I3:I66" si="1">LEFT(E3,1)</f>
        <v>5</v>
      </c>
      <c r="J3" s="221">
        <f t="shared" ref="J3:J66" si="2">L3-M3</f>
        <v>2280607.6800000002</v>
      </c>
      <c r="K3" s="258">
        <f t="shared" ref="K3:K66" si="3">MONTH(A3)</f>
        <v>4</v>
      </c>
      <c r="L3" s="188">
        <v>2280607.6800000002</v>
      </c>
      <c r="M3" s="188">
        <v>0</v>
      </c>
      <c r="N3" s="189">
        <v>900994552</v>
      </c>
      <c r="O3" t="s">
        <v>1795</v>
      </c>
      <c r="P3" s="187">
        <v>45055.442488425899</v>
      </c>
      <c r="Q3" s="186">
        <v>11263</v>
      </c>
      <c r="R3" s="185" t="s">
        <v>844</v>
      </c>
      <c r="S3" s="185" t="s">
        <v>1606</v>
      </c>
      <c r="T3"/>
      <c r="U3" t="str">
        <f>IF($L3&gt;0,VLOOKUP($E3,Valida!$A$1:$G$270,6,FALSE),IF($M3&gt;=0,VLOOKUP($E3,Valida!$A$1:$G$270,7,FALSE)))</f>
        <v>(+/-) Ganancia (pérdida)</v>
      </c>
      <c r="V3" s="190" t="str">
        <f>VLOOKUP(E3,Valida!$A$2:$K$271,4,FALSE)</f>
        <v>P&amp;L</v>
      </c>
      <c r="W3" s="185" t="s">
        <v>1796</v>
      </c>
      <c r="X3" s="185" t="s">
        <v>1797</v>
      </c>
      <c r="Y3" s="185" t="s">
        <v>1789</v>
      </c>
      <c r="Z3"/>
    </row>
    <row r="4" spans="1:27">
      <c r="A4" s="185" t="s">
        <v>1790</v>
      </c>
      <c r="B4" s="185" t="s">
        <v>1791</v>
      </c>
      <c r="C4" s="185" t="s">
        <v>1792</v>
      </c>
      <c r="D4" s="185" t="s">
        <v>1793</v>
      </c>
      <c r="E4" s="185">
        <v>51350501</v>
      </c>
      <c r="F4" s="185" t="s">
        <v>1256</v>
      </c>
      <c r="G4" s="185" t="s">
        <v>1794</v>
      </c>
      <c r="H4" s="185" t="s">
        <v>1515</v>
      </c>
      <c r="I4" s="258" t="str">
        <f t="shared" si="1"/>
        <v>5</v>
      </c>
      <c r="J4" s="221">
        <f t="shared" si="2"/>
        <v>228060.77</v>
      </c>
      <c r="K4" s="258">
        <f t="shared" si="3"/>
        <v>4</v>
      </c>
      <c r="L4" s="188">
        <v>228060.77</v>
      </c>
      <c r="M4" s="188">
        <v>0</v>
      </c>
      <c r="N4" s="189">
        <v>900994552</v>
      </c>
      <c r="O4" t="s">
        <v>1795</v>
      </c>
      <c r="P4" s="187">
        <v>45055.442488425899</v>
      </c>
      <c r="Q4" s="186">
        <v>11264</v>
      </c>
      <c r="R4" s="185" t="s">
        <v>844</v>
      </c>
      <c r="S4" s="185" t="s">
        <v>1606</v>
      </c>
      <c r="T4"/>
      <c r="U4" t="str">
        <f>IF($L4&gt;0,VLOOKUP($E4,Valida!$A$1:$G$270,6,FALSE),IF($M4&gt;=0,VLOOKUP($E4,Valida!$A$1:$G$270,7,FALSE)))</f>
        <v>(+/-) Ganancia (pérdida)</v>
      </c>
      <c r="V4" s="190" t="str">
        <f>VLOOKUP(E4,Valida!$A$2:$K$271,4,FALSE)</f>
        <v>P&amp;L</v>
      </c>
      <c r="W4" s="185" t="s">
        <v>1796</v>
      </c>
      <c r="X4" s="185" t="s">
        <v>1797</v>
      </c>
      <c r="Y4" s="185" t="s">
        <v>1789</v>
      </c>
      <c r="Z4"/>
    </row>
    <row r="5" spans="1:27">
      <c r="A5" s="185" t="s">
        <v>1790</v>
      </c>
      <c r="B5" s="185" t="s">
        <v>1791</v>
      </c>
      <c r="C5" s="185" t="s">
        <v>1792</v>
      </c>
      <c r="D5" s="185" t="s">
        <v>1793</v>
      </c>
      <c r="E5" s="185">
        <v>24081002</v>
      </c>
      <c r="F5" s="185" t="s">
        <v>1687</v>
      </c>
      <c r="G5" s="185" t="s">
        <v>1794</v>
      </c>
      <c r="H5" s="185" t="s">
        <v>1515</v>
      </c>
      <c r="I5" s="258" t="str">
        <f t="shared" si="1"/>
        <v>2</v>
      </c>
      <c r="J5" s="221">
        <f t="shared" si="2"/>
        <v>43331.55</v>
      </c>
      <c r="K5" s="258">
        <f t="shared" si="3"/>
        <v>4</v>
      </c>
      <c r="L5" s="188">
        <v>43331.55</v>
      </c>
      <c r="M5" s="188">
        <v>0</v>
      </c>
      <c r="N5" s="189">
        <v>900994552</v>
      </c>
      <c r="O5" t="s">
        <v>1795</v>
      </c>
      <c r="P5" s="187">
        <v>45055.442488425899</v>
      </c>
      <c r="Q5" s="186">
        <v>11265</v>
      </c>
      <c r="R5" s="185" t="s">
        <v>844</v>
      </c>
      <c r="S5" s="185" t="s">
        <v>1606</v>
      </c>
      <c r="T5"/>
      <c r="U5" t="str">
        <f>IF($L5&gt;0,VLOOKUP($E5,Valida!$A$1:$G$270,6,FALSE),IF($M5&gt;=0,VLOOKUP($E5,Valida!$A$1:$G$270,7,FALSE)))</f>
        <v>(+/-) Ajustes por el incremento (disminución) de cuentas por pagar de origen comercial</v>
      </c>
      <c r="V5" s="190" t="str">
        <f>VLOOKUP(E5,Valida!$A$2:$K$271,4,FALSE)</f>
        <v>Trade and other payables</v>
      </c>
      <c r="W5" s="185" t="s">
        <v>1796</v>
      </c>
      <c r="X5" s="185" t="s">
        <v>1797</v>
      </c>
      <c r="Y5" s="185" t="s">
        <v>1789</v>
      </c>
      <c r="Z5"/>
    </row>
    <row r="6" spans="1:27">
      <c r="A6" s="185" t="s">
        <v>1790</v>
      </c>
      <c r="B6" s="185" t="s">
        <v>1791</v>
      </c>
      <c r="C6" s="185" t="s">
        <v>1792</v>
      </c>
      <c r="D6" s="185" t="s">
        <v>1793</v>
      </c>
      <c r="E6" s="185">
        <v>23355004</v>
      </c>
      <c r="F6" s="185" t="s">
        <v>513</v>
      </c>
      <c r="G6" s="185" t="s">
        <v>1794</v>
      </c>
      <c r="H6" s="185" t="s">
        <v>1628</v>
      </c>
      <c r="I6" s="258" t="str">
        <f t="shared" si="1"/>
        <v>2</v>
      </c>
      <c r="J6" s="221">
        <f t="shared" si="2"/>
        <v>-2552000</v>
      </c>
      <c r="K6" s="258">
        <f t="shared" si="3"/>
        <v>4</v>
      </c>
      <c r="L6" s="188">
        <v>0</v>
      </c>
      <c r="M6" s="188">
        <v>2552000</v>
      </c>
      <c r="N6" s="189">
        <v>900994552</v>
      </c>
      <c r="O6" t="s">
        <v>1795</v>
      </c>
      <c r="P6" s="187">
        <v>45055.442488425899</v>
      </c>
      <c r="Q6" s="186">
        <v>11266</v>
      </c>
      <c r="R6" s="185" t="s">
        <v>844</v>
      </c>
      <c r="S6" s="185" t="s">
        <v>1606</v>
      </c>
      <c r="T6"/>
      <c r="U6" t="str">
        <f>IF($L6&gt;0,VLOOKUP($E6,Valida!$A$1:$G$270,6,FALSE),IF($M6&gt;=0,VLOOKUP($E6,Valida!$A$1:$G$270,7,FALSE)))</f>
        <v>(+/-) Ajustes por el incremento (disminución) de cuentas por pagar de origen comercial</v>
      </c>
      <c r="V6" s="190" t="str">
        <f>VLOOKUP(E6,Valida!$A$2:$K$271,4,FALSE)</f>
        <v>Trade and other payables</v>
      </c>
      <c r="W6" s="185" t="s">
        <v>1796</v>
      </c>
      <c r="X6" s="185" t="s">
        <v>1797</v>
      </c>
      <c r="Y6" s="185" t="s">
        <v>1789</v>
      </c>
      <c r="Z6"/>
    </row>
    <row r="7" spans="1:27">
      <c r="A7" s="185" t="s">
        <v>1783</v>
      </c>
      <c r="B7" s="185" t="s">
        <v>1784</v>
      </c>
      <c r="C7" s="185" t="s">
        <v>1785</v>
      </c>
      <c r="D7" s="185" t="s">
        <v>1786</v>
      </c>
      <c r="E7" s="185">
        <v>361005</v>
      </c>
      <c r="F7" s="185" t="s">
        <v>971</v>
      </c>
      <c r="G7" s="185" t="s">
        <v>1798</v>
      </c>
      <c r="H7" s="185" t="s">
        <v>1628</v>
      </c>
      <c r="I7" s="258" t="str">
        <f t="shared" si="1"/>
        <v>3</v>
      </c>
      <c r="J7" s="221">
        <f t="shared" si="2"/>
        <v>-71627508.549999997</v>
      </c>
      <c r="K7" s="258">
        <f t="shared" si="3"/>
        <v>1</v>
      </c>
      <c r="L7" s="188">
        <v>0</v>
      </c>
      <c r="M7" s="188">
        <v>71627508.549999997</v>
      </c>
      <c r="N7" s="189">
        <v>901513634</v>
      </c>
      <c r="O7" t="s">
        <v>1784</v>
      </c>
      <c r="P7" s="187">
        <v>44957.751863425903</v>
      </c>
      <c r="Q7" s="186">
        <v>6124</v>
      </c>
      <c r="R7" s="185" t="s">
        <v>6</v>
      </c>
      <c r="S7" s="185" t="s">
        <v>1518</v>
      </c>
      <c r="T7"/>
      <c r="U7">
        <f>IF($L7&gt;0,VLOOKUP($E7,Valida!$A$1:$G$270,6,FALSE),IF($M7&gt;=0,VLOOKUP($E7,Valida!$A$1:$G$270,7,FALSE)))</f>
        <v>0</v>
      </c>
      <c r="V7" s="190">
        <f>VLOOKUP(E7,Valida!$A$2:$K$271,4,FALSE)</f>
        <v>0</v>
      </c>
      <c r="W7" s="185" t="s">
        <v>1787</v>
      </c>
      <c r="X7" s="185" t="s">
        <v>1788</v>
      </c>
      <c r="Y7" s="185" t="s">
        <v>1789</v>
      </c>
      <c r="Z7"/>
    </row>
    <row r="8" spans="1:27">
      <c r="A8" s="185" t="s">
        <v>1783</v>
      </c>
      <c r="B8" s="185" t="s">
        <v>1784</v>
      </c>
      <c r="C8" s="185" t="s">
        <v>1785</v>
      </c>
      <c r="D8" s="185" t="s">
        <v>1786</v>
      </c>
      <c r="E8" s="185">
        <v>371005</v>
      </c>
      <c r="F8" s="185" t="s">
        <v>981</v>
      </c>
      <c r="G8" s="185" t="s">
        <v>1798</v>
      </c>
      <c r="H8" s="185" t="s">
        <v>1515</v>
      </c>
      <c r="I8" s="258" t="str">
        <f t="shared" si="1"/>
        <v>3</v>
      </c>
      <c r="J8" s="221">
        <f t="shared" si="2"/>
        <v>71627508.549999997</v>
      </c>
      <c r="K8" s="258">
        <f t="shared" si="3"/>
        <v>1</v>
      </c>
      <c r="L8" s="188">
        <v>71627508.549999997</v>
      </c>
      <c r="M8" s="188">
        <v>0</v>
      </c>
      <c r="N8" s="189">
        <v>901513634</v>
      </c>
      <c r="O8" t="s">
        <v>1784</v>
      </c>
      <c r="P8" s="187">
        <v>44957.751863425903</v>
      </c>
      <c r="Q8" s="186">
        <v>6125</v>
      </c>
      <c r="R8" s="185" t="s">
        <v>6</v>
      </c>
      <c r="S8" s="185" t="s">
        <v>1518</v>
      </c>
      <c r="T8"/>
      <c r="U8">
        <f>IF($L8&gt;0,VLOOKUP($E8,Valida!$A$1:$G$270,6,FALSE),IF($M8&gt;=0,VLOOKUP($E8,Valida!$A$1:$G$270,7,FALSE)))</f>
        <v>0</v>
      </c>
      <c r="V8" s="190">
        <f>VLOOKUP(E8,Valida!$A$2:$K$271,4,FALSE)</f>
        <v>0</v>
      </c>
      <c r="W8" s="185" t="s">
        <v>1787</v>
      </c>
      <c r="X8" s="185" t="s">
        <v>1788</v>
      </c>
      <c r="Y8" s="185" t="s">
        <v>1789</v>
      </c>
      <c r="Z8"/>
    </row>
    <row r="9" spans="1:27">
      <c r="A9" s="185" t="s">
        <v>1799</v>
      </c>
      <c r="B9" s="185" t="s">
        <v>1800</v>
      </c>
      <c r="C9" s="185" t="s">
        <v>1801</v>
      </c>
      <c r="D9" s="185" t="s">
        <v>56</v>
      </c>
      <c r="E9" s="185">
        <v>130510</v>
      </c>
      <c r="F9" s="185" t="s">
        <v>64</v>
      </c>
      <c r="G9" s="185" t="s">
        <v>1802</v>
      </c>
      <c r="H9" s="185" t="s">
        <v>1515</v>
      </c>
      <c r="I9" s="258" t="str">
        <f t="shared" si="1"/>
        <v>1</v>
      </c>
      <c r="J9" s="221">
        <f t="shared" si="2"/>
        <v>45531065.799999997</v>
      </c>
      <c r="K9" s="258">
        <f t="shared" si="3"/>
        <v>1</v>
      </c>
      <c r="L9" s="188">
        <v>45531065.799999997</v>
      </c>
      <c r="M9" s="188">
        <v>0</v>
      </c>
      <c r="N9" s="189">
        <v>374795</v>
      </c>
      <c r="O9" t="s">
        <v>1800</v>
      </c>
      <c r="P9" s="187">
        <v>44957.754293981503</v>
      </c>
      <c r="Q9" s="186">
        <v>6126</v>
      </c>
      <c r="R9" s="185"/>
      <c r="S9" s="185" t="s">
        <v>1544</v>
      </c>
      <c r="T9"/>
      <c r="U9" t="str">
        <f>IF($L9&gt;0,VLOOKUP($E9,Valida!$A$1:$G$270,6,FALSE),IF($M9&gt;=0,VLOOKUP($E9,Valida!$A$1:$G$270,7,FALSE)))</f>
        <v>(+/-) Ajustes por la disminución (incremento) de cuentas por cobrar de origen comercial</v>
      </c>
      <c r="V9" s="190" t="str">
        <f>VLOOKUP(E9,Valida!$A$2:$K$271,4,FALSE)</f>
        <v>Trade and other receivables</v>
      </c>
      <c r="W9" s="185" t="s">
        <v>1803</v>
      </c>
      <c r="X9" s="185"/>
      <c r="Y9" s="185"/>
      <c r="Z9"/>
    </row>
    <row r="10" spans="1:27">
      <c r="A10" s="185" t="s">
        <v>1799</v>
      </c>
      <c r="B10" s="185" t="s">
        <v>1800</v>
      </c>
      <c r="C10" s="185" t="s">
        <v>1801</v>
      </c>
      <c r="D10" s="185" t="s">
        <v>56</v>
      </c>
      <c r="E10" s="185">
        <v>41559505</v>
      </c>
      <c r="F10" s="185" t="s">
        <v>1708</v>
      </c>
      <c r="G10" s="185" t="s">
        <v>1804</v>
      </c>
      <c r="H10" s="185" t="s">
        <v>1628</v>
      </c>
      <c r="I10" s="258" t="str">
        <f t="shared" si="1"/>
        <v>4</v>
      </c>
      <c r="J10" s="221">
        <f t="shared" si="2"/>
        <v>-45531065.799999997</v>
      </c>
      <c r="K10" s="258">
        <f t="shared" si="3"/>
        <v>1</v>
      </c>
      <c r="L10" s="188">
        <v>0</v>
      </c>
      <c r="M10" s="188">
        <v>45531065.799999997</v>
      </c>
      <c r="N10" s="189">
        <v>374795</v>
      </c>
      <c r="O10" t="s">
        <v>1800</v>
      </c>
      <c r="P10" s="187">
        <v>44957.754293981503</v>
      </c>
      <c r="Q10" s="186">
        <v>6127</v>
      </c>
      <c r="R10" s="185"/>
      <c r="S10" s="185" t="s">
        <v>1544</v>
      </c>
      <c r="T10"/>
      <c r="U10" t="str">
        <f>IF($L10&gt;0,VLOOKUP($E10,Valida!$A$1:$G$270,6,FALSE),IF($M10&gt;=0,VLOOKUP($E10,Valida!$A$1:$G$270,7,FALSE)))</f>
        <v>(+/-) Ganancia (pérdida)</v>
      </c>
      <c r="V10" s="190" t="str">
        <f>VLOOKUP(E10,Valida!$A$2:$K$271,4,FALSE)</f>
        <v>P&amp;L</v>
      </c>
      <c r="W10" s="185" t="s">
        <v>1803</v>
      </c>
      <c r="X10" s="185"/>
      <c r="Y10" s="185"/>
      <c r="Z10"/>
    </row>
    <row r="11" spans="1:27">
      <c r="A11" s="185" t="s">
        <v>1783</v>
      </c>
      <c r="B11" s="185" t="s">
        <v>1805</v>
      </c>
      <c r="C11" s="185" t="s">
        <v>1792</v>
      </c>
      <c r="D11" s="185" t="s">
        <v>1806</v>
      </c>
      <c r="E11" s="185">
        <v>51352001</v>
      </c>
      <c r="F11" s="185" t="s">
        <v>1267</v>
      </c>
      <c r="G11" s="185" t="s">
        <v>1267</v>
      </c>
      <c r="H11" s="185" t="s">
        <v>1515</v>
      </c>
      <c r="I11" s="258" t="str">
        <f t="shared" si="1"/>
        <v>5</v>
      </c>
      <c r="J11" s="221">
        <f t="shared" si="2"/>
        <v>115973.92</v>
      </c>
      <c r="K11" s="258">
        <f t="shared" si="3"/>
        <v>1</v>
      </c>
      <c r="L11" s="188">
        <v>115973.92</v>
      </c>
      <c r="M11" s="188">
        <v>0</v>
      </c>
      <c r="N11" s="189">
        <v>440493581</v>
      </c>
      <c r="O11" t="s">
        <v>1807</v>
      </c>
      <c r="P11" s="187">
        <v>44957.8113310185</v>
      </c>
      <c r="Q11" s="186">
        <v>6128</v>
      </c>
      <c r="R11" s="185"/>
      <c r="S11" s="185" t="s">
        <v>1546</v>
      </c>
      <c r="T11"/>
      <c r="U11" t="str">
        <f>IF($L11&gt;0,VLOOKUP($E11,Valida!$A$1:$G$270,6,FALSE),IF($M11&gt;=0,VLOOKUP($E11,Valida!$A$1:$G$270,7,FALSE)))</f>
        <v>(+/-) Ganancia (pérdida)</v>
      </c>
      <c r="V11" s="190" t="str">
        <f>VLOOKUP(E11,Valida!$A$2:$K$271,4,FALSE)</f>
        <v>P&amp;L</v>
      </c>
      <c r="W11" s="185" t="s">
        <v>1808</v>
      </c>
      <c r="X11" s="185"/>
      <c r="Y11" s="185"/>
      <c r="Z11"/>
    </row>
    <row r="12" spans="1:27">
      <c r="A12" s="185" t="s">
        <v>1783</v>
      </c>
      <c r="B12" s="185" t="s">
        <v>1805</v>
      </c>
      <c r="C12" s="185" t="s">
        <v>1792</v>
      </c>
      <c r="D12" s="185" t="s">
        <v>1806</v>
      </c>
      <c r="E12" s="185">
        <v>23355002</v>
      </c>
      <c r="F12" s="185" t="s">
        <v>506</v>
      </c>
      <c r="G12" s="185" t="s">
        <v>1267</v>
      </c>
      <c r="H12" s="185" t="s">
        <v>1628</v>
      </c>
      <c r="I12" s="258" t="str">
        <f t="shared" si="1"/>
        <v>2</v>
      </c>
      <c r="J12" s="221">
        <f t="shared" si="2"/>
        <v>-115973.92</v>
      </c>
      <c r="K12" s="258">
        <f t="shared" si="3"/>
        <v>1</v>
      </c>
      <c r="L12" s="188">
        <v>0</v>
      </c>
      <c r="M12" s="188">
        <v>115973.92</v>
      </c>
      <c r="N12" s="189">
        <v>440493581</v>
      </c>
      <c r="O12" t="s">
        <v>1807</v>
      </c>
      <c r="P12" s="187">
        <v>44957.8113310185</v>
      </c>
      <c r="Q12" s="186">
        <v>6129</v>
      </c>
      <c r="R12" s="185"/>
      <c r="S12" s="185" t="s">
        <v>1546</v>
      </c>
      <c r="T12"/>
      <c r="U12" t="str">
        <f>IF($L12&gt;0,VLOOKUP($E12,Valida!$A$1:$G$270,6,FALSE),IF($M12&gt;=0,VLOOKUP($E12,Valida!$A$1:$G$270,7,FALSE)))</f>
        <v>(+/-) Ajustes por el incremento (disminución) de cuentas por pagar de origen comercial</v>
      </c>
      <c r="V12" s="190" t="str">
        <f>VLOOKUP(E12,Valida!$A$2:$K$271,4,FALSE)</f>
        <v>Trade and other payables</v>
      </c>
      <c r="W12" s="185" t="s">
        <v>1808</v>
      </c>
      <c r="X12" s="185"/>
      <c r="Y12" s="185"/>
      <c r="Z12"/>
    </row>
    <row r="13" spans="1:27">
      <c r="A13" s="185" t="s">
        <v>1809</v>
      </c>
      <c r="B13" s="185" t="s">
        <v>1810</v>
      </c>
      <c r="C13" s="185" t="s">
        <v>1792</v>
      </c>
      <c r="D13" s="185" t="s">
        <v>1811</v>
      </c>
      <c r="E13" s="185">
        <v>51353501</v>
      </c>
      <c r="F13" s="185" t="s">
        <v>502</v>
      </c>
      <c r="G13" s="185" t="s">
        <v>1812</v>
      </c>
      <c r="H13" s="185" t="s">
        <v>1515</v>
      </c>
      <c r="I13" s="258" t="str">
        <f t="shared" si="1"/>
        <v>5</v>
      </c>
      <c r="J13" s="221">
        <f t="shared" si="2"/>
        <v>34369.360000000001</v>
      </c>
      <c r="K13" s="258">
        <f t="shared" si="3"/>
        <v>1</v>
      </c>
      <c r="L13" s="188">
        <v>34369.360000000001</v>
      </c>
      <c r="M13" s="188">
        <v>0</v>
      </c>
      <c r="N13" s="189">
        <v>800153993</v>
      </c>
      <c r="O13" t="s">
        <v>1813</v>
      </c>
      <c r="P13" s="187">
        <v>44957.815486111103</v>
      </c>
      <c r="Q13" s="186">
        <v>6130</v>
      </c>
      <c r="R13" s="185" t="s">
        <v>1814</v>
      </c>
      <c r="S13" s="185" t="s">
        <v>1556</v>
      </c>
      <c r="T13"/>
      <c r="U13" t="str">
        <f>IF($L13&gt;0,VLOOKUP($E13,Valida!$A$1:$G$270,6,FALSE),IF($M13&gt;=0,VLOOKUP($E13,Valida!$A$1:$G$270,7,FALSE)))</f>
        <v>(+/-) Ganancia (pérdida)</v>
      </c>
      <c r="V13" s="190" t="str">
        <f>VLOOKUP(E13,Valida!$A$2:$K$271,4,FALSE)</f>
        <v>P&amp;L</v>
      </c>
      <c r="W13" s="185" t="s">
        <v>1815</v>
      </c>
      <c r="X13" s="185"/>
      <c r="Y13" s="185" t="s">
        <v>1789</v>
      </c>
      <c r="Z13"/>
    </row>
    <row r="14" spans="1:27">
      <c r="A14" s="185" t="s">
        <v>1809</v>
      </c>
      <c r="B14" s="185" t="s">
        <v>1810</v>
      </c>
      <c r="C14" s="185" t="s">
        <v>1792</v>
      </c>
      <c r="D14" s="185" t="s">
        <v>1811</v>
      </c>
      <c r="E14" s="185">
        <v>23355001</v>
      </c>
      <c r="F14" s="185" t="s">
        <v>502</v>
      </c>
      <c r="G14" s="185" t="s">
        <v>1812</v>
      </c>
      <c r="H14" s="185" t="s">
        <v>1628</v>
      </c>
      <c r="I14" s="258" t="str">
        <f t="shared" si="1"/>
        <v>2</v>
      </c>
      <c r="J14" s="221">
        <f t="shared" si="2"/>
        <v>-49278.91</v>
      </c>
      <c r="K14" s="258">
        <f t="shared" si="3"/>
        <v>1</v>
      </c>
      <c r="L14" s="188">
        <v>0</v>
      </c>
      <c r="M14" s="188">
        <v>49278.91</v>
      </c>
      <c r="N14" s="189">
        <v>800153993</v>
      </c>
      <c r="O14" t="s">
        <v>1813</v>
      </c>
      <c r="P14" s="187">
        <v>44957.815486111103</v>
      </c>
      <c r="Q14" s="186">
        <v>6131</v>
      </c>
      <c r="R14" s="185" t="s">
        <v>1814</v>
      </c>
      <c r="S14" s="185" t="s">
        <v>1556</v>
      </c>
      <c r="T14"/>
      <c r="U14" t="str">
        <f>IF($L14&gt;0,VLOOKUP($E14,Valida!$A$1:$G$270,6,FALSE),IF($M14&gt;=0,VLOOKUP($E14,Valida!$A$1:$G$270,7,FALSE)))</f>
        <v>(+/-) Ajustes por el incremento (disminución) de cuentas por pagar de origen comercial</v>
      </c>
      <c r="V14" s="190" t="str">
        <f>VLOOKUP(E14,Valida!$A$2:$K$271,4,FALSE)</f>
        <v>Trade and other payables</v>
      </c>
      <c r="W14" s="185" t="s">
        <v>1815</v>
      </c>
      <c r="X14" s="185"/>
      <c r="Y14" s="185" t="s">
        <v>1789</v>
      </c>
      <c r="Z14"/>
    </row>
    <row r="15" spans="1:27">
      <c r="A15" s="185" t="s">
        <v>1809</v>
      </c>
      <c r="B15" s="185" t="s">
        <v>1810</v>
      </c>
      <c r="C15" s="185" t="s">
        <v>1792</v>
      </c>
      <c r="D15" s="185" t="s">
        <v>1811</v>
      </c>
      <c r="E15" s="185">
        <v>51353501</v>
      </c>
      <c r="F15" s="185" t="s">
        <v>502</v>
      </c>
      <c r="G15" s="185" t="s">
        <v>1812</v>
      </c>
      <c r="H15" s="185" t="s">
        <v>1515</v>
      </c>
      <c r="I15" s="258" t="str">
        <f t="shared" si="1"/>
        <v>5</v>
      </c>
      <c r="J15" s="221">
        <f t="shared" si="2"/>
        <v>6812.5</v>
      </c>
      <c r="K15" s="258">
        <f t="shared" si="3"/>
        <v>1</v>
      </c>
      <c r="L15" s="188">
        <v>6812.5</v>
      </c>
      <c r="M15" s="188">
        <v>0</v>
      </c>
      <c r="N15" s="189">
        <v>800153993</v>
      </c>
      <c r="O15" t="s">
        <v>1813</v>
      </c>
      <c r="P15" s="187">
        <v>44957.815486111103</v>
      </c>
      <c r="Q15" s="186">
        <v>6132</v>
      </c>
      <c r="R15" s="185" t="s">
        <v>1814</v>
      </c>
      <c r="S15" s="185" t="s">
        <v>1556</v>
      </c>
      <c r="T15"/>
      <c r="U15" t="str">
        <f>IF($L15&gt;0,VLOOKUP($E15,Valida!$A$1:$G$270,6,FALSE),IF($M15&gt;=0,VLOOKUP($E15,Valida!$A$1:$G$270,7,FALSE)))</f>
        <v>(+/-) Ganancia (pérdida)</v>
      </c>
      <c r="V15" s="190" t="str">
        <f>VLOOKUP(E15,Valida!$A$2:$K$271,4,FALSE)</f>
        <v>P&amp;L</v>
      </c>
      <c r="W15" s="185" t="s">
        <v>1815</v>
      </c>
      <c r="X15" s="185"/>
      <c r="Y15" s="185" t="s">
        <v>1789</v>
      </c>
      <c r="Z15"/>
    </row>
    <row r="16" spans="1:27">
      <c r="A16" s="185" t="s">
        <v>1809</v>
      </c>
      <c r="B16" s="185" t="s">
        <v>1810</v>
      </c>
      <c r="C16" s="185" t="s">
        <v>1792</v>
      </c>
      <c r="D16" s="185" t="s">
        <v>1811</v>
      </c>
      <c r="E16" s="185">
        <v>24081002</v>
      </c>
      <c r="F16" s="185" t="s">
        <v>1687</v>
      </c>
      <c r="G16" s="185" t="s">
        <v>1812</v>
      </c>
      <c r="H16" s="185" t="s">
        <v>1515</v>
      </c>
      <c r="I16" s="258" t="str">
        <f t="shared" si="1"/>
        <v>2</v>
      </c>
      <c r="J16" s="221">
        <f t="shared" si="2"/>
        <v>8097.05</v>
      </c>
      <c r="K16" s="258">
        <f t="shared" si="3"/>
        <v>1</v>
      </c>
      <c r="L16" s="188">
        <v>8097.05</v>
      </c>
      <c r="M16" s="188">
        <v>0</v>
      </c>
      <c r="N16" s="189">
        <v>800153993</v>
      </c>
      <c r="O16" t="s">
        <v>1813</v>
      </c>
      <c r="P16" s="187">
        <v>44957.815486111103</v>
      </c>
      <c r="Q16" s="186">
        <v>6133</v>
      </c>
      <c r="R16" s="185" t="s">
        <v>1814</v>
      </c>
      <c r="S16" s="185" t="s">
        <v>1556</v>
      </c>
      <c r="T16"/>
      <c r="U16" t="str">
        <f>IF($L16&gt;0,VLOOKUP($E16,Valida!$A$1:$G$270,6,FALSE),IF($M16&gt;=0,VLOOKUP($E16,Valida!$A$1:$G$270,7,FALSE)))</f>
        <v>(+/-) Ajustes por el incremento (disminución) de cuentas por pagar de origen comercial</v>
      </c>
      <c r="V16" s="190" t="str">
        <f>VLOOKUP(E16,Valida!$A$2:$K$271,4,FALSE)</f>
        <v>Trade and other payables</v>
      </c>
      <c r="W16" s="185" t="s">
        <v>1815</v>
      </c>
      <c r="X16" s="185"/>
      <c r="Y16" s="185" t="s">
        <v>1789</v>
      </c>
      <c r="Z16"/>
    </row>
    <row r="17" spans="1:26">
      <c r="A17" s="185" t="s">
        <v>1809</v>
      </c>
      <c r="B17" s="185" t="s">
        <v>1810</v>
      </c>
      <c r="C17" s="185" t="s">
        <v>1792</v>
      </c>
      <c r="D17" s="185" t="s">
        <v>1811</v>
      </c>
      <c r="E17" s="185">
        <v>51353501</v>
      </c>
      <c r="F17" s="185" t="s">
        <v>502</v>
      </c>
      <c r="G17" s="185" t="s">
        <v>1812</v>
      </c>
      <c r="H17" s="185" t="s">
        <v>1628</v>
      </c>
      <c r="I17" s="258" t="str">
        <f t="shared" si="1"/>
        <v>5</v>
      </c>
      <c r="J17" s="221">
        <f t="shared" si="2"/>
        <v>0</v>
      </c>
      <c r="K17" s="258">
        <f t="shared" si="3"/>
        <v>1</v>
      </c>
      <c r="L17" s="188">
        <v>0</v>
      </c>
      <c r="M17" s="188">
        <v>0</v>
      </c>
      <c r="N17" s="189">
        <v>800153993</v>
      </c>
      <c r="O17" t="s">
        <v>1813</v>
      </c>
      <c r="P17" s="187">
        <v>44957.815486111103</v>
      </c>
      <c r="Q17" s="186">
        <v>6134</v>
      </c>
      <c r="R17" s="185" t="s">
        <v>1814</v>
      </c>
      <c r="S17" s="185" t="s">
        <v>1556</v>
      </c>
      <c r="T17"/>
      <c r="U17" t="str">
        <f>IF($L17&gt;0,VLOOKUP($E17,Valida!$A$1:$G$270,6,FALSE),IF($M17&gt;=0,VLOOKUP($E17,Valida!$A$1:$G$270,7,FALSE)))</f>
        <v>(+/-) Ganancia (pérdida)</v>
      </c>
      <c r="V17" s="190" t="str">
        <f>VLOOKUP(E17,Valida!$A$2:$K$271,4,FALSE)</f>
        <v>P&amp;L</v>
      </c>
      <c r="W17" s="185" t="s">
        <v>1815</v>
      </c>
      <c r="X17" s="185"/>
      <c r="Y17" s="185" t="s">
        <v>1789</v>
      </c>
      <c r="Z17"/>
    </row>
    <row r="18" spans="1:26">
      <c r="A18" s="185" t="s">
        <v>1809</v>
      </c>
      <c r="B18" s="185" t="s">
        <v>1816</v>
      </c>
      <c r="C18" s="185" t="s">
        <v>1792</v>
      </c>
      <c r="D18" s="185" t="s">
        <v>1817</v>
      </c>
      <c r="E18" s="185">
        <v>51700503</v>
      </c>
      <c r="F18" s="185" t="s">
        <v>1397</v>
      </c>
      <c r="G18" s="185" t="s">
        <v>1818</v>
      </c>
      <c r="H18" s="185" t="s">
        <v>1515</v>
      </c>
      <c r="I18" s="258" t="str">
        <f t="shared" si="1"/>
        <v>5</v>
      </c>
      <c r="J18" s="221">
        <f t="shared" si="2"/>
        <v>330000</v>
      </c>
      <c r="K18" s="258">
        <f t="shared" si="3"/>
        <v>1</v>
      </c>
      <c r="L18" s="188">
        <v>330000</v>
      </c>
      <c r="M18" s="188">
        <v>0</v>
      </c>
      <c r="N18" s="189">
        <v>800042928</v>
      </c>
      <c r="O18" t="s">
        <v>1819</v>
      </c>
      <c r="P18" s="187">
        <v>44957.816284722197</v>
      </c>
      <c r="Q18" s="186">
        <v>6135</v>
      </c>
      <c r="R18" s="185" t="s">
        <v>6</v>
      </c>
      <c r="S18" s="185" t="s">
        <v>1554</v>
      </c>
      <c r="T18"/>
      <c r="U18" t="str">
        <f>IF($L18&gt;0,VLOOKUP($E18,Valida!$A$1:$G$270,6,FALSE),IF($M18&gt;=0,VLOOKUP($E18,Valida!$A$1:$G$270,7,FALSE)))</f>
        <v>(+/-) Ganancia (pérdida)</v>
      </c>
      <c r="V18" s="190" t="str">
        <f>VLOOKUP(E18,Valida!$A$2:$K$271,4,FALSE)</f>
        <v>P&amp;L</v>
      </c>
      <c r="W18" s="185" t="s">
        <v>1820</v>
      </c>
      <c r="X18" s="185" t="s">
        <v>1821</v>
      </c>
      <c r="Y18" s="185" t="s">
        <v>1789</v>
      </c>
      <c r="Z18"/>
    </row>
    <row r="19" spans="1:26">
      <c r="A19" s="185" t="s">
        <v>1809</v>
      </c>
      <c r="B19" s="185" t="s">
        <v>1816</v>
      </c>
      <c r="C19" s="185" t="s">
        <v>1792</v>
      </c>
      <c r="D19" s="185" t="s">
        <v>1817</v>
      </c>
      <c r="E19" s="185">
        <v>23359504</v>
      </c>
      <c r="F19" s="185" t="s">
        <v>553</v>
      </c>
      <c r="G19" s="185" t="s">
        <v>1818</v>
      </c>
      <c r="H19" s="185" t="s">
        <v>1628</v>
      </c>
      <c r="I19" s="258" t="str">
        <f t="shared" si="1"/>
        <v>2</v>
      </c>
      <c r="J19" s="221">
        <f t="shared" si="2"/>
        <v>-330000</v>
      </c>
      <c r="K19" s="258">
        <f t="shared" si="3"/>
        <v>1</v>
      </c>
      <c r="L19" s="188">
        <v>0</v>
      </c>
      <c r="M19" s="188">
        <v>330000</v>
      </c>
      <c r="N19" s="189">
        <v>800042928</v>
      </c>
      <c r="O19" t="s">
        <v>1819</v>
      </c>
      <c r="P19" s="187">
        <v>44957.816284722197</v>
      </c>
      <c r="Q19" s="186">
        <v>6136</v>
      </c>
      <c r="R19" s="185" t="s">
        <v>6</v>
      </c>
      <c r="S19" s="185" t="s">
        <v>1554</v>
      </c>
      <c r="T19"/>
      <c r="U19" t="str">
        <f>IF($L19&gt;0,VLOOKUP($E19,Valida!$A$1:$G$270,6,FALSE),IF($M19&gt;=0,VLOOKUP($E19,Valida!$A$1:$G$270,7,FALSE)))</f>
        <v>(+/-) Ajustes por el incremento (disminución) de cuentas por pagar de origen comercial</v>
      </c>
      <c r="V19" s="190" t="str">
        <f>VLOOKUP(E19,Valida!$A$2:$K$271,4,FALSE)</f>
        <v>Trade and other payables</v>
      </c>
      <c r="W19" s="185" t="s">
        <v>1820</v>
      </c>
      <c r="X19" s="185" t="s">
        <v>1821</v>
      </c>
      <c r="Y19" s="185" t="s">
        <v>1789</v>
      </c>
      <c r="Z19"/>
    </row>
    <row r="20" spans="1:26">
      <c r="A20" s="185" t="s">
        <v>1822</v>
      </c>
      <c r="B20" s="185" t="s">
        <v>1823</v>
      </c>
      <c r="C20" s="185" t="s">
        <v>1792</v>
      </c>
      <c r="D20" s="185" t="s">
        <v>1824</v>
      </c>
      <c r="E20" s="185">
        <v>51352002</v>
      </c>
      <c r="F20" s="185" t="s">
        <v>1270</v>
      </c>
      <c r="G20" s="185" t="s">
        <v>1825</v>
      </c>
      <c r="H20" s="185" t="s">
        <v>1515</v>
      </c>
      <c r="I20" s="258" t="str">
        <f t="shared" si="1"/>
        <v>5</v>
      </c>
      <c r="J20" s="221">
        <f t="shared" si="2"/>
        <v>1224400</v>
      </c>
      <c r="K20" s="258">
        <f t="shared" si="3"/>
        <v>1</v>
      </c>
      <c r="L20" s="188">
        <v>1224400</v>
      </c>
      <c r="M20" s="188">
        <v>0</v>
      </c>
      <c r="N20" s="189">
        <v>899999115</v>
      </c>
      <c r="O20" t="s">
        <v>1826</v>
      </c>
      <c r="P20" s="187">
        <v>44957.8182407407</v>
      </c>
      <c r="Q20" s="186">
        <v>6137</v>
      </c>
      <c r="R20" s="185" t="s">
        <v>1827</v>
      </c>
      <c r="S20" s="185" t="s">
        <v>1586</v>
      </c>
      <c r="T20"/>
      <c r="U20" t="str">
        <f>IF($L20&gt;0,VLOOKUP($E20,Valida!$A$1:$G$270,6,FALSE),IF($M20&gt;=0,VLOOKUP($E20,Valida!$A$1:$G$270,7,FALSE)))</f>
        <v>(+/-) Ganancia (pérdida)</v>
      </c>
      <c r="V20" s="190" t="str">
        <f>VLOOKUP(E20,Valida!$A$2:$K$271,4,FALSE)</f>
        <v>P&amp;L</v>
      </c>
      <c r="W20" s="185" t="s">
        <v>1828</v>
      </c>
      <c r="X20" s="185" t="s">
        <v>1829</v>
      </c>
      <c r="Y20" s="185" t="s">
        <v>1789</v>
      </c>
      <c r="Z20"/>
    </row>
    <row r="21" spans="1:26">
      <c r="A21" s="185" t="s">
        <v>1822</v>
      </c>
      <c r="B21" s="185" t="s">
        <v>1823</v>
      </c>
      <c r="C21" s="185" t="s">
        <v>1792</v>
      </c>
      <c r="D21" s="185" t="s">
        <v>1824</v>
      </c>
      <c r="E21" s="185">
        <v>24081002</v>
      </c>
      <c r="F21" s="185" t="s">
        <v>1687</v>
      </c>
      <c r="G21" s="185" t="s">
        <v>1830</v>
      </c>
      <c r="H21" s="185" t="s">
        <v>1515</v>
      </c>
      <c r="I21" s="258" t="str">
        <f t="shared" si="1"/>
        <v>2</v>
      </c>
      <c r="J21" s="221">
        <f t="shared" si="2"/>
        <v>232636</v>
      </c>
      <c r="K21" s="258">
        <f t="shared" si="3"/>
        <v>1</v>
      </c>
      <c r="L21" s="188">
        <v>232636</v>
      </c>
      <c r="M21" s="188">
        <v>0</v>
      </c>
      <c r="N21" s="189">
        <v>899999115</v>
      </c>
      <c r="O21" t="s">
        <v>1826</v>
      </c>
      <c r="P21" s="187">
        <v>44957.8182407407</v>
      </c>
      <c r="Q21" s="186">
        <v>6138</v>
      </c>
      <c r="R21" s="185" t="s">
        <v>1827</v>
      </c>
      <c r="S21" s="185" t="s">
        <v>1586</v>
      </c>
      <c r="T21"/>
      <c r="U21" t="str">
        <f>IF($L21&gt;0,VLOOKUP($E21,Valida!$A$1:$G$270,6,FALSE),IF($M21&gt;=0,VLOOKUP($E21,Valida!$A$1:$G$270,7,FALSE)))</f>
        <v>(+/-) Ajustes por el incremento (disminución) de cuentas por pagar de origen comercial</v>
      </c>
      <c r="V21" s="190" t="str">
        <f>VLOOKUP(E21,Valida!$A$2:$K$271,4,FALSE)</f>
        <v>Trade and other payables</v>
      </c>
      <c r="W21" s="185" t="s">
        <v>1828</v>
      </c>
      <c r="X21" s="185" t="s">
        <v>1829</v>
      </c>
      <c r="Y21" s="185" t="s">
        <v>1789</v>
      </c>
      <c r="Z21"/>
    </row>
    <row r="22" spans="1:26">
      <c r="A22" s="185" t="s">
        <v>1822</v>
      </c>
      <c r="B22" s="185" t="s">
        <v>1823</v>
      </c>
      <c r="C22" s="185" t="s">
        <v>1792</v>
      </c>
      <c r="D22" s="185" t="s">
        <v>1824</v>
      </c>
      <c r="E22" s="185">
        <v>23355006</v>
      </c>
      <c r="F22" s="185" t="s">
        <v>519</v>
      </c>
      <c r="G22" s="185" t="s">
        <v>1825</v>
      </c>
      <c r="H22" s="185" t="s">
        <v>1628</v>
      </c>
      <c r="I22" s="258" t="str">
        <f t="shared" si="1"/>
        <v>2</v>
      </c>
      <c r="J22" s="221">
        <f t="shared" si="2"/>
        <v>-1457040</v>
      </c>
      <c r="K22" s="258">
        <f t="shared" si="3"/>
        <v>1</v>
      </c>
      <c r="L22" s="188">
        <v>0</v>
      </c>
      <c r="M22" s="188">
        <v>1457040</v>
      </c>
      <c r="N22" s="189">
        <v>899999115</v>
      </c>
      <c r="O22" t="s">
        <v>1826</v>
      </c>
      <c r="P22" s="187">
        <v>44957.8182407407</v>
      </c>
      <c r="Q22" s="186">
        <v>6139</v>
      </c>
      <c r="R22" s="185" t="s">
        <v>1827</v>
      </c>
      <c r="S22" s="185" t="s">
        <v>1586</v>
      </c>
      <c r="T22"/>
      <c r="U22" t="str">
        <f>IF($L22&gt;0,VLOOKUP($E22,Valida!$A$1:$G$270,6,FALSE),IF($M22&gt;=0,VLOOKUP($E22,Valida!$A$1:$G$270,7,FALSE)))</f>
        <v>(+/-) Ajustes por el incremento (disminución) de cuentas por pagar de origen comercial</v>
      </c>
      <c r="V22" s="190" t="str">
        <f>VLOOKUP(E22,Valida!$A$2:$K$271,4,FALSE)</f>
        <v>Trade and other payables</v>
      </c>
      <c r="W22" s="185" t="s">
        <v>1828</v>
      </c>
      <c r="X22" s="185" t="s">
        <v>1829</v>
      </c>
      <c r="Y22" s="185" t="s">
        <v>1789</v>
      </c>
      <c r="Z22"/>
    </row>
    <row r="23" spans="1:26">
      <c r="A23" s="185" t="s">
        <v>1822</v>
      </c>
      <c r="B23" s="185" t="s">
        <v>1823</v>
      </c>
      <c r="C23" s="185" t="s">
        <v>1792</v>
      </c>
      <c r="D23" s="185" t="s">
        <v>1824</v>
      </c>
      <c r="E23" s="185">
        <v>53059510</v>
      </c>
      <c r="F23" s="185" t="s">
        <v>1065</v>
      </c>
      <c r="G23" s="185" t="s">
        <v>1825</v>
      </c>
      <c r="H23" s="185" t="s">
        <v>1515</v>
      </c>
      <c r="I23" s="258" t="str">
        <f t="shared" si="1"/>
        <v>5</v>
      </c>
      <c r="J23" s="221">
        <f t="shared" si="2"/>
        <v>4</v>
      </c>
      <c r="K23" s="258">
        <f t="shared" si="3"/>
        <v>1</v>
      </c>
      <c r="L23" s="188">
        <v>4</v>
      </c>
      <c r="M23" s="188">
        <v>0</v>
      </c>
      <c r="N23" s="189">
        <v>899999115</v>
      </c>
      <c r="O23" t="s">
        <v>1826</v>
      </c>
      <c r="P23" s="187">
        <v>44957.8182407407</v>
      </c>
      <c r="Q23" s="186">
        <v>6140</v>
      </c>
      <c r="R23" s="185" t="s">
        <v>1827</v>
      </c>
      <c r="S23" s="185" t="s">
        <v>1586</v>
      </c>
      <c r="T23"/>
      <c r="U23" t="str">
        <f>IF($L23&gt;0,VLOOKUP($E23,Valida!$A$1:$G$270,6,FALSE),IF($M23&gt;=0,VLOOKUP($E23,Valida!$A$1:$G$270,7,FALSE)))</f>
        <v>(+/-) Ganancia (pérdida)</v>
      </c>
      <c r="V23" s="190" t="str">
        <f>VLOOKUP(E23,Valida!$A$2:$K$271,4,FALSE)</f>
        <v>P&amp;L</v>
      </c>
      <c r="W23" s="185" t="s">
        <v>1828</v>
      </c>
      <c r="X23" s="185" t="s">
        <v>1829</v>
      </c>
      <c r="Y23" s="185" t="s">
        <v>1789</v>
      </c>
      <c r="Z23"/>
    </row>
    <row r="24" spans="1:26">
      <c r="A24" s="185" t="s">
        <v>1822</v>
      </c>
      <c r="B24" s="185" t="s">
        <v>1831</v>
      </c>
      <c r="C24" s="185" t="s">
        <v>1792</v>
      </c>
      <c r="D24" s="185" t="s">
        <v>1832</v>
      </c>
      <c r="E24" s="185">
        <v>51353001</v>
      </c>
      <c r="F24" s="185" t="s">
        <v>516</v>
      </c>
      <c r="G24" s="185" t="s">
        <v>1833</v>
      </c>
      <c r="H24" s="185" t="s">
        <v>1515</v>
      </c>
      <c r="I24" s="258" t="str">
        <f t="shared" si="1"/>
        <v>5</v>
      </c>
      <c r="J24" s="221">
        <f t="shared" si="2"/>
        <v>3287906</v>
      </c>
      <c r="K24" s="258">
        <f t="shared" si="3"/>
        <v>1</v>
      </c>
      <c r="L24" s="188">
        <v>3287906</v>
      </c>
      <c r="M24" s="188">
        <v>0</v>
      </c>
      <c r="N24" s="189">
        <v>860063875</v>
      </c>
      <c r="O24" t="s">
        <v>1834</v>
      </c>
      <c r="P24" s="187">
        <v>44957.835567129601</v>
      </c>
      <c r="Q24" s="186">
        <v>6141</v>
      </c>
      <c r="R24" s="185" t="s">
        <v>1827</v>
      </c>
      <c r="S24" s="185" t="s">
        <v>1572</v>
      </c>
      <c r="T24"/>
      <c r="U24" t="str">
        <f>IF($L24&gt;0,VLOOKUP($E24,Valida!$A$1:$G$270,6,FALSE),IF($M24&gt;=0,VLOOKUP($E24,Valida!$A$1:$G$270,7,FALSE)))</f>
        <v>(+/-) Ganancia (pérdida)</v>
      </c>
      <c r="V24" s="190" t="str">
        <f>VLOOKUP(E24,Valida!$A$2:$K$271,4,FALSE)</f>
        <v>P&amp;L</v>
      </c>
      <c r="W24" s="185" t="s">
        <v>1835</v>
      </c>
      <c r="X24" s="185"/>
      <c r="Y24" s="185" t="s">
        <v>1789</v>
      </c>
      <c r="Z24"/>
    </row>
    <row r="25" spans="1:26">
      <c r="A25" s="185" t="s">
        <v>1822</v>
      </c>
      <c r="B25" s="185" t="s">
        <v>1831</v>
      </c>
      <c r="C25" s="185" t="s">
        <v>1792</v>
      </c>
      <c r="D25" s="185" t="s">
        <v>1832</v>
      </c>
      <c r="E25" s="185">
        <v>51350502</v>
      </c>
      <c r="F25" s="185" t="s">
        <v>1738</v>
      </c>
      <c r="G25" s="185" t="s">
        <v>1833</v>
      </c>
      <c r="H25" s="185" t="s">
        <v>1515</v>
      </c>
      <c r="I25" s="258" t="str">
        <f t="shared" si="1"/>
        <v>5</v>
      </c>
      <c r="J25" s="221">
        <f t="shared" si="2"/>
        <v>51050</v>
      </c>
      <c r="K25" s="258">
        <f t="shared" si="3"/>
        <v>1</v>
      </c>
      <c r="L25" s="188">
        <v>51050</v>
      </c>
      <c r="M25" s="188">
        <v>0</v>
      </c>
      <c r="N25" s="189">
        <v>901145808</v>
      </c>
      <c r="O25" t="s">
        <v>1834</v>
      </c>
      <c r="P25" s="187">
        <v>44957.835567129601</v>
      </c>
      <c r="Q25" s="186">
        <v>6142</v>
      </c>
      <c r="R25" s="185" t="s">
        <v>1067</v>
      </c>
      <c r="S25" s="185" t="s">
        <v>1740</v>
      </c>
      <c r="T25"/>
      <c r="U25" t="str">
        <f>IF($L25&gt;0,VLOOKUP($E25,Valida!$A$1:$G$270,6,FALSE),IF($M25&gt;=0,VLOOKUP($E25,Valida!$A$1:$G$270,7,FALSE)))</f>
        <v>(+/-) Ganancia (pérdida)</v>
      </c>
      <c r="V25" s="190" t="str">
        <f>VLOOKUP(E25,Valida!$A$2:$K$271,4,FALSE)</f>
        <v>P&amp;L</v>
      </c>
      <c r="W25" s="185" t="s">
        <v>1836</v>
      </c>
      <c r="X25" s="185" t="s">
        <v>1837</v>
      </c>
      <c r="Y25" s="185" t="s">
        <v>1789</v>
      </c>
      <c r="Z25"/>
    </row>
    <row r="26" spans="1:26">
      <c r="A26" s="185" t="s">
        <v>1822</v>
      </c>
      <c r="B26" s="185" t="s">
        <v>1831</v>
      </c>
      <c r="C26" s="185" t="s">
        <v>1792</v>
      </c>
      <c r="D26" s="185" t="s">
        <v>1832</v>
      </c>
      <c r="E26" s="185">
        <v>23355005</v>
      </c>
      <c r="F26" s="185" t="s">
        <v>516</v>
      </c>
      <c r="G26" s="185" t="s">
        <v>1833</v>
      </c>
      <c r="H26" s="185" t="s">
        <v>1628</v>
      </c>
      <c r="I26" s="258" t="str">
        <f t="shared" si="1"/>
        <v>2</v>
      </c>
      <c r="J26" s="221">
        <f t="shared" si="2"/>
        <v>-3338960</v>
      </c>
      <c r="K26" s="258">
        <f t="shared" si="3"/>
        <v>1</v>
      </c>
      <c r="L26" s="188">
        <v>0</v>
      </c>
      <c r="M26" s="188">
        <v>3338960</v>
      </c>
      <c r="N26" s="189">
        <v>860063875</v>
      </c>
      <c r="O26" t="s">
        <v>1834</v>
      </c>
      <c r="P26" s="187">
        <v>44957.835567129601</v>
      </c>
      <c r="Q26" s="186">
        <v>6143</v>
      </c>
      <c r="R26" s="185" t="s">
        <v>1827</v>
      </c>
      <c r="S26" s="185" t="s">
        <v>1572</v>
      </c>
      <c r="T26"/>
      <c r="U26" t="str">
        <f>IF($L26&gt;0,VLOOKUP($E26,Valida!$A$1:$G$270,6,FALSE),IF($M26&gt;=0,VLOOKUP($E26,Valida!$A$1:$G$270,7,FALSE)))</f>
        <v>(+/-) Ajustes por el incremento (disminución) de cuentas por pagar de origen comercial</v>
      </c>
      <c r="V26" s="190" t="str">
        <f>VLOOKUP(E26,Valida!$A$2:$K$271,4,FALSE)</f>
        <v>Trade and other payables</v>
      </c>
      <c r="W26" s="185" t="s">
        <v>1835</v>
      </c>
      <c r="X26" s="185"/>
      <c r="Y26" s="185" t="s">
        <v>1789</v>
      </c>
      <c r="Z26"/>
    </row>
    <row r="27" spans="1:26">
      <c r="A27" s="185" t="s">
        <v>1822</v>
      </c>
      <c r="B27" s="185" t="s">
        <v>1831</v>
      </c>
      <c r="C27" s="185" t="s">
        <v>1792</v>
      </c>
      <c r="D27" s="185" t="s">
        <v>1832</v>
      </c>
      <c r="E27" s="185">
        <v>53059510</v>
      </c>
      <c r="F27" s="185" t="s">
        <v>1065</v>
      </c>
      <c r="G27" s="185" t="s">
        <v>1833</v>
      </c>
      <c r="H27" s="185" t="s">
        <v>1515</v>
      </c>
      <c r="I27" s="258" t="str">
        <f t="shared" si="1"/>
        <v>5</v>
      </c>
      <c r="J27" s="221">
        <f t="shared" si="2"/>
        <v>4</v>
      </c>
      <c r="K27" s="258">
        <f t="shared" si="3"/>
        <v>1</v>
      </c>
      <c r="L27" s="188">
        <v>4</v>
      </c>
      <c r="M27" s="188">
        <v>0</v>
      </c>
      <c r="N27" s="189">
        <v>860063875</v>
      </c>
      <c r="O27" t="s">
        <v>1834</v>
      </c>
      <c r="P27" s="187">
        <v>44957.835567129601</v>
      </c>
      <c r="Q27" s="186">
        <v>6144</v>
      </c>
      <c r="R27" s="185" t="s">
        <v>1827</v>
      </c>
      <c r="S27" s="185" t="s">
        <v>1572</v>
      </c>
      <c r="T27"/>
      <c r="U27" t="str">
        <f>IF($L27&gt;0,VLOOKUP($E27,Valida!$A$1:$G$270,6,FALSE),IF($M27&gt;=0,VLOOKUP($E27,Valida!$A$1:$G$270,7,FALSE)))</f>
        <v>(+/-) Ganancia (pérdida)</v>
      </c>
      <c r="V27" s="190" t="str">
        <f>VLOOKUP(E27,Valida!$A$2:$K$271,4,FALSE)</f>
        <v>P&amp;L</v>
      </c>
      <c r="W27" s="185" t="s">
        <v>1835</v>
      </c>
      <c r="X27" s="185"/>
      <c r="Y27" s="185" t="s">
        <v>1789</v>
      </c>
      <c r="Z27"/>
    </row>
    <row r="28" spans="1:26">
      <c r="A28" s="185" t="s">
        <v>1822</v>
      </c>
      <c r="B28" s="185" t="s">
        <v>1838</v>
      </c>
      <c r="C28" s="185" t="s">
        <v>1792</v>
      </c>
      <c r="D28" s="185" t="s">
        <v>1839</v>
      </c>
      <c r="E28" s="185">
        <v>51352002</v>
      </c>
      <c r="F28" s="185" t="s">
        <v>1270</v>
      </c>
      <c r="G28" s="185" t="s">
        <v>1825</v>
      </c>
      <c r="H28" s="185" t="s">
        <v>1515</v>
      </c>
      <c r="I28" s="258" t="str">
        <f t="shared" si="1"/>
        <v>5</v>
      </c>
      <c r="J28" s="221">
        <f t="shared" si="2"/>
        <v>294686</v>
      </c>
      <c r="K28" s="258">
        <f t="shared" si="3"/>
        <v>1</v>
      </c>
      <c r="L28" s="188">
        <v>294686</v>
      </c>
      <c r="M28" s="188">
        <v>0</v>
      </c>
      <c r="N28" s="189">
        <v>900092385</v>
      </c>
      <c r="O28" t="s">
        <v>1840</v>
      </c>
      <c r="P28" s="187">
        <v>44957.836550925902</v>
      </c>
      <c r="Q28" s="186">
        <v>6145</v>
      </c>
      <c r="R28" s="185" t="s">
        <v>1841</v>
      </c>
      <c r="S28" s="185" t="s">
        <v>1590</v>
      </c>
      <c r="T28"/>
      <c r="U28" t="str">
        <f>IF($L28&gt;0,VLOOKUP($E28,Valida!$A$1:$G$270,6,FALSE),IF($M28&gt;=0,VLOOKUP($E28,Valida!$A$1:$G$270,7,FALSE)))</f>
        <v>(+/-) Ganancia (pérdida)</v>
      </c>
      <c r="V28" s="190" t="str">
        <f>VLOOKUP(E28,Valida!$A$2:$K$271,4,FALSE)</f>
        <v>P&amp;L</v>
      </c>
      <c r="W28" s="185" t="s">
        <v>1842</v>
      </c>
      <c r="X28" s="185" t="s">
        <v>1843</v>
      </c>
      <c r="Y28" s="185" t="s">
        <v>1844</v>
      </c>
      <c r="Z28"/>
    </row>
    <row r="29" spans="1:26">
      <c r="A29" s="185" t="s">
        <v>1822</v>
      </c>
      <c r="B29" s="185" t="s">
        <v>1838</v>
      </c>
      <c r="C29" s="185" t="s">
        <v>1792</v>
      </c>
      <c r="D29" s="185" t="s">
        <v>1839</v>
      </c>
      <c r="E29" s="185">
        <v>24081002</v>
      </c>
      <c r="F29" s="185" t="s">
        <v>1687</v>
      </c>
      <c r="G29" s="185" t="s">
        <v>1830</v>
      </c>
      <c r="H29" s="185" t="s">
        <v>1515</v>
      </c>
      <c r="I29" s="258" t="str">
        <f t="shared" si="1"/>
        <v>2</v>
      </c>
      <c r="J29" s="221">
        <f t="shared" si="2"/>
        <v>55990</v>
      </c>
      <c r="K29" s="258">
        <f t="shared" si="3"/>
        <v>1</v>
      </c>
      <c r="L29" s="188">
        <v>55990</v>
      </c>
      <c r="M29" s="188">
        <v>0</v>
      </c>
      <c r="N29" s="189">
        <v>900092385</v>
      </c>
      <c r="O29" t="s">
        <v>1840</v>
      </c>
      <c r="P29" s="187">
        <v>44957.836562500001</v>
      </c>
      <c r="Q29" s="186">
        <v>6146</v>
      </c>
      <c r="R29" s="185" t="s">
        <v>1841</v>
      </c>
      <c r="S29" s="185" t="s">
        <v>1590</v>
      </c>
      <c r="T29"/>
      <c r="U29" t="str">
        <f>IF($L29&gt;0,VLOOKUP($E29,Valida!$A$1:$G$270,6,FALSE),IF($M29&gt;=0,VLOOKUP($E29,Valida!$A$1:$G$270,7,FALSE)))</f>
        <v>(+/-) Ajustes por el incremento (disminución) de cuentas por pagar de origen comercial</v>
      </c>
      <c r="V29" s="190" t="str">
        <f>VLOOKUP(E29,Valida!$A$2:$K$271,4,FALSE)</f>
        <v>Trade and other payables</v>
      </c>
      <c r="W29" s="185" t="s">
        <v>1842</v>
      </c>
      <c r="X29" s="185" t="s">
        <v>1843</v>
      </c>
      <c r="Y29" s="185" t="s">
        <v>1844</v>
      </c>
      <c r="Z29"/>
    </row>
    <row r="30" spans="1:26">
      <c r="A30" s="185" t="s">
        <v>1822</v>
      </c>
      <c r="B30" s="185" t="s">
        <v>1838</v>
      </c>
      <c r="C30" s="185" t="s">
        <v>1792</v>
      </c>
      <c r="D30" s="185" t="s">
        <v>1839</v>
      </c>
      <c r="E30" s="185">
        <v>23355006</v>
      </c>
      <c r="F30" s="185" t="s">
        <v>519</v>
      </c>
      <c r="G30" s="185" t="s">
        <v>1825</v>
      </c>
      <c r="H30" s="185" t="s">
        <v>1628</v>
      </c>
      <c r="I30" s="258" t="str">
        <f t="shared" si="1"/>
        <v>2</v>
      </c>
      <c r="J30" s="221">
        <f t="shared" si="2"/>
        <v>-350676</v>
      </c>
      <c r="K30" s="258">
        <f t="shared" si="3"/>
        <v>1</v>
      </c>
      <c r="L30" s="188">
        <v>0</v>
      </c>
      <c r="M30" s="188">
        <v>350676</v>
      </c>
      <c r="N30" s="189">
        <v>900092385</v>
      </c>
      <c r="O30" t="s">
        <v>1840</v>
      </c>
      <c r="P30" s="187">
        <v>44957.836562500001</v>
      </c>
      <c r="Q30" s="186">
        <v>6147</v>
      </c>
      <c r="R30" s="185" t="s">
        <v>1841</v>
      </c>
      <c r="S30" s="185" t="s">
        <v>1590</v>
      </c>
      <c r="T30"/>
      <c r="U30" t="str">
        <f>IF($L30&gt;0,VLOOKUP($E30,Valida!$A$1:$G$270,6,FALSE),IF($M30&gt;=0,VLOOKUP($E30,Valida!$A$1:$G$270,7,FALSE)))</f>
        <v>(+/-) Ajustes por el incremento (disminución) de cuentas por pagar de origen comercial</v>
      </c>
      <c r="V30" s="190" t="str">
        <f>VLOOKUP(E30,Valida!$A$2:$K$271,4,FALSE)</f>
        <v>Trade and other payables</v>
      </c>
      <c r="W30" s="185" t="s">
        <v>1842</v>
      </c>
      <c r="X30" s="185" t="s">
        <v>1843</v>
      </c>
      <c r="Y30" s="185" t="s">
        <v>1844</v>
      </c>
      <c r="Z30"/>
    </row>
    <row r="31" spans="1:26">
      <c r="A31" s="185" t="s">
        <v>1822</v>
      </c>
      <c r="B31" s="185" t="s">
        <v>1845</v>
      </c>
      <c r="C31" s="185" t="s">
        <v>1792</v>
      </c>
      <c r="D31" s="185" t="s">
        <v>1846</v>
      </c>
      <c r="E31" s="185">
        <v>51352002</v>
      </c>
      <c r="F31" s="185" t="s">
        <v>1270</v>
      </c>
      <c r="G31" s="185" t="s">
        <v>1825</v>
      </c>
      <c r="H31" s="185" t="s">
        <v>1515</v>
      </c>
      <c r="I31" s="258" t="str">
        <f t="shared" si="1"/>
        <v>5</v>
      </c>
      <c r="J31" s="221">
        <f t="shared" si="2"/>
        <v>3214000</v>
      </c>
      <c r="K31" s="258">
        <f t="shared" si="3"/>
        <v>1</v>
      </c>
      <c r="L31" s="188">
        <v>3214000</v>
      </c>
      <c r="M31" s="188">
        <v>0</v>
      </c>
      <c r="N31" s="189">
        <v>800153993</v>
      </c>
      <c r="O31" t="s">
        <v>1847</v>
      </c>
      <c r="P31" s="187">
        <v>44957.837754629603</v>
      </c>
      <c r="Q31" s="186">
        <v>6148</v>
      </c>
      <c r="R31" s="185" t="s">
        <v>1814</v>
      </c>
      <c r="S31" s="185" t="s">
        <v>1556</v>
      </c>
      <c r="T31"/>
      <c r="U31" t="str">
        <f>IF($L31&gt;0,VLOOKUP($E31,Valida!$A$1:$G$270,6,FALSE),IF($M31&gt;=0,VLOOKUP($E31,Valida!$A$1:$G$270,7,FALSE)))</f>
        <v>(+/-) Ganancia (pérdida)</v>
      </c>
      <c r="V31" s="190" t="str">
        <f>VLOOKUP(E31,Valida!$A$2:$K$271,4,FALSE)</f>
        <v>P&amp;L</v>
      </c>
      <c r="W31" s="185" t="s">
        <v>1815</v>
      </c>
      <c r="X31" s="185"/>
      <c r="Y31" s="185" t="s">
        <v>1789</v>
      </c>
      <c r="Z31"/>
    </row>
    <row r="32" spans="1:26">
      <c r="A32" s="185" t="s">
        <v>1822</v>
      </c>
      <c r="B32" s="185" t="s">
        <v>1845</v>
      </c>
      <c r="C32" s="185" t="s">
        <v>1792</v>
      </c>
      <c r="D32" s="185" t="s">
        <v>1846</v>
      </c>
      <c r="E32" s="185">
        <v>24081002</v>
      </c>
      <c r="F32" s="185" t="s">
        <v>1687</v>
      </c>
      <c r="G32" s="185" t="s">
        <v>1830</v>
      </c>
      <c r="H32" s="185" t="s">
        <v>1515</v>
      </c>
      <c r="I32" s="258" t="str">
        <f t="shared" si="1"/>
        <v>2</v>
      </c>
      <c r="J32" s="221">
        <f t="shared" si="2"/>
        <v>610660</v>
      </c>
      <c r="K32" s="258">
        <f t="shared" si="3"/>
        <v>1</v>
      </c>
      <c r="L32" s="188">
        <v>610660</v>
      </c>
      <c r="M32" s="188">
        <v>0</v>
      </c>
      <c r="N32" s="189">
        <v>800153993</v>
      </c>
      <c r="O32" t="s">
        <v>1847</v>
      </c>
      <c r="P32" s="187">
        <v>44957.837754629603</v>
      </c>
      <c r="Q32" s="186">
        <v>6149</v>
      </c>
      <c r="R32" s="185" t="s">
        <v>1814</v>
      </c>
      <c r="S32" s="185" t="s">
        <v>1556</v>
      </c>
      <c r="T32"/>
      <c r="U32" t="str">
        <f>IF($L32&gt;0,VLOOKUP($E32,Valida!$A$1:$G$270,6,FALSE),IF($M32&gt;=0,VLOOKUP($E32,Valida!$A$1:$G$270,7,FALSE)))</f>
        <v>(+/-) Ajustes por el incremento (disminución) de cuentas por pagar de origen comercial</v>
      </c>
      <c r="V32" s="190" t="str">
        <f>VLOOKUP(E32,Valida!$A$2:$K$271,4,FALSE)</f>
        <v>Trade and other payables</v>
      </c>
      <c r="W32" s="185" t="s">
        <v>1815</v>
      </c>
      <c r="X32" s="185"/>
      <c r="Y32" s="185" t="s">
        <v>1789</v>
      </c>
      <c r="Z32"/>
    </row>
    <row r="33" spans="1:26">
      <c r="A33" s="185" t="s">
        <v>1822</v>
      </c>
      <c r="B33" s="185" t="s">
        <v>1845</v>
      </c>
      <c r="C33" s="185" t="s">
        <v>1792</v>
      </c>
      <c r="D33" s="185" t="s">
        <v>1846</v>
      </c>
      <c r="E33" s="185">
        <v>23355006</v>
      </c>
      <c r="F33" s="185" t="s">
        <v>519</v>
      </c>
      <c r="G33" s="185" t="s">
        <v>1825</v>
      </c>
      <c r="H33" s="185" t="s">
        <v>1628</v>
      </c>
      <c r="I33" s="258" t="str">
        <f t="shared" si="1"/>
        <v>2</v>
      </c>
      <c r="J33" s="221">
        <f t="shared" si="2"/>
        <v>-3824660</v>
      </c>
      <c r="K33" s="258">
        <f t="shared" si="3"/>
        <v>1</v>
      </c>
      <c r="L33" s="188">
        <v>0</v>
      </c>
      <c r="M33" s="188">
        <v>3824660</v>
      </c>
      <c r="N33" s="189">
        <v>800153993</v>
      </c>
      <c r="O33" t="s">
        <v>1847</v>
      </c>
      <c r="P33" s="187">
        <v>44957.837754629603</v>
      </c>
      <c r="Q33" s="186">
        <v>6150</v>
      </c>
      <c r="R33" s="185" t="s">
        <v>1814</v>
      </c>
      <c r="S33" s="185" t="s">
        <v>1556</v>
      </c>
      <c r="T33"/>
      <c r="U33" t="str">
        <f>IF($L33&gt;0,VLOOKUP($E33,Valida!$A$1:$G$270,6,FALSE),IF($M33&gt;=0,VLOOKUP($E33,Valida!$A$1:$G$270,7,FALSE)))</f>
        <v>(+/-) Ajustes por el incremento (disminución) de cuentas por pagar de origen comercial</v>
      </c>
      <c r="V33" s="190" t="str">
        <f>VLOOKUP(E33,Valida!$A$2:$K$271,4,FALSE)</f>
        <v>Trade and other payables</v>
      </c>
      <c r="W33" s="185" t="s">
        <v>1815</v>
      </c>
      <c r="X33" s="185"/>
      <c r="Y33" s="185" t="s">
        <v>1789</v>
      </c>
      <c r="Z33"/>
    </row>
    <row r="34" spans="1:26">
      <c r="A34" s="185" t="s">
        <v>1848</v>
      </c>
      <c r="B34" s="185" t="s">
        <v>1849</v>
      </c>
      <c r="C34" s="185" t="s">
        <v>1792</v>
      </c>
      <c r="D34" s="185" t="s">
        <v>1850</v>
      </c>
      <c r="E34" s="185">
        <v>51359501</v>
      </c>
      <c r="F34" s="185" t="s">
        <v>1290</v>
      </c>
      <c r="G34" s="185" t="s">
        <v>1851</v>
      </c>
      <c r="H34" s="185" t="s">
        <v>1515</v>
      </c>
      <c r="I34" s="258" t="str">
        <f t="shared" si="1"/>
        <v>5</v>
      </c>
      <c r="J34" s="221">
        <f t="shared" si="2"/>
        <v>2500000</v>
      </c>
      <c r="K34" s="258">
        <f t="shared" si="3"/>
        <v>1</v>
      </c>
      <c r="L34" s="188">
        <v>2500000</v>
      </c>
      <c r="M34" s="188">
        <v>0</v>
      </c>
      <c r="N34" s="189">
        <v>900471482</v>
      </c>
      <c r="O34" t="s">
        <v>1852</v>
      </c>
      <c r="P34" s="187">
        <v>44957.839351851799</v>
      </c>
      <c r="Q34" s="186">
        <v>6151</v>
      </c>
      <c r="R34" s="185" t="s">
        <v>6</v>
      </c>
      <c r="S34" s="185" t="s">
        <v>1600</v>
      </c>
      <c r="T34"/>
      <c r="U34" t="str">
        <f>IF($L34&gt;0,VLOOKUP($E34,Valida!$A$1:$G$270,6,FALSE),IF($M34&gt;=0,VLOOKUP($E34,Valida!$A$1:$G$270,7,FALSE)))</f>
        <v>(+/-) Ganancia (pérdida)</v>
      </c>
      <c r="V34" s="190" t="str">
        <f>VLOOKUP(E34,Valida!$A$2:$K$271,4,FALSE)</f>
        <v>P&amp;L</v>
      </c>
      <c r="W34" s="185" t="s">
        <v>1853</v>
      </c>
      <c r="X34" s="185" t="s">
        <v>1854</v>
      </c>
      <c r="Y34" s="185" t="s">
        <v>1789</v>
      </c>
      <c r="Z34"/>
    </row>
    <row r="35" spans="1:26">
      <c r="A35" s="185" t="s">
        <v>1848</v>
      </c>
      <c r="B35" s="185" t="s">
        <v>1849</v>
      </c>
      <c r="C35" s="185" t="s">
        <v>1792</v>
      </c>
      <c r="D35" s="185" t="s">
        <v>1850</v>
      </c>
      <c r="E35" s="185">
        <v>23354001</v>
      </c>
      <c r="F35" s="185" t="s">
        <v>484</v>
      </c>
      <c r="G35" s="185" t="s">
        <v>1851</v>
      </c>
      <c r="H35" s="185" t="s">
        <v>1628</v>
      </c>
      <c r="I35" s="258" t="str">
        <f t="shared" si="1"/>
        <v>2</v>
      </c>
      <c r="J35" s="221">
        <f t="shared" si="2"/>
        <v>-2500000</v>
      </c>
      <c r="K35" s="258">
        <f t="shared" si="3"/>
        <v>1</v>
      </c>
      <c r="L35" s="188">
        <v>0</v>
      </c>
      <c r="M35" s="188">
        <v>2500000</v>
      </c>
      <c r="N35" s="189">
        <v>900471482</v>
      </c>
      <c r="O35" t="s">
        <v>1852</v>
      </c>
      <c r="P35" s="187">
        <v>44957.839351851799</v>
      </c>
      <c r="Q35" s="186">
        <v>6152</v>
      </c>
      <c r="R35" s="185" t="s">
        <v>6</v>
      </c>
      <c r="S35" s="185" t="s">
        <v>1600</v>
      </c>
      <c r="T35"/>
      <c r="U35" t="str">
        <f>IF($L35&gt;0,VLOOKUP($E35,Valida!$A$1:$G$270,6,FALSE),IF($M35&gt;=0,VLOOKUP($E35,Valida!$A$1:$G$270,7,FALSE)))</f>
        <v>(+/-) Ajustes por el incremento (disminución) de cuentas por pagar de origen comercial</v>
      </c>
      <c r="V35" s="190" t="str">
        <f>VLOOKUP(E35,Valida!$A$2:$K$271,4,FALSE)</f>
        <v>Trade and other payables</v>
      </c>
      <c r="W35" s="185" t="s">
        <v>1853</v>
      </c>
      <c r="X35" s="185" t="s">
        <v>1854</v>
      </c>
      <c r="Y35" s="185" t="s">
        <v>1789</v>
      </c>
      <c r="Z35"/>
    </row>
    <row r="36" spans="1:26">
      <c r="A36" s="185" t="s">
        <v>1848</v>
      </c>
      <c r="B36" s="185" t="s">
        <v>1855</v>
      </c>
      <c r="C36" s="185" t="s">
        <v>1792</v>
      </c>
      <c r="D36" s="185" t="s">
        <v>1856</v>
      </c>
      <c r="E36" s="185">
        <v>51201001</v>
      </c>
      <c r="F36" s="185" t="s">
        <v>1189</v>
      </c>
      <c r="G36" s="185" t="s">
        <v>1857</v>
      </c>
      <c r="H36" s="185" t="s">
        <v>1515</v>
      </c>
      <c r="I36" s="258" t="str">
        <f t="shared" si="1"/>
        <v>5</v>
      </c>
      <c r="J36" s="221">
        <f t="shared" si="2"/>
        <v>22918350</v>
      </c>
      <c r="K36" s="258">
        <f t="shared" si="3"/>
        <v>1</v>
      </c>
      <c r="L36" s="188">
        <v>22918350</v>
      </c>
      <c r="M36" s="188">
        <v>0</v>
      </c>
      <c r="N36" s="189">
        <v>900471482</v>
      </c>
      <c r="O36" t="s">
        <v>1858</v>
      </c>
      <c r="P36" s="187">
        <v>44957.840821759302</v>
      </c>
      <c r="Q36" s="186">
        <v>6153</v>
      </c>
      <c r="R36" s="185" t="s">
        <v>6</v>
      </c>
      <c r="S36" s="185" t="s">
        <v>1600</v>
      </c>
      <c r="T36"/>
      <c r="U36" t="str">
        <f>IF($L36&gt;0,VLOOKUP($E36,Valida!$A$1:$G$270,6,FALSE),IF($M36&gt;=0,VLOOKUP($E36,Valida!$A$1:$G$270,7,FALSE)))</f>
        <v>(+/-) Ganancia (pérdida)</v>
      </c>
      <c r="V36" s="190" t="str">
        <f>VLOOKUP(E36,Valida!$A$2:$K$271,4,FALSE)</f>
        <v>P&amp;L</v>
      </c>
      <c r="W36" s="185" t="s">
        <v>1853</v>
      </c>
      <c r="X36" s="185" t="s">
        <v>1854</v>
      </c>
      <c r="Y36" s="185" t="s">
        <v>1789</v>
      </c>
      <c r="Z36"/>
    </row>
    <row r="37" spans="1:26">
      <c r="A37" s="185" t="s">
        <v>1848</v>
      </c>
      <c r="B37" s="185" t="s">
        <v>1855</v>
      </c>
      <c r="C37" s="185" t="s">
        <v>1792</v>
      </c>
      <c r="D37" s="185" t="s">
        <v>1856</v>
      </c>
      <c r="E37" s="185">
        <v>24081002</v>
      </c>
      <c r="F37" s="185" t="s">
        <v>1687</v>
      </c>
      <c r="G37" s="185" t="s">
        <v>1857</v>
      </c>
      <c r="H37" s="185" t="s">
        <v>1515</v>
      </c>
      <c r="I37" s="258" t="str">
        <f t="shared" si="1"/>
        <v>2</v>
      </c>
      <c r="J37" s="221">
        <f t="shared" si="2"/>
        <v>4354486</v>
      </c>
      <c r="K37" s="258">
        <f t="shared" si="3"/>
        <v>1</v>
      </c>
      <c r="L37" s="188">
        <v>4354486</v>
      </c>
      <c r="M37" s="188">
        <v>0</v>
      </c>
      <c r="N37" s="189">
        <v>900471482</v>
      </c>
      <c r="O37" t="s">
        <v>1858</v>
      </c>
      <c r="P37" s="187">
        <v>44957.840833333299</v>
      </c>
      <c r="Q37" s="186">
        <v>6154</v>
      </c>
      <c r="R37" s="185" t="s">
        <v>6</v>
      </c>
      <c r="S37" s="185" t="s">
        <v>1600</v>
      </c>
      <c r="T37"/>
      <c r="U37" t="str">
        <f>IF($L37&gt;0,VLOOKUP($E37,Valida!$A$1:$G$270,6,FALSE),IF($M37&gt;=0,VLOOKUP($E37,Valida!$A$1:$G$270,7,FALSE)))</f>
        <v>(+/-) Ajustes por el incremento (disminución) de cuentas por pagar de origen comercial</v>
      </c>
      <c r="V37" s="190" t="str">
        <f>VLOOKUP(E37,Valida!$A$2:$K$271,4,FALSE)</f>
        <v>Trade and other payables</v>
      </c>
      <c r="W37" s="185" t="s">
        <v>1853</v>
      </c>
      <c r="X37" s="185" t="s">
        <v>1854</v>
      </c>
      <c r="Y37" s="185" t="s">
        <v>1789</v>
      </c>
      <c r="Z37"/>
    </row>
    <row r="38" spans="1:26">
      <c r="A38" s="185" t="s">
        <v>1848</v>
      </c>
      <c r="B38" s="185" t="s">
        <v>1855</v>
      </c>
      <c r="C38" s="185" t="s">
        <v>1792</v>
      </c>
      <c r="D38" s="185" t="s">
        <v>1856</v>
      </c>
      <c r="E38" s="185">
        <v>23653001</v>
      </c>
      <c r="F38" s="185" t="s">
        <v>611</v>
      </c>
      <c r="G38" s="185" t="s">
        <v>1857</v>
      </c>
      <c r="H38" s="185" t="s">
        <v>1628</v>
      </c>
      <c r="I38" s="258" t="str">
        <f t="shared" si="1"/>
        <v>2</v>
      </c>
      <c r="J38" s="221">
        <f t="shared" si="2"/>
        <v>-802142</v>
      </c>
      <c r="K38" s="258">
        <f t="shared" si="3"/>
        <v>1</v>
      </c>
      <c r="L38" s="188">
        <v>0</v>
      </c>
      <c r="M38" s="188">
        <v>802142</v>
      </c>
      <c r="N38" s="189">
        <v>900471482</v>
      </c>
      <c r="O38" t="s">
        <v>1858</v>
      </c>
      <c r="P38" s="187">
        <v>44957.840833333299</v>
      </c>
      <c r="Q38" s="186">
        <v>6155</v>
      </c>
      <c r="R38" s="185" t="s">
        <v>6</v>
      </c>
      <c r="S38" s="185" t="s">
        <v>1600</v>
      </c>
      <c r="T38"/>
      <c r="U38" t="str">
        <f>IF($L38&gt;0,VLOOKUP($E38,Valida!$A$1:$G$270,6,FALSE),IF($M38&gt;=0,VLOOKUP($E38,Valida!$A$1:$G$270,7,FALSE)))</f>
        <v>(+/-) Ajustes por el incremento (disminución) de cuentas por pagar de origen comercial</v>
      </c>
      <c r="V38" s="190" t="str">
        <f>VLOOKUP(E38,Valida!$A$2:$K$271,4,FALSE)</f>
        <v>Trade and other payables</v>
      </c>
      <c r="W38" s="185" t="s">
        <v>1853</v>
      </c>
      <c r="X38" s="185" t="s">
        <v>1854</v>
      </c>
      <c r="Y38" s="185" t="s">
        <v>1789</v>
      </c>
      <c r="Z38"/>
    </row>
    <row r="39" spans="1:26">
      <c r="A39" s="185" t="s">
        <v>1848</v>
      </c>
      <c r="B39" s="185" t="s">
        <v>1855</v>
      </c>
      <c r="C39" s="185" t="s">
        <v>1792</v>
      </c>
      <c r="D39" s="185" t="s">
        <v>1856</v>
      </c>
      <c r="E39" s="185">
        <v>23680503</v>
      </c>
      <c r="F39" s="185" t="s">
        <v>665</v>
      </c>
      <c r="G39" s="185" t="s">
        <v>1857</v>
      </c>
      <c r="H39" s="185" t="s">
        <v>1628</v>
      </c>
      <c r="I39" s="258" t="str">
        <f t="shared" si="1"/>
        <v>2</v>
      </c>
      <c r="J39" s="221">
        <f t="shared" si="2"/>
        <v>-221391</v>
      </c>
      <c r="K39" s="258">
        <f t="shared" si="3"/>
        <v>1</v>
      </c>
      <c r="L39" s="188">
        <v>0</v>
      </c>
      <c r="M39" s="188">
        <v>221391</v>
      </c>
      <c r="N39" s="189">
        <v>900471482</v>
      </c>
      <c r="O39" t="s">
        <v>1858</v>
      </c>
      <c r="P39" s="187">
        <v>44957.840833333299</v>
      </c>
      <c r="Q39" s="186">
        <v>6156</v>
      </c>
      <c r="R39" s="185" t="s">
        <v>6</v>
      </c>
      <c r="S39" s="185" t="s">
        <v>1600</v>
      </c>
      <c r="T39"/>
      <c r="U39" t="str">
        <f>IF($L39&gt;0,VLOOKUP($E39,Valida!$A$1:$G$270,6,FALSE),IF($M39&gt;=0,VLOOKUP($E39,Valida!$A$1:$G$270,7,FALSE)))</f>
        <v>(+/-) Ajustes por el incremento (disminución) de cuentas por pagar de origen comercial</v>
      </c>
      <c r="V39" s="190" t="str">
        <f>VLOOKUP(E39,Valida!$A$2:$K$271,4,FALSE)</f>
        <v>Trade and other payables</v>
      </c>
      <c r="W39" s="185" t="s">
        <v>1853</v>
      </c>
      <c r="X39" s="185" t="s">
        <v>1854</v>
      </c>
      <c r="Y39" s="185" t="s">
        <v>1789</v>
      </c>
      <c r="Z39"/>
    </row>
    <row r="40" spans="1:26">
      <c r="A40" s="185" t="s">
        <v>1848</v>
      </c>
      <c r="B40" s="185" t="s">
        <v>1855</v>
      </c>
      <c r="C40" s="185" t="s">
        <v>1792</v>
      </c>
      <c r="D40" s="185" t="s">
        <v>1856</v>
      </c>
      <c r="E40" s="185">
        <v>23354001</v>
      </c>
      <c r="F40" s="185" t="s">
        <v>484</v>
      </c>
      <c r="G40" s="185" t="s">
        <v>1857</v>
      </c>
      <c r="H40" s="185" t="s">
        <v>1628</v>
      </c>
      <c r="I40" s="258" t="str">
        <f t="shared" si="1"/>
        <v>2</v>
      </c>
      <c r="J40" s="221">
        <f t="shared" si="2"/>
        <v>-26249303</v>
      </c>
      <c r="K40" s="258">
        <f t="shared" si="3"/>
        <v>1</v>
      </c>
      <c r="L40" s="188">
        <v>0</v>
      </c>
      <c r="M40" s="188">
        <v>26249303</v>
      </c>
      <c r="N40" s="189">
        <v>900471482</v>
      </c>
      <c r="O40" t="s">
        <v>1858</v>
      </c>
      <c r="P40" s="187">
        <v>44957.840833333299</v>
      </c>
      <c r="Q40" s="186">
        <v>6157</v>
      </c>
      <c r="R40" s="185" t="s">
        <v>6</v>
      </c>
      <c r="S40" s="185" t="s">
        <v>1600</v>
      </c>
      <c r="T40"/>
      <c r="U40" t="str">
        <f>IF($L40&gt;0,VLOOKUP($E40,Valida!$A$1:$G$270,6,FALSE),IF($M40&gt;=0,VLOOKUP($E40,Valida!$A$1:$G$270,7,FALSE)))</f>
        <v>(+/-) Ajustes por el incremento (disminución) de cuentas por pagar de origen comercial</v>
      </c>
      <c r="V40" s="190" t="str">
        <f>VLOOKUP(E40,Valida!$A$2:$K$271,4,FALSE)</f>
        <v>Trade and other payables</v>
      </c>
      <c r="W40" s="185" t="s">
        <v>1853</v>
      </c>
      <c r="X40" s="185" t="s">
        <v>1854</v>
      </c>
      <c r="Y40" s="185" t="s">
        <v>1789</v>
      </c>
      <c r="Z40"/>
    </row>
    <row r="41" spans="1:26">
      <c r="A41" s="185" t="s">
        <v>1859</v>
      </c>
      <c r="B41" s="185" t="s">
        <v>1860</v>
      </c>
      <c r="C41" s="185" t="s">
        <v>1792</v>
      </c>
      <c r="D41" s="185" t="s">
        <v>1861</v>
      </c>
      <c r="E41" s="185">
        <v>51952502</v>
      </c>
      <c r="F41" s="185" t="s">
        <v>1414</v>
      </c>
      <c r="G41" s="185" t="s">
        <v>1862</v>
      </c>
      <c r="H41" s="185" t="s">
        <v>1515</v>
      </c>
      <c r="I41" s="258" t="str">
        <f t="shared" si="1"/>
        <v>5</v>
      </c>
      <c r="J41" s="221">
        <f t="shared" si="2"/>
        <v>107000</v>
      </c>
      <c r="K41" s="258">
        <f t="shared" si="3"/>
        <v>1</v>
      </c>
      <c r="L41" s="188">
        <v>107000</v>
      </c>
      <c r="M41" s="188">
        <v>0</v>
      </c>
      <c r="N41" s="189">
        <v>900424409</v>
      </c>
      <c r="O41" t="s">
        <v>1863</v>
      </c>
      <c r="P41" s="187">
        <v>44957.843692129602</v>
      </c>
      <c r="Q41" s="186">
        <v>6158</v>
      </c>
      <c r="R41" s="185" t="s">
        <v>844</v>
      </c>
      <c r="S41" s="185" t="s">
        <v>1598</v>
      </c>
      <c r="T41"/>
      <c r="U41" t="str">
        <f>IF($L41&gt;0,VLOOKUP($E41,Valida!$A$1:$G$270,6,FALSE),IF($M41&gt;=0,VLOOKUP($E41,Valida!$A$1:$G$270,7,FALSE)))</f>
        <v>(+/-) Ganancia (pérdida)</v>
      </c>
      <c r="V41" s="190" t="str">
        <f>VLOOKUP(E41,Valida!$A$2:$K$271,4,FALSE)</f>
        <v>P&amp;L</v>
      </c>
      <c r="W41" s="185" t="s">
        <v>1864</v>
      </c>
      <c r="X41" s="185" t="s">
        <v>1865</v>
      </c>
      <c r="Y41" s="185" t="s">
        <v>1789</v>
      </c>
      <c r="Z41"/>
    </row>
    <row r="42" spans="1:26">
      <c r="A42" s="185" t="s">
        <v>1859</v>
      </c>
      <c r="B42" s="185" t="s">
        <v>1860</v>
      </c>
      <c r="C42" s="185" t="s">
        <v>1792</v>
      </c>
      <c r="D42" s="185" t="s">
        <v>1861</v>
      </c>
      <c r="E42" s="185">
        <v>24081002</v>
      </c>
      <c r="F42" s="185" t="s">
        <v>1687</v>
      </c>
      <c r="G42" s="185" t="s">
        <v>1866</v>
      </c>
      <c r="H42" s="185" t="s">
        <v>1515</v>
      </c>
      <c r="I42" s="258" t="str">
        <f t="shared" si="1"/>
        <v>2</v>
      </c>
      <c r="J42" s="221">
        <f t="shared" si="2"/>
        <v>20330</v>
      </c>
      <c r="K42" s="258">
        <f t="shared" si="3"/>
        <v>1</v>
      </c>
      <c r="L42" s="188">
        <v>20330</v>
      </c>
      <c r="M42" s="188">
        <v>0</v>
      </c>
      <c r="N42" s="189">
        <v>900424409</v>
      </c>
      <c r="O42" t="s">
        <v>1863</v>
      </c>
      <c r="P42" s="187">
        <v>44957.843692129602</v>
      </c>
      <c r="Q42" s="186">
        <v>6159</v>
      </c>
      <c r="R42" s="185" t="s">
        <v>844</v>
      </c>
      <c r="S42" s="185" t="s">
        <v>1598</v>
      </c>
      <c r="T42"/>
      <c r="U42" t="str">
        <f>IF($L42&gt;0,VLOOKUP($E42,Valida!$A$1:$G$270,6,FALSE),IF($M42&gt;=0,VLOOKUP($E42,Valida!$A$1:$G$270,7,FALSE)))</f>
        <v>(+/-) Ajustes por el incremento (disminución) de cuentas por pagar de origen comercial</v>
      </c>
      <c r="V42" s="190" t="str">
        <f>VLOOKUP(E42,Valida!$A$2:$K$271,4,FALSE)</f>
        <v>Trade and other payables</v>
      </c>
      <c r="W42" s="185" t="s">
        <v>1864</v>
      </c>
      <c r="X42" s="185" t="s">
        <v>1865</v>
      </c>
      <c r="Y42" s="185" t="s">
        <v>1789</v>
      </c>
      <c r="Z42"/>
    </row>
    <row r="43" spans="1:26">
      <c r="A43" s="185" t="s">
        <v>1859</v>
      </c>
      <c r="B43" s="185" t="s">
        <v>1860</v>
      </c>
      <c r="C43" s="185" t="s">
        <v>1792</v>
      </c>
      <c r="D43" s="185" t="s">
        <v>1861</v>
      </c>
      <c r="E43" s="185">
        <v>23359502</v>
      </c>
      <c r="F43" s="185" t="s">
        <v>547</v>
      </c>
      <c r="G43" s="185" t="s">
        <v>1862</v>
      </c>
      <c r="H43" s="185" t="s">
        <v>1628</v>
      </c>
      <c r="I43" s="258" t="str">
        <f t="shared" si="1"/>
        <v>2</v>
      </c>
      <c r="J43" s="221">
        <f t="shared" si="2"/>
        <v>-122016</v>
      </c>
      <c r="K43" s="258">
        <f t="shared" si="3"/>
        <v>1</v>
      </c>
      <c r="L43" s="188">
        <v>0</v>
      </c>
      <c r="M43" s="188">
        <v>122016</v>
      </c>
      <c r="N43" s="189">
        <v>900424409</v>
      </c>
      <c r="O43" t="s">
        <v>1863</v>
      </c>
      <c r="P43" s="187">
        <v>44957.843692129602</v>
      </c>
      <c r="Q43" s="186">
        <v>6160</v>
      </c>
      <c r="R43" s="185" t="s">
        <v>844</v>
      </c>
      <c r="S43" s="185" t="s">
        <v>1598</v>
      </c>
      <c r="T43"/>
      <c r="U43" t="str">
        <f>IF($L43&gt;0,VLOOKUP($E43,Valida!$A$1:$G$270,6,FALSE),IF($M43&gt;=0,VLOOKUP($E43,Valida!$A$1:$G$270,7,FALSE)))</f>
        <v>(+/-) Ajustes por el incremento (disminución) de cuentas por pagar de origen comercial</v>
      </c>
      <c r="V43" s="190" t="str">
        <f>VLOOKUP(E43,Valida!$A$2:$K$271,4,FALSE)</f>
        <v>Trade and other payables</v>
      </c>
      <c r="W43" s="185" t="s">
        <v>1864</v>
      </c>
      <c r="X43" s="185" t="s">
        <v>1865</v>
      </c>
      <c r="Y43" s="185" t="s">
        <v>1789</v>
      </c>
      <c r="Z43"/>
    </row>
    <row r="44" spans="1:26">
      <c r="A44" s="185" t="s">
        <v>1859</v>
      </c>
      <c r="B44" s="185" t="s">
        <v>1860</v>
      </c>
      <c r="C44" s="185" t="s">
        <v>1792</v>
      </c>
      <c r="D44" s="185" t="s">
        <v>1861</v>
      </c>
      <c r="E44" s="185">
        <v>23653002</v>
      </c>
      <c r="F44" s="185" t="s">
        <v>241</v>
      </c>
      <c r="G44" s="185" t="s">
        <v>1867</v>
      </c>
      <c r="H44" s="185" t="s">
        <v>1628</v>
      </c>
      <c r="I44" s="258" t="str">
        <f t="shared" si="1"/>
        <v>2</v>
      </c>
      <c r="J44" s="221">
        <f t="shared" si="2"/>
        <v>-4280</v>
      </c>
      <c r="K44" s="258">
        <f t="shared" si="3"/>
        <v>1</v>
      </c>
      <c r="L44" s="188">
        <v>0</v>
      </c>
      <c r="M44" s="188">
        <v>4280</v>
      </c>
      <c r="N44" s="189">
        <v>900424409</v>
      </c>
      <c r="O44" t="s">
        <v>1863</v>
      </c>
      <c r="P44" s="187">
        <v>44957.843692129602</v>
      </c>
      <c r="Q44" s="186">
        <v>6161</v>
      </c>
      <c r="R44" s="185" t="s">
        <v>844</v>
      </c>
      <c r="S44" s="185" t="s">
        <v>1598</v>
      </c>
      <c r="T44"/>
      <c r="U44" t="str">
        <f>IF($L44&gt;0,VLOOKUP($E44,Valida!$A$1:$G$270,6,FALSE),IF($M44&gt;=0,VLOOKUP($E44,Valida!$A$1:$G$270,7,FALSE)))</f>
        <v>(+/-) Ajustes por el incremento (disminución) de cuentas por pagar de origen comercial</v>
      </c>
      <c r="V44" s="190" t="str">
        <f>VLOOKUP(E44,Valida!$A$2:$K$271,4,FALSE)</f>
        <v>Trade and other payables</v>
      </c>
      <c r="W44" s="185" t="s">
        <v>1864</v>
      </c>
      <c r="X44" s="185" t="s">
        <v>1865</v>
      </c>
      <c r="Y44" s="185" t="s">
        <v>1789</v>
      </c>
      <c r="Z44"/>
    </row>
    <row r="45" spans="1:26">
      <c r="A45" s="185" t="s">
        <v>1859</v>
      </c>
      <c r="B45" s="185" t="s">
        <v>1860</v>
      </c>
      <c r="C45" s="185" t="s">
        <v>1792</v>
      </c>
      <c r="D45" s="185" t="s">
        <v>1861</v>
      </c>
      <c r="E45" s="185">
        <v>23680503</v>
      </c>
      <c r="F45" s="185" t="s">
        <v>665</v>
      </c>
      <c r="G45" s="185" t="s">
        <v>1868</v>
      </c>
      <c r="H45" s="185" t="s">
        <v>1628</v>
      </c>
      <c r="I45" s="258" t="str">
        <f t="shared" si="1"/>
        <v>2</v>
      </c>
      <c r="J45" s="221">
        <f t="shared" si="2"/>
        <v>-1034</v>
      </c>
      <c r="K45" s="258">
        <f t="shared" si="3"/>
        <v>1</v>
      </c>
      <c r="L45" s="188">
        <v>0</v>
      </c>
      <c r="M45" s="188">
        <v>1034</v>
      </c>
      <c r="N45" s="189">
        <v>900424409</v>
      </c>
      <c r="O45" t="s">
        <v>1863</v>
      </c>
      <c r="P45" s="187">
        <v>44957.843692129602</v>
      </c>
      <c r="Q45" s="186">
        <v>6162</v>
      </c>
      <c r="R45" s="185" t="s">
        <v>844</v>
      </c>
      <c r="S45" s="185" t="s">
        <v>1598</v>
      </c>
      <c r="T45"/>
      <c r="U45" t="str">
        <f>IF($L45&gt;0,VLOOKUP($E45,Valida!$A$1:$G$270,6,FALSE),IF($M45&gt;=0,VLOOKUP($E45,Valida!$A$1:$G$270,7,FALSE)))</f>
        <v>(+/-) Ajustes por el incremento (disminución) de cuentas por pagar de origen comercial</v>
      </c>
      <c r="V45" s="190" t="str">
        <f>VLOOKUP(E45,Valida!$A$2:$K$271,4,FALSE)</f>
        <v>Trade and other payables</v>
      </c>
      <c r="W45" s="185" t="s">
        <v>1864</v>
      </c>
      <c r="X45" s="185" t="s">
        <v>1865</v>
      </c>
      <c r="Y45" s="185" t="s">
        <v>1789</v>
      </c>
      <c r="Z45"/>
    </row>
    <row r="46" spans="1:26">
      <c r="A46" s="185" t="s">
        <v>1869</v>
      </c>
      <c r="B46" s="185" t="s">
        <v>1870</v>
      </c>
      <c r="C46" s="185" t="s">
        <v>1792</v>
      </c>
      <c r="D46" s="185" t="s">
        <v>1871</v>
      </c>
      <c r="E46" s="185">
        <v>51350501</v>
      </c>
      <c r="F46" s="185" t="s">
        <v>1256</v>
      </c>
      <c r="G46" s="185" t="s">
        <v>1794</v>
      </c>
      <c r="H46" s="185" t="s">
        <v>1515</v>
      </c>
      <c r="I46" s="258" t="str">
        <f t="shared" si="1"/>
        <v>5</v>
      </c>
      <c r="J46" s="221">
        <f t="shared" si="2"/>
        <v>1984765</v>
      </c>
      <c r="K46" s="258">
        <f t="shared" si="3"/>
        <v>1</v>
      </c>
      <c r="L46" s="188">
        <v>1984765</v>
      </c>
      <c r="M46" s="188">
        <v>0</v>
      </c>
      <c r="N46" s="189">
        <v>900994552</v>
      </c>
      <c r="O46" t="s">
        <v>1872</v>
      </c>
      <c r="P46" s="187">
        <v>44957.848252314798</v>
      </c>
      <c r="Q46" s="186">
        <v>6163</v>
      </c>
      <c r="R46" s="185" t="s">
        <v>844</v>
      </c>
      <c r="S46" s="185" t="s">
        <v>1606</v>
      </c>
      <c r="T46"/>
      <c r="U46" t="str">
        <f>IF($L46&gt;0,VLOOKUP($E46,Valida!$A$1:$G$270,6,FALSE),IF($M46&gt;=0,VLOOKUP($E46,Valida!$A$1:$G$270,7,FALSE)))</f>
        <v>(+/-) Ganancia (pérdida)</v>
      </c>
      <c r="V46" s="190" t="str">
        <f>VLOOKUP(E46,Valida!$A$2:$K$271,4,FALSE)</f>
        <v>P&amp;L</v>
      </c>
      <c r="W46" s="185" t="s">
        <v>1796</v>
      </c>
      <c r="X46" s="185" t="s">
        <v>1797</v>
      </c>
      <c r="Y46" s="185" t="s">
        <v>1789</v>
      </c>
      <c r="Z46"/>
    </row>
    <row r="47" spans="1:26">
      <c r="A47" s="185" t="s">
        <v>1869</v>
      </c>
      <c r="B47" s="185" t="s">
        <v>1870</v>
      </c>
      <c r="C47" s="185" t="s">
        <v>1792</v>
      </c>
      <c r="D47" s="185" t="s">
        <v>1871</v>
      </c>
      <c r="E47" s="185">
        <v>51350501</v>
      </c>
      <c r="F47" s="185" t="s">
        <v>1256</v>
      </c>
      <c r="G47" s="185" t="s">
        <v>1794</v>
      </c>
      <c r="H47" s="185" t="s">
        <v>1515</v>
      </c>
      <c r="I47" s="258" t="str">
        <f t="shared" si="1"/>
        <v>5</v>
      </c>
      <c r="J47" s="221">
        <f t="shared" si="2"/>
        <v>198477</v>
      </c>
      <c r="K47" s="258">
        <f t="shared" si="3"/>
        <v>1</v>
      </c>
      <c r="L47" s="188">
        <v>198477</v>
      </c>
      <c r="M47" s="188">
        <v>0</v>
      </c>
      <c r="N47" s="189">
        <v>900994552</v>
      </c>
      <c r="O47" t="s">
        <v>1872</v>
      </c>
      <c r="P47" s="187">
        <v>44957.848252314798</v>
      </c>
      <c r="Q47" s="186">
        <v>6164</v>
      </c>
      <c r="R47" s="185" t="s">
        <v>844</v>
      </c>
      <c r="S47" s="185" t="s">
        <v>1606</v>
      </c>
      <c r="T47"/>
      <c r="U47" t="str">
        <f>IF($L47&gt;0,VLOOKUP($E47,Valida!$A$1:$G$270,6,FALSE),IF($M47&gt;=0,VLOOKUP($E47,Valida!$A$1:$G$270,7,FALSE)))</f>
        <v>(+/-) Ganancia (pérdida)</v>
      </c>
      <c r="V47" s="190" t="str">
        <f>VLOOKUP(E47,Valida!$A$2:$K$271,4,FALSE)</f>
        <v>P&amp;L</v>
      </c>
      <c r="W47" s="185" t="s">
        <v>1796</v>
      </c>
      <c r="X47" s="185" t="s">
        <v>1797</v>
      </c>
      <c r="Y47" s="185" t="s">
        <v>1789</v>
      </c>
      <c r="Z47"/>
    </row>
    <row r="48" spans="1:26">
      <c r="A48" s="185" t="s">
        <v>1869</v>
      </c>
      <c r="B48" s="185" t="s">
        <v>1870</v>
      </c>
      <c r="C48" s="185" t="s">
        <v>1792</v>
      </c>
      <c r="D48" s="185" t="s">
        <v>1871</v>
      </c>
      <c r="E48" s="185">
        <v>24081002</v>
      </c>
      <c r="F48" s="185" t="s">
        <v>1687</v>
      </c>
      <c r="G48" s="185" t="s">
        <v>1794</v>
      </c>
      <c r="H48" s="185" t="s">
        <v>1515</v>
      </c>
      <c r="I48" s="258" t="str">
        <f t="shared" si="1"/>
        <v>2</v>
      </c>
      <c r="J48" s="221">
        <f t="shared" si="2"/>
        <v>37711</v>
      </c>
      <c r="K48" s="258">
        <f t="shared" si="3"/>
        <v>1</v>
      </c>
      <c r="L48" s="188">
        <v>37711</v>
      </c>
      <c r="M48" s="188">
        <v>0</v>
      </c>
      <c r="N48" s="189">
        <v>900994552</v>
      </c>
      <c r="O48" t="s">
        <v>1872</v>
      </c>
      <c r="P48" s="187">
        <v>44957.848252314798</v>
      </c>
      <c r="Q48" s="186">
        <v>6165</v>
      </c>
      <c r="R48" s="185" t="s">
        <v>844</v>
      </c>
      <c r="S48" s="185" t="s">
        <v>1606</v>
      </c>
      <c r="T48"/>
      <c r="U48" t="str">
        <f>IF($L48&gt;0,VLOOKUP($E48,Valida!$A$1:$G$270,6,FALSE),IF($M48&gt;=0,VLOOKUP($E48,Valida!$A$1:$G$270,7,FALSE)))</f>
        <v>(+/-) Ajustes por el incremento (disminución) de cuentas por pagar de origen comercial</v>
      </c>
      <c r="V48" s="190" t="str">
        <f>VLOOKUP(E48,Valida!$A$2:$K$271,4,FALSE)</f>
        <v>Trade and other payables</v>
      </c>
      <c r="W48" s="185" t="s">
        <v>1796</v>
      </c>
      <c r="X48" s="185" t="s">
        <v>1797</v>
      </c>
      <c r="Y48" s="185" t="s">
        <v>1789</v>
      </c>
      <c r="Z48"/>
    </row>
    <row r="49" spans="1:26">
      <c r="A49" s="185" t="s">
        <v>1869</v>
      </c>
      <c r="B49" s="185" t="s">
        <v>1870</v>
      </c>
      <c r="C49" s="185" t="s">
        <v>1792</v>
      </c>
      <c r="D49" s="185" t="s">
        <v>1871</v>
      </c>
      <c r="E49" s="185">
        <v>23355004</v>
      </c>
      <c r="F49" s="185" t="s">
        <v>513</v>
      </c>
      <c r="G49" s="185" t="s">
        <v>1794</v>
      </c>
      <c r="H49" s="185" t="s">
        <v>1628</v>
      </c>
      <c r="I49" s="258" t="str">
        <f t="shared" si="1"/>
        <v>2</v>
      </c>
      <c r="J49" s="221">
        <f t="shared" si="2"/>
        <v>-2220953</v>
      </c>
      <c r="K49" s="258">
        <f t="shared" si="3"/>
        <v>1</v>
      </c>
      <c r="L49" s="188">
        <v>0</v>
      </c>
      <c r="M49" s="188">
        <v>2220953</v>
      </c>
      <c r="N49" s="189">
        <v>900994552</v>
      </c>
      <c r="O49" t="s">
        <v>1872</v>
      </c>
      <c r="P49" s="187">
        <v>44957.848252314798</v>
      </c>
      <c r="Q49" s="186">
        <v>6166</v>
      </c>
      <c r="R49" s="185" t="s">
        <v>844</v>
      </c>
      <c r="S49" s="185" t="s">
        <v>1606</v>
      </c>
      <c r="T49"/>
      <c r="U49" t="str">
        <f>IF($L49&gt;0,VLOOKUP($E49,Valida!$A$1:$G$270,6,FALSE),IF($M49&gt;=0,VLOOKUP($E49,Valida!$A$1:$G$270,7,FALSE)))</f>
        <v>(+/-) Ajustes por el incremento (disminución) de cuentas por pagar de origen comercial</v>
      </c>
      <c r="V49" s="190" t="str">
        <f>VLOOKUP(E49,Valida!$A$2:$K$271,4,FALSE)</f>
        <v>Trade and other payables</v>
      </c>
      <c r="W49" s="185" t="s">
        <v>1796</v>
      </c>
      <c r="X49" s="185" t="s">
        <v>1797</v>
      </c>
      <c r="Y49" s="185" t="s">
        <v>1789</v>
      </c>
      <c r="Z49"/>
    </row>
    <row r="50" spans="1:26">
      <c r="A50" s="185" t="s">
        <v>1873</v>
      </c>
      <c r="B50" s="185" t="s">
        <v>1874</v>
      </c>
      <c r="C50" s="185" t="s">
        <v>1792</v>
      </c>
      <c r="D50" s="185" t="s">
        <v>1875</v>
      </c>
      <c r="E50" s="185">
        <v>51953001</v>
      </c>
      <c r="F50" s="185" t="s">
        <v>1418</v>
      </c>
      <c r="G50" s="185" t="s">
        <v>1876</v>
      </c>
      <c r="H50" s="185" t="s">
        <v>1515</v>
      </c>
      <c r="I50" s="258" t="str">
        <f t="shared" si="1"/>
        <v>5</v>
      </c>
      <c r="J50" s="221">
        <f t="shared" si="2"/>
        <v>429100</v>
      </c>
      <c r="K50" s="258">
        <f t="shared" si="3"/>
        <v>1</v>
      </c>
      <c r="L50" s="188">
        <v>429100</v>
      </c>
      <c r="M50" s="188">
        <v>0</v>
      </c>
      <c r="N50" s="189">
        <v>901051438</v>
      </c>
      <c r="O50" t="s">
        <v>1877</v>
      </c>
      <c r="P50" s="187">
        <v>44957.8516550926</v>
      </c>
      <c r="Q50" s="186">
        <v>6167</v>
      </c>
      <c r="R50" s="185" t="s">
        <v>1841</v>
      </c>
      <c r="S50" s="185" t="s">
        <v>1608</v>
      </c>
      <c r="T50"/>
      <c r="U50" t="str">
        <f>IF($L50&gt;0,VLOOKUP($E50,Valida!$A$1:$G$270,6,FALSE),IF($M50&gt;=0,VLOOKUP($E50,Valida!$A$1:$G$270,7,FALSE)))</f>
        <v>(+/-) Ganancia (pérdida)</v>
      </c>
      <c r="V50" s="190" t="str">
        <f>VLOOKUP(E50,Valida!$A$2:$K$271,4,FALSE)</f>
        <v>P&amp;L</v>
      </c>
      <c r="W50" s="185" t="s">
        <v>1878</v>
      </c>
      <c r="X50" s="185" t="s">
        <v>1879</v>
      </c>
      <c r="Y50" s="185" t="s">
        <v>1789</v>
      </c>
      <c r="Z50"/>
    </row>
    <row r="51" spans="1:26">
      <c r="A51" s="185" t="s">
        <v>1873</v>
      </c>
      <c r="B51" s="185" t="s">
        <v>1874</v>
      </c>
      <c r="C51" s="185" t="s">
        <v>1792</v>
      </c>
      <c r="D51" s="185" t="s">
        <v>1875</v>
      </c>
      <c r="E51" s="185">
        <v>24081001</v>
      </c>
      <c r="F51" s="185" t="s">
        <v>1670</v>
      </c>
      <c r="G51" s="185" t="s">
        <v>1880</v>
      </c>
      <c r="H51" s="185" t="s">
        <v>1515</v>
      </c>
      <c r="I51" s="258" t="str">
        <f t="shared" si="1"/>
        <v>2</v>
      </c>
      <c r="J51" s="221">
        <f t="shared" si="2"/>
        <v>81529</v>
      </c>
      <c r="K51" s="258">
        <f t="shared" si="3"/>
        <v>1</v>
      </c>
      <c r="L51" s="188">
        <v>81529</v>
      </c>
      <c r="M51" s="188">
        <v>0</v>
      </c>
      <c r="N51" s="189">
        <v>901051438</v>
      </c>
      <c r="O51" t="s">
        <v>1877</v>
      </c>
      <c r="P51" s="187">
        <v>44957.8516550926</v>
      </c>
      <c r="Q51" s="186">
        <v>6168</v>
      </c>
      <c r="R51" s="185" t="s">
        <v>1841</v>
      </c>
      <c r="S51" s="185" t="s">
        <v>1608</v>
      </c>
      <c r="T51"/>
      <c r="U51" t="str">
        <f>IF($L51&gt;0,VLOOKUP($E51,Valida!$A$1:$G$270,6,FALSE),IF($M51&gt;=0,VLOOKUP($E51,Valida!$A$1:$G$270,7,FALSE)))</f>
        <v>(+/-) Ajustes por el incremento (disminución) de cuentas por pagar de origen comercial</v>
      </c>
      <c r="V51" s="190" t="str">
        <f>VLOOKUP(E51,Valida!$A$2:$K$271,4,FALSE)</f>
        <v>Trade and other payables</v>
      </c>
      <c r="W51" s="185" t="s">
        <v>1878</v>
      </c>
      <c r="X51" s="185" t="s">
        <v>1879</v>
      </c>
      <c r="Y51" s="185" t="s">
        <v>1789</v>
      </c>
      <c r="Z51"/>
    </row>
    <row r="52" spans="1:26">
      <c r="A52" s="185" t="s">
        <v>1873</v>
      </c>
      <c r="B52" s="185" t="s">
        <v>1874</v>
      </c>
      <c r="C52" s="185" t="s">
        <v>1792</v>
      </c>
      <c r="D52" s="185" t="s">
        <v>1875</v>
      </c>
      <c r="E52" s="185">
        <v>23359505</v>
      </c>
      <c r="F52" s="185" t="s">
        <v>557</v>
      </c>
      <c r="G52" s="185" t="s">
        <v>1876</v>
      </c>
      <c r="H52" s="185" t="s">
        <v>1628</v>
      </c>
      <c r="I52" s="258" t="str">
        <f t="shared" si="1"/>
        <v>2</v>
      </c>
      <c r="J52" s="221">
        <f t="shared" si="2"/>
        <v>-510629</v>
      </c>
      <c r="K52" s="258">
        <f t="shared" si="3"/>
        <v>1</v>
      </c>
      <c r="L52" s="188">
        <v>0</v>
      </c>
      <c r="M52" s="188">
        <v>510629</v>
      </c>
      <c r="N52" s="189">
        <v>901051438</v>
      </c>
      <c r="O52" t="s">
        <v>1877</v>
      </c>
      <c r="P52" s="187">
        <v>44957.8516550926</v>
      </c>
      <c r="Q52" s="186">
        <v>6169</v>
      </c>
      <c r="R52" s="185" t="s">
        <v>1841</v>
      </c>
      <c r="S52" s="185" t="s">
        <v>1608</v>
      </c>
      <c r="T52"/>
      <c r="U52" t="str">
        <f>IF($L52&gt;0,VLOOKUP($E52,Valida!$A$1:$G$270,6,FALSE),IF($M52&gt;=0,VLOOKUP($E52,Valida!$A$1:$G$270,7,FALSE)))</f>
        <v>(+/-) Ajustes por el incremento (disminución) de cuentas por pagar de origen comercial</v>
      </c>
      <c r="V52" s="190" t="str">
        <f>VLOOKUP(E52,Valida!$A$2:$K$271,4,FALSE)</f>
        <v>Trade and other payables</v>
      </c>
      <c r="W52" s="185" t="s">
        <v>1878</v>
      </c>
      <c r="X52" s="185" t="s">
        <v>1879</v>
      </c>
      <c r="Y52" s="185" t="s">
        <v>1789</v>
      </c>
      <c r="Z52"/>
    </row>
    <row r="53" spans="1:26">
      <c r="A53" s="185" t="s">
        <v>1873</v>
      </c>
      <c r="B53" s="185" t="s">
        <v>1881</v>
      </c>
      <c r="C53" s="185" t="s">
        <v>1792</v>
      </c>
      <c r="D53" s="185" t="s">
        <v>1882</v>
      </c>
      <c r="E53" s="185">
        <v>51952501</v>
      </c>
      <c r="F53" s="185" t="s">
        <v>1412</v>
      </c>
      <c r="G53" s="185" t="s">
        <v>1883</v>
      </c>
      <c r="H53" s="185" t="s">
        <v>1515</v>
      </c>
      <c r="I53" s="258" t="str">
        <f t="shared" si="1"/>
        <v>5</v>
      </c>
      <c r="J53" s="221">
        <f t="shared" si="2"/>
        <v>2301500</v>
      </c>
      <c r="K53" s="258">
        <f t="shared" si="3"/>
        <v>1</v>
      </c>
      <c r="L53" s="188">
        <v>2301500</v>
      </c>
      <c r="M53" s="188">
        <v>0</v>
      </c>
      <c r="N53" s="189">
        <v>52976572</v>
      </c>
      <c r="O53" t="s">
        <v>1834</v>
      </c>
      <c r="P53" s="187">
        <v>44957.8927430556</v>
      </c>
      <c r="Q53" s="186">
        <v>6170</v>
      </c>
      <c r="R53" s="185"/>
      <c r="S53" s="185" t="s">
        <v>1552</v>
      </c>
      <c r="T53"/>
      <c r="U53" t="str">
        <f>IF($L53&gt;0,VLOOKUP($E53,Valida!$A$1:$G$270,6,FALSE),IF($M53&gt;=0,VLOOKUP($E53,Valida!$A$1:$G$270,7,FALSE)))</f>
        <v>(+/-) Ganancia (pérdida)</v>
      </c>
      <c r="V53" s="190" t="str">
        <f>VLOOKUP(E53,Valida!$A$2:$K$271,4,FALSE)</f>
        <v>P&amp;L</v>
      </c>
      <c r="W53" s="185" t="s">
        <v>1884</v>
      </c>
      <c r="X53" s="185"/>
      <c r="Y53" s="185" t="s">
        <v>1789</v>
      </c>
      <c r="Z53"/>
    </row>
    <row r="54" spans="1:26">
      <c r="A54" s="185" t="s">
        <v>1873</v>
      </c>
      <c r="B54" s="185" t="s">
        <v>1881</v>
      </c>
      <c r="C54" s="185" t="s">
        <v>1792</v>
      </c>
      <c r="D54" s="185" t="s">
        <v>1882</v>
      </c>
      <c r="E54" s="185">
        <v>23654001</v>
      </c>
      <c r="F54" s="185" t="s">
        <v>622</v>
      </c>
      <c r="G54" s="185" t="s">
        <v>1883</v>
      </c>
      <c r="H54" s="185" t="s">
        <v>1628</v>
      </c>
      <c r="I54" s="258" t="str">
        <f t="shared" si="1"/>
        <v>2</v>
      </c>
      <c r="J54" s="221">
        <f t="shared" si="2"/>
        <v>-57538</v>
      </c>
      <c r="K54" s="258">
        <f t="shared" si="3"/>
        <v>1</v>
      </c>
      <c r="L54" s="188">
        <v>0</v>
      </c>
      <c r="M54" s="188">
        <v>57538</v>
      </c>
      <c r="N54" s="189">
        <v>52976572</v>
      </c>
      <c r="O54" t="s">
        <v>1834</v>
      </c>
      <c r="P54" s="187">
        <v>44957.892754629604</v>
      </c>
      <c r="Q54" s="186">
        <v>6171</v>
      </c>
      <c r="R54" s="185"/>
      <c r="S54" s="185" t="s">
        <v>1552</v>
      </c>
      <c r="T54"/>
      <c r="U54" t="str">
        <f>IF($L54&gt;0,VLOOKUP($E54,Valida!$A$1:$G$270,6,FALSE),IF($M54&gt;=0,VLOOKUP($E54,Valida!$A$1:$G$270,7,FALSE)))</f>
        <v>(+/-) Ajustes por el incremento (disminución) de cuentas por pagar de origen comercial</v>
      </c>
      <c r="V54" s="190" t="str">
        <f>VLOOKUP(E54,Valida!$A$2:$K$271,4,FALSE)</f>
        <v>Trade and other payables</v>
      </c>
      <c r="W54" s="185" t="s">
        <v>1884</v>
      </c>
      <c r="X54" s="185"/>
      <c r="Y54" s="185" t="s">
        <v>1789</v>
      </c>
      <c r="Z54"/>
    </row>
    <row r="55" spans="1:26">
      <c r="A55" s="185" t="s">
        <v>1873</v>
      </c>
      <c r="B55" s="185" t="s">
        <v>1881</v>
      </c>
      <c r="C55" s="185" t="s">
        <v>1792</v>
      </c>
      <c r="D55" s="185" t="s">
        <v>1882</v>
      </c>
      <c r="E55" s="185">
        <v>23680502</v>
      </c>
      <c r="F55" s="185" t="s">
        <v>662</v>
      </c>
      <c r="G55" s="185" t="s">
        <v>1883</v>
      </c>
      <c r="H55" s="185" t="s">
        <v>1628</v>
      </c>
      <c r="I55" s="258" t="str">
        <f t="shared" si="1"/>
        <v>2</v>
      </c>
      <c r="J55" s="221">
        <f t="shared" si="2"/>
        <v>-15880</v>
      </c>
      <c r="K55" s="258">
        <f t="shared" si="3"/>
        <v>1</v>
      </c>
      <c r="L55" s="188">
        <v>0</v>
      </c>
      <c r="M55" s="188">
        <v>15880</v>
      </c>
      <c r="N55" s="189">
        <v>52976572</v>
      </c>
      <c r="O55" t="s">
        <v>1834</v>
      </c>
      <c r="P55" s="187">
        <v>44957.892754629604</v>
      </c>
      <c r="Q55" s="186">
        <v>6172</v>
      </c>
      <c r="R55" s="185"/>
      <c r="S55" s="185" t="s">
        <v>1552</v>
      </c>
      <c r="T55"/>
      <c r="U55" t="str">
        <f>IF($L55&gt;0,VLOOKUP($E55,Valida!$A$1:$G$270,6,FALSE),IF($M55&gt;=0,VLOOKUP($E55,Valida!$A$1:$G$270,7,FALSE)))</f>
        <v>(+/-) Ajustes por el incremento (disminución) de cuentas por pagar de origen comercial</v>
      </c>
      <c r="V55" s="190" t="str">
        <f>VLOOKUP(E55,Valida!$A$2:$K$271,4,FALSE)</f>
        <v>Trade and other payables</v>
      </c>
      <c r="W55" s="185" t="s">
        <v>1884</v>
      </c>
      <c r="X55" s="185"/>
      <c r="Y55" s="185" t="s">
        <v>1789</v>
      </c>
      <c r="Z55"/>
    </row>
    <row r="56" spans="1:26">
      <c r="A56" s="185" t="s">
        <v>1873</v>
      </c>
      <c r="B56" s="185" t="s">
        <v>1881</v>
      </c>
      <c r="C56" s="185" t="s">
        <v>1792</v>
      </c>
      <c r="D56" s="185" t="s">
        <v>1882</v>
      </c>
      <c r="E56" s="185">
        <v>23359502</v>
      </c>
      <c r="F56" s="185" t="s">
        <v>547</v>
      </c>
      <c r="G56" s="185" t="s">
        <v>1883</v>
      </c>
      <c r="H56" s="185" t="s">
        <v>1628</v>
      </c>
      <c r="I56" s="258" t="str">
        <f t="shared" si="1"/>
        <v>2</v>
      </c>
      <c r="J56" s="221">
        <f t="shared" si="2"/>
        <v>-2228082</v>
      </c>
      <c r="K56" s="258">
        <f t="shared" si="3"/>
        <v>1</v>
      </c>
      <c r="L56" s="188">
        <v>0</v>
      </c>
      <c r="M56" s="188">
        <v>2228082</v>
      </c>
      <c r="N56" s="189">
        <v>52976572</v>
      </c>
      <c r="O56" t="s">
        <v>1834</v>
      </c>
      <c r="P56" s="187">
        <v>44957.892754629604</v>
      </c>
      <c r="Q56" s="186">
        <v>6173</v>
      </c>
      <c r="R56" s="185"/>
      <c r="S56" s="185" t="s">
        <v>1552</v>
      </c>
      <c r="T56"/>
      <c r="U56" t="str">
        <f>IF($L56&gt;0,VLOOKUP($E56,Valida!$A$1:$G$270,6,FALSE),IF($M56&gt;=0,VLOOKUP($E56,Valida!$A$1:$G$270,7,FALSE)))</f>
        <v>(+/-) Ajustes por el incremento (disminución) de cuentas por pagar de origen comercial</v>
      </c>
      <c r="V56" s="190" t="str">
        <f>VLOOKUP(E56,Valida!$A$2:$K$271,4,FALSE)</f>
        <v>Trade and other payables</v>
      </c>
      <c r="W56" s="185" t="s">
        <v>1884</v>
      </c>
      <c r="X56" s="185"/>
      <c r="Y56" s="185" t="s">
        <v>1789</v>
      </c>
      <c r="Z56"/>
    </row>
    <row r="57" spans="1:26">
      <c r="A57" s="185" t="s">
        <v>1783</v>
      </c>
      <c r="B57" s="185" t="s">
        <v>1885</v>
      </c>
      <c r="C57" s="185" t="s">
        <v>1792</v>
      </c>
      <c r="D57" s="185" t="s">
        <v>1886</v>
      </c>
      <c r="E57" s="185">
        <v>51352001</v>
      </c>
      <c r="F57" s="185" t="s">
        <v>1267</v>
      </c>
      <c r="G57" s="185" t="s">
        <v>1267</v>
      </c>
      <c r="H57" s="185" t="s">
        <v>1515</v>
      </c>
      <c r="I57" s="258" t="str">
        <f t="shared" si="1"/>
        <v>5</v>
      </c>
      <c r="J57" s="221">
        <f t="shared" si="2"/>
        <v>112080.15</v>
      </c>
      <c r="K57" s="258">
        <f t="shared" si="3"/>
        <v>1</v>
      </c>
      <c r="L57" s="188">
        <v>112080.15</v>
      </c>
      <c r="M57" s="188">
        <v>0</v>
      </c>
      <c r="N57" s="189">
        <v>440493581</v>
      </c>
      <c r="O57" t="s">
        <v>1887</v>
      </c>
      <c r="P57" s="187">
        <v>44959.342476851903</v>
      </c>
      <c r="Q57" s="186">
        <v>6174</v>
      </c>
      <c r="R57" s="185"/>
      <c r="S57" s="185" t="s">
        <v>1546</v>
      </c>
      <c r="T57"/>
      <c r="U57" t="str">
        <f>IF($L57&gt;0,VLOOKUP($E57,Valida!$A$1:$G$270,6,FALSE),IF($M57&gt;=0,VLOOKUP($E57,Valida!$A$1:$G$270,7,FALSE)))</f>
        <v>(+/-) Ganancia (pérdida)</v>
      </c>
      <c r="V57" s="190" t="str">
        <f>VLOOKUP(E57,Valida!$A$2:$K$271,4,FALSE)</f>
        <v>P&amp;L</v>
      </c>
      <c r="W57" s="185" t="s">
        <v>1808</v>
      </c>
      <c r="X57" s="185"/>
      <c r="Y57" s="185"/>
      <c r="Z57"/>
    </row>
    <row r="58" spans="1:26">
      <c r="A58" s="185" t="s">
        <v>1783</v>
      </c>
      <c r="B58" s="185" t="s">
        <v>1885</v>
      </c>
      <c r="C58" s="185" t="s">
        <v>1792</v>
      </c>
      <c r="D58" s="185" t="s">
        <v>1886</v>
      </c>
      <c r="E58" s="185">
        <v>23355002</v>
      </c>
      <c r="F58" s="185" t="s">
        <v>506</v>
      </c>
      <c r="G58" s="185" t="s">
        <v>1267</v>
      </c>
      <c r="H58" s="185" t="s">
        <v>1628</v>
      </c>
      <c r="I58" s="258" t="str">
        <f t="shared" si="1"/>
        <v>2</v>
      </c>
      <c r="J58" s="221">
        <f t="shared" si="2"/>
        <v>-112080.15</v>
      </c>
      <c r="K58" s="258">
        <f t="shared" si="3"/>
        <v>1</v>
      </c>
      <c r="L58" s="188">
        <v>0</v>
      </c>
      <c r="M58" s="188">
        <v>112080.15</v>
      </c>
      <c r="N58" s="189">
        <v>440493581</v>
      </c>
      <c r="O58" t="s">
        <v>1887</v>
      </c>
      <c r="P58" s="187">
        <v>44959.3424884259</v>
      </c>
      <c r="Q58" s="186">
        <v>6175</v>
      </c>
      <c r="R58" s="185"/>
      <c r="S58" s="185" t="s">
        <v>1546</v>
      </c>
      <c r="T58"/>
      <c r="U58" t="str">
        <f>IF($L58&gt;0,VLOOKUP($E58,Valida!$A$1:$G$270,6,FALSE),IF($M58&gt;=0,VLOOKUP($E58,Valida!$A$1:$G$270,7,FALSE)))</f>
        <v>(+/-) Ajustes por el incremento (disminución) de cuentas por pagar de origen comercial</v>
      </c>
      <c r="V58" s="190" t="str">
        <f>VLOOKUP(E58,Valida!$A$2:$K$271,4,FALSE)</f>
        <v>Trade and other payables</v>
      </c>
      <c r="W58" s="185" t="s">
        <v>1808</v>
      </c>
      <c r="X58" s="185"/>
      <c r="Y58" s="185"/>
      <c r="Z58"/>
    </row>
    <row r="59" spans="1:26">
      <c r="A59" s="185" t="s">
        <v>1888</v>
      </c>
      <c r="B59" s="185" t="s">
        <v>1889</v>
      </c>
      <c r="C59" s="185" t="s">
        <v>1890</v>
      </c>
      <c r="D59" s="185" t="s">
        <v>1891</v>
      </c>
      <c r="E59" s="185">
        <v>241205</v>
      </c>
      <c r="F59" s="185" t="s">
        <v>732</v>
      </c>
      <c r="G59" s="185" t="s">
        <v>1892</v>
      </c>
      <c r="H59" s="185" t="s">
        <v>1515</v>
      </c>
      <c r="I59" s="258" t="str">
        <f t="shared" si="1"/>
        <v>2</v>
      </c>
      <c r="J59" s="221">
        <f t="shared" si="2"/>
        <v>98000</v>
      </c>
      <c r="K59" s="258">
        <f t="shared" si="3"/>
        <v>2</v>
      </c>
      <c r="L59" s="188">
        <v>98000</v>
      </c>
      <c r="M59" s="188">
        <v>0</v>
      </c>
      <c r="N59" s="189">
        <v>899999061</v>
      </c>
      <c r="O59" t="s">
        <v>1889</v>
      </c>
      <c r="P59" s="187">
        <v>44984.865497685198</v>
      </c>
      <c r="Q59" s="186">
        <v>7846</v>
      </c>
      <c r="R59" s="185"/>
      <c r="S59" s="185" t="s">
        <v>1584</v>
      </c>
      <c r="T59"/>
      <c r="U59" t="str">
        <f>IF($L59&gt;0,VLOOKUP($E59,Valida!$A$1:$G$270,6,FALSE),IF($M59&gt;=0,VLOOKUP($E59,Valida!$A$1:$G$270,7,FALSE)))</f>
        <v>(+/-) Ajustes por el incremento (disminución) de cuentas por pagar de origen comercial</v>
      </c>
      <c r="V59" s="190" t="str">
        <f>VLOOKUP(E59,Valida!$A$2:$K$271,4,FALSE)</f>
        <v>Trade and other payables</v>
      </c>
      <c r="W59" s="185" t="s">
        <v>1893</v>
      </c>
      <c r="X59" s="185"/>
      <c r="Y59" s="185" t="s">
        <v>1789</v>
      </c>
      <c r="Z59"/>
    </row>
    <row r="60" spans="1:26">
      <c r="A60" s="185" t="s">
        <v>1888</v>
      </c>
      <c r="B60" s="185" t="s">
        <v>1889</v>
      </c>
      <c r="C60" s="185" t="s">
        <v>1890</v>
      </c>
      <c r="D60" s="185" t="s">
        <v>1891</v>
      </c>
      <c r="E60" s="185">
        <v>112005</v>
      </c>
      <c r="F60" s="185" t="s">
        <v>24</v>
      </c>
      <c r="G60" s="185" t="s">
        <v>1892</v>
      </c>
      <c r="H60" s="185" t="s">
        <v>1628</v>
      </c>
      <c r="I60" s="258" t="str">
        <f t="shared" si="1"/>
        <v>1</v>
      </c>
      <c r="J60" s="221">
        <f t="shared" si="2"/>
        <v>-98000</v>
      </c>
      <c r="K60" s="258">
        <f t="shared" si="3"/>
        <v>2</v>
      </c>
      <c r="L60" s="188">
        <v>0</v>
      </c>
      <c r="M60" s="188">
        <v>98000</v>
      </c>
      <c r="N60" s="189">
        <v>899999061</v>
      </c>
      <c r="O60" t="s">
        <v>1889</v>
      </c>
      <c r="P60" s="187">
        <v>44984.865497685198</v>
      </c>
      <c r="Q60" s="186">
        <v>7847</v>
      </c>
      <c r="R60" s="185"/>
      <c r="S60" s="185" t="s">
        <v>1584</v>
      </c>
      <c r="T60" t="s">
        <v>1894</v>
      </c>
      <c r="U60" t="str">
        <f>IF($L60&gt;0,VLOOKUP($E60,Valida!$A$1:$G$270,6,FALSE),IF($M60&gt;=0,VLOOKUP($E60,Valida!$A$1:$G$270,7,FALSE)))</f>
        <v>Disponible</v>
      </c>
      <c r="V60" s="190" t="str">
        <f>VLOOKUP(E60,Valida!$A$2:$K$271,4,FALSE)</f>
        <v>Cash and equivalents</v>
      </c>
      <c r="W60" s="185" t="s">
        <v>1893</v>
      </c>
      <c r="X60" s="185"/>
      <c r="Y60" s="185" t="s">
        <v>1789</v>
      </c>
      <c r="Z60"/>
    </row>
    <row r="61" spans="1:26">
      <c r="A61" s="185" t="s">
        <v>1895</v>
      </c>
      <c r="B61" s="185" t="s">
        <v>1896</v>
      </c>
      <c r="C61" s="185" t="s">
        <v>1897</v>
      </c>
      <c r="D61" s="185" t="s">
        <v>1898</v>
      </c>
      <c r="E61" s="185">
        <v>510506</v>
      </c>
      <c r="F61" s="185" t="s">
        <v>1076</v>
      </c>
      <c r="G61" s="185" t="s">
        <v>1899</v>
      </c>
      <c r="H61" s="185" t="s">
        <v>1515</v>
      </c>
      <c r="I61" s="258" t="str">
        <f t="shared" si="1"/>
        <v>5</v>
      </c>
      <c r="J61" s="221">
        <f t="shared" si="2"/>
        <v>1120000</v>
      </c>
      <c r="K61" s="258">
        <f t="shared" si="3"/>
        <v>2</v>
      </c>
      <c r="L61" s="188">
        <v>1120000</v>
      </c>
      <c r="M61" s="188">
        <v>0</v>
      </c>
      <c r="N61" s="189">
        <v>1020842223</v>
      </c>
      <c r="O61" t="s">
        <v>1896</v>
      </c>
      <c r="P61" s="187">
        <v>44985.289027777799</v>
      </c>
      <c r="Q61" s="186">
        <v>7882</v>
      </c>
      <c r="R61" s="185"/>
      <c r="S61" s="185" t="s">
        <v>1532</v>
      </c>
      <c r="T61"/>
      <c r="U61" t="str">
        <f>IF($L61&gt;0,VLOOKUP($E61,Valida!$A$1:$G$270,6,FALSE),IF($M61&gt;=0,VLOOKUP($E61,Valida!$A$1:$G$270,7,FALSE)))</f>
        <v>(+/-) Ganancia (pérdida)</v>
      </c>
      <c r="V61" s="190" t="str">
        <f>VLOOKUP(E61,Valida!$A$2:$K$271,4,FALSE)</f>
        <v>P&amp;L</v>
      </c>
      <c r="W61" s="185" t="s">
        <v>1900</v>
      </c>
      <c r="X61" s="185"/>
      <c r="Y61" s="185" t="s">
        <v>1789</v>
      </c>
      <c r="Z61"/>
    </row>
    <row r="62" spans="1:26">
      <c r="A62" s="185" t="s">
        <v>1895</v>
      </c>
      <c r="B62" s="185" t="s">
        <v>1896</v>
      </c>
      <c r="C62" s="185" t="s">
        <v>1897</v>
      </c>
      <c r="D62" s="185" t="s">
        <v>1898</v>
      </c>
      <c r="E62" s="185">
        <v>510527</v>
      </c>
      <c r="F62" s="185" t="s">
        <v>1089</v>
      </c>
      <c r="G62" s="185" t="s">
        <v>1899</v>
      </c>
      <c r="H62" s="185" t="s">
        <v>1515</v>
      </c>
      <c r="I62" s="258" t="str">
        <f t="shared" si="1"/>
        <v>5</v>
      </c>
      <c r="J62" s="221">
        <f t="shared" si="2"/>
        <v>131232</v>
      </c>
      <c r="K62" s="258">
        <f t="shared" si="3"/>
        <v>2</v>
      </c>
      <c r="L62" s="188">
        <v>131232</v>
      </c>
      <c r="M62" s="188">
        <v>0</v>
      </c>
      <c r="N62" s="189">
        <v>1020842223</v>
      </c>
      <c r="O62" t="s">
        <v>1896</v>
      </c>
      <c r="P62" s="187">
        <v>44985.289027777799</v>
      </c>
      <c r="Q62" s="186">
        <v>7883</v>
      </c>
      <c r="R62" s="185"/>
      <c r="S62" s="185" t="s">
        <v>1532</v>
      </c>
      <c r="T62"/>
      <c r="U62" t="str">
        <f>IF($L62&gt;0,VLOOKUP($E62,Valida!$A$1:$G$270,6,FALSE),IF($M62&gt;=0,VLOOKUP($E62,Valida!$A$1:$G$270,7,FALSE)))</f>
        <v>(+/-) Ganancia (pérdida)</v>
      </c>
      <c r="V62" s="190" t="str">
        <f>VLOOKUP(E62,Valida!$A$2:$K$271,4,FALSE)</f>
        <v>P&amp;L</v>
      </c>
      <c r="W62" s="185" t="s">
        <v>1900</v>
      </c>
      <c r="X62" s="185"/>
      <c r="Y62" s="185" t="s">
        <v>1789</v>
      </c>
      <c r="Z62"/>
    </row>
    <row r="63" spans="1:26">
      <c r="A63" s="185" t="s">
        <v>1895</v>
      </c>
      <c r="B63" s="185" t="s">
        <v>1896</v>
      </c>
      <c r="C63" s="185" t="s">
        <v>1897</v>
      </c>
      <c r="D63" s="185" t="s">
        <v>1898</v>
      </c>
      <c r="E63" s="185">
        <v>237005</v>
      </c>
      <c r="F63" s="185" t="s">
        <v>676</v>
      </c>
      <c r="G63" s="185" t="s">
        <v>1899</v>
      </c>
      <c r="H63" s="185" t="s">
        <v>1628</v>
      </c>
      <c r="I63" s="258" t="str">
        <f t="shared" si="1"/>
        <v>2</v>
      </c>
      <c r="J63" s="221">
        <f t="shared" si="2"/>
        <v>-46450</v>
      </c>
      <c r="K63" s="258">
        <f t="shared" si="3"/>
        <v>2</v>
      </c>
      <c r="L63" s="188">
        <v>0</v>
      </c>
      <c r="M63" s="188">
        <v>46450</v>
      </c>
      <c r="N63" s="189">
        <v>800251440</v>
      </c>
      <c r="O63" t="s">
        <v>1896</v>
      </c>
      <c r="P63" s="187">
        <v>44985.289039351897</v>
      </c>
      <c r="Q63" s="186">
        <v>7884</v>
      </c>
      <c r="R63" s="185" t="s">
        <v>1901</v>
      </c>
      <c r="S63" s="185" t="s">
        <v>1560</v>
      </c>
      <c r="T63"/>
      <c r="U63" t="str">
        <f>IF($L63&gt;0,VLOOKUP($E63,Valida!$A$1:$G$270,6,FALSE),IF($M63&gt;=0,VLOOKUP($E63,Valida!$A$1:$G$270,7,FALSE)))</f>
        <v>(+/-) Ajustes por el incremento (disminución) de cuentas por pagar de origen comercial</v>
      </c>
      <c r="V63" s="190" t="str">
        <f>VLOOKUP(E63,Valida!$A$2:$K$271,4,FALSE)</f>
        <v>Trade and other payables</v>
      </c>
      <c r="W63" s="185" t="s">
        <v>1902</v>
      </c>
      <c r="X63" s="185" t="s">
        <v>1903</v>
      </c>
      <c r="Y63" s="185" t="s">
        <v>1789</v>
      </c>
      <c r="Z63"/>
    </row>
    <row r="64" spans="1:26">
      <c r="A64" s="185" t="s">
        <v>1895</v>
      </c>
      <c r="B64" s="185" t="s">
        <v>1896</v>
      </c>
      <c r="C64" s="185" t="s">
        <v>1897</v>
      </c>
      <c r="D64" s="185" t="s">
        <v>1898</v>
      </c>
      <c r="E64" s="185">
        <v>238030</v>
      </c>
      <c r="F64" s="185" t="s">
        <v>721</v>
      </c>
      <c r="G64" s="185" t="s">
        <v>1899</v>
      </c>
      <c r="H64" s="185" t="s">
        <v>1628</v>
      </c>
      <c r="I64" s="258" t="str">
        <f t="shared" si="1"/>
        <v>2</v>
      </c>
      <c r="J64" s="221">
        <f t="shared" si="2"/>
        <v>-46450</v>
      </c>
      <c r="K64" s="258">
        <f t="shared" si="3"/>
        <v>2</v>
      </c>
      <c r="L64" s="188">
        <v>0</v>
      </c>
      <c r="M64" s="188">
        <v>46450</v>
      </c>
      <c r="N64" s="189">
        <v>800144331</v>
      </c>
      <c r="O64" t="s">
        <v>1896</v>
      </c>
      <c r="P64" s="187">
        <v>44985.289039351897</v>
      </c>
      <c r="Q64" s="186">
        <v>7885</v>
      </c>
      <c r="R64" s="185" t="s">
        <v>844</v>
      </c>
      <c r="S64" s="185" t="s">
        <v>1658</v>
      </c>
      <c r="T64"/>
      <c r="U64" t="str">
        <f>IF($L64&gt;0,VLOOKUP($E64,Valida!$A$1:$G$270,6,FALSE),IF($M64&gt;=0,VLOOKUP($E64,Valida!$A$1:$G$270,7,FALSE)))</f>
        <v>(+/-) Ajustes por el incremento (disminución) de cuentas por pagar de origen comercial</v>
      </c>
      <c r="V64" s="190" t="str">
        <f>VLOOKUP(E64,Valida!$A$2:$K$271,4,FALSE)</f>
        <v>Trade and other payables</v>
      </c>
      <c r="W64" s="185" t="s">
        <v>1904</v>
      </c>
      <c r="X64" s="185" t="s">
        <v>1905</v>
      </c>
      <c r="Y64" s="185" t="s">
        <v>1789</v>
      </c>
      <c r="Z64"/>
    </row>
    <row r="65" spans="1:26">
      <c r="A65" s="185" t="s">
        <v>1895</v>
      </c>
      <c r="B65" s="185" t="s">
        <v>1896</v>
      </c>
      <c r="C65" s="185" t="s">
        <v>1897</v>
      </c>
      <c r="D65" s="185" t="s">
        <v>1898</v>
      </c>
      <c r="E65" s="185">
        <v>250505</v>
      </c>
      <c r="F65" s="185" t="s">
        <v>767</v>
      </c>
      <c r="G65" s="185" t="s">
        <v>1899</v>
      </c>
      <c r="H65" s="185" t="s">
        <v>1628</v>
      </c>
      <c r="I65" s="258" t="str">
        <f t="shared" si="1"/>
        <v>2</v>
      </c>
      <c r="J65" s="221">
        <f t="shared" si="2"/>
        <v>-1199582</v>
      </c>
      <c r="K65" s="258">
        <f t="shared" si="3"/>
        <v>2</v>
      </c>
      <c r="L65" s="188">
        <v>0</v>
      </c>
      <c r="M65" s="188">
        <v>1199582</v>
      </c>
      <c r="N65" s="189">
        <v>1020842223</v>
      </c>
      <c r="O65" t="s">
        <v>1896</v>
      </c>
      <c r="P65" s="187">
        <v>44985.289039351897</v>
      </c>
      <c r="Q65" s="186">
        <v>7886</v>
      </c>
      <c r="R65" s="185"/>
      <c r="S65" s="185" t="s">
        <v>1532</v>
      </c>
      <c r="T65"/>
      <c r="U65" t="str">
        <f>IF($L65&gt;0,VLOOKUP($E65,Valida!$A$1:$G$270,6,FALSE),IF($M65&gt;=0,VLOOKUP($E65,Valida!$A$1:$G$270,7,FALSE)))</f>
        <v>(+/-) Ajustes por el incremento (disminución) de cuentas por pagar de origen comercial</v>
      </c>
      <c r="V65" s="190" t="str">
        <f>VLOOKUP(E65,Valida!$A$2:$K$271,4,FALSE)</f>
        <v>Trade and other payables</v>
      </c>
      <c r="W65" s="185" t="s">
        <v>1900</v>
      </c>
      <c r="X65" s="185"/>
      <c r="Y65" s="185" t="s">
        <v>1789</v>
      </c>
      <c r="Z65"/>
    </row>
    <row r="66" spans="1:26">
      <c r="A66" s="185" t="s">
        <v>1895</v>
      </c>
      <c r="B66" s="185" t="s">
        <v>1896</v>
      </c>
      <c r="C66" s="185" t="s">
        <v>1897</v>
      </c>
      <c r="D66" s="185" t="s">
        <v>1898</v>
      </c>
      <c r="E66" s="185">
        <v>510530</v>
      </c>
      <c r="F66" s="185" t="s">
        <v>813</v>
      </c>
      <c r="G66" s="185" t="s">
        <v>1899</v>
      </c>
      <c r="H66" s="185" t="s">
        <v>1515</v>
      </c>
      <c r="I66" s="258" t="str">
        <f t="shared" si="1"/>
        <v>5</v>
      </c>
      <c r="J66" s="221">
        <f t="shared" si="2"/>
        <v>107707</v>
      </c>
      <c r="K66" s="258">
        <f t="shared" si="3"/>
        <v>2</v>
      </c>
      <c r="L66" s="188">
        <v>107707</v>
      </c>
      <c r="M66" s="188">
        <v>0</v>
      </c>
      <c r="N66" s="189">
        <v>1020842223</v>
      </c>
      <c r="O66" t="s">
        <v>1896</v>
      </c>
      <c r="P66" s="187">
        <v>44985.289039351897</v>
      </c>
      <c r="Q66" s="186">
        <v>7887</v>
      </c>
      <c r="R66" s="185"/>
      <c r="S66" s="185" t="s">
        <v>1532</v>
      </c>
      <c r="T66"/>
      <c r="U66" t="str">
        <f>IF($L66&gt;0,VLOOKUP($E66,Valida!$A$1:$G$270,6,FALSE),IF($M66&gt;=0,VLOOKUP($E66,Valida!$A$1:$G$270,7,FALSE)))</f>
        <v>(+/-) Ganancia (pérdida)</v>
      </c>
      <c r="V66" s="190" t="str">
        <f>VLOOKUP(E66,Valida!$A$2:$K$271,4,FALSE)</f>
        <v>P&amp;L</v>
      </c>
      <c r="W66" s="185" t="s">
        <v>1900</v>
      </c>
      <c r="X66" s="185"/>
      <c r="Y66" s="185" t="s">
        <v>1789</v>
      </c>
      <c r="Z66"/>
    </row>
    <row r="67" spans="1:26">
      <c r="A67" s="185" t="s">
        <v>1895</v>
      </c>
      <c r="B67" s="185" t="s">
        <v>1896</v>
      </c>
      <c r="C67" s="185" t="s">
        <v>1897</v>
      </c>
      <c r="D67" s="185" t="s">
        <v>1898</v>
      </c>
      <c r="E67" s="185">
        <v>510533</v>
      </c>
      <c r="F67" s="185" t="s">
        <v>779</v>
      </c>
      <c r="G67" s="185" t="s">
        <v>1899</v>
      </c>
      <c r="H67" s="185" t="s">
        <v>1515</v>
      </c>
      <c r="I67" s="258" t="str">
        <f t="shared" ref="I67:I130" si="4">LEFT(E67,1)</f>
        <v>5</v>
      </c>
      <c r="J67" s="221">
        <f t="shared" ref="J67:J130" si="5">L67-M67</f>
        <v>12925</v>
      </c>
      <c r="K67" s="258">
        <f t="shared" ref="K67:K130" si="6">MONTH(A67)</f>
        <v>2</v>
      </c>
      <c r="L67" s="188">
        <v>12925</v>
      </c>
      <c r="M67" s="188">
        <v>0</v>
      </c>
      <c r="N67" s="189">
        <v>1020842223</v>
      </c>
      <c r="O67" t="s">
        <v>1896</v>
      </c>
      <c r="P67" s="187">
        <v>44985.289039351897</v>
      </c>
      <c r="Q67" s="186">
        <v>7888</v>
      </c>
      <c r="R67" s="185"/>
      <c r="S67" s="185" t="s">
        <v>1532</v>
      </c>
      <c r="T67"/>
      <c r="U67" t="str">
        <f>IF($L67&gt;0,VLOOKUP($E67,Valida!$A$1:$G$270,6,FALSE),IF($M67&gt;=0,VLOOKUP($E67,Valida!$A$1:$G$270,7,FALSE)))</f>
        <v>(+/-) Ganancia (pérdida)</v>
      </c>
      <c r="V67" s="190" t="str">
        <f>VLOOKUP(E67,Valida!$A$2:$K$271,4,FALSE)</f>
        <v>P&amp;L</v>
      </c>
      <c r="W67" s="185" t="s">
        <v>1900</v>
      </c>
      <c r="X67" s="185"/>
      <c r="Y67" s="185" t="s">
        <v>1789</v>
      </c>
      <c r="Z67"/>
    </row>
    <row r="68" spans="1:26">
      <c r="A68" s="185" t="s">
        <v>1895</v>
      </c>
      <c r="B68" s="185" t="s">
        <v>1896</v>
      </c>
      <c r="C68" s="185" t="s">
        <v>1897</v>
      </c>
      <c r="D68" s="185" t="s">
        <v>1898</v>
      </c>
      <c r="E68" s="185">
        <v>510536</v>
      </c>
      <c r="F68" s="185" t="s">
        <v>783</v>
      </c>
      <c r="G68" s="185" t="s">
        <v>1899</v>
      </c>
      <c r="H68" s="185" t="s">
        <v>1515</v>
      </c>
      <c r="I68" s="258" t="str">
        <f t="shared" si="4"/>
        <v>5</v>
      </c>
      <c r="J68" s="221">
        <f t="shared" si="5"/>
        <v>107707</v>
      </c>
      <c r="K68" s="258">
        <f t="shared" si="6"/>
        <v>2</v>
      </c>
      <c r="L68" s="188">
        <v>107707</v>
      </c>
      <c r="M68" s="188">
        <v>0</v>
      </c>
      <c r="N68" s="189">
        <v>1020842223</v>
      </c>
      <c r="O68" t="s">
        <v>1896</v>
      </c>
      <c r="P68" s="187">
        <v>44985.289039351897</v>
      </c>
      <c r="Q68" s="186">
        <v>7889</v>
      </c>
      <c r="R68" s="185"/>
      <c r="S68" s="185" t="s">
        <v>1532</v>
      </c>
      <c r="T68"/>
      <c r="U68" t="str">
        <f>IF($L68&gt;0,VLOOKUP($E68,Valida!$A$1:$G$270,6,FALSE),IF($M68&gt;=0,VLOOKUP($E68,Valida!$A$1:$G$270,7,FALSE)))</f>
        <v>(+/-) Ganancia (pérdida)</v>
      </c>
      <c r="V68" s="190" t="str">
        <f>VLOOKUP(E68,Valida!$A$2:$K$271,4,FALSE)</f>
        <v>P&amp;L</v>
      </c>
      <c r="W68" s="185" t="s">
        <v>1900</v>
      </c>
      <c r="X68" s="185"/>
      <c r="Y68" s="185" t="s">
        <v>1789</v>
      </c>
      <c r="Z68"/>
    </row>
    <row r="69" spans="1:26">
      <c r="A69" s="185" t="s">
        <v>1895</v>
      </c>
      <c r="B69" s="185" t="s">
        <v>1896</v>
      </c>
      <c r="C69" s="185" t="s">
        <v>1897</v>
      </c>
      <c r="D69" s="185" t="s">
        <v>1898</v>
      </c>
      <c r="E69" s="185">
        <v>510539</v>
      </c>
      <c r="F69" s="185" t="s">
        <v>818</v>
      </c>
      <c r="G69" s="185" t="s">
        <v>1899</v>
      </c>
      <c r="H69" s="185" t="s">
        <v>1515</v>
      </c>
      <c r="I69" s="258" t="str">
        <f t="shared" si="4"/>
        <v>5</v>
      </c>
      <c r="J69" s="221">
        <f t="shared" si="5"/>
        <v>48385</v>
      </c>
      <c r="K69" s="258">
        <f t="shared" si="6"/>
        <v>2</v>
      </c>
      <c r="L69" s="188">
        <v>48385</v>
      </c>
      <c r="M69" s="188">
        <v>0</v>
      </c>
      <c r="N69" s="189">
        <v>1020842223</v>
      </c>
      <c r="O69" t="s">
        <v>1896</v>
      </c>
      <c r="P69" s="187">
        <v>44985.289039351897</v>
      </c>
      <c r="Q69" s="186">
        <v>7890</v>
      </c>
      <c r="R69" s="185"/>
      <c r="S69" s="185" t="s">
        <v>1532</v>
      </c>
      <c r="T69"/>
      <c r="U69" t="str">
        <f>IF($L69&gt;0,VLOOKUP($E69,Valida!$A$1:$G$270,6,FALSE),IF($M69&gt;=0,VLOOKUP($E69,Valida!$A$1:$G$270,7,FALSE)))</f>
        <v>(+/-) Ganancia (pérdida)</v>
      </c>
      <c r="V69" s="190" t="str">
        <f>VLOOKUP(E69,Valida!$A$2:$K$271,4,FALSE)</f>
        <v>P&amp;L</v>
      </c>
      <c r="W69" s="185" t="s">
        <v>1900</v>
      </c>
      <c r="X69" s="185"/>
      <c r="Y69" s="185" t="s">
        <v>1789</v>
      </c>
      <c r="Z69"/>
    </row>
    <row r="70" spans="1:26">
      <c r="A70" s="185" t="s">
        <v>1895</v>
      </c>
      <c r="B70" s="185" t="s">
        <v>1896</v>
      </c>
      <c r="C70" s="185" t="s">
        <v>1897</v>
      </c>
      <c r="D70" s="185" t="s">
        <v>1898</v>
      </c>
      <c r="E70" s="185">
        <v>251010</v>
      </c>
      <c r="F70" s="185" t="s">
        <v>776</v>
      </c>
      <c r="G70" s="185" t="s">
        <v>1899</v>
      </c>
      <c r="H70" s="185" t="s">
        <v>1628</v>
      </c>
      <c r="I70" s="258" t="str">
        <f t="shared" si="4"/>
        <v>2</v>
      </c>
      <c r="J70" s="221">
        <f t="shared" si="5"/>
        <v>-107707</v>
      </c>
      <c r="K70" s="258">
        <f t="shared" si="6"/>
        <v>2</v>
      </c>
      <c r="L70" s="188">
        <v>0</v>
      </c>
      <c r="M70" s="188">
        <v>107707</v>
      </c>
      <c r="N70" s="189">
        <v>1020842223</v>
      </c>
      <c r="O70" t="s">
        <v>1896</v>
      </c>
      <c r="P70" s="187">
        <v>44985.289039351897</v>
      </c>
      <c r="Q70" s="186">
        <v>7891</v>
      </c>
      <c r="R70" s="185"/>
      <c r="S70" s="185" t="s">
        <v>1532</v>
      </c>
      <c r="T70"/>
      <c r="U70" t="str">
        <f>IF($L70&gt;0,VLOOKUP($E70,Valida!$A$1:$G$270,6,FALSE),IF($M70&gt;=0,VLOOKUP($E70,Valida!$A$1:$G$270,7,FALSE)))</f>
        <v>(+/-) Ajustes por el incremento (disminución) de cuentas por pagar de origen comercial</v>
      </c>
      <c r="V70" s="190" t="str">
        <f>VLOOKUP(E70,Valida!$A$2:$K$271,4,FALSE)</f>
        <v>Trade and other payables</v>
      </c>
      <c r="W70" s="185" t="s">
        <v>1900</v>
      </c>
      <c r="X70" s="185"/>
      <c r="Y70" s="185" t="s">
        <v>1789</v>
      </c>
      <c r="Z70"/>
    </row>
    <row r="71" spans="1:26">
      <c r="A71" s="185" t="s">
        <v>1895</v>
      </c>
      <c r="B71" s="185" t="s">
        <v>1896</v>
      </c>
      <c r="C71" s="185" t="s">
        <v>1897</v>
      </c>
      <c r="D71" s="185" t="s">
        <v>1898</v>
      </c>
      <c r="E71" s="185">
        <v>251505</v>
      </c>
      <c r="F71" s="185" t="s">
        <v>779</v>
      </c>
      <c r="G71" s="185" t="s">
        <v>1899</v>
      </c>
      <c r="H71" s="185" t="s">
        <v>1628</v>
      </c>
      <c r="I71" s="258" t="str">
        <f t="shared" si="4"/>
        <v>2</v>
      </c>
      <c r="J71" s="221">
        <f t="shared" si="5"/>
        <v>-12925</v>
      </c>
      <c r="K71" s="258">
        <f t="shared" si="6"/>
        <v>2</v>
      </c>
      <c r="L71" s="188">
        <v>0</v>
      </c>
      <c r="M71" s="188">
        <v>12925</v>
      </c>
      <c r="N71" s="189">
        <v>1020842223</v>
      </c>
      <c r="O71" t="s">
        <v>1896</v>
      </c>
      <c r="P71" s="187">
        <v>44985.289039351897</v>
      </c>
      <c r="Q71" s="186">
        <v>7892</v>
      </c>
      <c r="R71" s="185"/>
      <c r="S71" s="185" t="s">
        <v>1532</v>
      </c>
      <c r="T71"/>
      <c r="U71" t="str">
        <f>IF($L71&gt;0,VLOOKUP($E71,Valida!$A$1:$G$270,6,FALSE),IF($M71&gt;=0,VLOOKUP($E71,Valida!$A$1:$G$270,7,FALSE)))</f>
        <v>(+/-) Ajustes por el incremento (disminución) de cuentas por pagar de origen comercial</v>
      </c>
      <c r="V71" s="190" t="str">
        <f>VLOOKUP(E71,Valida!$A$2:$K$271,4,FALSE)</f>
        <v>Trade and other payables</v>
      </c>
      <c r="W71" s="185" t="s">
        <v>1900</v>
      </c>
      <c r="X71" s="185"/>
      <c r="Y71" s="185" t="s">
        <v>1789</v>
      </c>
      <c r="Z71"/>
    </row>
    <row r="72" spans="1:26">
      <c r="A72" s="185" t="s">
        <v>1895</v>
      </c>
      <c r="B72" s="185" t="s">
        <v>1896</v>
      </c>
      <c r="C72" s="185" t="s">
        <v>1897</v>
      </c>
      <c r="D72" s="185" t="s">
        <v>1898</v>
      </c>
      <c r="E72" s="185">
        <v>252005</v>
      </c>
      <c r="F72" s="185" t="s">
        <v>783</v>
      </c>
      <c r="G72" s="185" t="s">
        <v>1899</v>
      </c>
      <c r="H72" s="185" t="s">
        <v>1628</v>
      </c>
      <c r="I72" s="258" t="str">
        <f t="shared" si="4"/>
        <v>2</v>
      </c>
      <c r="J72" s="221">
        <f t="shared" si="5"/>
        <v>-107707</v>
      </c>
      <c r="K72" s="258">
        <f t="shared" si="6"/>
        <v>2</v>
      </c>
      <c r="L72" s="188">
        <v>0</v>
      </c>
      <c r="M72" s="188">
        <v>107707</v>
      </c>
      <c r="N72" s="189">
        <v>1020842223</v>
      </c>
      <c r="O72" t="s">
        <v>1896</v>
      </c>
      <c r="P72" s="187">
        <v>44985.289039351897</v>
      </c>
      <c r="Q72" s="186">
        <v>7893</v>
      </c>
      <c r="R72" s="185"/>
      <c r="S72" s="185" t="s">
        <v>1532</v>
      </c>
      <c r="T72"/>
      <c r="U72" t="str">
        <f>IF($L72&gt;0,VLOOKUP($E72,Valida!$A$1:$G$270,6,FALSE),IF($M72&gt;=0,VLOOKUP($E72,Valida!$A$1:$G$270,7,FALSE)))</f>
        <v>(+/-) Ajustes por el incremento (disminución) de cuentas por pagar de origen comercial</v>
      </c>
      <c r="V72" s="190" t="str">
        <f>VLOOKUP(E72,Valida!$A$2:$K$271,4,FALSE)</f>
        <v>Trade and other payables</v>
      </c>
      <c r="W72" s="185" t="s">
        <v>1900</v>
      </c>
      <c r="X72" s="185"/>
      <c r="Y72" s="185" t="s">
        <v>1789</v>
      </c>
      <c r="Z72"/>
    </row>
    <row r="73" spans="1:26">
      <c r="A73" s="185" t="s">
        <v>1895</v>
      </c>
      <c r="B73" s="185" t="s">
        <v>1896</v>
      </c>
      <c r="C73" s="185" t="s">
        <v>1897</v>
      </c>
      <c r="D73" s="185" t="s">
        <v>1898</v>
      </c>
      <c r="E73" s="185">
        <v>252505</v>
      </c>
      <c r="F73" s="185" t="s">
        <v>787</v>
      </c>
      <c r="G73" s="185" t="s">
        <v>1899</v>
      </c>
      <c r="H73" s="185" t="s">
        <v>1628</v>
      </c>
      <c r="I73" s="258" t="str">
        <f t="shared" si="4"/>
        <v>2</v>
      </c>
      <c r="J73" s="221">
        <f t="shared" si="5"/>
        <v>-48385</v>
      </c>
      <c r="K73" s="258">
        <f t="shared" si="6"/>
        <v>2</v>
      </c>
      <c r="L73" s="188">
        <v>0</v>
      </c>
      <c r="M73" s="188">
        <v>48385</v>
      </c>
      <c r="N73" s="189">
        <v>1020842223</v>
      </c>
      <c r="O73" t="s">
        <v>1896</v>
      </c>
      <c r="P73" s="187">
        <v>44985.289039351897</v>
      </c>
      <c r="Q73" s="186">
        <v>7894</v>
      </c>
      <c r="R73" s="185"/>
      <c r="S73" s="185" t="s">
        <v>1532</v>
      </c>
      <c r="T73"/>
      <c r="U73" t="str">
        <f>IF($L73&gt;0,VLOOKUP($E73,Valida!$A$1:$G$270,6,FALSE),IF($M73&gt;=0,VLOOKUP($E73,Valida!$A$1:$G$270,7,FALSE)))</f>
        <v>(+/-) Ajustes por el incremento (disminución) de cuentas por pagar de origen comercial</v>
      </c>
      <c r="V73" s="190" t="str">
        <f>VLOOKUP(E73,Valida!$A$2:$K$271,4,FALSE)</f>
        <v>Trade and other payables</v>
      </c>
      <c r="W73" s="185" t="s">
        <v>1900</v>
      </c>
      <c r="X73" s="185"/>
      <c r="Y73" s="185" t="s">
        <v>1789</v>
      </c>
      <c r="Z73"/>
    </row>
    <row r="74" spans="1:26">
      <c r="A74" s="185" t="s">
        <v>1895</v>
      </c>
      <c r="B74" s="185" t="s">
        <v>1896</v>
      </c>
      <c r="C74" s="185" t="s">
        <v>1897</v>
      </c>
      <c r="D74" s="185" t="s">
        <v>1898</v>
      </c>
      <c r="E74" s="185">
        <v>510515</v>
      </c>
      <c r="F74" s="185" t="s">
        <v>1080</v>
      </c>
      <c r="G74" s="185" t="s">
        <v>1899</v>
      </c>
      <c r="H74" s="185" t="s">
        <v>1515</v>
      </c>
      <c r="I74" s="258" t="str">
        <f t="shared" si="4"/>
        <v>5</v>
      </c>
      <c r="J74" s="221">
        <f t="shared" si="5"/>
        <v>41250</v>
      </c>
      <c r="K74" s="258">
        <f t="shared" si="6"/>
        <v>2</v>
      </c>
      <c r="L74" s="188">
        <v>41250</v>
      </c>
      <c r="M74" s="188">
        <v>0</v>
      </c>
      <c r="N74" s="189">
        <v>1020842223</v>
      </c>
      <c r="O74" t="s">
        <v>1896</v>
      </c>
      <c r="P74" s="187">
        <v>44985.289039351897</v>
      </c>
      <c r="Q74" s="186">
        <v>7895</v>
      </c>
      <c r="R74" s="185"/>
      <c r="S74" s="185" t="s">
        <v>1532</v>
      </c>
      <c r="T74"/>
      <c r="U74" t="str">
        <f>IF($L74&gt;0,VLOOKUP($E74,Valida!$A$1:$G$270,6,FALSE),IF($M74&gt;=0,VLOOKUP($E74,Valida!$A$1:$G$270,7,FALSE)))</f>
        <v>(+/-) Ganancia (pérdida)</v>
      </c>
      <c r="V74" s="190" t="str">
        <f>VLOOKUP(E74,Valida!$A$2:$K$271,4,FALSE)</f>
        <v>P&amp;L</v>
      </c>
      <c r="W74" s="185" t="s">
        <v>1900</v>
      </c>
      <c r="X74" s="185"/>
      <c r="Y74" s="185" t="s">
        <v>1789</v>
      </c>
      <c r="Z74"/>
    </row>
    <row r="75" spans="1:26">
      <c r="A75" s="185" t="s">
        <v>1895</v>
      </c>
      <c r="B75" s="185" t="s">
        <v>1906</v>
      </c>
      <c r="C75" s="185" t="s">
        <v>1897</v>
      </c>
      <c r="D75" s="185" t="s">
        <v>1907</v>
      </c>
      <c r="E75" s="185">
        <v>510506</v>
      </c>
      <c r="F75" s="185" t="s">
        <v>1076</v>
      </c>
      <c r="G75" s="185" t="s">
        <v>1908</v>
      </c>
      <c r="H75" s="185" t="s">
        <v>1515</v>
      </c>
      <c r="I75" s="258" t="str">
        <f t="shared" si="4"/>
        <v>5</v>
      </c>
      <c r="J75" s="221">
        <f t="shared" si="5"/>
        <v>1160000</v>
      </c>
      <c r="K75" s="258">
        <f t="shared" si="6"/>
        <v>2</v>
      </c>
      <c r="L75" s="188">
        <v>1160000</v>
      </c>
      <c r="M75" s="188">
        <v>0</v>
      </c>
      <c r="N75" s="189">
        <v>1130744136</v>
      </c>
      <c r="O75" t="s">
        <v>1906</v>
      </c>
      <c r="P75" s="187">
        <v>44985.292071759301</v>
      </c>
      <c r="Q75" s="186">
        <v>7896</v>
      </c>
      <c r="R75" s="185"/>
      <c r="S75" s="185" t="s">
        <v>1538</v>
      </c>
      <c r="T75"/>
      <c r="U75" t="str">
        <f>IF($L75&gt;0,VLOOKUP($E75,Valida!$A$1:$G$270,6,FALSE),IF($M75&gt;=0,VLOOKUP($E75,Valida!$A$1:$G$270,7,FALSE)))</f>
        <v>(+/-) Ganancia (pérdida)</v>
      </c>
      <c r="V75" s="190" t="str">
        <f>VLOOKUP(E75,Valida!$A$2:$K$271,4,FALSE)</f>
        <v>P&amp;L</v>
      </c>
      <c r="W75" s="185" t="s">
        <v>1909</v>
      </c>
      <c r="X75" s="185" t="s">
        <v>1910</v>
      </c>
      <c r="Y75" s="185" t="s">
        <v>1789</v>
      </c>
      <c r="Z75"/>
    </row>
    <row r="76" spans="1:26">
      <c r="A76" s="185" t="s">
        <v>1895</v>
      </c>
      <c r="B76" s="185" t="s">
        <v>1906</v>
      </c>
      <c r="C76" s="185" t="s">
        <v>1897</v>
      </c>
      <c r="D76" s="185" t="s">
        <v>1907</v>
      </c>
      <c r="E76" s="185">
        <v>510527</v>
      </c>
      <c r="F76" s="185" t="s">
        <v>1089</v>
      </c>
      <c r="G76" s="185" t="s">
        <v>1908</v>
      </c>
      <c r="H76" s="185" t="s">
        <v>1515</v>
      </c>
      <c r="I76" s="258" t="str">
        <f t="shared" si="4"/>
        <v>5</v>
      </c>
      <c r="J76" s="221">
        <f t="shared" si="5"/>
        <v>140606</v>
      </c>
      <c r="K76" s="258">
        <f t="shared" si="6"/>
        <v>2</v>
      </c>
      <c r="L76" s="188">
        <v>140606</v>
      </c>
      <c r="M76" s="188">
        <v>0</v>
      </c>
      <c r="N76" s="189">
        <v>1130744136</v>
      </c>
      <c r="O76" t="s">
        <v>1906</v>
      </c>
      <c r="P76" s="187">
        <v>44985.292071759301</v>
      </c>
      <c r="Q76" s="186">
        <v>7897</v>
      </c>
      <c r="R76" s="185"/>
      <c r="S76" s="185" t="s">
        <v>1538</v>
      </c>
      <c r="T76"/>
      <c r="U76" t="str">
        <f>IF($L76&gt;0,VLOOKUP($E76,Valida!$A$1:$G$270,6,FALSE),IF($M76&gt;=0,VLOOKUP($E76,Valida!$A$1:$G$270,7,FALSE)))</f>
        <v>(+/-) Ganancia (pérdida)</v>
      </c>
      <c r="V76" s="190" t="str">
        <f>VLOOKUP(E76,Valida!$A$2:$K$271,4,FALSE)</f>
        <v>P&amp;L</v>
      </c>
      <c r="W76" s="185" t="s">
        <v>1909</v>
      </c>
      <c r="X76" s="185" t="s">
        <v>1910</v>
      </c>
      <c r="Y76" s="185" t="s">
        <v>1789</v>
      </c>
      <c r="Z76"/>
    </row>
    <row r="77" spans="1:26">
      <c r="A77" s="185" t="s">
        <v>1895</v>
      </c>
      <c r="B77" s="185" t="s">
        <v>1906</v>
      </c>
      <c r="C77" s="185" t="s">
        <v>1897</v>
      </c>
      <c r="D77" s="185" t="s">
        <v>1907</v>
      </c>
      <c r="E77" s="185">
        <v>237005</v>
      </c>
      <c r="F77" s="185" t="s">
        <v>676</v>
      </c>
      <c r="G77" s="185" t="s">
        <v>1908</v>
      </c>
      <c r="H77" s="185" t="s">
        <v>1628</v>
      </c>
      <c r="I77" s="258" t="str">
        <f t="shared" si="4"/>
        <v>2</v>
      </c>
      <c r="J77" s="221">
        <f t="shared" si="5"/>
        <v>-46400</v>
      </c>
      <c r="K77" s="258">
        <f t="shared" si="6"/>
        <v>2</v>
      </c>
      <c r="L77" s="188">
        <v>0</v>
      </c>
      <c r="M77" s="188">
        <v>46400</v>
      </c>
      <c r="N77" s="189">
        <v>800251440</v>
      </c>
      <c r="O77" t="s">
        <v>1906</v>
      </c>
      <c r="P77" s="187">
        <v>44985.292071759301</v>
      </c>
      <c r="Q77" s="186">
        <v>7898</v>
      </c>
      <c r="R77" s="185" t="s">
        <v>1901</v>
      </c>
      <c r="S77" s="185" t="s">
        <v>1560</v>
      </c>
      <c r="T77"/>
      <c r="U77" t="str">
        <f>IF($L77&gt;0,VLOOKUP($E77,Valida!$A$1:$G$270,6,FALSE),IF($M77&gt;=0,VLOOKUP($E77,Valida!$A$1:$G$270,7,FALSE)))</f>
        <v>(+/-) Ajustes por el incremento (disminución) de cuentas por pagar de origen comercial</v>
      </c>
      <c r="V77" s="190" t="str">
        <f>VLOOKUP(E77,Valida!$A$2:$K$271,4,FALSE)</f>
        <v>Trade and other payables</v>
      </c>
      <c r="W77" s="185" t="s">
        <v>1902</v>
      </c>
      <c r="X77" s="185" t="s">
        <v>1903</v>
      </c>
      <c r="Y77" s="185" t="s">
        <v>1789</v>
      </c>
      <c r="Z77"/>
    </row>
    <row r="78" spans="1:26">
      <c r="A78" s="185" t="s">
        <v>1895</v>
      </c>
      <c r="B78" s="185" t="s">
        <v>1906</v>
      </c>
      <c r="C78" s="185" t="s">
        <v>1897</v>
      </c>
      <c r="D78" s="185" t="s">
        <v>1907</v>
      </c>
      <c r="E78" s="185">
        <v>238030</v>
      </c>
      <c r="F78" s="185" t="s">
        <v>721</v>
      </c>
      <c r="G78" s="185" t="s">
        <v>1908</v>
      </c>
      <c r="H78" s="185" t="s">
        <v>1628</v>
      </c>
      <c r="I78" s="258" t="str">
        <f t="shared" si="4"/>
        <v>2</v>
      </c>
      <c r="J78" s="221">
        <f t="shared" si="5"/>
        <v>-46400</v>
      </c>
      <c r="K78" s="258">
        <f t="shared" si="6"/>
        <v>2</v>
      </c>
      <c r="L78" s="188">
        <v>0</v>
      </c>
      <c r="M78" s="188">
        <v>46400</v>
      </c>
      <c r="N78" s="189">
        <v>800224808</v>
      </c>
      <c r="O78" t="s">
        <v>1906</v>
      </c>
      <c r="P78" s="187">
        <v>44985.292071759301</v>
      </c>
      <c r="Q78" s="186">
        <v>7899</v>
      </c>
      <c r="R78" s="185" t="s">
        <v>1827</v>
      </c>
      <c r="S78" s="185" t="s">
        <v>1662</v>
      </c>
      <c r="T78"/>
      <c r="U78" t="str">
        <f>IF($L78&gt;0,VLOOKUP($E78,Valida!$A$1:$G$270,6,FALSE),IF($M78&gt;=0,VLOOKUP($E78,Valida!$A$1:$G$270,7,FALSE)))</f>
        <v>(+/-) Ajustes por el incremento (disminución) de cuentas por pagar de origen comercial</v>
      </c>
      <c r="V78" s="190" t="str">
        <f>VLOOKUP(E78,Valida!$A$2:$K$271,4,FALSE)</f>
        <v>Trade and other payables</v>
      </c>
      <c r="W78" s="185" t="s">
        <v>1911</v>
      </c>
      <c r="X78" s="185"/>
      <c r="Y78" s="185" t="s">
        <v>1789</v>
      </c>
      <c r="Z78"/>
    </row>
    <row r="79" spans="1:26">
      <c r="A79" s="185" t="s">
        <v>1895</v>
      </c>
      <c r="B79" s="185" t="s">
        <v>1906</v>
      </c>
      <c r="C79" s="185" t="s">
        <v>1897</v>
      </c>
      <c r="D79" s="185" t="s">
        <v>1907</v>
      </c>
      <c r="E79" s="185">
        <v>250505</v>
      </c>
      <c r="F79" s="185" t="s">
        <v>767</v>
      </c>
      <c r="G79" s="185" t="s">
        <v>1908</v>
      </c>
      <c r="H79" s="185" t="s">
        <v>1628</v>
      </c>
      <c r="I79" s="258" t="str">
        <f t="shared" si="4"/>
        <v>2</v>
      </c>
      <c r="J79" s="221">
        <f t="shared" si="5"/>
        <v>-1207806</v>
      </c>
      <c r="K79" s="258">
        <f t="shared" si="6"/>
        <v>2</v>
      </c>
      <c r="L79" s="188">
        <v>0</v>
      </c>
      <c r="M79" s="188">
        <v>1207806</v>
      </c>
      <c r="N79" s="189">
        <v>1130744136</v>
      </c>
      <c r="O79" t="s">
        <v>1906</v>
      </c>
      <c r="P79" s="187">
        <v>44985.292071759301</v>
      </c>
      <c r="Q79" s="186">
        <v>7900</v>
      </c>
      <c r="R79" s="185"/>
      <c r="S79" s="185" t="s">
        <v>1538</v>
      </c>
      <c r="T79"/>
      <c r="U79" t="str">
        <f>IF($L79&gt;0,VLOOKUP($E79,Valida!$A$1:$G$270,6,FALSE),IF($M79&gt;=0,VLOOKUP($E79,Valida!$A$1:$G$270,7,FALSE)))</f>
        <v>(+/-) Ajustes por el incremento (disminución) de cuentas por pagar de origen comercial</v>
      </c>
      <c r="V79" s="190" t="str">
        <f>VLOOKUP(E79,Valida!$A$2:$K$271,4,FALSE)</f>
        <v>Trade and other payables</v>
      </c>
      <c r="W79" s="185" t="s">
        <v>1909</v>
      </c>
      <c r="X79" s="185" t="s">
        <v>1910</v>
      </c>
      <c r="Y79" s="185" t="s">
        <v>1789</v>
      </c>
      <c r="Z79"/>
    </row>
    <row r="80" spans="1:26">
      <c r="A80" s="185" t="s">
        <v>1895</v>
      </c>
      <c r="B80" s="185" t="s">
        <v>1906</v>
      </c>
      <c r="C80" s="185" t="s">
        <v>1897</v>
      </c>
      <c r="D80" s="185" t="s">
        <v>1907</v>
      </c>
      <c r="E80" s="185">
        <v>510530</v>
      </c>
      <c r="F80" s="185" t="s">
        <v>813</v>
      </c>
      <c r="G80" s="185" t="s">
        <v>1908</v>
      </c>
      <c r="H80" s="185" t="s">
        <v>1515</v>
      </c>
      <c r="I80" s="258" t="str">
        <f t="shared" si="4"/>
        <v>5</v>
      </c>
      <c r="J80" s="221">
        <f t="shared" si="5"/>
        <v>108384</v>
      </c>
      <c r="K80" s="258">
        <f t="shared" si="6"/>
        <v>2</v>
      </c>
      <c r="L80" s="188">
        <v>108384</v>
      </c>
      <c r="M80" s="188">
        <v>0</v>
      </c>
      <c r="N80" s="189">
        <v>1130744136</v>
      </c>
      <c r="O80" t="s">
        <v>1906</v>
      </c>
      <c r="P80" s="187">
        <v>44985.292071759301</v>
      </c>
      <c r="Q80" s="186">
        <v>7901</v>
      </c>
      <c r="R80" s="185"/>
      <c r="S80" s="185" t="s">
        <v>1538</v>
      </c>
      <c r="T80"/>
      <c r="U80" t="str">
        <f>IF($L80&gt;0,VLOOKUP($E80,Valida!$A$1:$G$270,6,FALSE),IF($M80&gt;=0,VLOOKUP($E80,Valida!$A$1:$G$270,7,FALSE)))</f>
        <v>(+/-) Ganancia (pérdida)</v>
      </c>
      <c r="V80" s="190" t="str">
        <f>VLOOKUP(E80,Valida!$A$2:$K$271,4,FALSE)</f>
        <v>P&amp;L</v>
      </c>
      <c r="W80" s="185" t="s">
        <v>1909</v>
      </c>
      <c r="X80" s="185" t="s">
        <v>1910</v>
      </c>
      <c r="Y80" s="185" t="s">
        <v>1789</v>
      </c>
      <c r="Z80"/>
    </row>
    <row r="81" spans="1:26">
      <c r="A81" s="185" t="s">
        <v>1895</v>
      </c>
      <c r="B81" s="185" t="s">
        <v>1906</v>
      </c>
      <c r="C81" s="185" t="s">
        <v>1897</v>
      </c>
      <c r="D81" s="185" t="s">
        <v>1907</v>
      </c>
      <c r="E81" s="185">
        <v>510533</v>
      </c>
      <c r="F81" s="185" t="s">
        <v>779</v>
      </c>
      <c r="G81" s="185" t="s">
        <v>1908</v>
      </c>
      <c r="H81" s="185" t="s">
        <v>1515</v>
      </c>
      <c r="I81" s="258" t="str">
        <f t="shared" si="4"/>
        <v>5</v>
      </c>
      <c r="J81" s="221">
        <f t="shared" si="5"/>
        <v>13006</v>
      </c>
      <c r="K81" s="258">
        <f t="shared" si="6"/>
        <v>2</v>
      </c>
      <c r="L81" s="188">
        <v>13006</v>
      </c>
      <c r="M81" s="188">
        <v>0</v>
      </c>
      <c r="N81" s="189">
        <v>1130744136</v>
      </c>
      <c r="O81" t="s">
        <v>1906</v>
      </c>
      <c r="P81" s="187">
        <v>44985.292071759301</v>
      </c>
      <c r="Q81" s="186">
        <v>7902</v>
      </c>
      <c r="R81" s="185"/>
      <c r="S81" s="185" t="s">
        <v>1538</v>
      </c>
      <c r="T81"/>
      <c r="U81" t="str">
        <f>IF($L81&gt;0,VLOOKUP($E81,Valida!$A$1:$G$270,6,FALSE),IF($M81&gt;=0,VLOOKUP($E81,Valida!$A$1:$G$270,7,FALSE)))</f>
        <v>(+/-) Ganancia (pérdida)</v>
      </c>
      <c r="V81" s="190" t="str">
        <f>VLOOKUP(E81,Valida!$A$2:$K$271,4,FALSE)</f>
        <v>P&amp;L</v>
      </c>
      <c r="W81" s="185" t="s">
        <v>1909</v>
      </c>
      <c r="X81" s="185" t="s">
        <v>1910</v>
      </c>
      <c r="Y81" s="185" t="s">
        <v>1789</v>
      </c>
      <c r="Z81"/>
    </row>
    <row r="82" spans="1:26">
      <c r="A82" s="185" t="s">
        <v>1895</v>
      </c>
      <c r="B82" s="185" t="s">
        <v>1906</v>
      </c>
      <c r="C82" s="185" t="s">
        <v>1897</v>
      </c>
      <c r="D82" s="185" t="s">
        <v>1907</v>
      </c>
      <c r="E82" s="185">
        <v>510536</v>
      </c>
      <c r="F82" s="185" t="s">
        <v>783</v>
      </c>
      <c r="G82" s="185" t="s">
        <v>1908</v>
      </c>
      <c r="H82" s="185" t="s">
        <v>1515</v>
      </c>
      <c r="I82" s="258" t="str">
        <f t="shared" si="4"/>
        <v>5</v>
      </c>
      <c r="J82" s="221">
        <f t="shared" si="5"/>
        <v>108384</v>
      </c>
      <c r="K82" s="258">
        <f t="shared" si="6"/>
        <v>2</v>
      </c>
      <c r="L82" s="188">
        <v>108384</v>
      </c>
      <c r="M82" s="188">
        <v>0</v>
      </c>
      <c r="N82" s="189">
        <v>1130744136</v>
      </c>
      <c r="O82" t="s">
        <v>1906</v>
      </c>
      <c r="P82" s="187">
        <v>44985.292071759301</v>
      </c>
      <c r="Q82" s="186">
        <v>7903</v>
      </c>
      <c r="R82" s="185"/>
      <c r="S82" s="185" t="s">
        <v>1538</v>
      </c>
      <c r="T82"/>
      <c r="U82" t="str">
        <f>IF($L82&gt;0,VLOOKUP($E82,Valida!$A$1:$G$270,6,FALSE),IF($M82&gt;=0,VLOOKUP($E82,Valida!$A$1:$G$270,7,FALSE)))</f>
        <v>(+/-) Ganancia (pérdida)</v>
      </c>
      <c r="V82" s="190" t="str">
        <f>VLOOKUP(E82,Valida!$A$2:$K$271,4,FALSE)</f>
        <v>P&amp;L</v>
      </c>
      <c r="W82" s="185" t="s">
        <v>1909</v>
      </c>
      <c r="X82" s="185" t="s">
        <v>1910</v>
      </c>
      <c r="Y82" s="185" t="s">
        <v>1789</v>
      </c>
      <c r="Z82"/>
    </row>
    <row r="83" spans="1:26">
      <c r="A83" s="185" t="s">
        <v>1895</v>
      </c>
      <c r="B83" s="185" t="s">
        <v>1906</v>
      </c>
      <c r="C83" s="185" t="s">
        <v>1897</v>
      </c>
      <c r="D83" s="185" t="s">
        <v>1907</v>
      </c>
      <c r="E83" s="185">
        <v>510539</v>
      </c>
      <c r="F83" s="185" t="s">
        <v>818</v>
      </c>
      <c r="G83" s="185" t="s">
        <v>1908</v>
      </c>
      <c r="H83" s="185" t="s">
        <v>1515</v>
      </c>
      <c r="I83" s="258" t="str">
        <f t="shared" si="4"/>
        <v>5</v>
      </c>
      <c r="J83" s="221">
        <f t="shared" si="5"/>
        <v>48333</v>
      </c>
      <c r="K83" s="258">
        <f t="shared" si="6"/>
        <v>2</v>
      </c>
      <c r="L83" s="188">
        <v>48333</v>
      </c>
      <c r="M83" s="188">
        <v>0</v>
      </c>
      <c r="N83" s="189">
        <v>1130744136</v>
      </c>
      <c r="O83" t="s">
        <v>1906</v>
      </c>
      <c r="P83" s="187">
        <v>44985.292071759301</v>
      </c>
      <c r="Q83" s="186">
        <v>7904</v>
      </c>
      <c r="R83" s="185"/>
      <c r="S83" s="185" t="s">
        <v>1538</v>
      </c>
      <c r="T83"/>
      <c r="U83" t="str">
        <f>IF($L83&gt;0,VLOOKUP($E83,Valida!$A$1:$G$270,6,FALSE),IF($M83&gt;=0,VLOOKUP($E83,Valida!$A$1:$G$270,7,FALSE)))</f>
        <v>(+/-) Ganancia (pérdida)</v>
      </c>
      <c r="V83" s="190" t="str">
        <f>VLOOKUP(E83,Valida!$A$2:$K$271,4,FALSE)</f>
        <v>P&amp;L</v>
      </c>
      <c r="W83" s="185" t="s">
        <v>1909</v>
      </c>
      <c r="X83" s="185" t="s">
        <v>1910</v>
      </c>
      <c r="Y83" s="185" t="s">
        <v>1789</v>
      </c>
      <c r="Z83"/>
    </row>
    <row r="84" spans="1:26">
      <c r="A84" s="185" t="s">
        <v>1895</v>
      </c>
      <c r="B84" s="185" t="s">
        <v>1906</v>
      </c>
      <c r="C84" s="185" t="s">
        <v>1897</v>
      </c>
      <c r="D84" s="185" t="s">
        <v>1907</v>
      </c>
      <c r="E84" s="185">
        <v>251010</v>
      </c>
      <c r="F84" s="185" t="s">
        <v>776</v>
      </c>
      <c r="G84" s="185" t="s">
        <v>1908</v>
      </c>
      <c r="H84" s="185" t="s">
        <v>1628</v>
      </c>
      <c r="I84" s="258" t="str">
        <f t="shared" si="4"/>
        <v>2</v>
      </c>
      <c r="J84" s="221">
        <f t="shared" si="5"/>
        <v>-108384</v>
      </c>
      <c r="K84" s="258">
        <f t="shared" si="6"/>
        <v>2</v>
      </c>
      <c r="L84" s="188">
        <v>0</v>
      </c>
      <c r="M84" s="188">
        <v>108384</v>
      </c>
      <c r="N84" s="189">
        <v>1130744136</v>
      </c>
      <c r="O84" t="s">
        <v>1906</v>
      </c>
      <c r="P84" s="187">
        <v>44985.292071759301</v>
      </c>
      <c r="Q84" s="186">
        <v>7905</v>
      </c>
      <c r="R84" s="185"/>
      <c r="S84" s="185" t="s">
        <v>1538</v>
      </c>
      <c r="T84"/>
      <c r="U84" t="str">
        <f>IF($L84&gt;0,VLOOKUP($E84,Valida!$A$1:$G$270,6,FALSE),IF($M84&gt;=0,VLOOKUP($E84,Valida!$A$1:$G$270,7,FALSE)))</f>
        <v>(+/-) Ajustes por el incremento (disminución) de cuentas por pagar de origen comercial</v>
      </c>
      <c r="V84" s="190" t="str">
        <f>VLOOKUP(E84,Valida!$A$2:$K$271,4,FALSE)</f>
        <v>Trade and other payables</v>
      </c>
      <c r="W84" s="185" t="s">
        <v>1909</v>
      </c>
      <c r="X84" s="185" t="s">
        <v>1910</v>
      </c>
      <c r="Y84" s="185" t="s">
        <v>1789</v>
      </c>
      <c r="Z84"/>
    </row>
    <row r="85" spans="1:26">
      <c r="A85" s="185" t="s">
        <v>1895</v>
      </c>
      <c r="B85" s="185" t="s">
        <v>1906</v>
      </c>
      <c r="C85" s="185" t="s">
        <v>1897</v>
      </c>
      <c r="D85" s="185" t="s">
        <v>1907</v>
      </c>
      <c r="E85" s="185">
        <v>251505</v>
      </c>
      <c r="F85" s="185" t="s">
        <v>779</v>
      </c>
      <c r="G85" s="185" t="s">
        <v>1908</v>
      </c>
      <c r="H85" s="185" t="s">
        <v>1628</v>
      </c>
      <c r="I85" s="258" t="str">
        <f t="shared" si="4"/>
        <v>2</v>
      </c>
      <c r="J85" s="221">
        <f t="shared" si="5"/>
        <v>-13006</v>
      </c>
      <c r="K85" s="258">
        <f t="shared" si="6"/>
        <v>2</v>
      </c>
      <c r="L85" s="188">
        <v>0</v>
      </c>
      <c r="M85" s="188">
        <v>13006</v>
      </c>
      <c r="N85" s="189">
        <v>1130744136</v>
      </c>
      <c r="O85" t="s">
        <v>1906</v>
      </c>
      <c r="P85" s="187">
        <v>44985.292071759301</v>
      </c>
      <c r="Q85" s="186">
        <v>7906</v>
      </c>
      <c r="R85" s="185"/>
      <c r="S85" s="185" t="s">
        <v>1538</v>
      </c>
      <c r="T85"/>
      <c r="U85" t="str">
        <f>IF($L85&gt;0,VLOOKUP($E85,Valida!$A$1:$G$270,6,FALSE),IF($M85&gt;=0,VLOOKUP($E85,Valida!$A$1:$G$270,7,FALSE)))</f>
        <v>(+/-) Ajustes por el incremento (disminución) de cuentas por pagar de origen comercial</v>
      </c>
      <c r="V85" s="190" t="str">
        <f>VLOOKUP(E85,Valida!$A$2:$K$271,4,FALSE)</f>
        <v>Trade and other payables</v>
      </c>
      <c r="W85" s="185" t="s">
        <v>1909</v>
      </c>
      <c r="X85" s="185" t="s">
        <v>1910</v>
      </c>
      <c r="Y85" s="185" t="s">
        <v>1789</v>
      </c>
      <c r="Z85"/>
    </row>
    <row r="86" spans="1:26">
      <c r="A86" s="185" t="s">
        <v>1895</v>
      </c>
      <c r="B86" s="185" t="s">
        <v>1906</v>
      </c>
      <c r="C86" s="185" t="s">
        <v>1897</v>
      </c>
      <c r="D86" s="185" t="s">
        <v>1907</v>
      </c>
      <c r="E86" s="185">
        <v>252005</v>
      </c>
      <c r="F86" s="185" t="s">
        <v>783</v>
      </c>
      <c r="G86" s="185" t="s">
        <v>1908</v>
      </c>
      <c r="H86" s="185" t="s">
        <v>1628</v>
      </c>
      <c r="I86" s="258" t="str">
        <f t="shared" si="4"/>
        <v>2</v>
      </c>
      <c r="J86" s="221">
        <f t="shared" si="5"/>
        <v>-108384</v>
      </c>
      <c r="K86" s="258">
        <f t="shared" si="6"/>
        <v>2</v>
      </c>
      <c r="L86" s="188">
        <v>0</v>
      </c>
      <c r="M86" s="188">
        <v>108384</v>
      </c>
      <c r="N86" s="189">
        <v>1130744136</v>
      </c>
      <c r="O86" t="s">
        <v>1906</v>
      </c>
      <c r="P86" s="187">
        <v>44985.292071759301</v>
      </c>
      <c r="Q86" s="186">
        <v>7907</v>
      </c>
      <c r="R86" s="185"/>
      <c r="S86" s="185" t="s">
        <v>1538</v>
      </c>
      <c r="T86"/>
      <c r="U86" t="str">
        <f>IF($L86&gt;0,VLOOKUP($E86,Valida!$A$1:$G$270,6,FALSE),IF($M86&gt;=0,VLOOKUP($E86,Valida!$A$1:$G$270,7,FALSE)))</f>
        <v>(+/-) Ajustes por el incremento (disminución) de cuentas por pagar de origen comercial</v>
      </c>
      <c r="V86" s="190" t="str">
        <f>VLOOKUP(E86,Valida!$A$2:$K$271,4,FALSE)</f>
        <v>Trade and other payables</v>
      </c>
      <c r="W86" s="185" t="s">
        <v>1909</v>
      </c>
      <c r="X86" s="185" t="s">
        <v>1910</v>
      </c>
      <c r="Y86" s="185" t="s">
        <v>1789</v>
      </c>
      <c r="Z86"/>
    </row>
    <row r="87" spans="1:26">
      <c r="A87" s="185" t="s">
        <v>1895</v>
      </c>
      <c r="B87" s="185" t="s">
        <v>1906</v>
      </c>
      <c r="C87" s="185" t="s">
        <v>1897</v>
      </c>
      <c r="D87" s="185" t="s">
        <v>1907</v>
      </c>
      <c r="E87" s="185">
        <v>252505</v>
      </c>
      <c r="F87" s="185" t="s">
        <v>787</v>
      </c>
      <c r="G87" s="185" t="s">
        <v>1908</v>
      </c>
      <c r="H87" s="185" t="s">
        <v>1628</v>
      </c>
      <c r="I87" s="258" t="str">
        <f t="shared" si="4"/>
        <v>2</v>
      </c>
      <c r="J87" s="221">
        <f t="shared" si="5"/>
        <v>-48333</v>
      </c>
      <c r="K87" s="258">
        <f t="shared" si="6"/>
        <v>2</v>
      </c>
      <c r="L87" s="188">
        <v>0</v>
      </c>
      <c r="M87" s="188">
        <v>48333</v>
      </c>
      <c r="N87" s="189">
        <v>1130744136</v>
      </c>
      <c r="O87" t="s">
        <v>1906</v>
      </c>
      <c r="P87" s="187">
        <v>44985.292071759301</v>
      </c>
      <c r="Q87" s="186">
        <v>7908</v>
      </c>
      <c r="R87" s="185"/>
      <c r="S87" s="185" t="s">
        <v>1538</v>
      </c>
      <c r="T87"/>
      <c r="U87" t="str">
        <f>IF($L87&gt;0,VLOOKUP($E87,Valida!$A$1:$G$270,6,FALSE),IF($M87&gt;=0,VLOOKUP($E87,Valida!$A$1:$G$270,7,FALSE)))</f>
        <v>(+/-) Ajustes por el incremento (disminución) de cuentas por pagar de origen comercial</v>
      </c>
      <c r="V87" s="190" t="str">
        <f>VLOOKUP(E87,Valida!$A$2:$K$271,4,FALSE)</f>
        <v>Trade and other payables</v>
      </c>
      <c r="W87" s="185" t="s">
        <v>1909</v>
      </c>
      <c r="X87" s="185" t="s">
        <v>1910</v>
      </c>
      <c r="Y87" s="185" t="s">
        <v>1789</v>
      </c>
      <c r="Z87"/>
    </row>
    <row r="88" spans="1:26">
      <c r="A88" s="185" t="s">
        <v>1895</v>
      </c>
      <c r="B88" s="185" t="s">
        <v>1906</v>
      </c>
      <c r="C88" s="185" t="s">
        <v>1897</v>
      </c>
      <c r="D88" s="185" t="s">
        <v>1907</v>
      </c>
      <c r="E88" s="185">
        <v>510570</v>
      </c>
      <c r="F88" s="185" t="s">
        <v>1116</v>
      </c>
      <c r="G88" s="185" t="s">
        <v>1908</v>
      </c>
      <c r="H88" s="185" t="s">
        <v>1515</v>
      </c>
      <c r="I88" s="258" t="str">
        <f t="shared" si="4"/>
        <v>5</v>
      </c>
      <c r="J88" s="221">
        <f t="shared" si="5"/>
        <v>139200</v>
      </c>
      <c r="K88" s="258">
        <f t="shared" si="6"/>
        <v>2</v>
      </c>
      <c r="L88" s="188">
        <v>139200</v>
      </c>
      <c r="M88" s="188">
        <v>0</v>
      </c>
      <c r="N88" s="189">
        <v>800224808</v>
      </c>
      <c r="O88" t="s">
        <v>1906</v>
      </c>
      <c r="P88" s="187">
        <v>44985.292071759301</v>
      </c>
      <c r="Q88" s="186">
        <v>7909</v>
      </c>
      <c r="R88" s="185" t="s">
        <v>1827</v>
      </c>
      <c r="S88" s="185" t="s">
        <v>1662</v>
      </c>
      <c r="T88"/>
      <c r="U88" t="str">
        <f>IF($L88&gt;0,VLOOKUP($E88,Valida!$A$1:$G$270,6,FALSE),IF($M88&gt;=0,VLOOKUP($E88,Valida!$A$1:$G$270,7,FALSE)))</f>
        <v>(+/-) Ganancia (pérdida)</v>
      </c>
      <c r="V88" s="190" t="str">
        <f>VLOOKUP(E88,Valida!$A$2:$K$271,4,FALSE)</f>
        <v>P&amp;L</v>
      </c>
      <c r="W88" s="185" t="s">
        <v>1911</v>
      </c>
      <c r="X88" s="185"/>
      <c r="Y88" s="185" t="s">
        <v>1789</v>
      </c>
      <c r="Z88"/>
    </row>
    <row r="89" spans="1:26">
      <c r="A89" s="185" t="s">
        <v>1895</v>
      </c>
      <c r="B89" s="185" t="s">
        <v>1906</v>
      </c>
      <c r="C89" s="185" t="s">
        <v>1897</v>
      </c>
      <c r="D89" s="185" t="s">
        <v>1907</v>
      </c>
      <c r="E89" s="185">
        <v>238030</v>
      </c>
      <c r="F89" s="185" t="s">
        <v>721</v>
      </c>
      <c r="G89" s="185" t="s">
        <v>1908</v>
      </c>
      <c r="H89" s="185" t="s">
        <v>1628</v>
      </c>
      <c r="I89" s="258" t="str">
        <f t="shared" si="4"/>
        <v>2</v>
      </c>
      <c r="J89" s="221">
        <f t="shared" si="5"/>
        <v>-139200</v>
      </c>
      <c r="K89" s="258">
        <f t="shared" si="6"/>
        <v>2</v>
      </c>
      <c r="L89" s="188">
        <v>0</v>
      </c>
      <c r="M89" s="188">
        <v>139200</v>
      </c>
      <c r="N89" s="189">
        <v>800224808</v>
      </c>
      <c r="O89" t="s">
        <v>1906</v>
      </c>
      <c r="P89" s="187">
        <v>44985.292071759301</v>
      </c>
      <c r="Q89" s="186">
        <v>7910</v>
      </c>
      <c r="R89" s="185" t="s">
        <v>1827</v>
      </c>
      <c r="S89" s="185" t="s">
        <v>1662</v>
      </c>
      <c r="T89"/>
      <c r="U89" t="str">
        <f>IF($L89&gt;0,VLOOKUP($E89,Valida!$A$1:$G$270,6,FALSE),IF($M89&gt;=0,VLOOKUP($E89,Valida!$A$1:$G$270,7,FALSE)))</f>
        <v>(+/-) Ajustes por el incremento (disminución) de cuentas por pagar de origen comercial</v>
      </c>
      <c r="V89" s="190" t="str">
        <f>VLOOKUP(E89,Valida!$A$2:$K$271,4,FALSE)</f>
        <v>Trade and other payables</v>
      </c>
      <c r="W89" s="185" t="s">
        <v>1911</v>
      </c>
      <c r="X89" s="185"/>
      <c r="Y89" s="185" t="s">
        <v>1789</v>
      </c>
      <c r="Z89"/>
    </row>
    <row r="90" spans="1:26">
      <c r="A90" s="185" t="s">
        <v>1895</v>
      </c>
      <c r="B90" s="185" t="s">
        <v>1906</v>
      </c>
      <c r="C90" s="185" t="s">
        <v>1897</v>
      </c>
      <c r="D90" s="185" t="s">
        <v>1907</v>
      </c>
      <c r="E90" s="185">
        <v>510568</v>
      </c>
      <c r="F90" s="185" t="s">
        <v>680</v>
      </c>
      <c r="G90" s="185" t="s">
        <v>1908</v>
      </c>
      <c r="H90" s="185" t="s">
        <v>1515</v>
      </c>
      <c r="I90" s="258" t="str">
        <f t="shared" si="4"/>
        <v>5</v>
      </c>
      <c r="J90" s="221">
        <f t="shared" si="5"/>
        <v>6100</v>
      </c>
      <c r="K90" s="258">
        <f t="shared" si="6"/>
        <v>2</v>
      </c>
      <c r="L90" s="188">
        <v>6100</v>
      </c>
      <c r="M90" s="188">
        <v>0</v>
      </c>
      <c r="N90" s="189">
        <v>860002503</v>
      </c>
      <c r="O90" t="s">
        <v>1906</v>
      </c>
      <c r="P90" s="187">
        <v>44985.292071759301</v>
      </c>
      <c r="Q90" s="186">
        <v>7911</v>
      </c>
      <c r="R90" s="185" t="s">
        <v>433</v>
      </c>
      <c r="S90" s="185" t="s">
        <v>1656</v>
      </c>
      <c r="T90"/>
      <c r="U90" t="str">
        <f>IF($L90&gt;0,VLOOKUP($E90,Valida!$A$1:$G$270,6,FALSE),IF($M90&gt;=0,VLOOKUP($E90,Valida!$A$1:$G$270,7,FALSE)))</f>
        <v>(+/-) Ganancia (pérdida)</v>
      </c>
      <c r="V90" s="190" t="str">
        <f>VLOOKUP(E90,Valida!$A$2:$K$271,4,FALSE)</f>
        <v>P&amp;L</v>
      </c>
      <c r="W90" s="185" t="s">
        <v>1912</v>
      </c>
      <c r="X90" s="185" t="s">
        <v>1913</v>
      </c>
      <c r="Y90" s="185" t="s">
        <v>1789</v>
      </c>
      <c r="Z90"/>
    </row>
    <row r="91" spans="1:26">
      <c r="A91" s="185" t="s">
        <v>1895</v>
      </c>
      <c r="B91" s="185" t="s">
        <v>1906</v>
      </c>
      <c r="C91" s="185" t="s">
        <v>1897</v>
      </c>
      <c r="D91" s="185" t="s">
        <v>1907</v>
      </c>
      <c r="E91" s="185">
        <v>237006</v>
      </c>
      <c r="F91" s="185" t="s">
        <v>680</v>
      </c>
      <c r="G91" s="185" t="s">
        <v>1908</v>
      </c>
      <c r="H91" s="185" t="s">
        <v>1628</v>
      </c>
      <c r="I91" s="258" t="str">
        <f t="shared" si="4"/>
        <v>2</v>
      </c>
      <c r="J91" s="221">
        <f t="shared" si="5"/>
        <v>-6100</v>
      </c>
      <c r="K91" s="258">
        <f t="shared" si="6"/>
        <v>2</v>
      </c>
      <c r="L91" s="188">
        <v>0</v>
      </c>
      <c r="M91" s="188">
        <v>6100</v>
      </c>
      <c r="N91" s="189">
        <v>860002503</v>
      </c>
      <c r="O91" t="s">
        <v>1906</v>
      </c>
      <c r="P91" s="187">
        <v>44985.292071759301</v>
      </c>
      <c r="Q91" s="186">
        <v>7912</v>
      </c>
      <c r="R91" s="185" t="s">
        <v>433</v>
      </c>
      <c r="S91" s="185" t="s">
        <v>1656</v>
      </c>
      <c r="T91"/>
      <c r="U91" t="str">
        <f>IF($L91&gt;0,VLOOKUP($E91,Valida!$A$1:$G$270,6,FALSE),IF($M91&gt;=0,VLOOKUP($E91,Valida!$A$1:$G$270,7,FALSE)))</f>
        <v>(+/-) Ajustes por el incremento (disminución) de cuentas por pagar de origen comercial</v>
      </c>
      <c r="V91" s="190" t="str">
        <f>VLOOKUP(E91,Valida!$A$2:$K$271,4,FALSE)</f>
        <v>Trade and other payables</v>
      </c>
      <c r="W91" s="185" t="s">
        <v>1912</v>
      </c>
      <c r="X91" s="185" t="s">
        <v>1913</v>
      </c>
      <c r="Y91" s="185" t="s">
        <v>1789</v>
      </c>
      <c r="Z91"/>
    </row>
    <row r="92" spans="1:26">
      <c r="A92" s="185" t="s">
        <v>1895</v>
      </c>
      <c r="B92" s="185" t="s">
        <v>1906</v>
      </c>
      <c r="C92" s="185" t="s">
        <v>1897</v>
      </c>
      <c r="D92" s="185" t="s">
        <v>1907</v>
      </c>
      <c r="E92" s="185">
        <v>510572</v>
      </c>
      <c r="F92" s="185" t="s">
        <v>1118</v>
      </c>
      <c r="G92" s="185" t="s">
        <v>1118</v>
      </c>
      <c r="H92" s="185" t="s">
        <v>1515</v>
      </c>
      <c r="I92" s="258" t="str">
        <f t="shared" si="4"/>
        <v>5</v>
      </c>
      <c r="J92" s="221">
        <f t="shared" si="5"/>
        <v>23200</v>
      </c>
      <c r="K92" s="258">
        <f t="shared" si="6"/>
        <v>2</v>
      </c>
      <c r="L92" s="188">
        <v>23200</v>
      </c>
      <c r="M92" s="188">
        <v>0</v>
      </c>
      <c r="N92" s="189">
        <v>860066942</v>
      </c>
      <c r="O92" t="s">
        <v>1906</v>
      </c>
      <c r="P92" s="187">
        <v>44985.292071759301</v>
      </c>
      <c r="Q92" s="186">
        <v>7913</v>
      </c>
      <c r="R92" s="185" t="s">
        <v>1814</v>
      </c>
      <c r="S92" s="185" t="s">
        <v>1574</v>
      </c>
      <c r="T92"/>
      <c r="U92" t="str">
        <f>IF($L92&gt;0,VLOOKUP($E92,Valida!$A$1:$G$270,6,FALSE),IF($M92&gt;=0,VLOOKUP($E92,Valida!$A$1:$G$270,7,FALSE)))</f>
        <v>(+/-) Ganancia (pérdida)</v>
      </c>
      <c r="V92" s="190" t="str">
        <f>VLOOKUP(E92,Valida!$A$2:$K$271,4,FALSE)</f>
        <v>P&amp;L</v>
      </c>
      <c r="W92" s="185" t="s">
        <v>1914</v>
      </c>
      <c r="X92" s="185" t="s">
        <v>1915</v>
      </c>
      <c r="Y92" s="185" t="s">
        <v>1789</v>
      </c>
      <c r="Z92"/>
    </row>
    <row r="93" spans="1:26">
      <c r="A93" s="185" t="s">
        <v>1895</v>
      </c>
      <c r="B93" s="185" t="s">
        <v>1906</v>
      </c>
      <c r="C93" s="185" t="s">
        <v>1897</v>
      </c>
      <c r="D93" s="185" t="s">
        <v>1907</v>
      </c>
      <c r="E93" s="185">
        <v>237010</v>
      </c>
      <c r="F93" s="185" t="s">
        <v>683</v>
      </c>
      <c r="G93" s="185" t="s">
        <v>1908</v>
      </c>
      <c r="H93" s="185" t="s">
        <v>1628</v>
      </c>
      <c r="I93" s="258" t="str">
        <f t="shared" si="4"/>
        <v>2</v>
      </c>
      <c r="J93" s="221">
        <f t="shared" si="5"/>
        <v>-23200</v>
      </c>
      <c r="K93" s="258">
        <f t="shared" si="6"/>
        <v>2</v>
      </c>
      <c r="L93" s="188">
        <v>0</v>
      </c>
      <c r="M93" s="188">
        <v>23200</v>
      </c>
      <c r="N93" s="189">
        <v>860066942</v>
      </c>
      <c r="O93" t="s">
        <v>1906</v>
      </c>
      <c r="P93" s="187">
        <v>44985.292071759301</v>
      </c>
      <c r="Q93" s="186">
        <v>7914</v>
      </c>
      <c r="R93" s="185" t="s">
        <v>1814</v>
      </c>
      <c r="S93" s="185" t="s">
        <v>1574</v>
      </c>
      <c r="T93"/>
      <c r="U93" t="str">
        <f>IF($L93&gt;0,VLOOKUP($E93,Valida!$A$1:$G$270,6,FALSE),IF($M93&gt;=0,VLOOKUP($E93,Valida!$A$1:$G$270,7,FALSE)))</f>
        <v>(+/-) Ajustes por el incremento (disminución) de cuentas por pagar de origen comercial</v>
      </c>
      <c r="V93" s="190" t="str">
        <f>VLOOKUP(E93,Valida!$A$2:$K$271,4,FALSE)</f>
        <v>Trade and other payables</v>
      </c>
      <c r="W93" s="185" t="s">
        <v>1914</v>
      </c>
      <c r="X93" s="185" t="s">
        <v>1915</v>
      </c>
      <c r="Y93" s="185" t="s">
        <v>1789</v>
      </c>
      <c r="Z93"/>
    </row>
    <row r="94" spans="1:26">
      <c r="A94" s="185" t="s">
        <v>1895</v>
      </c>
      <c r="B94" s="185" t="s">
        <v>1896</v>
      </c>
      <c r="C94" s="185" t="s">
        <v>1897</v>
      </c>
      <c r="D94" s="185" t="s">
        <v>1898</v>
      </c>
      <c r="E94" s="185">
        <v>238030</v>
      </c>
      <c r="F94" s="185" t="s">
        <v>721</v>
      </c>
      <c r="G94" s="185" t="s">
        <v>1899</v>
      </c>
      <c r="H94" s="185" t="s">
        <v>1628</v>
      </c>
      <c r="I94" s="258" t="str">
        <f t="shared" si="4"/>
        <v>2</v>
      </c>
      <c r="J94" s="221">
        <f t="shared" si="5"/>
        <v>-139400</v>
      </c>
      <c r="K94" s="258">
        <f t="shared" si="6"/>
        <v>2</v>
      </c>
      <c r="L94" s="188">
        <v>0</v>
      </c>
      <c r="M94" s="188">
        <v>139400</v>
      </c>
      <c r="N94" s="189">
        <v>800144331</v>
      </c>
      <c r="O94" t="s">
        <v>1896</v>
      </c>
      <c r="P94" s="187">
        <v>44985</v>
      </c>
      <c r="Q94" s="186">
        <v>7915</v>
      </c>
      <c r="R94" s="185" t="s">
        <v>844</v>
      </c>
      <c r="S94" s="185" t="s">
        <v>1658</v>
      </c>
      <c r="T94"/>
      <c r="U94" t="str">
        <f>IF($L94&gt;0,VLOOKUP($E94,Valida!$A$1:$G$270,6,FALSE),IF($M94&gt;=0,VLOOKUP($E94,Valida!$A$1:$G$270,7,FALSE)))</f>
        <v>(+/-) Ajustes por el incremento (disminución) de cuentas por pagar de origen comercial</v>
      </c>
      <c r="V94" s="190" t="str">
        <f>VLOOKUP(E94,Valida!$A$2:$K$271,4,FALSE)</f>
        <v>Trade and other payables</v>
      </c>
      <c r="W94" s="185" t="s">
        <v>1904</v>
      </c>
      <c r="X94" s="185" t="s">
        <v>1905</v>
      </c>
      <c r="Y94" s="185" t="s">
        <v>1789</v>
      </c>
      <c r="Z94"/>
    </row>
    <row r="95" spans="1:26">
      <c r="A95" s="185" t="s">
        <v>1895</v>
      </c>
      <c r="B95" s="185" t="s">
        <v>1896</v>
      </c>
      <c r="C95" s="185" t="s">
        <v>1897</v>
      </c>
      <c r="D95" s="185" t="s">
        <v>1898</v>
      </c>
      <c r="E95" s="185">
        <v>510570</v>
      </c>
      <c r="F95" s="185" t="s">
        <v>1116</v>
      </c>
      <c r="G95" s="185" t="s">
        <v>1899</v>
      </c>
      <c r="H95" s="185" t="s">
        <v>1515</v>
      </c>
      <c r="I95" s="258" t="str">
        <f t="shared" si="4"/>
        <v>5</v>
      </c>
      <c r="J95" s="221">
        <f t="shared" si="5"/>
        <v>139400</v>
      </c>
      <c r="K95" s="258">
        <f t="shared" si="6"/>
        <v>2</v>
      </c>
      <c r="L95" s="188">
        <v>139400</v>
      </c>
      <c r="M95" s="188">
        <v>0</v>
      </c>
      <c r="N95" s="189">
        <v>800144331</v>
      </c>
      <c r="O95" t="s">
        <v>1896</v>
      </c>
      <c r="P95" s="187">
        <v>44985</v>
      </c>
      <c r="Q95" s="186">
        <v>7916</v>
      </c>
      <c r="R95" s="185" t="s">
        <v>844</v>
      </c>
      <c r="S95" s="185" t="s">
        <v>1658</v>
      </c>
      <c r="T95"/>
      <c r="U95" t="str">
        <f>IF($L95&gt;0,VLOOKUP($E95,Valida!$A$1:$G$270,6,FALSE),IF($M95&gt;=0,VLOOKUP($E95,Valida!$A$1:$G$270,7,FALSE)))</f>
        <v>(+/-) Ganancia (pérdida)</v>
      </c>
      <c r="V95" s="190" t="str">
        <f>VLOOKUP(E95,Valida!$A$2:$K$271,4,FALSE)</f>
        <v>P&amp;L</v>
      </c>
      <c r="W95" s="185" t="s">
        <v>1904</v>
      </c>
      <c r="X95" s="185" t="s">
        <v>1905</v>
      </c>
      <c r="Y95" s="185" t="s">
        <v>1789</v>
      </c>
      <c r="Z95"/>
    </row>
    <row r="96" spans="1:26">
      <c r="A96" s="185" t="s">
        <v>1895</v>
      </c>
      <c r="B96" s="185" t="s">
        <v>1896</v>
      </c>
      <c r="C96" s="185" t="s">
        <v>1897</v>
      </c>
      <c r="D96" s="185" t="s">
        <v>1898</v>
      </c>
      <c r="E96" s="185">
        <v>510568</v>
      </c>
      <c r="F96" s="185" t="s">
        <v>680</v>
      </c>
      <c r="G96" s="185" t="s">
        <v>1899</v>
      </c>
      <c r="H96" s="185" t="s">
        <v>1515</v>
      </c>
      <c r="I96" s="258" t="str">
        <f t="shared" si="4"/>
        <v>5</v>
      </c>
      <c r="J96" s="221">
        <f t="shared" si="5"/>
        <v>6100</v>
      </c>
      <c r="K96" s="258">
        <f t="shared" si="6"/>
        <v>2</v>
      </c>
      <c r="L96" s="188">
        <v>6100</v>
      </c>
      <c r="M96" s="188">
        <v>0</v>
      </c>
      <c r="N96" s="189">
        <v>860002503</v>
      </c>
      <c r="O96" t="s">
        <v>1896</v>
      </c>
      <c r="P96" s="187">
        <v>44985</v>
      </c>
      <c r="Q96" s="186">
        <v>7917</v>
      </c>
      <c r="R96" s="185" t="s">
        <v>433</v>
      </c>
      <c r="S96" s="185" t="s">
        <v>1656</v>
      </c>
      <c r="T96"/>
      <c r="U96" t="str">
        <f>IF($L96&gt;0,VLOOKUP($E96,Valida!$A$1:$G$270,6,FALSE),IF($M96&gt;=0,VLOOKUP($E96,Valida!$A$1:$G$270,7,FALSE)))</f>
        <v>(+/-) Ganancia (pérdida)</v>
      </c>
      <c r="V96" s="190" t="str">
        <f>VLOOKUP(E96,Valida!$A$2:$K$271,4,FALSE)</f>
        <v>P&amp;L</v>
      </c>
      <c r="W96" s="185" t="s">
        <v>1912</v>
      </c>
      <c r="X96" s="185" t="s">
        <v>1913</v>
      </c>
      <c r="Y96" s="185" t="s">
        <v>1789</v>
      </c>
      <c r="Z96"/>
    </row>
    <row r="97" spans="1:26">
      <c r="A97" s="185" t="s">
        <v>1895</v>
      </c>
      <c r="B97" s="185" t="s">
        <v>1896</v>
      </c>
      <c r="C97" s="185" t="s">
        <v>1897</v>
      </c>
      <c r="D97" s="185" t="s">
        <v>1898</v>
      </c>
      <c r="E97" s="185">
        <v>237006</v>
      </c>
      <c r="F97" s="185" t="s">
        <v>680</v>
      </c>
      <c r="G97" s="185" t="s">
        <v>1899</v>
      </c>
      <c r="H97" s="185" t="s">
        <v>1628</v>
      </c>
      <c r="I97" s="258" t="str">
        <f t="shared" si="4"/>
        <v>2</v>
      </c>
      <c r="J97" s="221">
        <f t="shared" si="5"/>
        <v>-6100</v>
      </c>
      <c r="K97" s="258">
        <f t="shared" si="6"/>
        <v>2</v>
      </c>
      <c r="L97" s="188">
        <v>0</v>
      </c>
      <c r="M97" s="188">
        <v>6100</v>
      </c>
      <c r="N97" s="189">
        <v>860002503</v>
      </c>
      <c r="O97" t="s">
        <v>1896</v>
      </c>
      <c r="P97" s="187">
        <v>44985</v>
      </c>
      <c r="Q97" s="186">
        <v>7918</v>
      </c>
      <c r="R97" s="185" t="s">
        <v>433</v>
      </c>
      <c r="S97" s="185" t="s">
        <v>1656</v>
      </c>
      <c r="T97"/>
      <c r="U97" t="str">
        <f>IF($L97&gt;0,VLOOKUP($E97,Valida!$A$1:$G$270,6,FALSE),IF($M97&gt;=0,VLOOKUP($E97,Valida!$A$1:$G$270,7,FALSE)))</f>
        <v>(+/-) Ajustes por el incremento (disminución) de cuentas por pagar de origen comercial</v>
      </c>
      <c r="V97" s="190" t="str">
        <f>VLOOKUP(E97,Valida!$A$2:$K$271,4,FALSE)</f>
        <v>Trade and other payables</v>
      </c>
      <c r="W97" s="185" t="s">
        <v>1912</v>
      </c>
      <c r="X97" s="185" t="s">
        <v>1913</v>
      </c>
      <c r="Y97" s="185" t="s">
        <v>1789</v>
      </c>
      <c r="Z97"/>
    </row>
    <row r="98" spans="1:26">
      <c r="A98" s="185" t="s">
        <v>1895</v>
      </c>
      <c r="B98" s="185" t="s">
        <v>1896</v>
      </c>
      <c r="C98" s="185" t="s">
        <v>1897</v>
      </c>
      <c r="D98" s="185" t="s">
        <v>1898</v>
      </c>
      <c r="E98" s="185">
        <v>510572</v>
      </c>
      <c r="F98" s="185" t="s">
        <v>1118</v>
      </c>
      <c r="G98" s="185" t="s">
        <v>1899</v>
      </c>
      <c r="H98" s="185" t="s">
        <v>1515</v>
      </c>
      <c r="I98" s="258" t="str">
        <f t="shared" si="4"/>
        <v>5</v>
      </c>
      <c r="J98" s="221">
        <f t="shared" si="5"/>
        <v>23200</v>
      </c>
      <c r="K98" s="258">
        <f t="shared" si="6"/>
        <v>2</v>
      </c>
      <c r="L98" s="188">
        <v>23200</v>
      </c>
      <c r="M98" s="188">
        <v>0</v>
      </c>
      <c r="N98" s="189">
        <v>860066942</v>
      </c>
      <c r="O98" t="s">
        <v>1896</v>
      </c>
      <c r="P98" s="187">
        <v>44985</v>
      </c>
      <c r="Q98" s="186">
        <v>7919</v>
      </c>
      <c r="R98" s="185" t="s">
        <v>1814</v>
      </c>
      <c r="S98" s="185" t="s">
        <v>1574</v>
      </c>
      <c r="T98"/>
      <c r="U98" t="str">
        <f>IF($L98&gt;0,VLOOKUP($E98,Valida!$A$1:$G$270,6,FALSE),IF($M98&gt;=0,VLOOKUP($E98,Valida!$A$1:$G$270,7,FALSE)))</f>
        <v>(+/-) Ganancia (pérdida)</v>
      </c>
      <c r="V98" s="190" t="str">
        <f>VLOOKUP(E98,Valida!$A$2:$K$271,4,FALSE)</f>
        <v>P&amp;L</v>
      </c>
      <c r="W98" s="185" t="s">
        <v>1914</v>
      </c>
      <c r="X98" s="185" t="s">
        <v>1915</v>
      </c>
      <c r="Y98" s="185" t="s">
        <v>1789</v>
      </c>
      <c r="Z98"/>
    </row>
    <row r="99" spans="1:26">
      <c r="A99" s="185" t="s">
        <v>1895</v>
      </c>
      <c r="B99" s="185" t="s">
        <v>1896</v>
      </c>
      <c r="C99" s="185" t="s">
        <v>1897</v>
      </c>
      <c r="D99" s="185" t="s">
        <v>1898</v>
      </c>
      <c r="E99" s="185">
        <v>237010</v>
      </c>
      <c r="F99" s="185" t="s">
        <v>683</v>
      </c>
      <c r="G99" s="185" t="s">
        <v>1899</v>
      </c>
      <c r="H99" s="185" t="s">
        <v>1628</v>
      </c>
      <c r="I99" s="258" t="str">
        <f t="shared" si="4"/>
        <v>2</v>
      </c>
      <c r="J99" s="221">
        <f t="shared" si="5"/>
        <v>-23200</v>
      </c>
      <c r="K99" s="258">
        <f t="shared" si="6"/>
        <v>2</v>
      </c>
      <c r="L99" s="188">
        <v>0</v>
      </c>
      <c r="M99" s="188">
        <v>23200</v>
      </c>
      <c r="N99" s="189">
        <v>860066942</v>
      </c>
      <c r="O99" t="s">
        <v>1896</v>
      </c>
      <c r="P99" s="187">
        <v>44985</v>
      </c>
      <c r="Q99" s="186">
        <v>7920</v>
      </c>
      <c r="R99" s="185" t="s">
        <v>1814</v>
      </c>
      <c r="S99" s="185" t="s">
        <v>1574</v>
      </c>
      <c r="T99"/>
      <c r="U99" t="str">
        <f>IF($L99&gt;0,VLOOKUP($E99,Valida!$A$1:$G$270,6,FALSE),IF($M99&gt;=0,VLOOKUP($E99,Valida!$A$1:$G$270,7,FALSE)))</f>
        <v>(+/-) Ajustes por el incremento (disminución) de cuentas por pagar de origen comercial</v>
      </c>
      <c r="V99" s="190" t="str">
        <f>VLOOKUP(E99,Valida!$A$2:$K$271,4,FALSE)</f>
        <v>Trade and other payables</v>
      </c>
      <c r="W99" s="185" t="s">
        <v>1914</v>
      </c>
      <c r="X99" s="185" t="s">
        <v>1915</v>
      </c>
      <c r="Y99" s="185" t="s">
        <v>1789</v>
      </c>
      <c r="Z99"/>
    </row>
    <row r="100" spans="1:26">
      <c r="A100" s="185" t="s">
        <v>1895</v>
      </c>
      <c r="B100" s="185" t="s">
        <v>1916</v>
      </c>
      <c r="C100" s="185" t="s">
        <v>1897</v>
      </c>
      <c r="D100" s="185" t="s">
        <v>1917</v>
      </c>
      <c r="E100" s="185">
        <v>510506</v>
      </c>
      <c r="F100" s="185" t="s">
        <v>1076</v>
      </c>
      <c r="G100" s="185" t="s">
        <v>1899</v>
      </c>
      <c r="H100" s="185" t="s">
        <v>1515</v>
      </c>
      <c r="I100" s="258" t="str">
        <f t="shared" si="4"/>
        <v>5</v>
      </c>
      <c r="J100" s="221">
        <f t="shared" si="5"/>
        <v>1026667</v>
      </c>
      <c r="K100" s="258">
        <f t="shared" si="6"/>
        <v>2</v>
      </c>
      <c r="L100" s="188">
        <v>1026667</v>
      </c>
      <c r="M100" s="188">
        <v>0</v>
      </c>
      <c r="N100" s="189">
        <v>80747504</v>
      </c>
      <c r="O100" t="s">
        <v>1916</v>
      </c>
      <c r="P100" s="187">
        <v>44985.307361111103</v>
      </c>
      <c r="Q100" s="186">
        <v>7921</v>
      </c>
      <c r="R100" s="185"/>
      <c r="S100" s="185" t="s">
        <v>1562</v>
      </c>
      <c r="T100"/>
      <c r="U100" t="str">
        <f>IF($L100&gt;0,VLOOKUP($E100,Valida!$A$1:$G$270,6,FALSE),IF($M100&gt;=0,VLOOKUP($E100,Valida!$A$1:$G$270,7,FALSE)))</f>
        <v>(+/-) Ganancia (pérdida)</v>
      </c>
      <c r="V100" s="190" t="str">
        <f>VLOOKUP(E100,Valida!$A$2:$K$271,4,FALSE)</f>
        <v>P&amp;L</v>
      </c>
      <c r="W100" s="185" t="s">
        <v>1918</v>
      </c>
      <c r="X100" s="185"/>
      <c r="Y100" s="185" t="s">
        <v>1789</v>
      </c>
      <c r="Z100"/>
    </row>
    <row r="101" spans="1:26">
      <c r="A101" s="185" t="s">
        <v>1895</v>
      </c>
      <c r="B101" s="185" t="s">
        <v>1916</v>
      </c>
      <c r="C101" s="185" t="s">
        <v>1897</v>
      </c>
      <c r="D101" s="185" t="s">
        <v>1917</v>
      </c>
      <c r="E101" s="185">
        <v>510527</v>
      </c>
      <c r="F101" s="185" t="s">
        <v>1089</v>
      </c>
      <c r="G101" s="185" t="s">
        <v>1899</v>
      </c>
      <c r="H101" s="185" t="s">
        <v>1515</v>
      </c>
      <c r="I101" s="258" t="str">
        <f t="shared" si="4"/>
        <v>5</v>
      </c>
      <c r="J101" s="221">
        <f t="shared" si="5"/>
        <v>65616</v>
      </c>
      <c r="K101" s="258">
        <f t="shared" si="6"/>
        <v>2</v>
      </c>
      <c r="L101" s="188">
        <v>65616</v>
      </c>
      <c r="M101" s="188">
        <v>0</v>
      </c>
      <c r="N101" s="189">
        <v>80747504</v>
      </c>
      <c r="O101" t="s">
        <v>1916</v>
      </c>
      <c r="P101" s="187">
        <v>44985.307361111103</v>
      </c>
      <c r="Q101" s="186">
        <v>7922</v>
      </c>
      <c r="R101" s="185"/>
      <c r="S101" s="185" t="s">
        <v>1562</v>
      </c>
      <c r="T101"/>
      <c r="U101" t="str">
        <f>IF($L101&gt;0,VLOOKUP($E101,Valida!$A$1:$G$270,6,FALSE),IF($M101&gt;=0,VLOOKUP($E101,Valida!$A$1:$G$270,7,FALSE)))</f>
        <v>(+/-) Ganancia (pérdida)</v>
      </c>
      <c r="V101" s="190" t="str">
        <f>VLOOKUP(E101,Valida!$A$2:$K$271,4,FALSE)</f>
        <v>P&amp;L</v>
      </c>
      <c r="W101" s="185" t="s">
        <v>1918</v>
      </c>
      <c r="X101" s="185"/>
      <c r="Y101" s="185" t="s">
        <v>1789</v>
      </c>
      <c r="Z101"/>
    </row>
    <row r="102" spans="1:26">
      <c r="A102" s="185" t="s">
        <v>1783</v>
      </c>
      <c r="B102" s="185" t="s">
        <v>1919</v>
      </c>
      <c r="C102" s="185" t="s">
        <v>1890</v>
      </c>
      <c r="D102" s="185" t="s">
        <v>1920</v>
      </c>
      <c r="E102" s="185">
        <v>23355002</v>
      </c>
      <c r="F102" s="185" t="s">
        <v>506</v>
      </c>
      <c r="G102" s="185" t="s">
        <v>1921</v>
      </c>
      <c r="H102" s="185" t="s">
        <v>1515</v>
      </c>
      <c r="I102" s="258" t="str">
        <f t="shared" si="4"/>
        <v>2</v>
      </c>
      <c r="J102" s="221">
        <f t="shared" si="5"/>
        <v>115973.92</v>
      </c>
      <c r="K102" s="258">
        <f t="shared" si="6"/>
        <v>1</v>
      </c>
      <c r="L102" s="188">
        <v>115973.92</v>
      </c>
      <c r="M102" s="188">
        <v>0</v>
      </c>
      <c r="N102" s="189">
        <v>440493581</v>
      </c>
      <c r="O102" t="s">
        <v>1919</v>
      </c>
      <c r="P102" s="187">
        <v>44963.880555555603</v>
      </c>
      <c r="Q102" s="186">
        <v>6899</v>
      </c>
      <c r="R102" s="185"/>
      <c r="S102" s="185" t="s">
        <v>1546</v>
      </c>
      <c r="T102"/>
      <c r="U102" t="str">
        <f>IF($L102&gt;0,VLOOKUP($E102,Valida!$A$1:$G$270,6,FALSE),IF($M102&gt;=0,VLOOKUP($E102,Valida!$A$1:$G$270,7,FALSE)))</f>
        <v>(+/-) Ajustes por el incremento (disminución) de cuentas por pagar de origen comercial</v>
      </c>
      <c r="V102" s="190" t="str">
        <f>VLOOKUP(E102,Valida!$A$2:$K$271,4,FALSE)</f>
        <v>Trade and other payables</v>
      </c>
      <c r="W102" s="185" t="s">
        <v>1808</v>
      </c>
      <c r="X102" s="185"/>
      <c r="Y102" s="185"/>
      <c r="Z102"/>
    </row>
    <row r="103" spans="1:26">
      <c r="A103" s="185" t="s">
        <v>1783</v>
      </c>
      <c r="B103" s="185" t="s">
        <v>1919</v>
      </c>
      <c r="C103" s="185" t="s">
        <v>1890</v>
      </c>
      <c r="D103" s="185" t="s">
        <v>1920</v>
      </c>
      <c r="E103" s="185">
        <v>112005</v>
      </c>
      <c r="F103" s="185" t="s">
        <v>24</v>
      </c>
      <c r="G103" s="185" t="s">
        <v>1921</v>
      </c>
      <c r="H103" s="185" t="s">
        <v>1628</v>
      </c>
      <c r="I103" s="258" t="str">
        <f t="shared" si="4"/>
        <v>1</v>
      </c>
      <c r="J103" s="221">
        <f t="shared" si="5"/>
        <v>-115973.92</v>
      </c>
      <c r="K103" s="258">
        <f t="shared" si="6"/>
        <v>1</v>
      </c>
      <c r="L103" s="188">
        <v>0</v>
      </c>
      <c r="M103" s="188">
        <v>115973.92</v>
      </c>
      <c r="N103" s="189">
        <v>440493581</v>
      </c>
      <c r="O103" t="s">
        <v>1919</v>
      </c>
      <c r="P103" s="187">
        <v>44963.880555555603</v>
      </c>
      <c r="Q103" s="186">
        <v>6900</v>
      </c>
      <c r="R103" s="185"/>
      <c r="S103" s="185" t="s">
        <v>1546</v>
      </c>
      <c r="T103" t="s">
        <v>1894</v>
      </c>
      <c r="U103" t="str">
        <f>IF($L103&gt;0,VLOOKUP($E103,Valida!$A$1:$G$270,6,FALSE),IF($M103&gt;=0,VLOOKUP($E103,Valida!$A$1:$G$270,7,FALSE)))</f>
        <v>Disponible</v>
      </c>
      <c r="V103" s="190" t="str">
        <f>VLOOKUP(E103,Valida!$A$2:$K$271,4,FALSE)</f>
        <v>Cash and equivalents</v>
      </c>
      <c r="W103" s="185" t="s">
        <v>1808</v>
      </c>
      <c r="X103" s="185"/>
      <c r="Y103" s="185"/>
      <c r="Z103"/>
    </row>
    <row r="104" spans="1:26">
      <c r="A104" s="185" t="s">
        <v>1848</v>
      </c>
      <c r="B104" s="185" t="s">
        <v>1922</v>
      </c>
      <c r="C104" s="185" t="s">
        <v>1890</v>
      </c>
      <c r="D104" s="185" t="s">
        <v>1923</v>
      </c>
      <c r="E104" s="185">
        <v>23355001</v>
      </c>
      <c r="F104" s="185" t="s">
        <v>502</v>
      </c>
      <c r="G104" s="185" t="s">
        <v>1921</v>
      </c>
      <c r="H104" s="185" t="s">
        <v>1515</v>
      </c>
      <c r="I104" s="258" t="str">
        <f t="shared" si="4"/>
        <v>2</v>
      </c>
      <c r="J104" s="221">
        <f t="shared" si="5"/>
        <v>49278.91</v>
      </c>
      <c r="K104" s="258">
        <f t="shared" si="6"/>
        <v>1</v>
      </c>
      <c r="L104" s="188">
        <v>49278.91</v>
      </c>
      <c r="M104" s="188">
        <v>0</v>
      </c>
      <c r="N104" s="189">
        <v>800153993</v>
      </c>
      <c r="O104" t="s">
        <v>1922</v>
      </c>
      <c r="P104" s="187">
        <v>44963.8811458333</v>
      </c>
      <c r="Q104" s="186">
        <v>6901</v>
      </c>
      <c r="R104" s="185" t="s">
        <v>1814</v>
      </c>
      <c r="S104" s="185" t="s">
        <v>1556</v>
      </c>
      <c r="T104"/>
      <c r="U104" t="str">
        <f>IF($L104&gt;0,VLOOKUP($E104,Valida!$A$1:$G$270,6,FALSE),IF($M104&gt;=0,VLOOKUP($E104,Valida!$A$1:$G$270,7,FALSE)))</f>
        <v>(+/-) Ajustes por el incremento (disminución) de cuentas por pagar de origen comercial</v>
      </c>
      <c r="V104" s="190" t="str">
        <f>VLOOKUP(E104,Valida!$A$2:$K$271,4,FALSE)</f>
        <v>Trade and other payables</v>
      </c>
      <c r="W104" s="185" t="s">
        <v>1815</v>
      </c>
      <c r="X104" s="185"/>
      <c r="Y104" s="185" t="s">
        <v>1789</v>
      </c>
      <c r="Z104"/>
    </row>
    <row r="105" spans="1:26">
      <c r="A105" s="185" t="s">
        <v>1848</v>
      </c>
      <c r="B105" s="185" t="s">
        <v>1922</v>
      </c>
      <c r="C105" s="185" t="s">
        <v>1890</v>
      </c>
      <c r="D105" s="185" t="s">
        <v>1923</v>
      </c>
      <c r="E105" s="185">
        <v>112005</v>
      </c>
      <c r="F105" s="185" t="s">
        <v>24</v>
      </c>
      <c r="G105" s="185" t="s">
        <v>1921</v>
      </c>
      <c r="H105" s="185" t="s">
        <v>1628</v>
      </c>
      <c r="I105" s="258" t="str">
        <f t="shared" si="4"/>
        <v>1</v>
      </c>
      <c r="J105" s="221">
        <f t="shared" si="5"/>
        <v>-49278.91</v>
      </c>
      <c r="K105" s="258">
        <f t="shared" si="6"/>
        <v>1</v>
      </c>
      <c r="L105" s="188">
        <v>0</v>
      </c>
      <c r="M105" s="188">
        <v>49278.91</v>
      </c>
      <c r="N105" s="189">
        <v>800153993</v>
      </c>
      <c r="O105" t="s">
        <v>1922</v>
      </c>
      <c r="P105" s="187">
        <v>44963.8811458333</v>
      </c>
      <c r="Q105" s="186">
        <v>6902</v>
      </c>
      <c r="R105" s="185" t="s">
        <v>1814</v>
      </c>
      <c r="S105" s="185" t="s">
        <v>1556</v>
      </c>
      <c r="T105" t="s">
        <v>1894</v>
      </c>
      <c r="U105" t="str">
        <f>IF($L105&gt;0,VLOOKUP($E105,Valida!$A$1:$G$270,6,FALSE),IF($M105&gt;=0,VLOOKUP($E105,Valida!$A$1:$G$270,7,FALSE)))</f>
        <v>Disponible</v>
      </c>
      <c r="V105" s="190" t="str">
        <f>VLOOKUP(E105,Valida!$A$2:$K$271,4,FALSE)</f>
        <v>Cash and equivalents</v>
      </c>
      <c r="W105" s="185" t="s">
        <v>1815</v>
      </c>
      <c r="X105" s="185"/>
      <c r="Y105" s="185" t="s">
        <v>1789</v>
      </c>
      <c r="Z105"/>
    </row>
    <row r="106" spans="1:26">
      <c r="A106" s="185" t="s">
        <v>1848</v>
      </c>
      <c r="B106" s="185" t="s">
        <v>1924</v>
      </c>
      <c r="C106" s="185" t="s">
        <v>1890</v>
      </c>
      <c r="D106" s="185" t="s">
        <v>1925</v>
      </c>
      <c r="E106" s="185">
        <v>23355005</v>
      </c>
      <c r="F106" s="185" t="s">
        <v>516</v>
      </c>
      <c r="G106" s="185" t="s">
        <v>1921</v>
      </c>
      <c r="H106" s="185" t="s">
        <v>1515</v>
      </c>
      <c r="I106" s="258" t="str">
        <f t="shared" si="4"/>
        <v>2</v>
      </c>
      <c r="J106" s="221">
        <f t="shared" si="5"/>
        <v>3338960</v>
      </c>
      <c r="K106" s="258">
        <f t="shared" si="6"/>
        <v>1</v>
      </c>
      <c r="L106" s="188">
        <v>3338960</v>
      </c>
      <c r="M106" s="188">
        <v>0</v>
      </c>
      <c r="N106" s="189">
        <v>860063875</v>
      </c>
      <c r="O106" t="s">
        <v>1924</v>
      </c>
      <c r="P106" s="187">
        <v>44963.881678240701</v>
      </c>
      <c r="Q106" s="186">
        <v>6903</v>
      </c>
      <c r="R106" s="185" t="s">
        <v>1827</v>
      </c>
      <c r="S106" s="185" t="s">
        <v>1572</v>
      </c>
      <c r="T106"/>
      <c r="U106" t="str">
        <f>IF($L106&gt;0,VLOOKUP($E106,Valida!$A$1:$G$270,6,FALSE),IF($M106&gt;=0,VLOOKUP($E106,Valida!$A$1:$G$270,7,FALSE)))</f>
        <v>(+/-) Ajustes por el incremento (disminución) de cuentas por pagar de origen comercial</v>
      </c>
      <c r="V106" s="190" t="str">
        <f>VLOOKUP(E106,Valida!$A$2:$K$271,4,FALSE)</f>
        <v>Trade and other payables</v>
      </c>
      <c r="W106" s="185" t="s">
        <v>1835</v>
      </c>
      <c r="X106" s="185"/>
      <c r="Y106" s="185" t="s">
        <v>1789</v>
      </c>
      <c r="Z106"/>
    </row>
    <row r="107" spans="1:26">
      <c r="A107" s="185" t="s">
        <v>1848</v>
      </c>
      <c r="B107" s="185" t="s">
        <v>1924</v>
      </c>
      <c r="C107" s="185" t="s">
        <v>1890</v>
      </c>
      <c r="D107" s="185" t="s">
        <v>1925</v>
      </c>
      <c r="E107" s="185">
        <v>112005</v>
      </c>
      <c r="F107" s="185" t="s">
        <v>24</v>
      </c>
      <c r="G107" s="185" t="s">
        <v>1921</v>
      </c>
      <c r="H107" s="185" t="s">
        <v>1628</v>
      </c>
      <c r="I107" s="258" t="str">
        <f t="shared" si="4"/>
        <v>1</v>
      </c>
      <c r="J107" s="221">
        <f t="shared" si="5"/>
        <v>-3338960</v>
      </c>
      <c r="K107" s="258">
        <f t="shared" si="6"/>
        <v>1</v>
      </c>
      <c r="L107" s="188">
        <v>0</v>
      </c>
      <c r="M107" s="188">
        <v>3338960</v>
      </c>
      <c r="N107" s="189">
        <v>860063875</v>
      </c>
      <c r="O107" t="s">
        <v>1924</v>
      </c>
      <c r="P107" s="187">
        <v>44963.881678240701</v>
      </c>
      <c r="Q107" s="186">
        <v>6904</v>
      </c>
      <c r="R107" s="185" t="s">
        <v>1827</v>
      </c>
      <c r="S107" s="185" t="s">
        <v>1572</v>
      </c>
      <c r="T107" t="s">
        <v>1894</v>
      </c>
      <c r="U107" t="str">
        <f>IF($L107&gt;0,VLOOKUP($E107,Valida!$A$1:$G$270,6,FALSE),IF($M107&gt;=0,VLOOKUP($E107,Valida!$A$1:$G$270,7,FALSE)))</f>
        <v>Disponible</v>
      </c>
      <c r="V107" s="190" t="str">
        <f>VLOOKUP(E107,Valida!$A$2:$K$271,4,FALSE)</f>
        <v>Cash and equivalents</v>
      </c>
      <c r="W107" s="185" t="s">
        <v>1835</v>
      </c>
      <c r="X107" s="185"/>
      <c r="Y107" s="185" t="s">
        <v>1789</v>
      </c>
      <c r="Z107"/>
    </row>
    <row r="108" spans="1:26">
      <c r="A108" s="185" t="s">
        <v>1895</v>
      </c>
      <c r="B108" s="185" t="s">
        <v>1916</v>
      </c>
      <c r="C108" s="185" t="s">
        <v>1897</v>
      </c>
      <c r="D108" s="185" t="s">
        <v>1917</v>
      </c>
      <c r="E108" s="185">
        <v>237005</v>
      </c>
      <c r="F108" s="185" t="s">
        <v>676</v>
      </c>
      <c r="G108" s="185" t="s">
        <v>1899</v>
      </c>
      <c r="H108" s="185" t="s">
        <v>1628</v>
      </c>
      <c r="I108" s="258" t="str">
        <f t="shared" si="4"/>
        <v>2</v>
      </c>
      <c r="J108" s="221">
        <f t="shared" si="5"/>
        <v>-41067</v>
      </c>
      <c r="K108" s="258">
        <f t="shared" si="6"/>
        <v>2</v>
      </c>
      <c r="L108" s="188">
        <v>0</v>
      </c>
      <c r="M108" s="188">
        <v>41067</v>
      </c>
      <c r="N108" s="189">
        <v>900156264</v>
      </c>
      <c r="O108" t="s">
        <v>1916</v>
      </c>
      <c r="P108" s="187">
        <v>44985.307361111103</v>
      </c>
      <c r="Q108" s="186">
        <v>7923</v>
      </c>
      <c r="R108" s="185" t="s">
        <v>433</v>
      </c>
      <c r="S108" s="185" t="s">
        <v>1654</v>
      </c>
      <c r="T108"/>
      <c r="U108" t="str">
        <f>IF($L108&gt;0,VLOOKUP($E108,Valida!$A$1:$G$270,6,FALSE),IF($M108&gt;=0,VLOOKUP($E108,Valida!$A$1:$G$270,7,FALSE)))</f>
        <v>(+/-) Ajustes por el incremento (disminución) de cuentas por pagar de origen comercial</v>
      </c>
      <c r="V108" s="190" t="str">
        <f>VLOOKUP(E108,Valida!$A$2:$K$271,4,FALSE)</f>
        <v>Trade and other payables</v>
      </c>
      <c r="W108" s="185" t="s">
        <v>1926</v>
      </c>
      <c r="X108" s="185" t="s">
        <v>1927</v>
      </c>
      <c r="Y108" s="185" t="s">
        <v>1789</v>
      </c>
      <c r="Z108"/>
    </row>
    <row r="109" spans="1:26">
      <c r="A109" s="185" t="s">
        <v>1895</v>
      </c>
      <c r="B109" s="185" t="s">
        <v>1916</v>
      </c>
      <c r="C109" s="185" t="s">
        <v>1897</v>
      </c>
      <c r="D109" s="185" t="s">
        <v>1917</v>
      </c>
      <c r="E109" s="185">
        <v>238030</v>
      </c>
      <c r="F109" s="185" t="s">
        <v>721</v>
      </c>
      <c r="G109" s="185" t="s">
        <v>1899</v>
      </c>
      <c r="H109" s="185" t="s">
        <v>1628</v>
      </c>
      <c r="I109" s="258" t="str">
        <f t="shared" si="4"/>
        <v>2</v>
      </c>
      <c r="J109" s="221">
        <f t="shared" si="5"/>
        <v>-41067</v>
      </c>
      <c r="K109" s="258">
        <f t="shared" si="6"/>
        <v>2</v>
      </c>
      <c r="L109" s="188">
        <v>0</v>
      </c>
      <c r="M109" s="188">
        <v>41067</v>
      </c>
      <c r="N109" s="189">
        <v>900950893</v>
      </c>
      <c r="O109" t="s">
        <v>1916</v>
      </c>
      <c r="P109" s="187">
        <v>44985.307372685202</v>
      </c>
      <c r="Q109" s="186">
        <v>7924</v>
      </c>
      <c r="R109" s="185" t="s">
        <v>1519</v>
      </c>
      <c r="S109" s="185" t="s">
        <v>1668</v>
      </c>
      <c r="T109"/>
      <c r="U109" t="str">
        <f>IF($L109&gt;0,VLOOKUP($E109,Valida!$A$1:$G$270,6,FALSE),IF($M109&gt;=0,VLOOKUP($E109,Valida!$A$1:$G$270,7,FALSE)))</f>
        <v>(+/-) Ajustes por el incremento (disminución) de cuentas por pagar de origen comercial</v>
      </c>
      <c r="V109" s="190" t="str">
        <f>VLOOKUP(E109,Valida!$A$2:$K$271,4,FALSE)</f>
        <v>Trade and other payables</v>
      </c>
      <c r="W109" s="185" t="s">
        <v>1928</v>
      </c>
      <c r="X109" s="185"/>
      <c r="Y109" s="185" t="s">
        <v>1789</v>
      </c>
      <c r="Z109"/>
    </row>
    <row r="110" spans="1:26">
      <c r="A110" s="185" t="s">
        <v>1895</v>
      </c>
      <c r="B110" s="185" t="s">
        <v>1916</v>
      </c>
      <c r="C110" s="185" t="s">
        <v>1897</v>
      </c>
      <c r="D110" s="185" t="s">
        <v>1917</v>
      </c>
      <c r="E110" s="185">
        <v>250505</v>
      </c>
      <c r="F110" s="185" t="s">
        <v>767</v>
      </c>
      <c r="G110" s="185" t="s">
        <v>1899</v>
      </c>
      <c r="H110" s="185" t="s">
        <v>1628</v>
      </c>
      <c r="I110" s="258" t="str">
        <f t="shared" si="4"/>
        <v>2</v>
      </c>
      <c r="J110" s="221">
        <f t="shared" si="5"/>
        <v>-1010149</v>
      </c>
      <c r="K110" s="258">
        <f t="shared" si="6"/>
        <v>2</v>
      </c>
      <c r="L110" s="188">
        <v>0</v>
      </c>
      <c r="M110" s="188">
        <v>1010149</v>
      </c>
      <c r="N110" s="189">
        <v>80747504</v>
      </c>
      <c r="O110" t="s">
        <v>1916</v>
      </c>
      <c r="P110" s="187">
        <v>44985.307372685202</v>
      </c>
      <c r="Q110" s="186">
        <v>7925</v>
      </c>
      <c r="R110" s="185"/>
      <c r="S110" s="185" t="s">
        <v>1562</v>
      </c>
      <c r="T110"/>
      <c r="U110" t="str">
        <f>IF($L110&gt;0,VLOOKUP($E110,Valida!$A$1:$G$270,6,FALSE),IF($M110&gt;=0,VLOOKUP($E110,Valida!$A$1:$G$270,7,FALSE)))</f>
        <v>(+/-) Ajustes por el incremento (disminución) de cuentas por pagar de origen comercial</v>
      </c>
      <c r="V110" s="190" t="str">
        <f>VLOOKUP(E110,Valida!$A$2:$K$271,4,FALSE)</f>
        <v>Trade and other payables</v>
      </c>
      <c r="W110" s="185" t="s">
        <v>1918</v>
      </c>
      <c r="X110" s="185"/>
      <c r="Y110" s="185" t="s">
        <v>1789</v>
      </c>
      <c r="Z110"/>
    </row>
    <row r="111" spans="1:26">
      <c r="A111" s="185" t="s">
        <v>1895</v>
      </c>
      <c r="B111" s="185" t="s">
        <v>1916</v>
      </c>
      <c r="C111" s="185" t="s">
        <v>1897</v>
      </c>
      <c r="D111" s="185" t="s">
        <v>1917</v>
      </c>
      <c r="E111" s="185">
        <v>510530</v>
      </c>
      <c r="F111" s="185" t="s">
        <v>813</v>
      </c>
      <c r="G111" s="185" t="s">
        <v>1899</v>
      </c>
      <c r="H111" s="185" t="s">
        <v>1515</v>
      </c>
      <c r="I111" s="258" t="str">
        <f t="shared" si="4"/>
        <v>5</v>
      </c>
      <c r="J111" s="221">
        <f t="shared" si="5"/>
        <v>91024</v>
      </c>
      <c r="K111" s="258">
        <f t="shared" si="6"/>
        <v>2</v>
      </c>
      <c r="L111" s="188">
        <v>91024</v>
      </c>
      <c r="M111" s="188">
        <v>0</v>
      </c>
      <c r="N111" s="189">
        <v>80747504</v>
      </c>
      <c r="O111" t="s">
        <v>1916</v>
      </c>
      <c r="P111" s="187">
        <v>44985.307372685202</v>
      </c>
      <c r="Q111" s="186">
        <v>7926</v>
      </c>
      <c r="R111" s="185"/>
      <c r="S111" s="185" t="s">
        <v>1562</v>
      </c>
      <c r="T111"/>
      <c r="U111" t="str">
        <f>IF($L111&gt;0,VLOOKUP($E111,Valida!$A$1:$G$270,6,FALSE),IF($M111&gt;=0,VLOOKUP($E111,Valida!$A$1:$G$270,7,FALSE)))</f>
        <v>(+/-) Ganancia (pérdida)</v>
      </c>
      <c r="V111" s="190" t="str">
        <f>VLOOKUP(E111,Valida!$A$2:$K$271,4,FALSE)</f>
        <v>P&amp;L</v>
      </c>
      <c r="W111" s="185" t="s">
        <v>1918</v>
      </c>
      <c r="X111" s="185"/>
      <c r="Y111" s="185" t="s">
        <v>1789</v>
      </c>
      <c r="Z111"/>
    </row>
    <row r="112" spans="1:26">
      <c r="A112" s="185" t="s">
        <v>1895</v>
      </c>
      <c r="B112" s="185" t="s">
        <v>1916</v>
      </c>
      <c r="C112" s="185" t="s">
        <v>1897</v>
      </c>
      <c r="D112" s="185" t="s">
        <v>1917</v>
      </c>
      <c r="E112" s="185">
        <v>510533</v>
      </c>
      <c r="F112" s="185" t="s">
        <v>779</v>
      </c>
      <c r="G112" s="185" t="s">
        <v>1899</v>
      </c>
      <c r="H112" s="185" t="s">
        <v>1515</v>
      </c>
      <c r="I112" s="258" t="str">
        <f t="shared" si="4"/>
        <v>5</v>
      </c>
      <c r="J112" s="221">
        <f t="shared" si="5"/>
        <v>10923</v>
      </c>
      <c r="K112" s="258">
        <f t="shared" si="6"/>
        <v>2</v>
      </c>
      <c r="L112" s="188">
        <v>10923</v>
      </c>
      <c r="M112" s="188">
        <v>0</v>
      </c>
      <c r="N112" s="189">
        <v>80747504</v>
      </c>
      <c r="O112" t="s">
        <v>1916</v>
      </c>
      <c r="P112" s="187">
        <v>44985.307372685202</v>
      </c>
      <c r="Q112" s="186">
        <v>7927</v>
      </c>
      <c r="R112" s="185"/>
      <c r="S112" s="185" t="s">
        <v>1562</v>
      </c>
      <c r="T112"/>
      <c r="U112" t="str">
        <f>IF($L112&gt;0,VLOOKUP($E112,Valida!$A$1:$G$270,6,FALSE),IF($M112&gt;=0,VLOOKUP($E112,Valida!$A$1:$G$270,7,FALSE)))</f>
        <v>(+/-) Ganancia (pérdida)</v>
      </c>
      <c r="V112" s="190" t="str">
        <f>VLOOKUP(E112,Valida!$A$2:$K$271,4,FALSE)</f>
        <v>P&amp;L</v>
      </c>
      <c r="W112" s="185" t="s">
        <v>1918</v>
      </c>
      <c r="X112" s="185"/>
      <c r="Y112" s="185" t="s">
        <v>1789</v>
      </c>
      <c r="Z112"/>
    </row>
    <row r="113" spans="1:26">
      <c r="A113" s="185" t="s">
        <v>1929</v>
      </c>
      <c r="B113" s="185" t="s">
        <v>1930</v>
      </c>
      <c r="C113" s="185" t="s">
        <v>1890</v>
      </c>
      <c r="D113" s="185" t="s">
        <v>1931</v>
      </c>
      <c r="E113" s="185">
        <v>23355006</v>
      </c>
      <c r="F113" s="185" t="s">
        <v>519</v>
      </c>
      <c r="G113" s="185" t="s">
        <v>1921</v>
      </c>
      <c r="H113" s="185" t="s">
        <v>1515</v>
      </c>
      <c r="I113" s="258" t="str">
        <f t="shared" si="4"/>
        <v>2</v>
      </c>
      <c r="J113" s="221">
        <f t="shared" si="5"/>
        <v>3824660</v>
      </c>
      <c r="K113" s="258">
        <f t="shared" si="6"/>
        <v>1</v>
      </c>
      <c r="L113" s="188">
        <v>3824660</v>
      </c>
      <c r="M113" s="188">
        <v>0</v>
      </c>
      <c r="N113" s="189">
        <v>800153993</v>
      </c>
      <c r="O113" t="s">
        <v>1930</v>
      </c>
      <c r="P113" s="187">
        <v>44963.882256944402</v>
      </c>
      <c r="Q113" s="186">
        <v>6905</v>
      </c>
      <c r="R113" s="185" t="s">
        <v>1814</v>
      </c>
      <c r="S113" s="185" t="s">
        <v>1556</v>
      </c>
      <c r="T113"/>
      <c r="U113" t="str">
        <f>IF($L113&gt;0,VLOOKUP($E113,Valida!$A$1:$G$270,6,FALSE),IF($M113&gt;=0,VLOOKUP($E113,Valida!$A$1:$G$270,7,FALSE)))</f>
        <v>(+/-) Ajustes por el incremento (disminución) de cuentas por pagar de origen comercial</v>
      </c>
      <c r="V113" s="190" t="str">
        <f>VLOOKUP(E113,Valida!$A$2:$K$271,4,FALSE)</f>
        <v>Trade and other payables</v>
      </c>
      <c r="W113" s="185" t="s">
        <v>1815</v>
      </c>
      <c r="X113" s="185"/>
      <c r="Y113" s="185" t="s">
        <v>1789</v>
      </c>
      <c r="Z113"/>
    </row>
    <row r="114" spans="1:26">
      <c r="A114" s="185" t="s">
        <v>1929</v>
      </c>
      <c r="B114" s="185" t="s">
        <v>1930</v>
      </c>
      <c r="C114" s="185" t="s">
        <v>1890</v>
      </c>
      <c r="D114" s="185" t="s">
        <v>1931</v>
      </c>
      <c r="E114" s="185">
        <v>112005</v>
      </c>
      <c r="F114" s="185" t="s">
        <v>24</v>
      </c>
      <c r="G114" s="185" t="s">
        <v>1921</v>
      </c>
      <c r="H114" s="185" t="s">
        <v>1628</v>
      </c>
      <c r="I114" s="258" t="str">
        <f t="shared" si="4"/>
        <v>1</v>
      </c>
      <c r="J114" s="221">
        <f t="shared" si="5"/>
        <v>-3824660</v>
      </c>
      <c r="K114" s="258">
        <f t="shared" si="6"/>
        <v>1</v>
      </c>
      <c r="L114" s="188">
        <v>0</v>
      </c>
      <c r="M114" s="188">
        <v>3824660</v>
      </c>
      <c r="N114" s="189">
        <v>800153993</v>
      </c>
      <c r="O114" t="s">
        <v>1930</v>
      </c>
      <c r="P114" s="187">
        <v>44963.882256944402</v>
      </c>
      <c r="Q114" s="186">
        <v>6906</v>
      </c>
      <c r="R114" s="185" t="s">
        <v>1814</v>
      </c>
      <c r="S114" s="185" t="s">
        <v>1556</v>
      </c>
      <c r="T114" t="s">
        <v>1894</v>
      </c>
      <c r="U114" t="str">
        <f>IF($L114&gt;0,VLOOKUP($E114,Valida!$A$1:$G$270,6,FALSE),IF($M114&gt;=0,VLOOKUP($E114,Valida!$A$1:$G$270,7,FALSE)))</f>
        <v>Disponible</v>
      </c>
      <c r="V114" s="190" t="str">
        <f>VLOOKUP(E114,Valida!$A$2:$K$271,4,FALSE)</f>
        <v>Cash and equivalents</v>
      </c>
      <c r="W114" s="185" t="s">
        <v>1815</v>
      </c>
      <c r="X114" s="185"/>
      <c r="Y114" s="185" t="s">
        <v>1789</v>
      </c>
      <c r="Z114"/>
    </row>
    <row r="115" spans="1:26">
      <c r="A115" s="185" t="s">
        <v>1932</v>
      </c>
      <c r="B115" s="185" t="s">
        <v>1933</v>
      </c>
      <c r="C115" s="185" t="s">
        <v>1890</v>
      </c>
      <c r="D115" s="185" t="s">
        <v>1793</v>
      </c>
      <c r="E115" s="185">
        <v>23355006</v>
      </c>
      <c r="F115" s="185" t="s">
        <v>519</v>
      </c>
      <c r="G115" s="185" t="s">
        <v>1921</v>
      </c>
      <c r="H115" s="185" t="s">
        <v>1515</v>
      </c>
      <c r="I115" s="258" t="str">
        <f t="shared" si="4"/>
        <v>2</v>
      </c>
      <c r="J115" s="221">
        <f t="shared" si="5"/>
        <v>350676</v>
      </c>
      <c r="K115" s="258">
        <f t="shared" si="6"/>
        <v>1</v>
      </c>
      <c r="L115" s="188">
        <v>350676</v>
      </c>
      <c r="M115" s="188">
        <v>0</v>
      </c>
      <c r="N115" s="189">
        <v>900092385</v>
      </c>
      <c r="O115" t="s">
        <v>1933</v>
      </c>
      <c r="P115" s="187">
        <v>44963.882962962998</v>
      </c>
      <c r="Q115" s="186">
        <v>6907</v>
      </c>
      <c r="R115" s="185" t="s">
        <v>1841</v>
      </c>
      <c r="S115" s="185" t="s">
        <v>1590</v>
      </c>
      <c r="T115"/>
      <c r="U115" t="str">
        <f>IF($L115&gt;0,VLOOKUP($E115,Valida!$A$1:$G$270,6,FALSE),IF($M115&gt;=0,VLOOKUP($E115,Valida!$A$1:$G$270,7,FALSE)))</f>
        <v>(+/-) Ajustes por el incremento (disminución) de cuentas por pagar de origen comercial</v>
      </c>
      <c r="V115" s="190" t="str">
        <f>VLOOKUP(E115,Valida!$A$2:$K$271,4,FALSE)</f>
        <v>Trade and other payables</v>
      </c>
      <c r="W115" s="185" t="s">
        <v>1842</v>
      </c>
      <c r="X115" s="185" t="s">
        <v>1843</v>
      </c>
      <c r="Y115" s="185" t="s">
        <v>1844</v>
      </c>
      <c r="Z115"/>
    </row>
    <row r="116" spans="1:26">
      <c r="A116" s="185" t="s">
        <v>1932</v>
      </c>
      <c r="B116" s="185" t="s">
        <v>1933</v>
      </c>
      <c r="C116" s="185" t="s">
        <v>1890</v>
      </c>
      <c r="D116" s="185" t="s">
        <v>1793</v>
      </c>
      <c r="E116" s="185">
        <v>112005</v>
      </c>
      <c r="F116" s="185" t="s">
        <v>24</v>
      </c>
      <c r="G116" s="185" t="s">
        <v>1921</v>
      </c>
      <c r="H116" s="185" t="s">
        <v>1628</v>
      </c>
      <c r="I116" s="258" t="str">
        <f t="shared" si="4"/>
        <v>1</v>
      </c>
      <c r="J116" s="221">
        <f t="shared" si="5"/>
        <v>-350676</v>
      </c>
      <c r="K116" s="258">
        <f t="shared" si="6"/>
        <v>1</v>
      </c>
      <c r="L116" s="188">
        <v>0</v>
      </c>
      <c r="M116" s="188">
        <v>350676</v>
      </c>
      <c r="N116" s="189">
        <v>900092385</v>
      </c>
      <c r="O116" t="s">
        <v>1933</v>
      </c>
      <c r="P116" s="187">
        <v>44963.882962962998</v>
      </c>
      <c r="Q116" s="186">
        <v>6908</v>
      </c>
      <c r="R116" s="185" t="s">
        <v>1841</v>
      </c>
      <c r="S116" s="185" t="s">
        <v>1590</v>
      </c>
      <c r="T116" t="s">
        <v>1894</v>
      </c>
      <c r="U116" t="str">
        <f>IF($L116&gt;0,VLOOKUP($E116,Valida!$A$1:$G$270,6,FALSE),IF($M116&gt;=0,VLOOKUP($E116,Valida!$A$1:$G$270,7,FALSE)))</f>
        <v>Disponible</v>
      </c>
      <c r="V116" s="190" t="str">
        <f>VLOOKUP(E116,Valida!$A$2:$K$271,4,FALSE)</f>
        <v>Cash and equivalents</v>
      </c>
      <c r="W116" s="185" t="s">
        <v>1842</v>
      </c>
      <c r="X116" s="185" t="s">
        <v>1843</v>
      </c>
      <c r="Y116" s="185" t="s">
        <v>1844</v>
      </c>
      <c r="Z116"/>
    </row>
    <row r="117" spans="1:26">
      <c r="A117" s="185" t="s">
        <v>1934</v>
      </c>
      <c r="B117" s="185" t="s">
        <v>1935</v>
      </c>
      <c r="C117" s="185" t="s">
        <v>1890</v>
      </c>
      <c r="D117" s="185" t="s">
        <v>1936</v>
      </c>
      <c r="E117" s="185">
        <v>23359504</v>
      </c>
      <c r="F117" s="185" t="s">
        <v>553</v>
      </c>
      <c r="G117" s="185" t="s">
        <v>1921</v>
      </c>
      <c r="H117" s="185" t="s">
        <v>1515</v>
      </c>
      <c r="I117" s="258" t="str">
        <f t="shared" si="4"/>
        <v>2</v>
      </c>
      <c r="J117" s="221">
        <f t="shared" si="5"/>
        <v>330000</v>
      </c>
      <c r="K117" s="258">
        <f t="shared" si="6"/>
        <v>1</v>
      </c>
      <c r="L117" s="188">
        <v>330000</v>
      </c>
      <c r="M117" s="188">
        <v>0</v>
      </c>
      <c r="N117" s="189">
        <v>800042928</v>
      </c>
      <c r="O117" t="s">
        <v>1935</v>
      </c>
      <c r="P117" s="187">
        <v>44963.884456018503</v>
      </c>
      <c r="Q117" s="186">
        <v>6909</v>
      </c>
      <c r="R117" s="185" t="s">
        <v>6</v>
      </c>
      <c r="S117" s="185" t="s">
        <v>1554</v>
      </c>
      <c r="T117"/>
      <c r="U117" t="str">
        <f>IF($L117&gt;0,VLOOKUP($E117,Valida!$A$1:$G$270,6,FALSE),IF($M117&gt;=0,VLOOKUP($E117,Valida!$A$1:$G$270,7,FALSE)))</f>
        <v>(+/-) Ajustes por el incremento (disminución) de cuentas por pagar de origen comercial</v>
      </c>
      <c r="V117" s="190" t="str">
        <f>VLOOKUP(E117,Valida!$A$2:$K$271,4,FALSE)</f>
        <v>Trade and other payables</v>
      </c>
      <c r="W117" s="185" t="s">
        <v>1820</v>
      </c>
      <c r="X117" s="185" t="s">
        <v>1821</v>
      </c>
      <c r="Y117" s="185" t="s">
        <v>1789</v>
      </c>
      <c r="Z117"/>
    </row>
    <row r="118" spans="1:26">
      <c r="A118" s="185" t="s">
        <v>1934</v>
      </c>
      <c r="B118" s="185" t="s">
        <v>1935</v>
      </c>
      <c r="C118" s="185" t="s">
        <v>1890</v>
      </c>
      <c r="D118" s="185" t="s">
        <v>1936</v>
      </c>
      <c r="E118" s="185">
        <v>112005</v>
      </c>
      <c r="F118" s="185" t="s">
        <v>24</v>
      </c>
      <c r="G118" s="185" t="s">
        <v>1921</v>
      </c>
      <c r="H118" s="185" t="s">
        <v>1628</v>
      </c>
      <c r="I118" s="258" t="str">
        <f t="shared" si="4"/>
        <v>1</v>
      </c>
      <c r="J118" s="221">
        <f t="shared" si="5"/>
        <v>-330000</v>
      </c>
      <c r="K118" s="258">
        <f t="shared" si="6"/>
        <v>1</v>
      </c>
      <c r="L118" s="188">
        <v>0</v>
      </c>
      <c r="M118" s="188">
        <v>330000</v>
      </c>
      <c r="N118" s="189">
        <v>800042928</v>
      </c>
      <c r="O118" t="s">
        <v>1935</v>
      </c>
      <c r="P118" s="187">
        <v>44963.884456018503</v>
      </c>
      <c r="Q118" s="186">
        <v>6910</v>
      </c>
      <c r="R118" s="185" t="s">
        <v>6</v>
      </c>
      <c r="S118" s="185" t="s">
        <v>1554</v>
      </c>
      <c r="T118" t="s">
        <v>1894</v>
      </c>
      <c r="U118" t="str">
        <f>IF($L118&gt;0,VLOOKUP($E118,Valida!$A$1:$G$270,6,FALSE),IF($M118&gt;=0,VLOOKUP($E118,Valida!$A$1:$G$270,7,FALSE)))</f>
        <v>Disponible</v>
      </c>
      <c r="V118" s="190" t="str">
        <f>VLOOKUP(E118,Valida!$A$2:$K$271,4,FALSE)</f>
        <v>Cash and equivalents</v>
      </c>
      <c r="W118" s="185" t="s">
        <v>1820</v>
      </c>
      <c r="X118" s="185" t="s">
        <v>1821</v>
      </c>
      <c r="Y118" s="185" t="s">
        <v>1789</v>
      </c>
      <c r="Z118"/>
    </row>
    <row r="119" spans="1:26">
      <c r="A119" s="185" t="s">
        <v>1934</v>
      </c>
      <c r="B119" s="185" t="s">
        <v>1937</v>
      </c>
      <c r="C119" s="185" t="s">
        <v>1890</v>
      </c>
      <c r="D119" s="185" t="s">
        <v>1938</v>
      </c>
      <c r="E119" s="185">
        <v>23359502</v>
      </c>
      <c r="F119" s="185" t="s">
        <v>547</v>
      </c>
      <c r="G119" s="185" t="s">
        <v>1921</v>
      </c>
      <c r="H119" s="185" t="s">
        <v>1515</v>
      </c>
      <c r="I119" s="258" t="str">
        <f t="shared" si="4"/>
        <v>2</v>
      </c>
      <c r="J119" s="221">
        <f t="shared" si="5"/>
        <v>122016</v>
      </c>
      <c r="K119" s="258">
        <f t="shared" si="6"/>
        <v>1</v>
      </c>
      <c r="L119" s="188">
        <v>122016</v>
      </c>
      <c r="M119" s="188">
        <v>0</v>
      </c>
      <c r="N119" s="189">
        <v>900424409</v>
      </c>
      <c r="O119" t="s">
        <v>1937</v>
      </c>
      <c r="P119" s="187">
        <v>44963.885497685202</v>
      </c>
      <c r="Q119" s="186">
        <v>6911</v>
      </c>
      <c r="R119" s="185" t="s">
        <v>844</v>
      </c>
      <c r="S119" s="185" t="s">
        <v>1598</v>
      </c>
      <c r="T119"/>
      <c r="U119" t="str">
        <f>IF($L119&gt;0,VLOOKUP($E119,Valida!$A$1:$G$270,6,FALSE),IF($M119&gt;=0,VLOOKUP($E119,Valida!$A$1:$G$270,7,FALSE)))</f>
        <v>(+/-) Ajustes por el incremento (disminución) de cuentas por pagar de origen comercial</v>
      </c>
      <c r="V119" s="190" t="str">
        <f>VLOOKUP(E119,Valida!$A$2:$K$271,4,FALSE)</f>
        <v>Trade and other payables</v>
      </c>
      <c r="W119" s="185" t="s">
        <v>1864</v>
      </c>
      <c r="X119" s="185" t="s">
        <v>1865</v>
      </c>
      <c r="Y119" s="185" t="s">
        <v>1789</v>
      </c>
      <c r="Z119"/>
    </row>
    <row r="120" spans="1:26">
      <c r="A120" s="185" t="s">
        <v>1934</v>
      </c>
      <c r="B120" s="185" t="s">
        <v>1937</v>
      </c>
      <c r="C120" s="185" t="s">
        <v>1890</v>
      </c>
      <c r="D120" s="185" t="s">
        <v>1938</v>
      </c>
      <c r="E120" s="185">
        <v>112005</v>
      </c>
      <c r="F120" s="185" t="s">
        <v>24</v>
      </c>
      <c r="G120" s="185" t="s">
        <v>1921</v>
      </c>
      <c r="H120" s="185" t="s">
        <v>1628</v>
      </c>
      <c r="I120" s="258" t="str">
        <f t="shared" si="4"/>
        <v>1</v>
      </c>
      <c r="J120" s="221">
        <f t="shared" si="5"/>
        <v>-122016</v>
      </c>
      <c r="K120" s="258">
        <f t="shared" si="6"/>
        <v>1</v>
      </c>
      <c r="L120" s="188">
        <v>0</v>
      </c>
      <c r="M120" s="188">
        <v>122016</v>
      </c>
      <c r="N120" s="189">
        <v>900424409</v>
      </c>
      <c r="O120" t="s">
        <v>1937</v>
      </c>
      <c r="P120" s="187">
        <v>44963.885497685202</v>
      </c>
      <c r="Q120" s="186">
        <v>6912</v>
      </c>
      <c r="R120" s="185" t="s">
        <v>844</v>
      </c>
      <c r="S120" s="185" t="s">
        <v>1598</v>
      </c>
      <c r="T120" t="s">
        <v>1894</v>
      </c>
      <c r="U120" t="str">
        <f>IF($L120&gt;0,VLOOKUP($E120,Valida!$A$1:$G$270,6,FALSE),IF($M120&gt;=0,VLOOKUP($E120,Valida!$A$1:$G$270,7,FALSE)))</f>
        <v>Disponible</v>
      </c>
      <c r="V120" s="190" t="str">
        <f>VLOOKUP(E120,Valida!$A$2:$K$271,4,FALSE)</f>
        <v>Cash and equivalents</v>
      </c>
      <c r="W120" s="185" t="s">
        <v>1864</v>
      </c>
      <c r="X120" s="185" t="s">
        <v>1865</v>
      </c>
      <c r="Y120" s="185" t="s">
        <v>1789</v>
      </c>
      <c r="Z120"/>
    </row>
    <row r="121" spans="1:26">
      <c r="A121" s="185" t="s">
        <v>1939</v>
      </c>
      <c r="B121" s="185" t="s">
        <v>1940</v>
      </c>
      <c r="C121" s="185" t="s">
        <v>1890</v>
      </c>
      <c r="D121" s="185" t="s">
        <v>1941</v>
      </c>
      <c r="E121" s="185">
        <v>23354001</v>
      </c>
      <c r="F121" s="185" t="s">
        <v>484</v>
      </c>
      <c r="G121" s="185" t="s">
        <v>1921</v>
      </c>
      <c r="H121" s="185" t="s">
        <v>1515</v>
      </c>
      <c r="I121" s="258" t="str">
        <f t="shared" si="4"/>
        <v>2</v>
      </c>
      <c r="J121" s="221">
        <f t="shared" si="5"/>
        <v>28749303</v>
      </c>
      <c r="K121" s="258">
        <f t="shared" si="6"/>
        <v>1</v>
      </c>
      <c r="L121" s="188">
        <v>28749303</v>
      </c>
      <c r="M121" s="188">
        <v>0</v>
      </c>
      <c r="N121" s="189">
        <v>900471482</v>
      </c>
      <c r="O121" t="s">
        <v>1940</v>
      </c>
      <c r="P121" s="187">
        <v>44963.886631944399</v>
      </c>
      <c r="Q121" s="186">
        <v>6913</v>
      </c>
      <c r="R121" s="185" t="s">
        <v>6</v>
      </c>
      <c r="S121" s="185" t="s">
        <v>1600</v>
      </c>
      <c r="T121"/>
      <c r="U121" t="str">
        <f>IF($L121&gt;0,VLOOKUP($E121,Valida!$A$1:$G$270,6,FALSE),IF($M121&gt;=0,VLOOKUP($E121,Valida!$A$1:$G$270,7,FALSE)))</f>
        <v>(+/-) Ajustes por el incremento (disminución) de cuentas por pagar de origen comercial</v>
      </c>
      <c r="V121" s="190" t="str">
        <f>VLOOKUP(E121,Valida!$A$2:$K$271,4,FALSE)</f>
        <v>Trade and other payables</v>
      </c>
      <c r="W121" s="185" t="s">
        <v>1853</v>
      </c>
      <c r="X121" s="185" t="s">
        <v>1854</v>
      </c>
      <c r="Y121" s="185" t="s">
        <v>1789</v>
      </c>
      <c r="Z121"/>
    </row>
    <row r="122" spans="1:26">
      <c r="A122" s="185" t="s">
        <v>1939</v>
      </c>
      <c r="B122" s="185" t="s">
        <v>1940</v>
      </c>
      <c r="C122" s="185" t="s">
        <v>1890</v>
      </c>
      <c r="D122" s="185" t="s">
        <v>1941</v>
      </c>
      <c r="E122" s="185">
        <v>112005</v>
      </c>
      <c r="F122" s="185" t="s">
        <v>24</v>
      </c>
      <c r="G122" s="185" t="s">
        <v>1921</v>
      </c>
      <c r="H122" s="185" t="s">
        <v>1628</v>
      </c>
      <c r="I122" s="258" t="str">
        <f t="shared" si="4"/>
        <v>1</v>
      </c>
      <c r="J122" s="221">
        <f t="shared" si="5"/>
        <v>-28749303.5</v>
      </c>
      <c r="K122" s="258">
        <f t="shared" si="6"/>
        <v>1</v>
      </c>
      <c r="L122" s="188">
        <v>0</v>
      </c>
      <c r="M122" s="188">
        <v>28749303.5</v>
      </c>
      <c r="N122" s="189">
        <v>900471482</v>
      </c>
      <c r="O122" t="s">
        <v>1940</v>
      </c>
      <c r="P122" s="187">
        <v>44963.886643518497</v>
      </c>
      <c r="Q122" s="186">
        <v>6914</v>
      </c>
      <c r="R122" s="185" t="s">
        <v>6</v>
      </c>
      <c r="S122" s="185" t="s">
        <v>1600</v>
      </c>
      <c r="T122" t="s">
        <v>1894</v>
      </c>
      <c r="U122" t="str">
        <f>IF($L122&gt;0,VLOOKUP($E122,Valida!$A$1:$G$270,6,FALSE),IF($M122&gt;=0,VLOOKUP($E122,Valida!$A$1:$G$270,7,FALSE)))</f>
        <v>Disponible</v>
      </c>
      <c r="V122" s="190" t="str">
        <f>VLOOKUP(E122,Valida!$A$2:$K$271,4,FALSE)</f>
        <v>Cash and equivalents</v>
      </c>
      <c r="W122" s="185" t="s">
        <v>1853</v>
      </c>
      <c r="X122" s="185" t="s">
        <v>1854</v>
      </c>
      <c r="Y122" s="185" t="s">
        <v>1789</v>
      </c>
      <c r="Z122"/>
    </row>
    <row r="123" spans="1:26">
      <c r="A123" s="185" t="s">
        <v>1939</v>
      </c>
      <c r="B123" s="185" t="s">
        <v>1940</v>
      </c>
      <c r="C123" s="185" t="s">
        <v>1890</v>
      </c>
      <c r="D123" s="185" t="s">
        <v>1941</v>
      </c>
      <c r="E123" s="185">
        <v>53059510</v>
      </c>
      <c r="F123" s="185" t="s">
        <v>1065</v>
      </c>
      <c r="G123" s="185" t="s">
        <v>1921</v>
      </c>
      <c r="H123" s="185" t="s">
        <v>1515</v>
      </c>
      <c r="I123" s="258" t="str">
        <f t="shared" si="4"/>
        <v>5</v>
      </c>
      <c r="J123" s="221">
        <f t="shared" si="5"/>
        <v>0.5</v>
      </c>
      <c r="K123" s="258">
        <f t="shared" si="6"/>
        <v>1</v>
      </c>
      <c r="L123" s="188">
        <v>0.5</v>
      </c>
      <c r="M123" s="188">
        <v>0</v>
      </c>
      <c r="N123" s="189">
        <v>900471482</v>
      </c>
      <c r="O123" t="s">
        <v>1940</v>
      </c>
      <c r="P123" s="187">
        <v>44963.886643518497</v>
      </c>
      <c r="Q123" s="186">
        <v>6915</v>
      </c>
      <c r="R123" s="185" t="s">
        <v>6</v>
      </c>
      <c r="S123" s="185" t="s">
        <v>1600</v>
      </c>
      <c r="T123"/>
      <c r="U123" t="str">
        <f>IF($L123&gt;0,VLOOKUP($E123,Valida!$A$1:$G$270,6,FALSE),IF($M123&gt;=0,VLOOKUP($E123,Valida!$A$1:$G$270,7,FALSE)))</f>
        <v>(+/-) Ganancia (pérdida)</v>
      </c>
      <c r="V123" s="190" t="str">
        <f>VLOOKUP(E123,Valida!$A$2:$K$271,4,FALSE)</f>
        <v>P&amp;L</v>
      </c>
      <c r="W123" s="185" t="s">
        <v>1853</v>
      </c>
      <c r="X123" s="185" t="s">
        <v>1854</v>
      </c>
      <c r="Y123" s="185" t="s">
        <v>1789</v>
      </c>
      <c r="Z123"/>
    </row>
    <row r="124" spans="1:26">
      <c r="A124" s="185" t="s">
        <v>1869</v>
      </c>
      <c r="B124" s="185" t="s">
        <v>1942</v>
      </c>
      <c r="C124" s="185" t="s">
        <v>1890</v>
      </c>
      <c r="D124" s="185" t="s">
        <v>1943</v>
      </c>
      <c r="E124" s="185">
        <v>236595</v>
      </c>
      <c r="F124" s="185" t="s">
        <v>648</v>
      </c>
      <c r="G124" s="185" t="s">
        <v>1921</v>
      </c>
      <c r="H124" s="185" t="s">
        <v>1515</v>
      </c>
      <c r="I124" s="258" t="str">
        <f t="shared" si="4"/>
        <v>2</v>
      </c>
      <c r="J124" s="221">
        <f t="shared" si="5"/>
        <v>1163000</v>
      </c>
      <c r="K124" s="258">
        <f t="shared" si="6"/>
        <v>1</v>
      </c>
      <c r="L124" s="188">
        <v>1163000</v>
      </c>
      <c r="M124" s="188">
        <v>0</v>
      </c>
      <c r="N124" s="189">
        <v>800197268</v>
      </c>
      <c r="O124" t="s">
        <v>1942</v>
      </c>
      <c r="P124" s="187">
        <v>44963.888414351903</v>
      </c>
      <c r="Q124" s="186">
        <v>6916</v>
      </c>
      <c r="R124" s="185" t="s">
        <v>983</v>
      </c>
      <c r="S124" s="185" t="s">
        <v>1558</v>
      </c>
      <c r="T124"/>
      <c r="U124" t="str">
        <f>IF($L124&gt;0,VLOOKUP($E124,Valida!$A$1:$G$270,6,FALSE),IF($M124&gt;=0,VLOOKUP($E124,Valida!$A$1:$G$270,7,FALSE)))</f>
        <v>(+/-) Ajustes por el incremento (disminución) de cuentas por pagar de origen comercial</v>
      </c>
      <c r="V124" s="190" t="str">
        <f>VLOOKUP(E124,Valida!$A$2:$K$271,4,FALSE)</f>
        <v>Trade and other payables</v>
      </c>
      <c r="W124" s="185" t="s">
        <v>1944</v>
      </c>
      <c r="X124" s="185"/>
      <c r="Y124" s="185" t="s">
        <v>1789</v>
      </c>
      <c r="Z124"/>
    </row>
    <row r="125" spans="1:26">
      <c r="A125" s="185" t="s">
        <v>1869</v>
      </c>
      <c r="B125" s="185" t="s">
        <v>1942</v>
      </c>
      <c r="C125" s="185" t="s">
        <v>1890</v>
      </c>
      <c r="D125" s="185" t="s">
        <v>1943</v>
      </c>
      <c r="E125" s="185">
        <v>53059510</v>
      </c>
      <c r="F125" s="185" t="s">
        <v>1065</v>
      </c>
      <c r="G125" s="185" t="s">
        <v>1921</v>
      </c>
      <c r="H125" s="185" t="s">
        <v>1515</v>
      </c>
      <c r="I125" s="258" t="str">
        <f t="shared" si="4"/>
        <v>5</v>
      </c>
      <c r="J125" s="221">
        <f t="shared" si="5"/>
        <v>5000</v>
      </c>
      <c r="K125" s="258">
        <f t="shared" si="6"/>
        <v>1</v>
      </c>
      <c r="L125" s="188">
        <v>5000</v>
      </c>
      <c r="M125" s="188">
        <v>0</v>
      </c>
      <c r="N125" s="189">
        <v>800197268</v>
      </c>
      <c r="O125" t="s">
        <v>1942</v>
      </c>
      <c r="P125" s="187">
        <v>44963.888414351903</v>
      </c>
      <c r="Q125" s="186">
        <v>6917</v>
      </c>
      <c r="R125" s="185" t="s">
        <v>983</v>
      </c>
      <c r="S125" s="185" t="s">
        <v>1558</v>
      </c>
      <c r="T125"/>
      <c r="U125" t="str">
        <f>IF($L125&gt;0,VLOOKUP($E125,Valida!$A$1:$G$270,6,FALSE),IF($M125&gt;=0,VLOOKUP($E125,Valida!$A$1:$G$270,7,FALSE)))</f>
        <v>(+/-) Ganancia (pérdida)</v>
      </c>
      <c r="V125" s="190" t="str">
        <f>VLOOKUP(E125,Valida!$A$2:$K$271,4,FALSE)</f>
        <v>P&amp;L</v>
      </c>
      <c r="W125" s="185" t="s">
        <v>1944</v>
      </c>
      <c r="X125" s="185"/>
      <c r="Y125" s="185" t="s">
        <v>1789</v>
      </c>
      <c r="Z125"/>
    </row>
    <row r="126" spans="1:26">
      <c r="A126" s="185" t="s">
        <v>1869</v>
      </c>
      <c r="B126" s="185" t="s">
        <v>1942</v>
      </c>
      <c r="C126" s="185" t="s">
        <v>1890</v>
      </c>
      <c r="D126" s="185" t="s">
        <v>1943</v>
      </c>
      <c r="E126" s="185">
        <v>112005</v>
      </c>
      <c r="F126" s="185" t="s">
        <v>24</v>
      </c>
      <c r="G126" s="185" t="s">
        <v>1921</v>
      </c>
      <c r="H126" s="185" t="s">
        <v>1628</v>
      </c>
      <c r="I126" s="258" t="str">
        <f t="shared" si="4"/>
        <v>1</v>
      </c>
      <c r="J126" s="221">
        <f t="shared" si="5"/>
        <v>-1168000</v>
      </c>
      <c r="K126" s="258">
        <f t="shared" si="6"/>
        <v>1</v>
      </c>
      <c r="L126" s="188">
        <v>0</v>
      </c>
      <c r="M126" s="188">
        <v>1168000</v>
      </c>
      <c r="N126" s="189">
        <v>800197268</v>
      </c>
      <c r="O126" t="s">
        <v>1942</v>
      </c>
      <c r="P126" s="187">
        <v>44963.888414351903</v>
      </c>
      <c r="Q126" s="186">
        <v>6918</v>
      </c>
      <c r="R126" s="185" t="s">
        <v>983</v>
      </c>
      <c r="S126" s="185" t="s">
        <v>1558</v>
      </c>
      <c r="T126" t="s">
        <v>1894</v>
      </c>
      <c r="U126" t="str">
        <f>IF($L126&gt;0,VLOOKUP($E126,Valida!$A$1:$G$270,6,FALSE),IF($M126&gt;=0,VLOOKUP($E126,Valida!$A$1:$G$270,7,FALSE)))</f>
        <v>Disponible</v>
      </c>
      <c r="V126" s="190" t="str">
        <f>VLOOKUP(E126,Valida!$A$2:$K$271,4,FALSE)</f>
        <v>Cash and equivalents</v>
      </c>
      <c r="W126" s="185" t="s">
        <v>1944</v>
      </c>
      <c r="X126" s="185"/>
      <c r="Y126" s="185" t="s">
        <v>1789</v>
      </c>
      <c r="Z126"/>
    </row>
    <row r="127" spans="1:26">
      <c r="A127" s="185" t="s">
        <v>1945</v>
      </c>
      <c r="B127" s="185" t="s">
        <v>1946</v>
      </c>
      <c r="C127" s="185" t="s">
        <v>1890</v>
      </c>
      <c r="D127" s="185" t="s">
        <v>1947</v>
      </c>
      <c r="E127" s="185">
        <v>23359502</v>
      </c>
      <c r="F127" s="185" t="s">
        <v>547</v>
      </c>
      <c r="G127" s="185" t="s">
        <v>1921</v>
      </c>
      <c r="H127" s="185" t="s">
        <v>1515</v>
      </c>
      <c r="I127" s="258" t="str">
        <f t="shared" si="4"/>
        <v>2</v>
      </c>
      <c r="J127" s="221">
        <f t="shared" si="5"/>
        <v>2228082</v>
      </c>
      <c r="K127" s="258">
        <f t="shared" si="6"/>
        <v>1</v>
      </c>
      <c r="L127" s="188">
        <v>2228082</v>
      </c>
      <c r="M127" s="188">
        <v>0</v>
      </c>
      <c r="N127" s="189">
        <v>52976572</v>
      </c>
      <c r="O127" t="s">
        <v>1946</v>
      </c>
      <c r="P127" s="187">
        <v>44963.890231481499</v>
      </c>
      <c r="Q127" s="186">
        <v>6919</v>
      </c>
      <c r="R127" s="185"/>
      <c r="S127" s="185" t="s">
        <v>1552</v>
      </c>
      <c r="T127"/>
      <c r="U127" t="str">
        <f>IF($L127&gt;0,VLOOKUP($E127,Valida!$A$1:$G$270,6,FALSE),IF($M127&gt;=0,VLOOKUP($E127,Valida!$A$1:$G$270,7,FALSE)))</f>
        <v>(+/-) Ajustes por el incremento (disminución) de cuentas por pagar de origen comercial</v>
      </c>
      <c r="V127" s="190" t="str">
        <f>VLOOKUP(E127,Valida!$A$2:$K$271,4,FALSE)</f>
        <v>Trade and other payables</v>
      </c>
      <c r="W127" s="185" t="s">
        <v>1884</v>
      </c>
      <c r="X127" s="185"/>
      <c r="Y127" s="185" t="s">
        <v>1789</v>
      </c>
      <c r="Z127"/>
    </row>
    <row r="128" spans="1:26">
      <c r="A128" s="185" t="s">
        <v>1945</v>
      </c>
      <c r="B128" s="185" t="s">
        <v>1946</v>
      </c>
      <c r="C128" s="185" t="s">
        <v>1890</v>
      </c>
      <c r="D128" s="185" t="s">
        <v>1947</v>
      </c>
      <c r="E128" s="185">
        <v>112005</v>
      </c>
      <c r="F128" s="185" t="s">
        <v>24</v>
      </c>
      <c r="G128" s="185" t="s">
        <v>1921</v>
      </c>
      <c r="H128" s="185" t="s">
        <v>1628</v>
      </c>
      <c r="I128" s="258" t="str">
        <f t="shared" si="4"/>
        <v>1</v>
      </c>
      <c r="J128" s="221">
        <f t="shared" si="5"/>
        <v>-2229633</v>
      </c>
      <c r="K128" s="258">
        <f t="shared" si="6"/>
        <v>1</v>
      </c>
      <c r="L128" s="188">
        <v>0</v>
      </c>
      <c r="M128" s="188">
        <v>2229633</v>
      </c>
      <c r="N128" s="189">
        <v>52976572</v>
      </c>
      <c r="O128" t="s">
        <v>1946</v>
      </c>
      <c r="P128" s="187">
        <v>44963.890231481499</v>
      </c>
      <c r="Q128" s="186">
        <v>6920</v>
      </c>
      <c r="R128" s="185"/>
      <c r="S128" s="185" t="s">
        <v>1552</v>
      </c>
      <c r="T128" t="s">
        <v>1894</v>
      </c>
      <c r="U128" t="str">
        <f>IF($L128&gt;0,VLOOKUP($E128,Valida!$A$1:$G$270,6,FALSE),IF($M128&gt;=0,VLOOKUP($E128,Valida!$A$1:$G$270,7,FALSE)))</f>
        <v>Disponible</v>
      </c>
      <c r="V128" s="190" t="str">
        <f>VLOOKUP(E128,Valida!$A$2:$K$271,4,FALSE)</f>
        <v>Cash and equivalents</v>
      </c>
      <c r="W128" s="185" t="s">
        <v>1884</v>
      </c>
      <c r="X128" s="185"/>
      <c r="Y128" s="185" t="s">
        <v>1789</v>
      </c>
      <c r="Z128"/>
    </row>
    <row r="129" spans="1:26">
      <c r="A129" s="185" t="s">
        <v>1945</v>
      </c>
      <c r="B129" s="185" t="s">
        <v>1946</v>
      </c>
      <c r="C129" s="185" t="s">
        <v>1890</v>
      </c>
      <c r="D129" s="185" t="s">
        <v>1947</v>
      </c>
      <c r="E129" s="185">
        <v>53059510</v>
      </c>
      <c r="F129" s="185" t="s">
        <v>1065</v>
      </c>
      <c r="G129" s="185" t="s">
        <v>1921</v>
      </c>
      <c r="H129" s="185" t="s">
        <v>1515</v>
      </c>
      <c r="I129" s="258" t="str">
        <f t="shared" si="4"/>
        <v>5</v>
      </c>
      <c r="J129" s="221">
        <f t="shared" si="5"/>
        <v>1551</v>
      </c>
      <c r="K129" s="258">
        <f t="shared" si="6"/>
        <v>1</v>
      </c>
      <c r="L129" s="188">
        <v>1551</v>
      </c>
      <c r="M129" s="188">
        <v>0</v>
      </c>
      <c r="N129" s="189">
        <v>52976572</v>
      </c>
      <c r="O129" t="s">
        <v>1946</v>
      </c>
      <c r="P129" s="187">
        <v>44963.890231481499</v>
      </c>
      <c r="Q129" s="186">
        <v>6921</v>
      </c>
      <c r="R129" s="185"/>
      <c r="S129" s="185" t="s">
        <v>1552</v>
      </c>
      <c r="T129"/>
      <c r="U129" t="str">
        <f>IF($L129&gt;0,VLOOKUP($E129,Valida!$A$1:$G$270,6,FALSE),IF($M129&gt;=0,VLOOKUP($E129,Valida!$A$1:$G$270,7,FALSE)))</f>
        <v>(+/-) Ganancia (pérdida)</v>
      </c>
      <c r="V129" s="190" t="str">
        <f>VLOOKUP(E129,Valida!$A$2:$K$271,4,FALSE)</f>
        <v>P&amp;L</v>
      </c>
      <c r="W129" s="185" t="s">
        <v>1884</v>
      </c>
      <c r="X129" s="185"/>
      <c r="Y129" s="185" t="s">
        <v>1789</v>
      </c>
      <c r="Z129"/>
    </row>
    <row r="130" spans="1:26">
      <c r="A130" s="185" t="s">
        <v>1869</v>
      </c>
      <c r="B130" s="185" t="s">
        <v>1948</v>
      </c>
      <c r="C130" s="185" t="s">
        <v>1949</v>
      </c>
      <c r="D130" s="185" t="s">
        <v>1950</v>
      </c>
      <c r="E130" s="185">
        <v>130510</v>
      </c>
      <c r="F130" s="185" t="s">
        <v>64</v>
      </c>
      <c r="G130" s="185" t="s">
        <v>1921</v>
      </c>
      <c r="H130" s="185" t="s">
        <v>1628</v>
      </c>
      <c r="I130" s="258" t="str">
        <f t="shared" si="4"/>
        <v>1</v>
      </c>
      <c r="J130" s="221">
        <f t="shared" si="5"/>
        <v>-35250626.880000003</v>
      </c>
      <c r="K130" s="258">
        <f t="shared" si="6"/>
        <v>1</v>
      </c>
      <c r="L130" s="188">
        <v>0</v>
      </c>
      <c r="M130" s="188">
        <v>35250626.880000003</v>
      </c>
      <c r="N130" s="189">
        <v>374795</v>
      </c>
      <c r="O130" t="s">
        <v>1948</v>
      </c>
      <c r="P130" s="187">
        <v>44963.892395833303</v>
      </c>
      <c r="Q130" s="186">
        <v>6922</v>
      </c>
      <c r="R130" s="185"/>
      <c r="S130" s="185" t="s">
        <v>1544</v>
      </c>
      <c r="T130"/>
      <c r="U130" t="str">
        <f>IF($L130&gt;0,VLOOKUP($E130,Valida!$A$1:$G$270,6,FALSE),IF($M130&gt;=0,VLOOKUP($E130,Valida!$A$1:$G$270,7,FALSE)))</f>
        <v>(+/-) Ajustes por la disminución (incremento) de cuentas por cobrar de origen comercial</v>
      </c>
      <c r="V130" s="190" t="str">
        <f>VLOOKUP(E130,Valida!$A$2:$K$271,4,FALSE)</f>
        <v>Trade and other receivables</v>
      </c>
      <c r="W130" s="185" t="s">
        <v>1803</v>
      </c>
      <c r="X130" s="185"/>
      <c r="Y130" s="185"/>
      <c r="Z130"/>
    </row>
    <row r="131" spans="1:26">
      <c r="A131" s="185" t="s">
        <v>1869</v>
      </c>
      <c r="B131" s="185" t="s">
        <v>1948</v>
      </c>
      <c r="C131" s="185" t="s">
        <v>1949</v>
      </c>
      <c r="D131" s="185" t="s">
        <v>1950</v>
      </c>
      <c r="E131" s="185">
        <v>112005</v>
      </c>
      <c r="F131" s="185" t="s">
        <v>24</v>
      </c>
      <c r="G131" s="185" t="s">
        <v>1921</v>
      </c>
      <c r="H131" s="185" t="s">
        <v>1515</v>
      </c>
      <c r="I131" s="258" t="str">
        <f t="shared" ref="I131:I194" si="7">LEFT(E131,1)</f>
        <v>1</v>
      </c>
      <c r="J131" s="221">
        <f t="shared" ref="J131:J194" si="8">L131-M131</f>
        <v>39685569</v>
      </c>
      <c r="K131" s="258">
        <f t="shared" ref="K131:K194" si="9">MONTH(A131)</f>
        <v>1</v>
      </c>
      <c r="L131" s="188">
        <v>39685569</v>
      </c>
      <c r="M131" s="188">
        <v>0</v>
      </c>
      <c r="N131" s="189">
        <v>374795</v>
      </c>
      <c r="O131" t="s">
        <v>1948</v>
      </c>
      <c r="P131" s="187">
        <v>44963.892395833303</v>
      </c>
      <c r="Q131" s="186">
        <v>6923</v>
      </c>
      <c r="R131" s="185"/>
      <c r="S131" s="185" t="s">
        <v>1544</v>
      </c>
      <c r="T131" t="s">
        <v>1894</v>
      </c>
      <c r="U131" t="str">
        <f>IF($L131&gt;0,VLOOKUP($E131,Valida!$A$1:$G$270,6,FALSE),IF($M131&gt;=0,VLOOKUP($E131,Valida!$A$1:$G$270,7,FALSE)))</f>
        <v>Disponible</v>
      </c>
      <c r="V131" s="190" t="str">
        <f>VLOOKUP(E131,Valida!$A$2:$K$271,4,FALSE)</f>
        <v>Cash and equivalents</v>
      </c>
      <c r="W131" s="185" t="s">
        <v>1803</v>
      </c>
      <c r="X131" s="185"/>
      <c r="Y131" s="185"/>
      <c r="Z131"/>
    </row>
    <row r="132" spans="1:26">
      <c r="A132" s="185" t="s">
        <v>1869</v>
      </c>
      <c r="B132" s="185" t="s">
        <v>1948</v>
      </c>
      <c r="C132" s="185" t="s">
        <v>1949</v>
      </c>
      <c r="D132" s="185" t="s">
        <v>1950</v>
      </c>
      <c r="E132" s="185">
        <v>42102001</v>
      </c>
      <c r="F132" s="185" t="s">
        <v>1712</v>
      </c>
      <c r="G132" s="185" t="s">
        <v>1921</v>
      </c>
      <c r="H132" s="185" t="s">
        <v>1628</v>
      </c>
      <c r="I132" s="258" t="str">
        <f t="shared" si="7"/>
        <v>4</v>
      </c>
      <c r="J132" s="221">
        <f t="shared" si="8"/>
        <v>-4434942.12</v>
      </c>
      <c r="K132" s="258">
        <f t="shared" si="9"/>
        <v>1</v>
      </c>
      <c r="L132" s="188">
        <v>0</v>
      </c>
      <c r="M132" s="188">
        <v>4434942.12</v>
      </c>
      <c r="N132" s="189">
        <v>374795</v>
      </c>
      <c r="O132" t="s">
        <v>1948</v>
      </c>
      <c r="P132" s="187">
        <v>44963.892395833303</v>
      </c>
      <c r="Q132" s="186">
        <v>6924</v>
      </c>
      <c r="R132" s="185"/>
      <c r="S132" s="185" t="s">
        <v>1544</v>
      </c>
      <c r="T132"/>
      <c r="U132" t="str">
        <f>IF($L132&gt;0,VLOOKUP($E132,Valida!$A$1:$G$270,6,FALSE),IF($M132&gt;=0,VLOOKUP($E132,Valida!$A$1:$G$270,7,FALSE)))</f>
        <v>(+/-) Ganancia (pérdida)</v>
      </c>
      <c r="V132" s="190" t="str">
        <f>VLOOKUP(E132,Valida!$A$2:$K$271,4,FALSE)</f>
        <v>P&amp;L</v>
      </c>
      <c r="W132" s="185" t="s">
        <v>1803</v>
      </c>
      <c r="X132" s="185"/>
      <c r="Y132" s="185"/>
      <c r="Z132"/>
    </row>
    <row r="133" spans="1:26">
      <c r="A133" s="185" t="s">
        <v>1799</v>
      </c>
      <c r="B133" s="185" t="s">
        <v>1951</v>
      </c>
      <c r="C133" s="185" t="s">
        <v>1952</v>
      </c>
      <c r="D133" s="185" t="s">
        <v>1953</v>
      </c>
      <c r="E133" s="185">
        <v>53050501</v>
      </c>
      <c r="F133" s="185" t="s">
        <v>1462</v>
      </c>
      <c r="G133" s="185" t="s">
        <v>1954</v>
      </c>
      <c r="H133" s="185" t="s">
        <v>1515</v>
      </c>
      <c r="I133" s="258" t="str">
        <f t="shared" si="7"/>
        <v>5</v>
      </c>
      <c r="J133" s="221">
        <f t="shared" si="8"/>
        <v>69200</v>
      </c>
      <c r="K133" s="258">
        <f t="shared" si="9"/>
        <v>1</v>
      </c>
      <c r="L133" s="188">
        <v>69200</v>
      </c>
      <c r="M133" s="188">
        <v>0</v>
      </c>
      <c r="N133" s="189">
        <v>890903938</v>
      </c>
      <c r="O133" t="s">
        <v>1951</v>
      </c>
      <c r="P133" s="187">
        <v>44963.904733796298</v>
      </c>
      <c r="Q133" s="186">
        <v>6925</v>
      </c>
      <c r="R133" s="185" t="s">
        <v>1827</v>
      </c>
      <c r="S133" s="185" t="s">
        <v>1580</v>
      </c>
      <c r="T133"/>
      <c r="U133" t="str">
        <f>IF($L133&gt;0,VLOOKUP($E133,Valida!$A$1:$G$270,6,FALSE),IF($M133&gt;=0,VLOOKUP($E133,Valida!$A$1:$G$270,7,FALSE)))</f>
        <v>(+/-) Ganancia (pérdida)</v>
      </c>
      <c r="V133" s="190" t="str">
        <f>VLOOKUP(E133,Valida!$A$2:$K$271,4,FALSE)</f>
        <v>P&amp;L</v>
      </c>
      <c r="W133" s="185" t="s">
        <v>1955</v>
      </c>
      <c r="X133" s="185"/>
      <c r="Y133" s="185" t="s">
        <v>1844</v>
      </c>
      <c r="Z133"/>
    </row>
    <row r="134" spans="1:26">
      <c r="A134" s="185" t="s">
        <v>1799</v>
      </c>
      <c r="B134" s="185" t="s">
        <v>1951</v>
      </c>
      <c r="C134" s="185" t="s">
        <v>1952</v>
      </c>
      <c r="D134" s="185" t="s">
        <v>1953</v>
      </c>
      <c r="E134" s="185">
        <v>24081002</v>
      </c>
      <c r="F134" s="185" t="s">
        <v>1687</v>
      </c>
      <c r="G134" s="185" t="s">
        <v>1954</v>
      </c>
      <c r="H134" s="185" t="s">
        <v>1515</v>
      </c>
      <c r="I134" s="258" t="str">
        <f t="shared" si="7"/>
        <v>2</v>
      </c>
      <c r="J134" s="221">
        <f t="shared" si="8"/>
        <v>13148</v>
      </c>
      <c r="K134" s="258">
        <f t="shared" si="9"/>
        <v>1</v>
      </c>
      <c r="L134" s="188">
        <v>13148</v>
      </c>
      <c r="M134" s="188">
        <v>0</v>
      </c>
      <c r="N134" s="189">
        <v>890903938</v>
      </c>
      <c r="O134" t="s">
        <v>1951</v>
      </c>
      <c r="P134" s="187">
        <v>44963.904733796298</v>
      </c>
      <c r="Q134" s="186">
        <v>6926</v>
      </c>
      <c r="R134" s="185" t="s">
        <v>1827</v>
      </c>
      <c r="S134" s="185" t="s">
        <v>1580</v>
      </c>
      <c r="T134"/>
      <c r="U134" t="str">
        <f>IF($L134&gt;0,VLOOKUP($E134,Valida!$A$1:$G$270,6,FALSE),IF($M134&gt;=0,VLOOKUP($E134,Valida!$A$1:$G$270,7,FALSE)))</f>
        <v>(+/-) Ajustes por el incremento (disminución) de cuentas por pagar de origen comercial</v>
      </c>
      <c r="V134" s="190" t="str">
        <f>VLOOKUP(E134,Valida!$A$2:$K$271,4,FALSE)</f>
        <v>Trade and other payables</v>
      </c>
      <c r="W134" s="185" t="s">
        <v>1955</v>
      </c>
      <c r="X134" s="185"/>
      <c r="Y134" s="185" t="s">
        <v>1844</v>
      </c>
      <c r="Z134"/>
    </row>
    <row r="135" spans="1:26">
      <c r="A135" s="185" t="s">
        <v>1799</v>
      </c>
      <c r="B135" s="185" t="s">
        <v>1951</v>
      </c>
      <c r="C135" s="185" t="s">
        <v>1952</v>
      </c>
      <c r="D135" s="185" t="s">
        <v>1953</v>
      </c>
      <c r="E135" s="185">
        <v>112005</v>
      </c>
      <c r="F135" s="185" t="s">
        <v>24</v>
      </c>
      <c r="G135" s="185" t="s">
        <v>1954</v>
      </c>
      <c r="H135" s="185" t="s">
        <v>1628</v>
      </c>
      <c r="I135" s="258" t="str">
        <f t="shared" si="7"/>
        <v>1</v>
      </c>
      <c r="J135" s="221">
        <f t="shared" si="8"/>
        <v>-69200</v>
      </c>
      <c r="K135" s="258">
        <f t="shared" si="9"/>
        <v>1</v>
      </c>
      <c r="L135" s="188">
        <v>0</v>
      </c>
      <c r="M135" s="188">
        <v>69200</v>
      </c>
      <c r="N135" s="189">
        <v>890903938</v>
      </c>
      <c r="O135" t="s">
        <v>1951</v>
      </c>
      <c r="P135" s="187">
        <v>44963.904733796298</v>
      </c>
      <c r="Q135" s="186">
        <v>6927</v>
      </c>
      <c r="R135" s="185" t="s">
        <v>1827</v>
      </c>
      <c r="S135" s="185" t="s">
        <v>1580</v>
      </c>
      <c r="T135" t="s">
        <v>1894</v>
      </c>
      <c r="U135" t="str">
        <f>IF($L135&gt;0,VLOOKUP($E135,Valida!$A$1:$G$270,6,FALSE),IF($M135&gt;=0,VLOOKUP($E135,Valida!$A$1:$G$270,7,FALSE)))</f>
        <v>Disponible</v>
      </c>
      <c r="V135" s="190" t="str">
        <f>VLOOKUP(E135,Valida!$A$2:$K$271,4,FALSE)</f>
        <v>Cash and equivalents</v>
      </c>
      <c r="W135" s="185" t="s">
        <v>1955</v>
      </c>
      <c r="X135" s="185"/>
      <c r="Y135" s="185" t="s">
        <v>1844</v>
      </c>
      <c r="Z135"/>
    </row>
    <row r="136" spans="1:26">
      <c r="A136" s="185" t="s">
        <v>1799</v>
      </c>
      <c r="B136" s="185" t="s">
        <v>1951</v>
      </c>
      <c r="C136" s="185" t="s">
        <v>1952</v>
      </c>
      <c r="D136" s="185" t="s">
        <v>1953</v>
      </c>
      <c r="E136" s="185">
        <v>112005</v>
      </c>
      <c r="F136" s="185" t="s">
        <v>24</v>
      </c>
      <c r="G136" s="185" t="s">
        <v>1956</v>
      </c>
      <c r="H136" s="185" t="s">
        <v>1628</v>
      </c>
      <c r="I136" s="258" t="str">
        <f t="shared" si="7"/>
        <v>1</v>
      </c>
      <c r="J136" s="221">
        <f t="shared" si="8"/>
        <v>-13148</v>
      </c>
      <c r="K136" s="258">
        <f t="shared" si="9"/>
        <v>1</v>
      </c>
      <c r="L136" s="188">
        <v>0</v>
      </c>
      <c r="M136" s="188">
        <v>13148</v>
      </c>
      <c r="N136" s="189">
        <v>890903938</v>
      </c>
      <c r="O136" t="s">
        <v>1951</v>
      </c>
      <c r="P136" s="187">
        <v>44963.904733796298</v>
      </c>
      <c r="Q136" s="186">
        <v>6928</v>
      </c>
      <c r="R136" s="185" t="s">
        <v>1827</v>
      </c>
      <c r="S136" s="185" t="s">
        <v>1580</v>
      </c>
      <c r="T136" t="s">
        <v>1894</v>
      </c>
      <c r="U136" t="str">
        <f>IF($L136&gt;0,VLOOKUP($E136,Valida!$A$1:$G$270,6,FALSE),IF($M136&gt;=0,VLOOKUP($E136,Valida!$A$1:$G$270,7,FALSE)))</f>
        <v>Disponible</v>
      </c>
      <c r="V136" s="190" t="str">
        <f>VLOOKUP(E136,Valida!$A$2:$K$271,4,FALSE)</f>
        <v>Cash and equivalents</v>
      </c>
      <c r="W136" s="185" t="s">
        <v>1955</v>
      </c>
      <c r="X136" s="185"/>
      <c r="Y136" s="185" t="s">
        <v>1844</v>
      </c>
      <c r="Z136"/>
    </row>
    <row r="137" spans="1:26">
      <c r="A137" s="185" t="s">
        <v>1799</v>
      </c>
      <c r="B137" s="185" t="s">
        <v>1951</v>
      </c>
      <c r="C137" s="185" t="s">
        <v>1952</v>
      </c>
      <c r="D137" s="185" t="s">
        <v>1953</v>
      </c>
      <c r="E137" s="185">
        <v>53050503</v>
      </c>
      <c r="F137" s="185" t="s">
        <v>1468</v>
      </c>
      <c r="G137" s="185" t="s">
        <v>1957</v>
      </c>
      <c r="H137" s="185" t="s">
        <v>1515</v>
      </c>
      <c r="I137" s="258" t="str">
        <f t="shared" si="7"/>
        <v>5</v>
      </c>
      <c r="J137" s="221">
        <f t="shared" si="8"/>
        <v>67078.92</v>
      </c>
      <c r="K137" s="258">
        <f t="shared" si="9"/>
        <v>1</v>
      </c>
      <c r="L137" s="188">
        <v>67078.92</v>
      </c>
      <c r="M137" s="188">
        <v>0</v>
      </c>
      <c r="N137" s="189">
        <v>890903938</v>
      </c>
      <c r="O137" t="s">
        <v>1951</v>
      </c>
      <c r="P137" s="187">
        <v>44963.904733796298</v>
      </c>
      <c r="Q137" s="186">
        <v>6929</v>
      </c>
      <c r="R137" s="185" t="s">
        <v>1827</v>
      </c>
      <c r="S137" s="185" t="s">
        <v>1580</v>
      </c>
      <c r="T137"/>
      <c r="U137" t="str">
        <f>IF($L137&gt;0,VLOOKUP($E137,Valida!$A$1:$G$270,6,FALSE),IF($M137&gt;=0,VLOOKUP($E137,Valida!$A$1:$G$270,7,FALSE)))</f>
        <v>(+/-) Ganancia (pérdida)</v>
      </c>
      <c r="V137" s="190" t="str">
        <f>VLOOKUP(E137,Valida!$A$2:$K$271,4,FALSE)</f>
        <v>P&amp;L</v>
      </c>
      <c r="W137" s="185" t="s">
        <v>1955</v>
      </c>
      <c r="X137" s="185"/>
      <c r="Y137" s="185" t="s">
        <v>1844</v>
      </c>
      <c r="Z137"/>
    </row>
    <row r="138" spans="1:26">
      <c r="A138" s="185" t="s">
        <v>1799</v>
      </c>
      <c r="B138" s="185" t="s">
        <v>1951</v>
      </c>
      <c r="C138" s="185" t="s">
        <v>1952</v>
      </c>
      <c r="D138" s="185" t="s">
        <v>1953</v>
      </c>
      <c r="E138" s="185">
        <v>24081002</v>
      </c>
      <c r="F138" s="185" t="s">
        <v>1687</v>
      </c>
      <c r="G138" s="185" t="s">
        <v>1957</v>
      </c>
      <c r="H138" s="185" t="s">
        <v>1515</v>
      </c>
      <c r="I138" s="258" t="str">
        <f t="shared" si="7"/>
        <v>2</v>
      </c>
      <c r="J138" s="221">
        <f t="shared" si="8"/>
        <v>12745.08</v>
      </c>
      <c r="K138" s="258">
        <f t="shared" si="9"/>
        <v>1</v>
      </c>
      <c r="L138" s="188">
        <v>12745.08</v>
      </c>
      <c r="M138" s="188">
        <v>0</v>
      </c>
      <c r="N138" s="189">
        <v>890903938</v>
      </c>
      <c r="O138" t="s">
        <v>1951</v>
      </c>
      <c r="P138" s="187">
        <v>44963.904733796298</v>
      </c>
      <c r="Q138" s="186">
        <v>6930</v>
      </c>
      <c r="R138" s="185" t="s">
        <v>1827</v>
      </c>
      <c r="S138" s="185" t="s">
        <v>1580</v>
      </c>
      <c r="T138"/>
      <c r="U138" t="str">
        <f>IF($L138&gt;0,VLOOKUP($E138,Valida!$A$1:$G$270,6,FALSE),IF($M138&gt;=0,VLOOKUP($E138,Valida!$A$1:$G$270,7,FALSE)))</f>
        <v>(+/-) Ajustes por el incremento (disminución) de cuentas por pagar de origen comercial</v>
      </c>
      <c r="V138" s="190" t="str">
        <f>VLOOKUP(E138,Valida!$A$2:$K$271,4,FALSE)</f>
        <v>Trade and other payables</v>
      </c>
      <c r="W138" s="185" t="s">
        <v>1955</v>
      </c>
      <c r="X138" s="185"/>
      <c r="Y138" s="185" t="s">
        <v>1844</v>
      </c>
      <c r="Z138"/>
    </row>
    <row r="139" spans="1:26">
      <c r="A139" s="185" t="s">
        <v>1799</v>
      </c>
      <c r="B139" s="185" t="s">
        <v>1951</v>
      </c>
      <c r="C139" s="185" t="s">
        <v>1952</v>
      </c>
      <c r="D139" s="185" t="s">
        <v>1953</v>
      </c>
      <c r="E139" s="185">
        <v>112005</v>
      </c>
      <c r="F139" s="185" t="s">
        <v>24</v>
      </c>
      <c r="G139" s="185" t="s">
        <v>1957</v>
      </c>
      <c r="H139" s="185" t="s">
        <v>1628</v>
      </c>
      <c r="I139" s="258" t="str">
        <f t="shared" si="7"/>
        <v>1</v>
      </c>
      <c r="J139" s="221">
        <f t="shared" si="8"/>
        <v>-67078.92</v>
      </c>
      <c r="K139" s="258">
        <f t="shared" si="9"/>
        <v>1</v>
      </c>
      <c r="L139" s="188">
        <v>0</v>
      </c>
      <c r="M139" s="188">
        <v>67078.92</v>
      </c>
      <c r="N139" s="189">
        <v>890903938</v>
      </c>
      <c r="O139" t="s">
        <v>1951</v>
      </c>
      <c r="P139" s="187">
        <v>44963.904733796298</v>
      </c>
      <c r="Q139" s="186">
        <v>6931</v>
      </c>
      <c r="R139" s="185" t="s">
        <v>1827</v>
      </c>
      <c r="S139" s="185" t="s">
        <v>1580</v>
      </c>
      <c r="T139" t="s">
        <v>1894</v>
      </c>
      <c r="U139" t="str">
        <f>IF($L139&gt;0,VLOOKUP($E139,Valida!$A$1:$G$270,6,FALSE),IF($M139&gt;=0,VLOOKUP($E139,Valida!$A$1:$G$270,7,FALSE)))</f>
        <v>Disponible</v>
      </c>
      <c r="V139" s="190" t="str">
        <f>VLOOKUP(E139,Valida!$A$2:$K$271,4,FALSE)</f>
        <v>Cash and equivalents</v>
      </c>
      <c r="W139" s="185" t="s">
        <v>1955</v>
      </c>
      <c r="X139" s="185"/>
      <c r="Y139" s="185" t="s">
        <v>1844</v>
      </c>
      <c r="Z139"/>
    </row>
    <row r="140" spans="1:26">
      <c r="A140" s="185" t="s">
        <v>1799</v>
      </c>
      <c r="B140" s="185" t="s">
        <v>1951</v>
      </c>
      <c r="C140" s="185" t="s">
        <v>1952</v>
      </c>
      <c r="D140" s="185" t="s">
        <v>1953</v>
      </c>
      <c r="E140" s="185">
        <v>112005</v>
      </c>
      <c r="F140" s="185" t="s">
        <v>24</v>
      </c>
      <c r="G140" s="185" t="s">
        <v>1957</v>
      </c>
      <c r="H140" s="185" t="s">
        <v>1628</v>
      </c>
      <c r="I140" s="258" t="str">
        <f t="shared" si="7"/>
        <v>1</v>
      </c>
      <c r="J140" s="221">
        <f t="shared" si="8"/>
        <v>-12745.08</v>
      </c>
      <c r="K140" s="258">
        <f t="shared" si="9"/>
        <v>1</v>
      </c>
      <c r="L140" s="188">
        <v>0</v>
      </c>
      <c r="M140" s="188">
        <v>12745.08</v>
      </c>
      <c r="N140" s="189">
        <v>890903938</v>
      </c>
      <c r="O140" t="s">
        <v>1951</v>
      </c>
      <c r="P140" s="187">
        <v>44963.904733796298</v>
      </c>
      <c r="Q140" s="186">
        <v>6932</v>
      </c>
      <c r="R140" s="185" t="s">
        <v>1827</v>
      </c>
      <c r="S140" s="185" t="s">
        <v>1580</v>
      </c>
      <c r="T140" t="s">
        <v>1894</v>
      </c>
      <c r="U140" t="str">
        <f>IF($L140&gt;0,VLOOKUP($E140,Valida!$A$1:$G$270,6,FALSE),IF($M140&gt;=0,VLOOKUP($E140,Valida!$A$1:$G$270,7,FALSE)))</f>
        <v>Disponible</v>
      </c>
      <c r="V140" s="190" t="str">
        <f>VLOOKUP(E140,Valida!$A$2:$K$271,4,FALSE)</f>
        <v>Cash and equivalents</v>
      </c>
      <c r="W140" s="185" t="s">
        <v>1955</v>
      </c>
      <c r="X140" s="185"/>
      <c r="Y140" s="185" t="s">
        <v>1844</v>
      </c>
      <c r="Z140"/>
    </row>
    <row r="141" spans="1:26">
      <c r="A141" s="185" t="s">
        <v>1799</v>
      </c>
      <c r="B141" s="185" t="s">
        <v>1951</v>
      </c>
      <c r="C141" s="185" t="s">
        <v>1952</v>
      </c>
      <c r="D141" s="185" t="s">
        <v>1953</v>
      </c>
      <c r="E141" s="185">
        <v>53050502</v>
      </c>
      <c r="F141" s="185" t="s">
        <v>1465</v>
      </c>
      <c r="G141" s="185" t="s">
        <v>1466</v>
      </c>
      <c r="H141" s="185" t="s">
        <v>1515</v>
      </c>
      <c r="I141" s="258" t="str">
        <f t="shared" si="7"/>
        <v>5</v>
      </c>
      <c r="J141" s="221">
        <f t="shared" si="8"/>
        <v>12990</v>
      </c>
      <c r="K141" s="258">
        <f t="shared" si="9"/>
        <v>1</v>
      </c>
      <c r="L141" s="188">
        <v>12990</v>
      </c>
      <c r="M141" s="188">
        <v>0</v>
      </c>
      <c r="N141" s="189">
        <v>890903938</v>
      </c>
      <c r="O141" t="s">
        <v>1951</v>
      </c>
      <c r="P141" s="187">
        <v>44963.904733796298</v>
      </c>
      <c r="Q141" s="186">
        <v>6933</v>
      </c>
      <c r="R141" s="185" t="s">
        <v>1827</v>
      </c>
      <c r="S141" s="185" t="s">
        <v>1580</v>
      </c>
      <c r="T141"/>
      <c r="U141" t="str">
        <f>IF($L141&gt;0,VLOOKUP($E141,Valida!$A$1:$G$270,6,FALSE),IF($M141&gt;=0,VLOOKUP($E141,Valida!$A$1:$G$270,7,FALSE)))</f>
        <v>(+/-) Ganancia (pérdida)</v>
      </c>
      <c r="V141" s="190" t="str">
        <f>VLOOKUP(E141,Valida!$A$2:$K$271,4,FALSE)</f>
        <v>P&amp;L</v>
      </c>
      <c r="W141" s="185" t="s">
        <v>1955</v>
      </c>
      <c r="X141" s="185"/>
      <c r="Y141" s="185" t="s">
        <v>1844</v>
      </c>
      <c r="Z141"/>
    </row>
    <row r="142" spans="1:26">
      <c r="A142" s="185" t="s">
        <v>1799</v>
      </c>
      <c r="B142" s="185" t="s">
        <v>1951</v>
      </c>
      <c r="C142" s="185" t="s">
        <v>1952</v>
      </c>
      <c r="D142" s="185" t="s">
        <v>1953</v>
      </c>
      <c r="E142" s="185">
        <v>112005</v>
      </c>
      <c r="F142" s="185" t="s">
        <v>24</v>
      </c>
      <c r="G142" s="185" t="s">
        <v>1466</v>
      </c>
      <c r="H142" s="185" t="s">
        <v>1628</v>
      </c>
      <c r="I142" s="258" t="str">
        <f t="shared" si="7"/>
        <v>1</v>
      </c>
      <c r="J142" s="221">
        <f t="shared" si="8"/>
        <v>-12990</v>
      </c>
      <c r="K142" s="258">
        <f t="shared" si="9"/>
        <v>1</v>
      </c>
      <c r="L142" s="188">
        <v>0</v>
      </c>
      <c r="M142" s="188">
        <v>12990</v>
      </c>
      <c r="N142" s="189">
        <v>890903938</v>
      </c>
      <c r="O142" t="s">
        <v>1951</v>
      </c>
      <c r="P142" s="187">
        <v>44963.904733796298</v>
      </c>
      <c r="Q142" s="186">
        <v>6934</v>
      </c>
      <c r="R142" s="185" t="s">
        <v>1827</v>
      </c>
      <c r="S142" s="185" t="s">
        <v>1580</v>
      </c>
      <c r="T142" t="s">
        <v>1894</v>
      </c>
      <c r="U142" t="str">
        <f>IF($L142&gt;0,VLOOKUP($E142,Valida!$A$1:$G$270,6,FALSE),IF($M142&gt;=0,VLOOKUP($E142,Valida!$A$1:$G$270,7,FALSE)))</f>
        <v>Disponible</v>
      </c>
      <c r="V142" s="190" t="str">
        <f>VLOOKUP(E142,Valida!$A$2:$K$271,4,FALSE)</f>
        <v>Cash and equivalents</v>
      </c>
      <c r="W142" s="185" t="s">
        <v>1955</v>
      </c>
      <c r="X142" s="185"/>
      <c r="Y142" s="185" t="s">
        <v>1844</v>
      </c>
      <c r="Z142"/>
    </row>
    <row r="143" spans="1:26">
      <c r="A143" s="185" t="s">
        <v>1799</v>
      </c>
      <c r="B143" s="185" t="s">
        <v>1951</v>
      </c>
      <c r="C143" s="185" t="s">
        <v>1952</v>
      </c>
      <c r="D143" s="185" t="s">
        <v>1953</v>
      </c>
      <c r="E143" s="185">
        <v>51159501</v>
      </c>
      <c r="F143" s="185" t="s">
        <v>1181</v>
      </c>
      <c r="G143" s="185" t="s">
        <v>1958</v>
      </c>
      <c r="H143" s="185" t="s">
        <v>1515</v>
      </c>
      <c r="I143" s="258" t="str">
        <f t="shared" si="7"/>
        <v>5</v>
      </c>
      <c r="J143" s="221">
        <f t="shared" si="8"/>
        <v>218486.86</v>
      </c>
      <c r="K143" s="258">
        <f t="shared" si="9"/>
        <v>1</v>
      </c>
      <c r="L143" s="188">
        <v>218486.86</v>
      </c>
      <c r="M143" s="188">
        <v>0</v>
      </c>
      <c r="N143" s="189">
        <v>890903938</v>
      </c>
      <c r="O143" t="s">
        <v>1951</v>
      </c>
      <c r="P143" s="187">
        <v>44963.904733796298</v>
      </c>
      <c r="Q143" s="186">
        <v>6935</v>
      </c>
      <c r="R143" s="185" t="s">
        <v>1827</v>
      </c>
      <c r="S143" s="185" t="s">
        <v>1580</v>
      </c>
      <c r="T143"/>
      <c r="U143" t="str">
        <f>IF($L143&gt;0,VLOOKUP($E143,Valida!$A$1:$G$270,6,FALSE),IF($M143&gt;=0,VLOOKUP($E143,Valida!$A$1:$G$270,7,FALSE)))</f>
        <v>(+/-) Ganancia (pérdida)</v>
      </c>
      <c r="V143" s="190" t="str">
        <f>VLOOKUP(E143,Valida!$A$2:$K$271,4,FALSE)</f>
        <v>P&amp;L</v>
      </c>
      <c r="W143" s="185" t="s">
        <v>1955</v>
      </c>
      <c r="X143" s="185"/>
      <c r="Y143" s="185" t="s">
        <v>1844</v>
      </c>
      <c r="Z143"/>
    </row>
    <row r="144" spans="1:26">
      <c r="A144" s="185" t="s">
        <v>1799</v>
      </c>
      <c r="B144" s="185" t="s">
        <v>1951</v>
      </c>
      <c r="C144" s="185" t="s">
        <v>1952</v>
      </c>
      <c r="D144" s="185" t="s">
        <v>1953</v>
      </c>
      <c r="E144" s="185">
        <v>112005</v>
      </c>
      <c r="F144" s="185" t="s">
        <v>24</v>
      </c>
      <c r="G144" s="185" t="s">
        <v>1958</v>
      </c>
      <c r="H144" s="185" t="s">
        <v>1628</v>
      </c>
      <c r="I144" s="258" t="str">
        <f t="shared" si="7"/>
        <v>1</v>
      </c>
      <c r="J144" s="221">
        <f t="shared" si="8"/>
        <v>-218486.86</v>
      </c>
      <c r="K144" s="258">
        <f t="shared" si="9"/>
        <v>1</v>
      </c>
      <c r="L144" s="188">
        <v>0</v>
      </c>
      <c r="M144" s="188">
        <v>218486.86</v>
      </c>
      <c r="N144" s="189">
        <v>890903938</v>
      </c>
      <c r="O144" t="s">
        <v>1951</v>
      </c>
      <c r="P144" s="187">
        <v>44963.904733796298</v>
      </c>
      <c r="Q144" s="186">
        <v>6936</v>
      </c>
      <c r="R144" s="185" t="s">
        <v>1827</v>
      </c>
      <c r="S144" s="185" t="s">
        <v>1580</v>
      </c>
      <c r="T144" t="s">
        <v>1894</v>
      </c>
      <c r="U144" t="str">
        <f>IF($L144&gt;0,VLOOKUP($E144,Valida!$A$1:$G$270,6,FALSE),IF($M144&gt;=0,VLOOKUP($E144,Valida!$A$1:$G$270,7,FALSE)))</f>
        <v>Disponible</v>
      </c>
      <c r="V144" s="190" t="str">
        <f>VLOOKUP(E144,Valida!$A$2:$K$271,4,FALSE)</f>
        <v>Cash and equivalents</v>
      </c>
      <c r="W144" s="185" t="s">
        <v>1955</v>
      </c>
      <c r="X144" s="185"/>
      <c r="Y144" s="185" t="s">
        <v>1844</v>
      </c>
      <c r="Z144"/>
    </row>
    <row r="145" spans="1:26">
      <c r="A145" s="185" t="s">
        <v>1799</v>
      </c>
      <c r="B145" s="185" t="s">
        <v>1959</v>
      </c>
      <c r="C145" s="185" t="s">
        <v>1960</v>
      </c>
      <c r="D145" s="185" t="s">
        <v>1953</v>
      </c>
      <c r="E145" s="185">
        <v>112005</v>
      </c>
      <c r="F145" s="185" t="s">
        <v>24</v>
      </c>
      <c r="G145" s="185" t="s">
        <v>1961</v>
      </c>
      <c r="H145" s="185" t="s">
        <v>1515</v>
      </c>
      <c r="I145" s="258" t="str">
        <f t="shared" si="7"/>
        <v>1</v>
      </c>
      <c r="J145" s="221">
        <f t="shared" si="8"/>
        <v>2898.16</v>
      </c>
      <c r="K145" s="258">
        <f t="shared" si="9"/>
        <v>1</v>
      </c>
      <c r="L145" s="188">
        <v>2898.16</v>
      </c>
      <c r="M145" s="188">
        <v>0</v>
      </c>
      <c r="N145" s="189">
        <v>890903938</v>
      </c>
      <c r="O145" t="s">
        <v>1959</v>
      </c>
      <c r="P145" s="187">
        <v>44963.907523148097</v>
      </c>
      <c r="Q145" s="186">
        <v>6937</v>
      </c>
      <c r="R145" s="185" t="s">
        <v>1827</v>
      </c>
      <c r="S145" s="185" t="s">
        <v>1580</v>
      </c>
      <c r="T145" t="s">
        <v>1894</v>
      </c>
      <c r="U145" t="str">
        <f>IF($L145&gt;0,VLOOKUP($E145,Valida!$A$1:$G$270,6,FALSE),IF($M145&gt;=0,VLOOKUP($E145,Valida!$A$1:$G$270,7,FALSE)))</f>
        <v>Disponible</v>
      </c>
      <c r="V145" s="190" t="str">
        <f>VLOOKUP(E145,Valida!$A$2:$K$271,4,FALSE)</f>
        <v>Cash and equivalents</v>
      </c>
      <c r="W145" s="185" t="s">
        <v>1955</v>
      </c>
      <c r="X145" s="185"/>
      <c r="Y145" s="185" t="s">
        <v>1844</v>
      </c>
      <c r="Z145"/>
    </row>
    <row r="146" spans="1:26">
      <c r="A146" s="185" t="s">
        <v>1799</v>
      </c>
      <c r="B146" s="185" t="s">
        <v>1959</v>
      </c>
      <c r="C146" s="185" t="s">
        <v>1960</v>
      </c>
      <c r="D146" s="185" t="s">
        <v>1953</v>
      </c>
      <c r="E146" s="185">
        <v>42100501</v>
      </c>
      <c r="F146" s="185" t="s">
        <v>1039</v>
      </c>
      <c r="G146" s="185" t="s">
        <v>1961</v>
      </c>
      <c r="H146" s="185" t="s">
        <v>1628</v>
      </c>
      <c r="I146" s="258" t="str">
        <f t="shared" si="7"/>
        <v>4</v>
      </c>
      <c r="J146" s="221">
        <f t="shared" si="8"/>
        <v>-2898.16</v>
      </c>
      <c r="K146" s="258">
        <f t="shared" si="9"/>
        <v>1</v>
      </c>
      <c r="L146" s="188">
        <v>0</v>
      </c>
      <c r="M146" s="188">
        <v>2898.16</v>
      </c>
      <c r="N146" s="189">
        <v>890903938</v>
      </c>
      <c r="O146" t="s">
        <v>1959</v>
      </c>
      <c r="P146" s="187">
        <v>44963.907523148097</v>
      </c>
      <c r="Q146" s="186">
        <v>6938</v>
      </c>
      <c r="R146" s="185" t="s">
        <v>1827</v>
      </c>
      <c r="S146" s="185" t="s">
        <v>1580</v>
      </c>
      <c r="T146"/>
      <c r="U146" t="str">
        <f>IF($L146&gt;0,VLOOKUP($E146,Valida!$A$1:$G$270,6,FALSE),IF($M146&gt;=0,VLOOKUP($E146,Valida!$A$1:$G$270,7,FALSE)))</f>
        <v>(+/-) Ganancia (pérdida)</v>
      </c>
      <c r="V146" s="190" t="str">
        <f>VLOOKUP(E146,Valida!$A$2:$K$271,4,FALSE)</f>
        <v>P&amp;L</v>
      </c>
      <c r="W146" s="185" t="s">
        <v>1955</v>
      </c>
      <c r="X146" s="185"/>
      <c r="Y146" s="185" t="s">
        <v>1844</v>
      </c>
      <c r="Z146"/>
    </row>
    <row r="147" spans="1:26">
      <c r="A147" s="185" t="s">
        <v>1799</v>
      </c>
      <c r="B147" s="185" t="s">
        <v>1962</v>
      </c>
      <c r="C147" s="185" t="s">
        <v>1897</v>
      </c>
      <c r="D147" s="185" t="s">
        <v>1963</v>
      </c>
      <c r="E147" s="185">
        <v>510506</v>
      </c>
      <c r="F147" s="185" t="s">
        <v>1076</v>
      </c>
      <c r="G147" s="185" t="s">
        <v>1908</v>
      </c>
      <c r="H147" s="185" t="s">
        <v>1515</v>
      </c>
      <c r="I147" s="258" t="str">
        <f t="shared" si="7"/>
        <v>5</v>
      </c>
      <c r="J147" s="221">
        <f t="shared" si="8"/>
        <v>1160000</v>
      </c>
      <c r="K147" s="258">
        <f t="shared" si="9"/>
        <v>1</v>
      </c>
      <c r="L147" s="188">
        <v>1160000</v>
      </c>
      <c r="M147" s="188">
        <v>0</v>
      </c>
      <c r="N147" s="189">
        <v>1130744136</v>
      </c>
      <c r="O147" t="s">
        <v>1962</v>
      </c>
      <c r="P147" s="187">
        <v>44965.331944444399</v>
      </c>
      <c r="Q147" s="186">
        <v>6939</v>
      </c>
      <c r="R147" s="185"/>
      <c r="S147" s="185" t="s">
        <v>1538</v>
      </c>
      <c r="T147"/>
      <c r="U147" t="str">
        <f>IF($L147&gt;0,VLOOKUP($E147,Valida!$A$1:$G$270,6,FALSE),IF($M147&gt;=0,VLOOKUP($E147,Valida!$A$1:$G$270,7,FALSE)))</f>
        <v>(+/-) Ganancia (pérdida)</v>
      </c>
      <c r="V147" s="190" t="str">
        <f>VLOOKUP(E147,Valida!$A$2:$K$271,4,FALSE)</f>
        <v>P&amp;L</v>
      </c>
      <c r="W147" s="185" t="s">
        <v>1909</v>
      </c>
      <c r="X147" s="185" t="s">
        <v>1910</v>
      </c>
      <c r="Y147" s="185" t="s">
        <v>1789</v>
      </c>
      <c r="Z147"/>
    </row>
    <row r="148" spans="1:26">
      <c r="A148" s="185" t="s">
        <v>1799</v>
      </c>
      <c r="B148" s="185" t="s">
        <v>1962</v>
      </c>
      <c r="C148" s="185" t="s">
        <v>1897</v>
      </c>
      <c r="D148" s="185" t="s">
        <v>1963</v>
      </c>
      <c r="E148" s="185">
        <v>510527</v>
      </c>
      <c r="F148" s="185" t="s">
        <v>1089</v>
      </c>
      <c r="G148" s="185" t="s">
        <v>1908</v>
      </c>
      <c r="H148" s="185" t="s">
        <v>1515</v>
      </c>
      <c r="I148" s="258" t="str">
        <f t="shared" si="7"/>
        <v>5</v>
      </c>
      <c r="J148" s="221">
        <f t="shared" si="8"/>
        <v>140606</v>
      </c>
      <c r="K148" s="258">
        <f t="shared" si="9"/>
        <v>1</v>
      </c>
      <c r="L148" s="188">
        <v>140606</v>
      </c>
      <c r="M148" s="188">
        <v>0</v>
      </c>
      <c r="N148" s="189">
        <v>1130744136</v>
      </c>
      <c r="O148" t="s">
        <v>1962</v>
      </c>
      <c r="P148" s="187">
        <v>44965.331944444399</v>
      </c>
      <c r="Q148" s="186">
        <v>6940</v>
      </c>
      <c r="R148" s="185"/>
      <c r="S148" s="185" t="s">
        <v>1538</v>
      </c>
      <c r="T148"/>
      <c r="U148" t="str">
        <f>IF($L148&gt;0,VLOOKUP($E148,Valida!$A$1:$G$270,6,FALSE),IF($M148&gt;=0,VLOOKUP($E148,Valida!$A$1:$G$270,7,FALSE)))</f>
        <v>(+/-) Ganancia (pérdida)</v>
      </c>
      <c r="V148" s="190" t="str">
        <f>VLOOKUP(E148,Valida!$A$2:$K$271,4,FALSE)</f>
        <v>P&amp;L</v>
      </c>
      <c r="W148" s="185" t="s">
        <v>1909</v>
      </c>
      <c r="X148" s="185" t="s">
        <v>1910</v>
      </c>
      <c r="Y148" s="185" t="s">
        <v>1789</v>
      </c>
      <c r="Z148"/>
    </row>
    <row r="149" spans="1:26">
      <c r="A149" s="185" t="s">
        <v>1799</v>
      </c>
      <c r="B149" s="185" t="s">
        <v>1962</v>
      </c>
      <c r="C149" s="185" t="s">
        <v>1897</v>
      </c>
      <c r="D149" s="185" t="s">
        <v>1963</v>
      </c>
      <c r="E149" s="185">
        <v>237005</v>
      </c>
      <c r="F149" s="185" t="s">
        <v>676</v>
      </c>
      <c r="G149" s="185" t="s">
        <v>1908</v>
      </c>
      <c r="H149" s="185" t="s">
        <v>1628</v>
      </c>
      <c r="I149" s="258" t="str">
        <f t="shared" si="7"/>
        <v>2</v>
      </c>
      <c r="J149" s="221">
        <f t="shared" si="8"/>
        <v>-46400</v>
      </c>
      <c r="K149" s="258">
        <f t="shared" si="9"/>
        <v>1</v>
      </c>
      <c r="L149" s="188">
        <v>0</v>
      </c>
      <c r="M149" s="188">
        <v>46400</v>
      </c>
      <c r="N149" s="189">
        <v>800251440</v>
      </c>
      <c r="O149" t="s">
        <v>1962</v>
      </c>
      <c r="P149" s="187">
        <v>44965.331944444399</v>
      </c>
      <c r="Q149" s="186">
        <v>6941</v>
      </c>
      <c r="R149" s="185" t="s">
        <v>1901</v>
      </c>
      <c r="S149" s="185" t="s">
        <v>1560</v>
      </c>
      <c r="T149"/>
      <c r="U149" t="str">
        <f>IF($L149&gt;0,VLOOKUP($E149,Valida!$A$1:$G$270,6,FALSE),IF($M149&gt;=0,VLOOKUP($E149,Valida!$A$1:$G$270,7,FALSE)))</f>
        <v>(+/-) Ajustes por el incremento (disminución) de cuentas por pagar de origen comercial</v>
      </c>
      <c r="V149" s="190" t="str">
        <f>VLOOKUP(E149,Valida!$A$2:$K$271,4,FALSE)</f>
        <v>Trade and other payables</v>
      </c>
      <c r="W149" s="185" t="s">
        <v>1902</v>
      </c>
      <c r="X149" s="185" t="s">
        <v>1903</v>
      </c>
      <c r="Y149" s="185" t="s">
        <v>1789</v>
      </c>
      <c r="Z149"/>
    </row>
    <row r="150" spans="1:26">
      <c r="A150" s="185" t="s">
        <v>1799</v>
      </c>
      <c r="B150" s="185" t="s">
        <v>1962</v>
      </c>
      <c r="C150" s="185" t="s">
        <v>1897</v>
      </c>
      <c r="D150" s="185" t="s">
        <v>1963</v>
      </c>
      <c r="E150" s="185">
        <v>238030</v>
      </c>
      <c r="F150" s="185" t="s">
        <v>721</v>
      </c>
      <c r="G150" s="185" t="s">
        <v>1908</v>
      </c>
      <c r="H150" s="185" t="s">
        <v>1628</v>
      </c>
      <c r="I150" s="258" t="str">
        <f t="shared" si="7"/>
        <v>2</v>
      </c>
      <c r="J150" s="221">
        <f t="shared" si="8"/>
        <v>-46400</v>
      </c>
      <c r="K150" s="258">
        <f t="shared" si="9"/>
        <v>1</v>
      </c>
      <c r="L150" s="188">
        <v>0</v>
      </c>
      <c r="M150" s="188">
        <v>46400</v>
      </c>
      <c r="N150" s="189">
        <v>800224808</v>
      </c>
      <c r="O150" t="s">
        <v>1962</v>
      </c>
      <c r="P150" s="187">
        <v>44965.331944444399</v>
      </c>
      <c r="Q150" s="186">
        <v>6942</v>
      </c>
      <c r="R150" s="185" t="s">
        <v>1827</v>
      </c>
      <c r="S150" s="185" t="s">
        <v>1662</v>
      </c>
      <c r="T150"/>
      <c r="U150" t="str">
        <f>IF($L150&gt;0,VLOOKUP($E150,Valida!$A$1:$G$270,6,FALSE),IF($M150&gt;=0,VLOOKUP($E150,Valida!$A$1:$G$270,7,FALSE)))</f>
        <v>(+/-) Ajustes por el incremento (disminución) de cuentas por pagar de origen comercial</v>
      </c>
      <c r="V150" s="190" t="str">
        <f>VLOOKUP(E150,Valida!$A$2:$K$271,4,FALSE)</f>
        <v>Trade and other payables</v>
      </c>
      <c r="W150" s="185" t="s">
        <v>1911</v>
      </c>
      <c r="X150" s="185"/>
      <c r="Y150" s="185" t="s">
        <v>1789</v>
      </c>
      <c r="Z150"/>
    </row>
    <row r="151" spans="1:26">
      <c r="A151" s="185" t="s">
        <v>1799</v>
      </c>
      <c r="B151" s="185" t="s">
        <v>1962</v>
      </c>
      <c r="C151" s="185" t="s">
        <v>1897</v>
      </c>
      <c r="D151" s="185" t="s">
        <v>1963</v>
      </c>
      <c r="E151" s="185">
        <v>250505</v>
      </c>
      <c r="F151" s="185" t="s">
        <v>767</v>
      </c>
      <c r="G151" s="185" t="s">
        <v>1908</v>
      </c>
      <c r="H151" s="185" t="s">
        <v>1628</v>
      </c>
      <c r="I151" s="258" t="str">
        <f t="shared" si="7"/>
        <v>2</v>
      </c>
      <c r="J151" s="221">
        <f t="shared" si="8"/>
        <v>-1231080</v>
      </c>
      <c r="K151" s="258">
        <f t="shared" si="9"/>
        <v>1</v>
      </c>
      <c r="L151" s="188">
        <v>0</v>
      </c>
      <c r="M151" s="188">
        <v>1231080</v>
      </c>
      <c r="N151" s="189">
        <v>1130744136</v>
      </c>
      <c r="O151" t="s">
        <v>1962</v>
      </c>
      <c r="P151" s="187">
        <v>44965.331944444399</v>
      </c>
      <c r="Q151" s="186">
        <v>6943</v>
      </c>
      <c r="R151" s="185"/>
      <c r="S151" s="185" t="s">
        <v>1538</v>
      </c>
      <c r="T151"/>
      <c r="U151" t="str">
        <f>IF($L151&gt;0,VLOOKUP($E151,Valida!$A$1:$G$270,6,FALSE),IF($M151&gt;=0,VLOOKUP($E151,Valida!$A$1:$G$270,7,FALSE)))</f>
        <v>(+/-) Ajustes por el incremento (disminución) de cuentas por pagar de origen comercial</v>
      </c>
      <c r="V151" s="190" t="str">
        <f>VLOOKUP(E151,Valida!$A$2:$K$271,4,FALSE)</f>
        <v>Trade and other payables</v>
      </c>
      <c r="W151" s="185" t="s">
        <v>1909</v>
      </c>
      <c r="X151" s="185" t="s">
        <v>1910</v>
      </c>
      <c r="Y151" s="185" t="s">
        <v>1789</v>
      </c>
      <c r="Z151"/>
    </row>
    <row r="152" spans="1:26">
      <c r="A152" s="185" t="s">
        <v>1799</v>
      </c>
      <c r="B152" s="185" t="s">
        <v>1962</v>
      </c>
      <c r="C152" s="185" t="s">
        <v>1897</v>
      </c>
      <c r="D152" s="185" t="s">
        <v>1963</v>
      </c>
      <c r="E152" s="185">
        <v>510530</v>
      </c>
      <c r="F152" s="185" t="s">
        <v>813</v>
      </c>
      <c r="G152" s="185" t="s">
        <v>1908</v>
      </c>
      <c r="H152" s="185" t="s">
        <v>1515</v>
      </c>
      <c r="I152" s="258" t="str">
        <f t="shared" si="7"/>
        <v>5</v>
      </c>
      <c r="J152" s="221">
        <f t="shared" si="8"/>
        <v>108384</v>
      </c>
      <c r="K152" s="258">
        <f t="shared" si="9"/>
        <v>1</v>
      </c>
      <c r="L152" s="188">
        <v>108384</v>
      </c>
      <c r="M152" s="188">
        <v>0</v>
      </c>
      <c r="N152" s="189">
        <v>1130744136</v>
      </c>
      <c r="O152" t="s">
        <v>1962</v>
      </c>
      <c r="P152" s="187">
        <v>44965.331944444399</v>
      </c>
      <c r="Q152" s="186">
        <v>6944</v>
      </c>
      <c r="R152" s="185"/>
      <c r="S152" s="185" t="s">
        <v>1538</v>
      </c>
      <c r="T152"/>
      <c r="U152" t="str">
        <f>IF($L152&gt;0,VLOOKUP($E152,Valida!$A$1:$G$270,6,FALSE),IF($M152&gt;=0,VLOOKUP($E152,Valida!$A$1:$G$270,7,FALSE)))</f>
        <v>(+/-) Ganancia (pérdida)</v>
      </c>
      <c r="V152" s="190" t="str">
        <f>VLOOKUP(E152,Valida!$A$2:$K$271,4,FALSE)</f>
        <v>P&amp;L</v>
      </c>
      <c r="W152" s="185" t="s">
        <v>1909</v>
      </c>
      <c r="X152" s="185" t="s">
        <v>1910</v>
      </c>
      <c r="Y152" s="185" t="s">
        <v>1789</v>
      </c>
      <c r="Z152"/>
    </row>
    <row r="153" spans="1:26">
      <c r="A153" s="185" t="s">
        <v>1799</v>
      </c>
      <c r="B153" s="185" t="s">
        <v>1962</v>
      </c>
      <c r="C153" s="185" t="s">
        <v>1897</v>
      </c>
      <c r="D153" s="185" t="s">
        <v>1963</v>
      </c>
      <c r="E153" s="185">
        <v>510533</v>
      </c>
      <c r="F153" s="185" t="s">
        <v>779</v>
      </c>
      <c r="G153" s="185" t="s">
        <v>1908</v>
      </c>
      <c r="H153" s="185" t="s">
        <v>1515</v>
      </c>
      <c r="I153" s="258" t="str">
        <f t="shared" si="7"/>
        <v>5</v>
      </c>
      <c r="J153" s="221">
        <f t="shared" si="8"/>
        <v>13006</v>
      </c>
      <c r="K153" s="258">
        <f t="shared" si="9"/>
        <v>1</v>
      </c>
      <c r="L153" s="188">
        <v>13006</v>
      </c>
      <c r="M153" s="188">
        <v>0</v>
      </c>
      <c r="N153" s="189">
        <v>1130744136</v>
      </c>
      <c r="O153" t="s">
        <v>1962</v>
      </c>
      <c r="P153" s="187">
        <v>44965.331944444399</v>
      </c>
      <c r="Q153" s="186">
        <v>6945</v>
      </c>
      <c r="R153" s="185"/>
      <c r="S153" s="185" t="s">
        <v>1538</v>
      </c>
      <c r="T153"/>
      <c r="U153" t="str">
        <f>IF($L153&gt;0,VLOOKUP($E153,Valida!$A$1:$G$270,6,FALSE),IF($M153&gt;=0,VLOOKUP($E153,Valida!$A$1:$G$270,7,FALSE)))</f>
        <v>(+/-) Ganancia (pérdida)</v>
      </c>
      <c r="V153" s="190" t="str">
        <f>VLOOKUP(E153,Valida!$A$2:$K$271,4,FALSE)</f>
        <v>P&amp;L</v>
      </c>
      <c r="W153" s="185" t="s">
        <v>1909</v>
      </c>
      <c r="X153" s="185" t="s">
        <v>1910</v>
      </c>
      <c r="Y153" s="185" t="s">
        <v>1789</v>
      </c>
      <c r="Z153"/>
    </row>
    <row r="154" spans="1:26">
      <c r="A154" s="185" t="s">
        <v>1799</v>
      </c>
      <c r="B154" s="185" t="s">
        <v>1962</v>
      </c>
      <c r="C154" s="185" t="s">
        <v>1897</v>
      </c>
      <c r="D154" s="185" t="s">
        <v>1963</v>
      </c>
      <c r="E154" s="185">
        <v>510536</v>
      </c>
      <c r="F154" s="185" t="s">
        <v>783</v>
      </c>
      <c r="G154" s="185" t="s">
        <v>1908</v>
      </c>
      <c r="H154" s="185" t="s">
        <v>1515</v>
      </c>
      <c r="I154" s="258" t="str">
        <f t="shared" si="7"/>
        <v>5</v>
      </c>
      <c r="J154" s="221">
        <f t="shared" si="8"/>
        <v>108384</v>
      </c>
      <c r="K154" s="258">
        <f t="shared" si="9"/>
        <v>1</v>
      </c>
      <c r="L154" s="188">
        <v>108384</v>
      </c>
      <c r="M154" s="188">
        <v>0</v>
      </c>
      <c r="N154" s="189">
        <v>1130744136</v>
      </c>
      <c r="O154" t="s">
        <v>1962</v>
      </c>
      <c r="P154" s="187">
        <v>44965.331944444399</v>
      </c>
      <c r="Q154" s="186">
        <v>6946</v>
      </c>
      <c r="R154" s="185"/>
      <c r="S154" s="185" t="s">
        <v>1538</v>
      </c>
      <c r="T154"/>
      <c r="U154" t="str">
        <f>IF($L154&gt;0,VLOOKUP($E154,Valida!$A$1:$G$270,6,FALSE),IF($M154&gt;=0,VLOOKUP($E154,Valida!$A$1:$G$270,7,FALSE)))</f>
        <v>(+/-) Ganancia (pérdida)</v>
      </c>
      <c r="V154" s="190" t="str">
        <f>VLOOKUP(E154,Valida!$A$2:$K$271,4,FALSE)</f>
        <v>P&amp;L</v>
      </c>
      <c r="W154" s="185" t="s">
        <v>1909</v>
      </c>
      <c r="X154" s="185" t="s">
        <v>1910</v>
      </c>
      <c r="Y154" s="185" t="s">
        <v>1789</v>
      </c>
      <c r="Z154"/>
    </row>
    <row r="155" spans="1:26">
      <c r="A155" s="185" t="s">
        <v>1799</v>
      </c>
      <c r="B155" s="185" t="s">
        <v>1962</v>
      </c>
      <c r="C155" s="185" t="s">
        <v>1897</v>
      </c>
      <c r="D155" s="185" t="s">
        <v>1963</v>
      </c>
      <c r="E155" s="185">
        <v>510539</v>
      </c>
      <c r="F155" s="185" t="s">
        <v>818</v>
      </c>
      <c r="G155" s="185" t="s">
        <v>1908</v>
      </c>
      <c r="H155" s="185" t="s">
        <v>1515</v>
      </c>
      <c r="I155" s="258" t="str">
        <f t="shared" si="7"/>
        <v>5</v>
      </c>
      <c r="J155" s="221">
        <f t="shared" si="8"/>
        <v>48333</v>
      </c>
      <c r="K155" s="258">
        <f t="shared" si="9"/>
        <v>1</v>
      </c>
      <c r="L155" s="188">
        <v>48333</v>
      </c>
      <c r="M155" s="188">
        <v>0</v>
      </c>
      <c r="N155" s="189">
        <v>1130744136</v>
      </c>
      <c r="O155" t="s">
        <v>1962</v>
      </c>
      <c r="P155" s="187">
        <v>44965.331944444399</v>
      </c>
      <c r="Q155" s="186">
        <v>6947</v>
      </c>
      <c r="R155" s="185"/>
      <c r="S155" s="185" t="s">
        <v>1538</v>
      </c>
      <c r="T155"/>
      <c r="U155" t="str">
        <f>IF($L155&gt;0,VLOOKUP($E155,Valida!$A$1:$G$270,6,FALSE),IF($M155&gt;=0,VLOOKUP($E155,Valida!$A$1:$G$270,7,FALSE)))</f>
        <v>(+/-) Ganancia (pérdida)</v>
      </c>
      <c r="V155" s="190" t="str">
        <f>VLOOKUP(E155,Valida!$A$2:$K$271,4,FALSE)</f>
        <v>P&amp;L</v>
      </c>
      <c r="W155" s="185" t="s">
        <v>1909</v>
      </c>
      <c r="X155" s="185" t="s">
        <v>1910</v>
      </c>
      <c r="Y155" s="185" t="s">
        <v>1789</v>
      </c>
      <c r="Z155"/>
    </row>
    <row r="156" spans="1:26">
      <c r="A156" s="185" t="s">
        <v>1799</v>
      </c>
      <c r="B156" s="185" t="s">
        <v>1962</v>
      </c>
      <c r="C156" s="185" t="s">
        <v>1897</v>
      </c>
      <c r="D156" s="185" t="s">
        <v>1963</v>
      </c>
      <c r="E156" s="185">
        <v>251010</v>
      </c>
      <c r="F156" s="185" t="s">
        <v>776</v>
      </c>
      <c r="G156" s="185" t="s">
        <v>1908</v>
      </c>
      <c r="H156" s="185" t="s">
        <v>1628</v>
      </c>
      <c r="I156" s="258" t="str">
        <f t="shared" si="7"/>
        <v>2</v>
      </c>
      <c r="J156" s="221">
        <f t="shared" si="8"/>
        <v>-108384</v>
      </c>
      <c r="K156" s="258">
        <f t="shared" si="9"/>
        <v>1</v>
      </c>
      <c r="L156" s="188">
        <v>0</v>
      </c>
      <c r="M156" s="188">
        <v>108384</v>
      </c>
      <c r="N156" s="189">
        <v>1130744136</v>
      </c>
      <c r="O156" t="s">
        <v>1962</v>
      </c>
      <c r="P156" s="187">
        <v>44965.331944444399</v>
      </c>
      <c r="Q156" s="186">
        <v>6948</v>
      </c>
      <c r="R156" s="185"/>
      <c r="S156" s="185" t="s">
        <v>1538</v>
      </c>
      <c r="T156"/>
      <c r="U156" t="str">
        <f>IF($L156&gt;0,VLOOKUP($E156,Valida!$A$1:$G$270,6,FALSE),IF($M156&gt;=0,VLOOKUP($E156,Valida!$A$1:$G$270,7,FALSE)))</f>
        <v>(+/-) Ajustes por el incremento (disminución) de cuentas por pagar de origen comercial</v>
      </c>
      <c r="V156" s="190" t="str">
        <f>VLOOKUP(E156,Valida!$A$2:$K$271,4,FALSE)</f>
        <v>Trade and other payables</v>
      </c>
      <c r="W156" s="185" t="s">
        <v>1909</v>
      </c>
      <c r="X156" s="185" t="s">
        <v>1910</v>
      </c>
      <c r="Y156" s="185" t="s">
        <v>1789</v>
      </c>
      <c r="Z156"/>
    </row>
    <row r="157" spans="1:26">
      <c r="A157" s="185" t="s">
        <v>1799</v>
      </c>
      <c r="B157" s="185" t="s">
        <v>1962</v>
      </c>
      <c r="C157" s="185" t="s">
        <v>1897</v>
      </c>
      <c r="D157" s="185" t="s">
        <v>1963</v>
      </c>
      <c r="E157" s="185">
        <v>251505</v>
      </c>
      <c r="F157" s="185" t="s">
        <v>779</v>
      </c>
      <c r="G157" s="185" t="s">
        <v>1908</v>
      </c>
      <c r="H157" s="185" t="s">
        <v>1628</v>
      </c>
      <c r="I157" s="258" t="str">
        <f t="shared" si="7"/>
        <v>2</v>
      </c>
      <c r="J157" s="221">
        <f t="shared" si="8"/>
        <v>-13006</v>
      </c>
      <c r="K157" s="258">
        <f t="shared" si="9"/>
        <v>1</v>
      </c>
      <c r="L157" s="188">
        <v>0</v>
      </c>
      <c r="M157" s="188">
        <v>13006</v>
      </c>
      <c r="N157" s="189">
        <v>1130744136</v>
      </c>
      <c r="O157" t="s">
        <v>1962</v>
      </c>
      <c r="P157" s="187">
        <v>44965.331944444399</v>
      </c>
      <c r="Q157" s="186">
        <v>6949</v>
      </c>
      <c r="R157" s="185"/>
      <c r="S157" s="185" t="s">
        <v>1538</v>
      </c>
      <c r="T157"/>
      <c r="U157" t="str">
        <f>IF($L157&gt;0,VLOOKUP($E157,Valida!$A$1:$G$270,6,FALSE),IF($M157&gt;=0,VLOOKUP($E157,Valida!$A$1:$G$270,7,FALSE)))</f>
        <v>(+/-) Ajustes por el incremento (disminución) de cuentas por pagar de origen comercial</v>
      </c>
      <c r="V157" s="190" t="str">
        <f>VLOOKUP(E157,Valida!$A$2:$K$271,4,FALSE)</f>
        <v>Trade and other payables</v>
      </c>
      <c r="W157" s="185" t="s">
        <v>1909</v>
      </c>
      <c r="X157" s="185" t="s">
        <v>1910</v>
      </c>
      <c r="Y157" s="185" t="s">
        <v>1789</v>
      </c>
      <c r="Z157"/>
    </row>
    <row r="158" spans="1:26">
      <c r="A158" s="185" t="s">
        <v>1799</v>
      </c>
      <c r="B158" s="185" t="s">
        <v>1962</v>
      </c>
      <c r="C158" s="185" t="s">
        <v>1897</v>
      </c>
      <c r="D158" s="185" t="s">
        <v>1963</v>
      </c>
      <c r="E158" s="185">
        <v>252005</v>
      </c>
      <c r="F158" s="185" t="s">
        <v>783</v>
      </c>
      <c r="G158" s="185" t="s">
        <v>1908</v>
      </c>
      <c r="H158" s="185" t="s">
        <v>1628</v>
      </c>
      <c r="I158" s="258" t="str">
        <f t="shared" si="7"/>
        <v>2</v>
      </c>
      <c r="J158" s="221">
        <f t="shared" si="8"/>
        <v>-108384</v>
      </c>
      <c r="K158" s="258">
        <f t="shared" si="9"/>
        <v>1</v>
      </c>
      <c r="L158" s="188">
        <v>0</v>
      </c>
      <c r="M158" s="188">
        <v>108384</v>
      </c>
      <c r="N158" s="189">
        <v>1130744136</v>
      </c>
      <c r="O158" t="s">
        <v>1962</v>
      </c>
      <c r="P158" s="187">
        <v>44965.331944444399</v>
      </c>
      <c r="Q158" s="186">
        <v>6950</v>
      </c>
      <c r="R158" s="185"/>
      <c r="S158" s="185" t="s">
        <v>1538</v>
      </c>
      <c r="T158"/>
      <c r="U158" t="str">
        <f>IF($L158&gt;0,VLOOKUP($E158,Valida!$A$1:$G$270,6,FALSE),IF($M158&gt;=0,VLOOKUP($E158,Valida!$A$1:$G$270,7,FALSE)))</f>
        <v>(+/-) Ajustes por el incremento (disminución) de cuentas por pagar de origen comercial</v>
      </c>
      <c r="V158" s="190" t="str">
        <f>VLOOKUP(E158,Valida!$A$2:$K$271,4,FALSE)</f>
        <v>Trade and other payables</v>
      </c>
      <c r="W158" s="185" t="s">
        <v>1909</v>
      </c>
      <c r="X158" s="185" t="s">
        <v>1910</v>
      </c>
      <c r="Y158" s="185" t="s">
        <v>1789</v>
      </c>
      <c r="Z158"/>
    </row>
    <row r="159" spans="1:26">
      <c r="A159" s="185" t="s">
        <v>1799</v>
      </c>
      <c r="B159" s="185" t="s">
        <v>1962</v>
      </c>
      <c r="C159" s="185" t="s">
        <v>1897</v>
      </c>
      <c r="D159" s="185" t="s">
        <v>1963</v>
      </c>
      <c r="E159" s="185">
        <v>252505</v>
      </c>
      <c r="F159" s="185" t="s">
        <v>787</v>
      </c>
      <c r="G159" s="185" t="s">
        <v>1908</v>
      </c>
      <c r="H159" s="185" t="s">
        <v>1628</v>
      </c>
      <c r="I159" s="258" t="str">
        <f t="shared" si="7"/>
        <v>2</v>
      </c>
      <c r="J159" s="221">
        <f t="shared" si="8"/>
        <v>-48333</v>
      </c>
      <c r="K159" s="258">
        <f t="shared" si="9"/>
        <v>1</v>
      </c>
      <c r="L159" s="188">
        <v>0</v>
      </c>
      <c r="M159" s="188">
        <v>48333</v>
      </c>
      <c r="N159" s="189">
        <v>1130744136</v>
      </c>
      <c r="O159" t="s">
        <v>1962</v>
      </c>
      <c r="P159" s="187">
        <v>44965.331944444399</v>
      </c>
      <c r="Q159" s="186">
        <v>6951</v>
      </c>
      <c r="R159" s="185"/>
      <c r="S159" s="185" t="s">
        <v>1538</v>
      </c>
      <c r="T159"/>
      <c r="U159" t="str">
        <f>IF($L159&gt;0,VLOOKUP($E159,Valida!$A$1:$G$270,6,FALSE),IF($M159&gt;=0,VLOOKUP($E159,Valida!$A$1:$G$270,7,FALSE)))</f>
        <v>(+/-) Ajustes por el incremento (disminución) de cuentas por pagar de origen comercial</v>
      </c>
      <c r="V159" s="190" t="str">
        <f>VLOOKUP(E159,Valida!$A$2:$K$271,4,FALSE)</f>
        <v>Trade and other payables</v>
      </c>
      <c r="W159" s="185" t="s">
        <v>1909</v>
      </c>
      <c r="X159" s="185" t="s">
        <v>1910</v>
      </c>
      <c r="Y159" s="185" t="s">
        <v>1789</v>
      </c>
      <c r="Z159"/>
    </row>
    <row r="160" spans="1:26">
      <c r="A160" s="185" t="s">
        <v>1799</v>
      </c>
      <c r="B160" s="185" t="s">
        <v>1962</v>
      </c>
      <c r="C160" s="185" t="s">
        <v>1897</v>
      </c>
      <c r="D160" s="185" t="s">
        <v>1963</v>
      </c>
      <c r="E160" s="185">
        <v>510570</v>
      </c>
      <c r="F160" s="185" t="s">
        <v>1116</v>
      </c>
      <c r="G160" s="185" t="s">
        <v>1908</v>
      </c>
      <c r="H160" s="185" t="s">
        <v>1515</v>
      </c>
      <c r="I160" s="258" t="str">
        <f t="shared" si="7"/>
        <v>5</v>
      </c>
      <c r="J160" s="221">
        <f t="shared" si="8"/>
        <v>139200</v>
      </c>
      <c r="K160" s="258">
        <f t="shared" si="9"/>
        <v>1</v>
      </c>
      <c r="L160" s="188">
        <v>139200</v>
      </c>
      <c r="M160" s="188">
        <v>0</v>
      </c>
      <c r="N160" s="189">
        <v>800224808</v>
      </c>
      <c r="O160" t="s">
        <v>1962</v>
      </c>
      <c r="P160" s="187">
        <v>44965.331944444399</v>
      </c>
      <c r="Q160" s="186">
        <v>6952</v>
      </c>
      <c r="R160" s="185" t="s">
        <v>1827</v>
      </c>
      <c r="S160" s="185" t="s">
        <v>1662</v>
      </c>
      <c r="T160"/>
      <c r="U160" t="str">
        <f>IF($L160&gt;0,VLOOKUP($E160,Valida!$A$1:$G$270,6,FALSE),IF($M160&gt;=0,VLOOKUP($E160,Valida!$A$1:$G$270,7,FALSE)))</f>
        <v>(+/-) Ganancia (pérdida)</v>
      </c>
      <c r="V160" s="190" t="str">
        <f>VLOOKUP(E160,Valida!$A$2:$K$271,4,FALSE)</f>
        <v>P&amp;L</v>
      </c>
      <c r="W160" s="185" t="s">
        <v>1911</v>
      </c>
      <c r="X160" s="185"/>
      <c r="Y160" s="185" t="s">
        <v>1789</v>
      </c>
      <c r="Z160"/>
    </row>
    <row r="161" spans="1:26">
      <c r="A161" s="185" t="s">
        <v>1799</v>
      </c>
      <c r="B161" s="185" t="s">
        <v>1962</v>
      </c>
      <c r="C161" s="185" t="s">
        <v>1897</v>
      </c>
      <c r="D161" s="185" t="s">
        <v>1963</v>
      </c>
      <c r="E161" s="185">
        <v>238030</v>
      </c>
      <c r="F161" s="185" t="s">
        <v>721</v>
      </c>
      <c r="G161" s="185" t="s">
        <v>1908</v>
      </c>
      <c r="H161" s="185" t="s">
        <v>1628</v>
      </c>
      <c r="I161" s="258" t="str">
        <f t="shared" si="7"/>
        <v>2</v>
      </c>
      <c r="J161" s="221">
        <f t="shared" si="8"/>
        <v>-139200</v>
      </c>
      <c r="K161" s="258">
        <f t="shared" si="9"/>
        <v>1</v>
      </c>
      <c r="L161" s="188">
        <v>0</v>
      </c>
      <c r="M161" s="188">
        <v>139200</v>
      </c>
      <c r="N161" s="189">
        <v>800224808</v>
      </c>
      <c r="O161" t="s">
        <v>1962</v>
      </c>
      <c r="P161" s="187">
        <v>44965.331944444399</v>
      </c>
      <c r="Q161" s="186">
        <v>6953</v>
      </c>
      <c r="R161" s="185" t="s">
        <v>1827</v>
      </c>
      <c r="S161" s="185" t="s">
        <v>1662</v>
      </c>
      <c r="T161"/>
      <c r="U161" t="str">
        <f>IF($L161&gt;0,VLOOKUP($E161,Valida!$A$1:$G$270,6,FALSE),IF($M161&gt;=0,VLOOKUP($E161,Valida!$A$1:$G$270,7,FALSE)))</f>
        <v>(+/-) Ajustes por el incremento (disminución) de cuentas por pagar de origen comercial</v>
      </c>
      <c r="V161" s="190" t="str">
        <f>VLOOKUP(E161,Valida!$A$2:$K$271,4,FALSE)</f>
        <v>Trade and other payables</v>
      </c>
      <c r="W161" s="185" t="s">
        <v>1911</v>
      </c>
      <c r="X161" s="185"/>
      <c r="Y161" s="185" t="s">
        <v>1789</v>
      </c>
      <c r="Z161"/>
    </row>
    <row r="162" spans="1:26">
      <c r="A162" s="185" t="s">
        <v>1799</v>
      </c>
      <c r="B162" s="185" t="s">
        <v>1962</v>
      </c>
      <c r="C162" s="185" t="s">
        <v>1897</v>
      </c>
      <c r="D162" s="185" t="s">
        <v>1963</v>
      </c>
      <c r="E162" s="185">
        <v>510568</v>
      </c>
      <c r="F162" s="185" t="s">
        <v>680</v>
      </c>
      <c r="G162" s="185" t="s">
        <v>1908</v>
      </c>
      <c r="H162" s="185" t="s">
        <v>1515</v>
      </c>
      <c r="I162" s="258" t="str">
        <f t="shared" si="7"/>
        <v>5</v>
      </c>
      <c r="J162" s="221">
        <f t="shared" si="8"/>
        <v>6100</v>
      </c>
      <c r="K162" s="258">
        <f t="shared" si="9"/>
        <v>1</v>
      </c>
      <c r="L162" s="188">
        <v>6100</v>
      </c>
      <c r="M162" s="188">
        <v>0</v>
      </c>
      <c r="N162" s="189">
        <v>860002503</v>
      </c>
      <c r="O162" t="s">
        <v>1962</v>
      </c>
      <c r="P162" s="187">
        <v>44965.331944444399</v>
      </c>
      <c r="Q162" s="186">
        <v>6954</v>
      </c>
      <c r="R162" s="185" t="s">
        <v>433</v>
      </c>
      <c r="S162" s="185" t="s">
        <v>1656</v>
      </c>
      <c r="T162"/>
      <c r="U162" t="str">
        <f>IF($L162&gt;0,VLOOKUP($E162,Valida!$A$1:$G$270,6,FALSE),IF($M162&gt;=0,VLOOKUP($E162,Valida!$A$1:$G$270,7,FALSE)))</f>
        <v>(+/-) Ganancia (pérdida)</v>
      </c>
      <c r="V162" s="190" t="str">
        <f>VLOOKUP(E162,Valida!$A$2:$K$271,4,FALSE)</f>
        <v>P&amp;L</v>
      </c>
      <c r="W162" s="185" t="s">
        <v>1912</v>
      </c>
      <c r="X162" s="185" t="s">
        <v>1913</v>
      </c>
      <c r="Y162" s="185" t="s">
        <v>1789</v>
      </c>
      <c r="Z162"/>
    </row>
    <row r="163" spans="1:26">
      <c r="A163" s="185" t="s">
        <v>1799</v>
      </c>
      <c r="B163" s="185" t="s">
        <v>1962</v>
      </c>
      <c r="C163" s="185" t="s">
        <v>1897</v>
      </c>
      <c r="D163" s="185" t="s">
        <v>1963</v>
      </c>
      <c r="E163" s="185">
        <v>237006</v>
      </c>
      <c r="F163" s="185" t="s">
        <v>680</v>
      </c>
      <c r="G163" s="185" t="s">
        <v>1908</v>
      </c>
      <c r="H163" s="185" t="s">
        <v>1628</v>
      </c>
      <c r="I163" s="258" t="str">
        <f t="shared" si="7"/>
        <v>2</v>
      </c>
      <c r="J163" s="221">
        <f t="shared" si="8"/>
        <v>-6100</v>
      </c>
      <c r="K163" s="258">
        <f t="shared" si="9"/>
        <v>1</v>
      </c>
      <c r="L163" s="188">
        <v>0</v>
      </c>
      <c r="M163" s="188">
        <v>6100</v>
      </c>
      <c r="N163" s="189">
        <v>860002503</v>
      </c>
      <c r="O163" t="s">
        <v>1962</v>
      </c>
      <c r="P163" s="187">
        <v>44965.331956018497</v>
      </c>
      <c r="Q163" s="186">
        <v>6955</v>
      </c>
      <c r="R163" s="185" t="s">
        <v>433</v>
      </c>
      <c r="S163" s="185" t="s">
        <v>1656</v>
      </c>
      <c r="T163"/>
      <c r="U163" t="str">
        <f>IF($L163&gt;0,VLOOKUP($E163,Valida!$A$1:$G$270,6,FALSE),IF($M163&gt;=0,VLOOKUP($E163,Valida!$A$1:$G$270,7,FALSE)))</f>
        <v>(+/-) Ajustes por el incremento (disminución) de cuentas por pagar de origen comercial</v>
      </c>
      <c r="V163" s="190" t="str">
        <f>VLOOKUP(E163,Valida!$A$2:$K$271,4,FALSE)</f>
        <v>Trade and other payables</v>
      </c>
      <c r="W163" s="185" t="s">
        <v>1912</v>
      </c>
      <c r="X163" s="185" t="s">
        <v>1913</v>
      </c>
      <c r="Y163" s="185" t="s">
        <v>1789</v>
      </c>
      <c r="Z163"/>
    </row>
    <row r="164" spans="1:26">
      <c r="A164" s="185" t="s">
        <v>1799</v>
      </c>
      <c r="B164" s="185" t="s">
        <v>1962</v>
      </c>
      <c r="C164" s="185" t="s">
        <v>1897</v>
      </c>
      <c r="D164" s="185" t="s">
        <v>1963</v>
      </c>
      <c r="E164" s="185">
        <v>510572</v>
      </c>
      <c r="F164" s="185" t="s">
        <v>1118</v>
      </c>
      <c r="G164" s="185" t="s">
        <v>1118</v>
      </c>
      <c r="H164" s="185" t="s">
        <v>1515</v>
      </c>
      <c r="I164" s="258" t="str">
        <f t="shared" si="7"/>
        <v>5</v>
      </c>
      <c r="J164" s="221">
        <f t="shared" si="8"/>
        <v>23200</v>
      </c>
      <c r="K164" s="258">
        <f t="shared" si="9"/>
        <v>1</v>
      </c>
      <c r="L164" s="188">
        <v>23200</v>
      </c>
      <c r="M164" s="188">
        <v>0</v>
      </c>
      <c r="N164" s="189">
        <v>860066942</v>
      </c>
      <c r="O164" t="s">
        <v>1962</v>
      </c>
      <c r="P164" s="187">
        <v>44965.331956018497</v>
      </c>
      <c r="Q164" s="186">
        <v>6956</v>
      </c>
      <c r="R164" s="185" t="s">
        <v>1814</v>
      </c>
      <c r="S164" s="185" t="s">
        <v>1574</v>
      </c>
      <c r="T164"/>
      <c r="U164" t="str">
        <f>IF($L164&gt;0,VLOOKUP($E164,Valida!$A$1:$G$270,6,FALSE),IF($M164&gt;=0,VLOOKUP($E164,Valida!$A$1:$G$270,7,FALSE)))</f>
        <v>(+/-) Ganancia (pérdida)</v>
      </c>
      <c r="V164" s="190" t="str">
        <f>VLOOKUP(E164,Valida!$A$2:$K$271,4,FALSE)</f>
        <v>P&amp;L</v>
      </c>
      <c r="W164" s="185" t="s">
        <v>1914</v>
      </c>
      <c r="X164" s="185" t="s">
        <v>1915</v>
      </c>
      <c r="Y164" s="185" t="s">
        <v>1789</v>
      </c>
      <c r="Z164"/>
    </row>
    <row r="165" spans="1:26">
      <c r="A165" s="185" t="s">
        <v>1799</v>
      </c>
      <c r="B165" s="185" t="s">
        <v>1962</v>
      </c>
      <c r="C165" s="185" t="s">
        <v>1897</v>
      </c>
      <c r="D165" s="185" t="s">
        <v>1963</v>
      </c>
      <c r="E165" s="185">
        <v>237010</v>
      </c>
      <c r="F165" s="185" t="s">
        <v>683</v>
      </c>
      <c r="G165" s="185" t="s">
        <v>1908</v>
      </c>
      <c r="H165" s="185" t="s">
        <v>1628</v>
      </c>
      <c r="I165" s="258" t="str">
        <f t="shared" si="7"/>
        <v>2</v>
      </c>
      <c r="J165" s="221">
        <f t="shared" si="8"/>
        <v>-23200</v>
      </c>
      <c r="K165" s="258">
        <f t="shared" si="9"/>
        <v>1</v>
      </c>
      <c r="L165" s="188">
        <v>0</v>
      </c>
      <c r="M165" s="188">
        <v>23200</v>
      </c>
      <c r="N165" s="189">
        <v>860066942</v>
      </c>
      <c r="O165" t="s">
        <v>1962</v>
      </c>
      <c r="P165" s="187">
        <v>44965.331956018497</v>
      </c>
      <c r="Q165" s="186">
        <v>6957</v>
      </c>
      <c r="R165" s="185" t="s">
        <v>1814</v>
      </c>
      <c r="S165" s="185" t="s">
        <v>1574</v>
      </c>
      <c r="T165"/>
      <c r="U165" t="str">
        <f>IF($L165&gt;0,VLOOKUP($E165,Valida!$A$1:$G$270,6,FALSE),IF($M165&gt;=0,VLOOKUP($E165,Valida!$A$1:$G$270,7,FALSE)))</f>
        <v>(+/-) Ajustes por el incremento (disminución) de cuentas por pagar de origen comercial</v>
      </c>
      <c r="V165" s="190" t="str">
        <f>VLOOKUP(E165,Valida!$A$2:$K$271,4,FALSE)</f>
        <v>Trade and other payables</v>
      </c>
      <c r="W165" s="185" t="s">
        <v>1914</v>
      </c>
      <c r="X165" s="185" t="s">
        <v>1915</v>
      </c>
      <c r="Y165" s="185" t="s">
        <v>1789</v>
      </c>
      <c r="Z165"/>
    </row>
    <row r="166" spans="1:26">
      <c r="A166" s="185" t="s">
        <v>1799</v>
      </c>
      <c r="B166" s="185" t="s">
        <v>1962</v>
      </c>
      <c r="C166" s="185" t="s">
        <v>1897</v>
      </c>
      <c r="D166" s="185" t="s">
        <v>1963</v>
      </c>
      <c r="E166" s="185">
        <v>251505</v>
      </c>
      <c r="F166" s="185" t="s">
        <v>779</v>
      </c>
      <c r="G166" s="185" t="s">
        <v>1908</v>
      </c>
      <c r="H166" s="185" t="s">
        <v>1515</v>
      </c>
      <c r="I166" s="258" t="str">
        <f t="shared" si="7"/>
        <v>2</v>
      </c>
      <c r="J166" s="221">
        <f t="shared" si="8"/>
        <v>23274</v>
      </c>
      <c r="K166" s="258">
        <f t="shared" si="9"/>
        <v>1</v>
      </c>
      <c r="L166" s="188">
        <v>23274</v>
      </c>
      <c r="M166" s="188">
        <v>0</v>
      </c>
      <c r="N166" s="189">
        <v>1130744136</v>
      </c>
      <c r="O166" t="s">
        <v>1962</v>
      </c>
      <c r="P166" s="187">
        <v>44965.331956018497</v>
      </c>
      <c r="Q166" s="186">
        <v>6958</v>
      </c>
      <c r="R166" s="185"/>
      <c r="S166" s="185" t="s">
        <v>1538</v>
      </c>
      <c r="T166"/>
      <c r="U166" t="str">
        <f>IF($L166&gt;0,VLOOKUP($E166,Valida!$A$1:$G$270,6,FALSE),IF($M166&gt;=0,VLOOKUP($E166,Valida!$A$1:$G$270,7,FALSE)))</f>
        <v>(+/-) Ajustes por el incremento (disminución) de cuentas por pagar de origen comercial</v>
      </c>
      <c r="V166" s="190" t="str">
        <f>VLOOKUP(E166,Valida!$A$2:$K$271,4,FALSE)</f>
        <v>Trade and other payables</v>
      </c>
      <c r="W166" s="185" t="s">
        <v>1909</v>
      </c>
      <c r="X166" s="185" t="s">
        <v>1910</v>
      </c>
      <c r="Y166" s="185" t="s">
        <v>1789</v>
      </c>
      <c r="Z166"/>
    </row>
    <row r="167" spans="1:26">
      <c r="A167" s="185" t="s">
        <v>1799</v>
      </c>
      <c r="B167" s="185" t="s">
        <v>1964</v>
      </c>
      <c r="C167" s="185" t="s">
        <v>1897</v>
      </c>
      <c r="D167" s="185" t="s">
        <v>1965</v>
      </c>
      <c r="E167" s="185">
        <v>510506</v>
      </c>
      <c r="F167" s="185" t="s">
        <v>1076</v>
      </c>
      <c r="G167" s="185" t="s">
        <v>1966</v>
      </c>
      <c r="H167" s="185" t="s">
        <v>1515</v>
      </c>
      <c r="I167" s="258" t="str">
        <f t="shared" si="7"/>
        <v>5</v>
      </c>
      <c r="J167" s="221">
        <f t="shared" si="8"/>
        <v>1500000</v>
      </c>
      <c r="K167" s="258">
        <f t="shared" si="9"/>
        <v>1</v>
      </c>
      <c r="L167" s="188">
        <v>1500000</v>
      </c>
      <c r="M167" s="188">
        <v>0</v>
      </c>
      <c r="N167" s="189">
        <v>1010101811</v>
      </c>
      <c r="O167" t="s">
        <v>1964</v>
      </c>
      <c r="P167" s="187">
        <v>44965.3386342593</v>
      </c>
      <c r="Q167" s="186">
        <v>6959</v>
      </c>
      <c r="R167" s="185"/>
      <c r="S167" s="185" t="s">
        <v>1528</v>
      </c>
      <c r="T167"/>
      <c r="U167" t="str">
        <f>IF($L167&gt;0,VLOOKUP($E167,Valida!$A$1:$G$270,6,FALSE),IF($M167&gt;=0,VLOOKUP($E167,Valida!$A$1:$G$270,7,FALSE)))</f>
        <v>(+/-) Ganancia (pérdida)</v>
      </c>
      <c r="V167" s="190" t="str">
        <f>VLOOKUP(E167,Valida!$A$2:$K$271,4,FALSE)</f>
        <v>P&amp;L</v>
      </c>
      <c r="W167" s="185" t="s">
        <v>1967</v>
      </c>
      <c r="X167" s="185"/>
      <c r="Y167" s="185" t="s">
        <v>1789</v>
      </c>
      <c r="Z167"/>
    </row>
    <row r="168" spans="1:26">
      <c r="A168" s="185" t="s">
        <v>1799</v>
      </c>
      <c r="B168" s="185" t="s">
        <v>1964</v>
      </c>
      <c r="C168" s="185" t="s">
        <v>1897</v>
      </c>
      <c r="D168" s="185" t="s">
        <v>1965</v>
      </c>
      <c r="E168" s="185">
        <v>510527</v>
      </c>
      <c r="F168" s="185" t="s">
        <v>1089</v>
      </c>
      <c r="G168" s="185" t="s">
        <v>1966</v>
      </c>
      <c r="H168" s="185" t="s">
        <v>1515</v>
      </c>
      <c r="I168" s="258" t="str">
        <f t="shared" si="7"/>
        <v>5</v>
      </c>
      <c r="J168" s="221">
        <f t="shared" si="8"/>
        <v>140606</v>
      </c>
      <c r="K168" s="258">
        <f t="shared" si="9"/>
        <v>1</v>
      </c>
      <c r="L168" s="188">
        <v>140606</v>
      </c>
      <c r="M168" s="188">
        <v>0</v>
      </c>
      <c r="N168" s="189">
        <v>1010101811</v>
      </c>
      <c r="O168" t="s">
        <v>1964</v>
      </c>
      <c r="P168" s="187">
        <v>44965.3386342593</v>
      </c>
      <c r="Q168" s="186">
        <v>6960</v>
      </c>
      <c r="R168" s="185"/>
      <c r="S168" s="185" t="s">
        <v>1528</v>
      </c>
      <c r="T168"/>
      <c r="U168" t="str">
        <f>IF($L168&gt;0,VLOOKUP($E168,Valida!$A$1:$G$270,6,FALSE),IF($M168&gt;=0,VLOOKUP($E168,Valida!$A$1:$G$270,7,FALSE)))</f>
        <v>(+/-) Ganancia (pérdida)</v>
      </c>
      <c r="V168" s="190" t="str">
        <f>VLOOKUP(E168,Valida!$A$2:$K$271,4,FALSE)</f>
        <v>P&amp;L</v>
      </c>
      <c r="W168" s="185" t="s">
        <v>1967</v>
      </c>
      <c r="X168" s="185"/>
      <c r="Y168" s="185" t="s">
        <v>1789</v>
      </c>
      <c r="Z168"/>
    </row>
    <row r="169" spans="1:26">
      <c r="A169" s="185" t="s">
        <v>1799</v>
      </c>
      <c r="B169" s="185" t="s">
        <v>1964</v>
      </c>
      <c r="C169" s="185" t="s">
        <v>1897</v>
      </c>
      <c r="D169" s="185" t="s">
        <v>1965</v>
      </c>
      <c r="E169" s="185">
        <v>237005</v>
      </c>
      <c r="F169" s="185" t="s">
        <v>676</v>
      </c>
      <c r="G169" s="185" t="s">
        <v>1966</v>
      </c>
      <c r="H169" s="185" t="s">
        <v>1628</v>
      </c>
      <c r="I169" s="258" t="str">
        <f t="shared" si="7"/>
        <v>2</v>
      </c>
      <c r="J169" s="221">
        <f t="shared" si="8"/>
        <v>-60000</v>
      </c>
      <c r="K169" s="258">
        <f t="shared" si="9"/>
        <v>1</v>
      </c>
      <c r="L169" s="188">
        <v>0</v>
      </c>
      <c r="M169" s="188">
        <v>60000</v>
      </c>
      <c r="N169" s="189">
        <v>860066942</v>
      </c>
      <c r="O169" t="s">
        <v>1964</v>
      </c>
      <c r="P169" s="187">
        <v>44965.3386342593</v>
      </c>
      <c r="Q169" s="186">
        <v>6961</v>
      </c>
      <c r="R169" s="185" t="s">
        <v>1814</v>
      </c>
      <c r="S169" s="185" t="s">
        <v>1574</v>
      </c>
      <c r="T169"/>
      <c r="U169" t="str">
        <f>IF($L169&gt;0,VLOOKUP($E169,Valida!$A$1:$G$270,6,FALSE),IF($M169&gt;=0,VLOOKUP($E169,Valida!$A$1:$G$270,7,FALSE)))</f>
        <v>(+/-) Ajustes por el incremento (disminución) de cuentas por pagar de origen comercial</v>
      </c>
      <c r="V169" s="190" t="str">
        <f>VLOOKUP(E169,Valida!$A$2:$K$271,4,FALSE)</f>
        <v>Trade and other payables</v>
      </c>
      <c r="W169" s="185" t="s">
        <v>1914</v>
      </c>
      <c r="X169" s="185" t="s">
        <v>1915</v>
      </c>
      <c r="Y169" s="185" t="s">
        <v>1789</v>
      </c>
      <c r="Z169"/>
    </row>
    <row r="170" spans="1:26">
      <c r="A170" s="185" t="s">
        <v>1799</v>
      </c>
      <c r="B170" s="185" t="s">
        <v>1964</v>
      </c>
      <c r="C170" s="185" t="s">
        <v>1897</v>
      </c>
      <c r="D170" s="185" t="s">
        <v>1965</v>
      </c>
      <c r="E170" s="185">
        <v>238030</v>
      </c>
      <c r="F170" s="185" t="s">
        <v>721</v>
      </c>
      <c r="G170" s="185" t="s">
        <v>1966</v>
      </c>
      <c r="H170" s="185" t="s">
        <v>1628</v>
      </c>
      <c r="I170" s="258" t="str">
        <f t="shared" si="7"/>
        <v>2</v>
      </c>
      <c r="J170" s="221">
        <f t="shared" si="8"/>
        <v>-60000</v>
      </c>
      <c r="K170" s="258">
        <f t="shared" si="9"/>
        <v>1</v>
      </c>
      <c r="L170" s="188">
        <v>0</v>
      </c>
      <c r="M170" s="188">
        <v>60000</v>
      </c>
      <c r="N170" s="189">
        <v>800144331</v>
      </c>
      <c r="O170" t="s">
        <v>1964</v>
      </c>
      <c r="P170" s="187">
        <v>44965.3386342593</v>
      </c>
      <c r="Q170" s="186">
        <v>6962</v>
      </c>
      <c r="R170" s="185" t="s">
        <v>844</v>
      </c>
      <c r="S170" s="185" t="s">
        <v>1658</v>
      </c>
      <c r="T170"/>
      <c r="U170" t="str">
        <f>IF($L170&gt;0,VLOOKUP($E170,Valida!$A$1:$G$270,6,FALSE),IF($M170&gt;=0,VLOOKUP($E170,Valida!$A$1:$G$270,7,FALSE)))</f>
        <v>(+/-) Ajustes por el incremento (disminución) de cuentas por pagar de origen comercial</v>
      </c>
      <c r="V170" s="190" t="str">
        <f>VLOOKUP(E170,Valida!$A$2:$K$271,4,FALSE)</f>
        <v>Trade and other payables</v>
      </c>
      <c r="W170" s="185" t="s">
        <v>1904</v>
      </c>
      <c r="X170" s="185" t="s">
        <v>1905</v>
      </c>
      <c r="Y170" s="185" t="s">
        <v>1789</v>
      </c>
      <c r="Z170"/>
    </row>
    <row r="171" spans="1:26">
      <c r="A171" s="185" t="s">
        <v>1799</v>
      </c>
      <c r="B171" s="185" t="s">
        <v>1964</v>
      </c>
      <c r="C171" s="185" t="s">
        <v>1897</v>
      </c>
      <c r="D171" s="185" t="s">
        <v>1965</v>
      </c>
      <c r="E171" s="185">
        <v>250505</v>
      </c>
      <c r="F171" s="185" t="s">
        <v>767</v>
      </c>
      <c r="G171" s="185" t="s">
        <v>1966</v>
      </c>
      <c r="H171" s="185" t="s">
        <v>1628</v>
      </c>
      <c r="I171" s="258" t="str">
        <f t="shared" si="7"/>
        <v>2</v>
      </c>
      <c r="J171" s="221">
        <f t="shared" si="8"/>
        <v>-1535860</v>
      </c>
      <c r="K171" s="258">
        <f t="shared" si="9"/>
        <v>1</v>
      </c>
      <c r="L171" s="188">
        <v>0</v>
      </c>
      <c r="M171" s="188">
        <v>1535860</v>
      </c>
      <c r="N171" s="189">
        <v>1010101811</v>
      </c>
      <c r="O171" t="s">
        <v>1964</v>
      </c>
      <c r="P171" s="187">
        <v>44965.3386342593</v>
      </c>
      <c r="Q171" s="186">
        <v>6963</v>
      </c>
      <c r="R171" s="185"/>
      <c r="S171" s="185" t="s">
        <v>1528</v>
      </c>
      <c r="T171"/>
      <c r="U171" t="str">
        <f>IF($L171&gt;0,VLOOKUP($E171,Valida!$A$1:$G$270,6,FALSE),IF($M171&gt;=0,VLOOKUP($E171,Valida!$A$1:$G$270,7,FALSE)))</f>
        <v>(+/-) Ajustes por el incremento (disminución) de cuentas por pagar de origen comercial</v>
      </c>
      <c r="V171" s="190" t="str">
        <f>VLOOKUP(E171,Valida!$A$2:$K$271,4,FALSE)</f>
        <v>Trade and other payables</v>
      </c>
      <c r="W171" s="185" t="s">
        <v>1967</v>
      </c>
      <c r="X171" s="185"/>
      <c r="Y171" s="185" t="s">
        <v>1789</v>
      </c>
      <c r="Z171"/>
    </row>
    <row r="172" spans="1:26">
      <c r="A172" s="185" t="s">
        <v>1799</v>
      </c>
      <c r="B172" s="185" t="s">
        <v>1964</v>
      </c>
      <c r="C172" s="185" t="s">
        <v>1897</v>
      </c>
      <c r="D172" s="185" t="s">
        <v>1965</v>
      </c>
      <c r="E172" s="185">
        <v>510530</v>
      </c>
      <c r="F172" s="185" t="s">
        <v>813</v>
      </c>
      <c r="G172" s="185" t="s">
        <v>1966</v>
      </c>
      <c r="H172" s="185" t="s">
        <v>1515</v>
      </c>
      <c r="I172" s="258" t="str">
        <f t="shared" si="7"/>
        <v>5</v>
      </c>
      <c r="J172" s="221">
        <f t="shared" si="8"/>
        <v>136717</v>
      </c>
      <c r="K172" s="258">
        <f t="shared" si="9"/>
        <v>1</v>
      </c>
      <c r="L172" s="188">
        <v>136717</v>
      </c>
      <c r="M172" s="188">
        <v>0</v>
      </c>
      <c r="N172" s="189">
        <v>1010101811</v>
      </c>
      <c r="O172" t="s">
        <v>1964</v>
      </c>
      <c r="P172" s="187">
        <v>44965.338645833297</v>
      </c>
      <c r="Q172" s="186">
        <v>6964</v>
      </c>
      <c r="R172" s="185"/>
      <c r="S172" s="185" t="s">
        <v>1528</v>
      </c>
      <c r="T172"/>
      <c r="U172" t="str">
        <f>IF($L172&gt;0,VLOOKUP($E172,Valida!$A$1:$G$270,6,FALSE),IF($M172&gt;=0,VLOOKUP($E172,Valida!$A$1:$G$270,7,FALSE)))</f>
        <v>(+/-) Ganancia (pérdida)</v>
      </c>
      <c r="V172" s="190" t="str">
        <f>VLOOKUP(E172,Valida!$A$2:$K$271,4,FALSE)</f>
        <v>P&amp;L</v>
      </c>
      <c r="W172" s="185" t="s">
        <v>1967</v>
      </c>
      <c r="X172" s="185"/>
      <c r="Y172" s="185" t="s">
        <v>1789</v>
      </c>
      <c r="Z172"/>
    </row>
    <row r="173" spans="1:26">
      <c r="A173" s="185" t="s">
        <v>1799</v>
      </c>
      <c r="B173" s="185" t="s">
        <v>1964</v>
      </c>
      <c r="C173" s="185" t="s">
        <v>1897</v>
      </c>
      <c r="D173" s="185" t="s">
        <v>1965</v>
      </c>
      <c r="E173" s="185">
        <v>510533</v>
      </c>
      <c r="F173" s="185" t="s">
        <v>779</v>
      </c>
      <c r="G173" s="185" t="s">
        <v>1966</v>
      </c>
      <c r="H173" s="185" t="s">
        <v>1515</v>
      </c>
      <c r="I173" s="258" t="str">
        <f t="shared" si="7"/>
        <v>5</v>
      </c>
      <c r="J173" s="221">
        <f t="shared" si="8"/>
        <v>16406</v>
      </c>
      <c r="K173" s="258">
        <f t="shared" si="9"/>
        <v>1</v>
      </c>
      <c r="L173" s="188">
        <v>16406</v>
      </c>
      <c r="M173" s="188">
        <v>0</v>
      </c>
      <c r="N173" s="189">
        <v>1010101811</v>
      </c>
      <c r="O173" t="s">
        <v>1964</v>
      </c>
      <c r="P173" s="187">
        <v>44965.338645833297</v>
      </c>
      <c r="Q173" s="186">
        <v>6965</v>
      </c>
      <c r="R173" s="185"/>
      <c r="S173" s="185" t="s">
        <v>1528</v>
      </c>
      <c r="T173"/>
      <c r="U173" t="str">
        <f>IF($L173&gt;0,VLOOKUP($E173,Valida!$A$1:$G$270,6,FALSE),IF($M173&gt;=0,VLOOKUP($E173,Valida!$A$1:$G$270,7,FALSE)))</f>
        <v>(+/-) Ganancia (pérdida)</v>
      </c>
      <c r="V173" s="190" t="str">
        <f>VLOOKUP(E173,Valida!$A$2:$K$271,4,FALSE)</f>
        <v>P&amp;L</v>
      </c>
      <c r="W173" s="185" t="s">
        <v>1967</v>
      </c>
      <c r="X173" s="185"/>
      <c r="Y173" s="185" t="s">
        <v>1789</v>
      </c>
      <c r="Z173"/>
    </row>
    <row r="174" spans="1:26">
      <c r="A174" s="185" t="s">
        <v>1799</v>
      </c>
      <c r="B174" s="185" t="s">
        <v>1964</v>
      </c>
      <c r="C174" s="185" t="s">
        <v>1897</v>
      </c>
      <c r="D174" s="185" t="s">
        <v>1965</v>
      </c>
      <c r="E174" s="185">
        <v>510536</v>
      </c>
      <c r="F174" s="185" t="s">
        <v>783</v>
      </c>
      <c r="G174" s="185" t="s">
        <v>1966</v>
      </c>
      <c r="H174" s="185" t="s">
        <v>1515</v>
      </c>
      <c r="I174" s="258" t="str">
        <f t="shared" si="7"/>
        <v>5</v>
      </c>
      <c r="J174" s="221">
        <f t="shared" si="8"/>
        <v>136717</v>
      </c>
      <c r="K174" s="258">
        <f t="shared" si="9"/>
        <v>1</v>
      </c>
      <c r="L174" s="188">
        <v>136717</v>
      </c>
      <c r="M174" s="188">
        <v>0</v>
      </c>
      <c r="N174" s="189">
        <v>1010101811</v>
      </c>
      <c r="O174" t="s">
        <v>1964</v>
      </c>
      <c r="P174" s="187">
        <v>44965.338645833297</v>
      </c>
      <c r="Q174" s="186">
        <v>6966</v>
      </c>
      <c r="R174" s="185"/>
      <c r="S174" s="185" t="s">
        <v>1528</v>
      </c>
      <c r="T174"/>
      <c r="U174" t="str">
        <f>IF($L174&gt;0,VLOOKUP($E174,Valida!$A$1:$G$270,6,FALSE),IF($M174&gt;=0,VLOOKUP($E174,Valida!$A$1:$G$270,7,FALSE)))</f>
        <v>(+/-) Ganancia (pérdida)</v>
      </c>
      <c r="V174" s="190" t="str">
        <f>VLOOKUP(E174,Valida!$A$2:$K$271,4,FALSE)</f>
        <v>P&amp;L</v>
      </c>
      <c r="W174" s="185" t="s">
        <v>1967</v>
      </c>
      <c r="X174" s="185"/>
      <c r="Y174" s="185" t="s">
        <v>1789</v>
      </c>
      <c r="Z174"/>
    </row>
    <row r="175" spans="1:26">
      <c r="A175" s="185" t="s">
        <v>1799</v>
      </c>
      <c r="B175" s="185" t="s">
        <v>1964</v>
      </c>
      <c r="C175" s="185" t="s">
        <v>1897</v>
      </c>
      <c r="D175" s="185" t="s">
        <v>1965</v>
      </c>
      <c r="E175" s="185">
        <v>510539</v>
      </c>
      <c r="F175" s="185" t="s">
        <v>818</v>
      </c>
      <c r="G175" s="185" t="s">
        <v>1966</v>
      </c>
      <c r="H175" s="185" t="s">
        <v>1515</v>
      </c>
      <c r="I175" s="258" t="str">
        <f t="shared" si="7"/>
        <v>5</v>
      </c>
      <c r="J175" s="221">
        <f t="shared" si="8"/>
        <v>62500</v>
      </c>
      <c r="K175" s="258">
        <f t="shared" si="9"/>
        <v>1</v>
      </c>
      <c r="L175" s="188">
        <v>62500</v>
      </c>
      <c r="M175" s="188">
        <v>0</v>
      </c>
      <c r="N175" s="189">
        <v>1010101811</v>
      </c>
      <c r="O175" t="s">
        <v>1964</v>
      </c>
      <c r="P175" s="187">
        <v>44965.338645833297</v>
      </c>
      <c r="Q175" s="186">
        <v>6967</v>
      </c>
      <c r="R175" s="185"/>
      <c r="S175" s="185" t="s">
        <v>1528</v>
      </c>
      <c r="T175"/>
      <c r="U175" t="str">
        <f>IF($L175&gt;0,VLOOKUP($E175,Valida!$A$1:$G$270,6,FALSE),IF($M175&gt;=0,VLOOKUP($E175,Valida!$A$1:$G$270,7,FALSE)))</f>
        <v>(+/-) Ganancia (pérdida)</v>
      </c>
      <c r="V175" s="190" t="str">
        <f>VLOOKUP(E175,Valida!$A$2:$K$271,4,FALSE)</f>
        <v>P&amp;L</v>
      </c>
      <c r="W175" s="185" t="s">
        <v>1967</v>
      </c>
      <c r="X175" s="185"/>
      <c r="Y175" s="185" t="s">
        <v>1789</v>
      </c>
      <c r="Z175"/>
    </row>
    <row r="176" spans="1:26">
      <c r="A176" s="185" t="s">
        <v>1799</v>
      </c>
      <c r="B176" s="185" t="s">
        <v>1964</v>
      </c>
      <c r="C176" s="185" t="s">
        <v>1897</v>
      </c>
      <c r="D176" s="185" t="s">
        <v>1965</v>
      </c>
      <c r="E176" s="185">
        <v>251010</v>
      </c>
      <c r="F176" s="185" t="s">
        <v>776</v>
      </c>
      <c r="G176" s="185" t="s">
        <v>1966</v>
      </c>
      <c r="H176" s="185" t="s">
        <v>1628</v>
      </c>
      <c r="I176" s="258" t="str">
        <f t="shared" si="7"/>
        <v>2</v>
      </c>
      <c r="J176" s="221">
        <f t="shared" si="8"/>
        <v>-136717</v>
      </c>
      <c r="K176" s="258">
        <f t="shared" si="9"/>
        <v>1</v>
      </c>
      <c r="L176" s="188">
        <v>0</v>
      </c>
      <c r="M176" s="188">
        <v>136717</v>
      </c>
      <c r="N176" s="189">
        <v>1010101811</v>
      </c>
      <c r="O176" t="s">
        <v>1964</v>
      </c>
      <c r="P176" s="187">
        <v>44965.338645833297</v>
      </c>
      <c r="Q176" s="186">
        <v>6968</v>
      </c>
      <c r="R176" s="185"/>
      <c r="S176" s="185" t="s">
        <v>1528</v>
      </c>
      <c r="T176"/>
      <c r="U176" t="str">
        <f>IF($L176&gt;0,VLOOKUP($E176,Valida!$A$1:$G$270,6,FALSE),IF($M176&gt;=0,VLOOKUP($E176,Valida!$A$1:$G$270,7,FALSE)))</f>
        <v>(+/-) Ajustes por el incremento (disminución) de cuentas por pagar de origen comercial</v>
      </c>
      <c r="V176" s="190" t="str">
        <f>VLOOKUP(E176,Valida!$A$2:$K$271,4,FALSE)</f>
        <v>Trade and other payables</v>
      </c>
      <c r="W176" s="185" t="s">
        <v>1967</v>
      </c>
      <c r="X176" s="185"/>
      <c r="Y176" s="185" t="s">
        <v>1789</v>
      </c>
      <c r="Z176"/>
    </row>
    <row r="177" spans="1:26">
      <c r="A177" s="185" t="s">
        <v>1799</v>
      </c>
      <c r="B177" s="185" t="s">
        <v>1964</v>
      </c>
      <c r="C177" s="185" t="s">
        <v>1897</v>
      </c>
      <c r="D177" s="185" t="s">
        <v>1965</v>
      </c>
      <c r="E177" s="185">
        <v>251505</v>
      </c>
      <c r="F177" s="185" t="s">
        <v>779</v>
      </c>
      <c r="G177" s="185" t="s">
        <v>1966</v>
      </c>
      <c r="H177" s="185" t="s">
        <v>1628</v>
      </c>
      <c r="I177" s="258" t="str">
        <f t="shared" si="7"/>
        <v>2</v>
      </c>
      <c r="J177" s="221">
        <f t="shared" si="8"/>
        <v>-16406</v>
      </c>
      <c r="K177" s="258">
        <f t="shared" si="9"/>
        <v>1</v>
      </c>
      <c r="L177" s="188">
        <v>0</v>
      </c>
      <c r="M177" s="188">
        <v>16406</v>
      </c>
      <c r="N177" s="189">
        <v>1010101811</v>
      </c>
      <c r="O177" t="s">
        <v>1964</v>
      </c>
      <c r="P177" s="187">
        <v>44965.338645833297</v>
      </c>
      <c r="Q177" s="186">
        <v>6969</v>
      </c>
      <c r="R177" s="185"/>
      <c r="S177" s="185" t="s">
        <v>1528</v>
      </c>
      <c r="T177"/>
      <c r="U177" t="str">
        <f>IF($L177&gt;0,VLOOKUP($E177,Valida!$A$1:$G$270,6,FALSE),IF($M177&gt;=0,VLOOKUP($E177,Valida!$A$1:$G$270,7,FALSE)))</f>
        <v>(+/-) Ajustes por el incremento (disminución) de cuentas por pagar de origen comercial</v>
      </c>
      <c r="V177" s="190" t="str">
        <f>VLOOKUP(E177,Valida!$A$2:$K$271,4,FALSE)</f>
        <v>Trade and other payables</v>
      </c>
      <c r="W177" s="185" t="s">
        <v>1967</v>
      </c>
      <c r="X177" s="185"/>
      <c r="Y177" s="185" t="s">
        <v>1789</v>
      </c>
      <c r="Z177"/>
    </row>
    <row r="178" spans="1:26">
      <c r="A178" s="185" t="s">
        <v>1799</v>
      </c>
      <c r="B178" s="185" t="s">
        <v>1964</v>
      </c>
      <c r="C178" s="185" t="s">
        <v>1897</v>
      </c>
      <c r="D178" s="185" t="s">
        <v>1965</v>
      </c>
      <c r="E178" s="185">
        <v>252005</v>
      </c>
      <c r="F178" s="185" t="s">
        <v>783</v>
      </c>
      <c r="G178" s="185" t="s">
        <v>1966</v>
      </c>
      <c r="H178" s="185" t="s">
        <v>1628</v>
      </c>
      <c r="I178" s="258" t="str">
        <f t="shared" si="7"/>
        <v>2</v>
      </c>
      <c r="J178" s="221">
        <f t="shared" si="8"/>
        <v>-136717</v>
      </c>
      <c r="K178" s="258">
        <f t="shared" si="9"/>
        <v>1</v>
      </c>
      <c r="L178" s="188">
        <v>0</v>
      </c>
      <c r="M178" s="188">
        <v>136717</v>
      </c>
      <c r="N178" s="189">
        <v>1010101811</v>
      </c>
      <c r="O178" t="s">
        <v>1964</v>
      </c>
      <c r="P178" s="187">
        <v>44965.338645833297</v>
      </c>
      <c r="Q178" s="186">
        <v>6970</v>
      </c>
      <c r="R178" s="185"/>
      <c r="S178" s="185" t="s">
        <v>1528</v>
      </c>
      <c r="T178"/>
      <c r="U178" t="str">
        <f>IF($L178&gt;0,VLOOKUP($E178,Valida!$A$1:$G$270,6,FALSE),IF($M178&gt;=0,VLOOKUP($E178,Valida!$A$1:$G$270,7,FALSE)))</f>
        <v>(+/-) Ajustes por el incremento (disminución) de cuentas por pagar de origen comercial</v>
      </c>
      <c r="V178" s="190" t="str">
        <f>VLOOKUP(E178,Valida!$A$2:$K$271,4,FALSE)</f>
        <v>Trade and other payables</v>
      </c>
      <c r="W178" s="185" t="s">
        <v>1967</v>
      </c>
      <c r="X178" s="185"/>
      <c r="Y178" s="185" t="s">
        <v>1789</v>
      </c>
      <c r="Z178"/>
    </row>
    <row r="179" spans="1:26">
      <c r="A179" s="185" t="s">
        <v>1799</v>
      </c>
      <c r="B179" s="185" t="s">
        <v>1964</v>
      </c>
      <c r="C179" s="185" t="s">
        <v>1897</v>
      </c>
      <c r="D179" s="185" t="s">
        <v>1965</v>
      </c>
      <c r="E179" s="185">
        <v>252505</v>
      </c>
      <c r="F179" s="185" t="s">
        <v>787</v>
      </c>
      <c r="G179" s="185" t="s">
        <v>1966</v>
      </c>
      <c r="H179" s="185" t="s">
        <v>1628</v>
      </c>
      <c r="I179" s="258" t="str">
        <f t="shared" si="7"/>
        <v>2</v>
      </c>
      <c r="J179" s="221">
        <f t="shared" si="8"/>
        <v>-62500</v>
      </c>
      <c r="K179" s="258">
        <f t="shared" si="9"/>
        <v>1</v>
      </c>
      <c r="L179" s="188">
        <v>0</v>
      </c>
      <c r="M179" s="188">
        <v>62500</v>
      </c>
      <c r="N179" s="189">
        <v>1010101811</v>
      </c>
      <c r="O179" t="s">
        <v>1964</v>
      </c>
      <c r="P179" s="187">
        <v>44965.338645833297</v>
      </c>
      <c r="Q179" s="186">
        <v>6971</v>
      </c>
      <c r="R179" s="185"/>
      <c r="S179" s="185" t="s">
        <v>1528</v>
      </c>
      <c r="T179"/>
      <c r="U179" t="str">
        <f>IF($L179&gt;0,VLOOKUP($E179,Valida!$A$1:$G$270,6,FALSE),IF($M179&gt;=0,VLOOKUP($E179,Valida!$A$1:$G$270,7,FALSE)))</f>
        <v>(+/-) Ajustes por el incremento (disminución) de cuentas por pagar de origen comercial</v>
      </c>
      <c r="V179" s="190" t="str">
        <f>VLOOKUP(E179,Valida!$A$2:$K$271,4,FALSE)</f>
        <v>Trade and other payables</v>
      </c>
      <c r="W179" s="185" t="s">
        <v>1967</v>
      </c>
      <c r="X179" s="185"/>
      <c r="Y179" s="185" t="s">
        <v>1789</v>
      </c>
      <c r="Z179"/>
    </row>
    <row r="180" spans="1:26">
      <c r="A180" s="185" t="s">
        <v>1799</v>
      </c>
      <c r="B180" s="185" t="s">
        <v>1964</v>
      </c>
      <c r="C180" s="185" t="s">
        <v>1897</v>
      </c>
      <c r="D180" s="185" t="s">
        <v>1965</v>
      </c>
      <c r="E180" s="185">
        <v>510570</v>
      </c>
      <c r="F180" s="185" t="s">
        <v>1116</v>
      </c>
      <c r="G180" s="185" t="s">
        <v>1966</v>
      </c>
      <c r="H180" s="185" t="s">
        <v>1515</v>
      </c>
      <c r="I180" s="258" t="str">
        <f t="shared" si="7"/>
        <v>5</v>
      </c>
      <c r="J180" s="221">
        <f t="shared" si="8"/>
        <v>180000</v>
      </c>
      <c r="K180" s="258">
        <f t="shared" si="9"/>
        <v>1</v>
      </c>
      <c r="L180" s="188">
        <v>180000</v>
      </c>
      <c r="M180" s="188">
        <v>0</v>
      </c>
      <c r="N180" s="189">
        <v>800144331</v>
      </c>
      <c r="O180" t="s">
        <v>1964</v>
      </c>
      <c r="P180" s="187">
        <v>44965.338645833297</v>
      </c>
      <c r="Q180" s="186">
        <v>6972</v>
      </c>
      <c r="R180" s="185" t="s">
        <v>844</v>
      </c>
      <c r="S180" s="185" t="s">
        <v>1658</v>
      </c>
      <c r="T180"/>
      <c r="U180" t="str">
        <f>IF($L180&gt;0,VLOOKUP($E180,Valida!$A$1:$G$270,6,FALSE),IF($M180&gt;=0,VLOOKUP($E180,Valida!$A$1:$G$270,7,FALSE)))</f>
        <v>(+/-) Ganancia (pérdida)</v>
      </c>
      <c r="V180" s="190" t="str">
        <f>VLOOKUP(E180,Valida!$A$2:$K$271,4,FALSE)</f>
        <v>P&amp;L</v>
      </c>
      <c r="W180" s="185" t="s">
        <v>1904</v>
      </c>
      <c r="X180" s="185" t="s">
        <v>1905</v>
      </c>
      <c r="Y180" s="185" t="s">
        <v>1789</v>
      </c>
      <c r="Z180"/>
    </row>
    <row r="181" spans="1:26">
      <c r="A181" s="185" t="s">
        <v>1799</v>
      </c>
      <c r="B181" s="185" t="s">
        <v>1964</v>
      </c>
      <c r="C181" s="185" t="s">
        <v>1897</v>
      </c>
      <c r="D181" s="185" t="s">
        <v>1965</v>
      </c>
      <c r="E181" s="185">
        <v>238030</v>
      </c>
      <c r="F181" s="185" t="s">
        <v>721</v>
      </c>
      <c r="G181" s="185" t="s">
        <v>1966</v>
      </c>
      <c r="H181" s="185" t="s">
        <v>1628</v>
      </c>
      <c r="I181" s="258" t="str">
        <f t="shared" si="7"/>
        <v>2</v>
      </c>
      <c r="J181" s="221">
        <f t="shared" si="8"/>
        <v>-180000</v>
      </c>
      <c r="K181" s="258">
        <f t="shared" si="9"/>
        <v>1</v>
      </c>
      <c r="L181" s="188">
        <v>0</v>
      </c>
      <c r="M181" s="188">
        <v>180000</v>
      </c>
      <c r="N181" s="189">
        <v>800144331</v>
      </c>
      <c r="O181" t="s">
        <v>1964</v>
      </c>
      <c r="P181" s="187">
        <v>44965.338645833297</v>
      </c>
      <c r="Q181" s="186">
        <v>6973</v>
      </c>
      <c r="R181" s="185" t="s">
        <v>844</v>
      </c>
      <c r="S181" s="185" t="s">
        <v>1658</v>
      </c>
      <c r="T181"/>
      <c r="U181" t="str">
        <f>IF($L181&gt;0,VLOOKUP($E181,Valida!$A$1:$G$270,6,FALSE),IF($M181&gt;=0,VLOOKUP($E181,Valida!$A$1:$G$270,7,FALSE)))</f>
        <v>(+/-) Ajustes por el incremento (disminución) de cuentas por pagar de origen comercial</v>
      </c>
      <c r="V181" s="190" t="str">
        <f>VLOOKUP(E181,Valida!$A$2:$K$271,4,FALSE)</f>
        <v>Trade and other payables</v>
      </c>
      <c r="W181" s="185" t="s">
        <v>1904</v>
      </c>
      <c r="X181" s="185" t="s">
        <v>1905</v>
      </c>
      <c r="Y181" s="185" t="s">
        <v>1789</v>
      </c>
      <c r="Z181"/>
    </row>
    <row r="182" spans="1:26">
      <c r="A182" s="185" t="s">
        <v>1799</v>
      </c>
      <c r="B182" s="185" t="s">
        <v>1964</v>
      </c>
      <c r="C182" s="185" t="s">
        <v>1897</v>
      </c>
      <c r="D182" s="185" t="s">
        <v>1965</v>
      </c>
      <c r="E182" s="185">
        <v>510568</v>
      </c>
      <c r="F182" s="185" t="s">
        <v>680</v>
      </c>
      <c r="G182" s="185" t="s">
        <v>1966</v>
      </c>
      <c r="H182" s="185" t="s">
        <v>1515</v>
      </c>
      <c r="I182" s="258" t="str">
        <f t="shared" si="7"/>
        <v>5</v>
      </c>
      <c r="J182" s="221">
        <f t="shared" si="8"/>
        <v>7900</v>
      </c>
      <c r="K182" s="258">
        <f t="shared" si="9"/>
        <v>1</v>
      </c>
      <c r="L182" s="188">
        <v>7900</v>
      </c>
      <c r="M182" s="188">
        <v>0</v>
      </c>
      <c r="N182" s="189">
        <v>860002503</v>
      </c>
      <c r="O182" t="s">
        <v>1964</v>
      </c>
      <c r="P182" s="187">
        <v>44965.338645833297</v>
      </c>
      <c r="Q182" s="186">
        <v>6974</v>
      </c>
      <c r="R182" s="185" t="s">
        <v>433</v>
      </c>
      <c r="S182" s="185" t="s">
        <v>1656</v>
      </c>
      <c r="T182"/>
      <c r="U182" t="str">
        <f>IF($L182&gt;0,VLOOKUP($E182,Valida!$A$1:$G$270,6,FALSE),IF($M182&gt;=0,VLOOKUP($E182,Valida!$A$1:$G$270,7,FALSE)))</f>
        <v>(+/-) Ganancia (pérdida)</v>
      </c>
      <c r="V182" s="190" t="str">
        <f>VLOOKUP(E182,Valida!$A$2:$K$271,4,FALSE)</f>
        <v>P&amp;L</v>
      </c>
      <c r="W182" s="185" t="s">
        <v>1912</v>
      </c>
      <c r="X182" s="185" t="s">
        <v>1913</v>
      </c>
      <c r="Y182" s="185" t="s">
        <v>1789</v>
      </c>
      <c r="Z182"/>
    </row>
    <row r="183" spans="1:26">
      <c r="A183" s="185" t="s">
        <v>1799</v>
      </c>
      <c r="B183" s="185" t="s">
        <v>1964</v>
      </c>
      <c r="C183" s="185" t="s">
        <v>1897</v>
      </c>
      <c r="D183" s="185" t="s">
        <v>1965</v>
      </c>
      <c r="E183" s="185">
        <v>237006</v>
      </c>
      <c r="F183" s="185" t="s">
        <v>680</v>
      </c>
      <c r="G183" s="185" t="s">
        <v>1966</v>
      </c>
      <c r="H183" s="185" t="s">
        <v>1628</v>
      </c>
      <c r="I183" s="258" t="str">
        <f t="shared" si="7"/>
        <v>2</v>
      </c>
      <c r="J183" s="221">
        <f t="shared" si="8"/>
        <v>-7900</v>
      </c>
      <c r="K183" s="258">
        <f t="shared" si="9"/>
        <v>1</v>
      </c>
      <c r="L183" s="188">
        <v>0</v>
      </c>
      <c r="M183" s="188">
        <v>7900</v>
      </c>
      <c r="N183" s="189">
        <v>860002503</v>
      </c>
      <c r="O183" t="s">
        <v>1964</v>
      </c>
      <c r="P183" s="187">
        <v>44965.338645833297</v>
      </c>
      <c r="Q183" s="186">
        <v>6975</v>
      </c>
      <c r="R183" s="185" t="s">
        <v>433</v>
      </c>
      <c r="S183" s="185" t="s">
        <v>1656</v>
      </c>
      <c r="T183"/>
      <c r="U183" t="str">
        <f>IF($L183&gt;0,VLOOKUP($E183,Valida!$A$1:$G$270,6,FALSE),IF($M183&gt;=0,VLOOKUP($E183,Valida!$A$1:$G$270,7,FALSE)))</f>
        <v>(+/-) Ajustes por el incremento (disminución) de cuentas por pagar de origen comercial</v>
      </c>
      <c r="V183" s="190" t="str">
        <f>VLOOKUP(E183,Valida!$A$2:$K$271,4,FALSE)</f>
        <v>Trade and other payables</v>
      </c>
      <c r="W183" s="185" t="s">
        <v>1912</v>
      </c>
      <c r="X183" s="185" t="s">
        <v>1913</v>
      </c>
      <c r="Y183" s="185" t="s">
        <v>1789</v>
      </c>
      <c r="Z183"/>
    </row>
    <row r="184" spans="1:26">
      <c r="A184" s="185" t="s">
        <v>1799</v>
      </c>
      <c r="B184" s="185" t="s">
        <v>1964</v>
      </c>
      <c r="C184" s="185" t="s">
        <v>1897</v>
      </c>
      <c r="D184" s="185" t="s">
        <v>1965</v>
      </c>
      <c r="E184" s="185">
        <v>510572</v>
      </c>
      <c r="F184" s="185" t="s">
        <v>1118</v>
      </c>
      <c r="G184" s="185" t="s">
        <v>1966</v>
      </c>
      <c r="H184" s="185" t="s">
        <v>1515</v>
      </c>
      <c r="I184" s="258" t="str">
        <f t="shared" si="7"/>
        <v>5</v>
      </c>
      <c r="J184" s="221">
        <f t="shared" si="8"/>
        <v>30000</v>
      </c>
      <c r="K184" s="258">
        <f t="shared" si="9"/>
        <v>1</v>
      </c>
      <c r="L184" s="188">
        <v>30000</v>
      </c>
      <c r="M184" s="188">
        <v>0</v>
      </c>
      <c r="N184" s="189">
        <v>860066942</v>
      </c>
      <c r="O184" t="s">
        <v>1964</v>
      </c>
      <c r="P184" s="187">
        <v>44965.338645833297</v>
      </c>
      <c r="Q184" s="186">
        <v>6976</v>
      </c>
      <c r="R184" s="185" t="s">
        <v>1814</v>
      </c>
      <c r="S184" s="185" t="s">
        <v>1574</v>
      </c>
      <c r="T184"/>
      <c r="U184" t="str">
        <f>IF($L184&gt;0,VLOOKUP($E184,Valida!$A$1:$G$270,6,FALSE),IF($M184&gt;=0,VLOOKUP($E184,Valida!$A$1:$G$270,7,FALSE)))</f>
        <v>(+/-) Ganancia (pérdida)</v>
      </c>
      <c r="V184" s="190" t="str">
        <f>VLOOKUP(E184,Valida!$A$2:$K$271,4,FALSE)</f>
        <v>P&amp;L</v>
      </c>
      <c r="W184" s="185" t="s">
        <v>1914</v>
      </c>
      <c r="X184" s="185" t="s">
        <v>1915</v>
      </c>
      <c r="Y184" s="185" t="s">
        <v>1789</v>
      </c>
      <c r="Z184"/>
    </row>
    <row r="185" spans="1:26">
      <c r="A185" s="185" t="s">
        <v>1799</v>
      </c>
      <c r="B185" s="185" t="s">
        <v>1964</v>
      </c>
      <c r="C185" s="185" t="s">
        <v>1897</v>
      </c>
      <c r="D185" s="185" t="s">
        <v>1965</v>
      </c>
      <c r="E185" s="185">
        <v>237010</v>
      </c>
      <c r="F185" s="185" t="s">
        <v>683</v>
      </c>
      <c r="G185" s="185" t="s">
        <v>1966</v>
      </c>
      <c r="H185" s="185" t="s">
        <v>1628</v>
      </c>
      <c r="I185" s="258" t="str">
        <f t="shared" si="7"/>
        <v>2</v>
      </c>
      <c r="J185" s="221">
        <f t="shared" si="8"/>
        <v>-30000</v>
      </c>
      <c r="K185" s="258">
        <f t="shared" si="9"/>
        <v>1</v>
      </c>
      <c r="L185" s="188">
        <v>0</v>
      </c>
      <c r="M185" s="188">
        <v>30000</v>
      </c>
      <c r="N185" s="189">
        <v>860066942</v>
      </c>
      <c r="O185" t="s">
        <v>1964</v>
      </c>
      <c r="P185" s="187">
        <v>44965.338645833297</v>
      </c>
      <c r="Q185" s="186">
        <v>6977</v>
      </c>
      <c r="R185" s="185" t="s">
        <v>1814</v>
      </c>
      <c r="S185" s="185" t="s">
        <v>1574</v>
      </c>
      <c r="T185"/>
      <c r="U185" t="str">
        <f>IF($L185&gt;0,VLOOKUP($E185,Valida!$A$1:$G$270,6,FALSE),IF($M185&gt;=0,VLOOKUP($E185,Valida!$A$1:$G$270,7,FALSE)))</f>
        <v>(+/-) Ajustes por el incremento (disminución) de cuentas por pagar de origen comercial</v>
      </c>
      <c r="V185" s="190" t="str">
        <f>VLOOKUP(E185,Valida!$A$2:$K$271,4,FALSE)</f>
        <v>Trade and other payables</v>
      </c>
      <c r="W185" s="185" t="s">
        <v>1914</v>
      </c>
      <c r="X185" s="185" t="s">
        <v>1915</v>
      </c>
      <c r="Y185" s="185" t="s">
        <v>1789</v>
      </c>
      <c r="Z185"/>
    </row>
    <row r="186" spans="1:26">
      <c r="A186" s="185" t="s">
        <v>1799</v>
      </c>
      <c r="B186" s="185" t="s">
        <v>1964</v>
      </c>
      <c r="C186" s="185" t="s">
        <v>1897</v>
      </c>
      <c r="D186" s="185" t="s">
        <v>1965</v>
      </c>
      <c r="E186" s="185">
        <v>251505</v>
      </c>
      <c r="F186" s="185" t="s">
        <v>779</v>
      </c>
      <c r="G186" s="185" t="s">
        <v>1966</v>
      </c>
      <c r="H186" s="185" t="s">
        <v>1515</v>
      </c>
      <c r="I186" s="258" t="str">
        <f t="shared" si="7"/>
        <v>2</v>
      </c>
      <c r="J186" s="221">
        <f t="shared" si="8"/>
        <v>15254</v>
      </c>
      <c r="K186" s="258">
        <f t="shared" si="9"/>
        <v>1</v>
      </c>
      <c r="L186" s="188">
        <v>15254</v>
      </c>
      <c r="M186" s="188">
        <v>0</v>
      </c>
      <c r="N186" s="189">
        <v>1010101811</v>
      </c>
      <c r="O186" t="s">
        <v>1964</v>
      </c>
      <c r="P186" s="187">
        <v>44965.338645833297</v>
      </c>
      <c r="Q186" s="186">
        <v>6978</v>
      </c>
      <c r="R186" s="185"/>
      <c r="S186" s="185" t="s">
        <v>1528</v>
      </c>
      <c r="T186"/>
      <c r="U186" t="str">
        <f>IF($L186&gt;0,VLOOKUP($E186,Valida!$A$1:$G$270,6,FALSE),IF($M186&gt;=0,VLOOKUP($E186,Valida!$A$1:$G$270,7,FALSE)))</f>
        <v>(+/-) Ajustes por el incremento (disminución) de cuentas por pagar de origen comercial</v>
      </c>
      <c r="V186" s="190" t="str">
        <f>VLOOKUP(E186,Valida!$A$2:$K$271,4,FALSE)</f>
        <v>Trade and other payables</v>
      </c>
      <c r="W186" s="185" t="s">
        <v>1967</v>
      </c>
      <c r="X186" s="185"/>
      <c r="Y186" s="185" t="s">
        <v>1789</v>
      </c>
      <c r="Z186"/>
    </row>
    <row r="187" spans="1:26">
      <c r="A187" s="185" t="s">
        <v>1799</v>
      </c>
      <c r="B187" s="185" t="s">
        <v>1968</v>
      </c>
      <c r="C187" s="185" t="s">
        <v>1897</v>
      </c>
      <c r="D187" s="185" t="s">
        <v>1969</v>
      </c>
      <c r="E187" s="185">
        <v>510506</v>
      </c>
      <c r="F187" s="185" t="s">
        <v>1076</v>
      </c>
      <c r="G187" s="185" t="s">
        <v>1970</v>
      </c>
      <c r="H187" s="185" t="s">
        <v>1515</v>
      </c>
      <c r="I187" s="258" t="str">
        <f t="shared" si="7"/>
        <v>5</v>
      </c>
      <c r="J187" s="221">
        <f t="shared" si="8"/>
        <v>1200000</v>
      </c>
      <c r="K187" s="258">
        <f t="shared" si="9"/>
        <v>1</v>
      </c>
      <c r="L187" s="188">
        <v>1200000</v>
      </c>
      <c r="M187" s="188">
        <v>0</v>
      </c>
      <c r="N187" s="189">
        <v>1023976635</v>
      </c>
      <c r="O187" t="s">
        <v>1968</v>
      </c>
      <c r="P187" s="187">
        <v>44965.343067129601</v>
      </c>
      <c r="Q187" s="186">
        <v>6979</v>
      </c>
      <c r="R187" s="185"/>
      <c r="S187" s="185" t="s">
        <v>1534</v>
      </c>
      <c r="T187"/>
      <c r="U187" t="str">
        <f>IF($L187&gt;0,VLOOKUP($E187,Valida!$A$1:$G$270,6,FALSE),IF($M187&gt;=0,VLOOKUP($E187,Valida!$A$1:$G$270,7,FALSE)))</f>
        <v>(+/-) Ganancia (pérdida)</v>
      </c>
      <c r="V187" s="190" t="str">
        <f>VLOOKUP(E187,Valida!$A$2:$K$271,4,FALSE)</f>
        <v>P&amp;L</v>
      </c>
      <c r="W187" s="185" t="s">
        <v>1971</v>
      </c>
      <c r="X187" s="185"/>
      <c r="Y187" s="185" t="s">
        <v>1972</v>
      </c>
      <c r="Z187"/>
    </row>
    <row r="188" spans="1:26">
      <c r="A188" s="185" t="s">
        <v>1799</v>
      </c>
      <c r="B188" s="185" t="s">
        <v>1968</v>
      </c>
      <c r="C188" s="185" t="s">
        <v>1897</v>
      </c>
      <c r="D188" s="185" t="s">
        <v>1969</v>
      </c>
      <c r="E188" s="185">
        <v>510527</v>
      </c>
      <c r="F188" s="185" t="s">
        <v>1089</v>
      </c>
      <c r="G188" s="185" t="s">
        <v>1970</v>
      </c>
      <c r="H188" s="185" t="s">
        <v>1515</v>
      </c>
      <c r="I188" s="258" t="str">
        <f t="shared" si="7"/>
        <v>5</v>
      </c>
      <c r="J188" s="221">
        <f t="shared" si="8"/>
        <v>140606</v>
      </c>
      <c r="K188" s="258">
        <f t="shared" si="9"/>
        <v>1</v>
      </c>
      <c r="L188" s="188">
        <v>140606</v>
      </c>
      <c r="M188" s="188">
        <v>0</v>
      </c>
      <c r="N188" s="189">
        <v>1023976635</v>
      </c>
      <c r="O188" t="s">
        <v>1968</v>
      </c>
      <c r="P188" s="187">
        <v>44965.343067129601</v>
      </c>
      <c r="Q188" s="186">
        <v>6980</v>
      </c>
      <c r="R188" s="185"/>
      <c r="S188" s="185" t="s">
        <v>1534</v>
      </c>
      <c r="T188"/>
      <c r="U188" t="str">
        <f>IF($L188&gt;0,VLOOKUP($E188,Valida!$A$1:$G$270,6,FALSE),IF($M188&gt;=0,VLOOKUP($E188,Valida!$A$1:$G$270,7,FALSE)))</f>
        <v>(+/-) Ganancia (pérdida)</v>
      </c>
      <c r="V188" s="190" t="str">
        <f>VLOOKUP(E188,Valida!$A$2:$K$271,4,FALSE)</f>
        <v>P&amp;L</v>
      </c>
      <c r="W188" s="185" t="s">
        <v>1971</v>
      </c>
      <c r="X188" s="185"/>
      <c r="Y188" s="185" t="s">
        <v>1972</v>
      </c>
      <c r="Z188"/>
    </row>
    <row r="189" spans="1:26">
      <c r="A189" s="185" t="s">
        <v>1799</v>
      </c>
      <c r="B189" s="185" t="s">
        <v>1968</v>
      </c>
      <c r="C189" s="185" t="s">
        <v>1897</v>
      </c>
      <c r="D189" s="185" t="s">
        <v>1969</v>
      </c>
      <c r="E189" s="185">
        <v>237005</v>
      </c>
      <c r="F189" s="185" t="s">
        <v>676</v>
      </c>
      <c r="G189" s="185" t="s">
        <v>1970</v>
      </c>
      <c r="H189" s="185" t="s">
        <v>1628</v>
      </c>
      <c r="I189" s="258" t="str">
        <f t="shared" si="7"/>
        <v>2</v>
      </c>
      <c r="J189" s="221">
        <f t="shared" si="8"/>
        <v>-55700</v>
      </c>
      <c r="K189" s="258">
        <f t="shared" si="9"/>
        <v>1</v>
      </c>
      <c r="L189" s="188">
        <v>0</v>
      </c>
      <c r="M189" s="188">
        <v>55700</v>
      </c>
      <c r="N189" s="189">
        <v>830003564</v>
      </c>
      <c r="O189" t="s">
        <v>1968</v>
      </c>
      <c r="P189" s="187">
        <v>44965.343067129601</v>
      </c>
      <c r="Q189" s="186">
        <v>6981</v>
      </c>
      <c r="R189" s="185" t="s">
        <v>1814</v>
      </c>
      <c r="S189" s="185" t="s">
        <v>1652</v>
      </c>
      <c r="T189"/>
      <c r="U189" t="str">
        <f>IF($L189&gt;0,VLOOKUP($E189,Valida!$A$1:$G$270,6,FALSE),IF($M189&gt;=0,VLOOKUP($E189,Valida!$A$1:$G$270,7,FALSE)))</f>
        <v>(+/-) Ajustes por el incremento (disminución) de cuentas por pagar de origen comercial</v>
      </c>
      <c r="V189" s="190" t="str">
        <f>VLOOKUP(E189,Valida!$A$2:$K$271,4,FALSE)</f>
        <v>Trade and other payables</v>
      </c>
      <c r="W189" s="185" t="s">
        <v>1973</v>
      </c>
      <c r="X189" s="185" t="s">
        <v>1974</v>
      </c>
      <c r="Y189" s="185" t="s">
        <v>1789</v>
      </c>
      <c r="Z189"/>
    </row>
    <row r="190" spans="1:26">
      <c r="A190" s="185" t="s">
        <v>1799</v>
      </c>
      <c r="B190" s="185" t="s">
        <v>1968</v>
      </c>
      <c r="C190" s="185" t="s">
        <v>1897</v>
      </c>
      <c r="D190" s="185" t="s">
        <v>1969</v>
      </c>
      <c r="E190" s="185">
        <v>238030</v>
      </c>
      <c r="F190" s="185" t="s">
        <v>721</v>
      </c>
      <c r="G190" s="185" t="s">
        <v>1970</v>
      </c>
      <c r="H190" s="185" t="s">
        <v>1628</v>
      </c>
      <c r="I190" s="258" t="str">
        <f t="shared" si="7"/>
        <v>2</v>
      </c>
      <c r="J190" s="221">
        <f t="shared" si="8"/>
        <v>-55700</v>
      </c>
      <c r="K190" s="258">
        <f t="shared" si="9"/>
        <v>1</v>
      </c>
      <c r="L190" s="188">
        <v>0</v>
      </c>
      <c r="M190" s="188">
        <v>55700</v>
      </c>
      <c r="N190" s="189">
        <v>900950893</v>
      </c>
      <c r="O190" t="s">
        <v>1968</v>
      </c>
      <c r="P190" s="187">
        <v>44965.343067129601</v>
      </c>
      <c r="Q190" s="186">
        <v>6982</v>
      </c>
      <c r="R190" s="185" t="s">
        <v>1519</v>
      </c>
      <c r="S190" s="185" t="s">
        <v>1668</v>
      </c>
      <c r="T190"/>
      <c r="U190" t="str">
        <f>IF($L190&gt;0,VLOOKUP($E190,Valida!$A$1:$G$270,6,FALSE),IF($M190&gt;=0,VLOOKUP($E190,Valida!$A$1:$G$270,7,FALSE)))</f>
        <v>(+/-) Ajustes por el incremento (disminución) de cuentas por pagar de origen comercial</v>
      </c>
      <c r="V190" s="190" t="str">
        <f>VLOOKUP(E190,Valida!$A$2:$K$271,4,FALSE)</f>
        <v>Trade and other payables</v>
      </c>
      <c r="W190" s="185" t="s">
        <v>1928</v>
      </c>
      <c r="X190" s="185"/>
      <c r="Y190" s="185" t="s">
        <v>1789</v>
      </c>
      <c r="Z190"/>
    </row>
    <row r="191" spans="1:26">
      <c r="A191" s="185" t="s">
        <v>1799</v>
      </c>
      <c r="B191" s="185" t="s">
        <v>1968</v>
      </c>
      <c r="C191" s="185" t="s">
        <v>1897</v>
      </c>
      <c r="D191" s="185" t="s">
        <v>1969</v>
      </c>
      <c r="E191" s="185">
        <v>250505</v>
      </c>
      <c r="F191" s="185" t="s">
        <v>767</v>
      </c>
      <c r="G191" s="185" t="s">
        <v>1970</v>
      </c>
      <c r="H191" s="185" t="s">
        <v>1628</v>
      </c>
      <c r="I191" s="258" t="str">
        <f t="shared" si="7"/>
        <v>2</v>
      </c>
      <c r="J191" s="221">
        <f t="shared" si="8"/>
        <v>-1425262</v>
      </c>
      <c r="K191" s="258">
        <f t="shared" si="9"/>
        <v>1</v>
      </c>
      <c r="L191" s="188">
        <v>0</v>
      </c>
      <c r="M191" s="188">
        <v>1425262</v>
      </c>
      <c r="N191" s="189">
        <v>1023976635</v>
      </c>
      <c r="O191" t="s">
        <v>1968</v>
      </c>
      <c r="P191" s="187">
        <v>44965.343067129601</v>
      </c>
      <c r="Q191" s="186">
        <v>6983</v>
      </c>
      <c r="R191" s="185"/>
      <c r="S191" s="185" t="s">
        <v>1534</v>
      </c>
      <c r="T191"/>
      <c r="U191" t="str">
        <f>IF($L191&gt;0,VLOOKUP($E191,Valida!$A$1:$G$270,6,FALSE),IF($M191&gt;=0,VLOOKUP($E191,Valida!$A$1:$G$270,7,FALSE)))</f>
        <v>(+/-) Ajustes por el incremento (disminución) de cuentas por pagar de origen comercial</v>
      </c>
      <c r="V191" s="190" t="str">
        <f>VLOOKUP(E191,Valida!$A$2:$K$271,4,FALSE)</f>
        <v>Trade and other payables</v>
      </c>
      <c r="W191" s="185" t="s">
        <v>1971</v>
      </c>
      <c r="X191" s="185"/>
      <c r="Y191" s="185" t="s">
        <v>1972</v>
      </c>
      <c r="Z191"/>
    </row>
    <row r="192" spans="1:26">
      <c r="A192" s="185" t="s">
        <v>1799</v>
      </c>
      <c r="B192" s="185" t="s">
        <v>1968</v>
      </c>
      <c r="C192" s="185" t="s">
        <v>1897</v>
      </c>
      <c r="D192" s="185" t="s">
        <v>1969</v>
      </c>
      <c r="E192" s="185">
        <v>510530</v>
      </c>
      <c r="F192" s="185" t="s">
        <v>813</v>
      </c>
      <c r="G192" s="185" t="s">
        <v>1970</v>
      </c>
      <c r="H192" s="185" t="s">
        <v>1515</v>
      </c>
      <c r="I192" s="258" t="str">
        <f t="shared" si="7"/>
        <v>5</v>
      </c>
      <c r="J192" s="221">
        <f t="shared" si="8"/>
        <v>127759</v>
      </c>
      <c r="K192" s="258">
        <f t="shared" si="9"/>
        <v>1</v>
      </c>
      <c r="L192" s="188">
        <v>127759</v>
      </c>
      <c r="M192" s="188">
        <v>0</v>
      </c>
      <c r="N192" s="189">
        <v>1023976635</v>
      </c>
      <c r="O192" t="s">
        <v>1968</v>
      </c>
      <c r="P192" s="187">
        <v>44965.343067129601</v>
      </c>
      <c r="Q192" s="186">
        <v>6984</v>
      </c>
      <c r="R192" s="185"/>
      <c r="S192" s="185" t="s">
        <v>1534</v>
      </c>
      <c r="T192"/>
      <c r="U192" t="str">
        <f>IF($L192&gt;0,VLOOKUP($E192,Valida!$A$1:$G$270,6,FALSE),IF($M192&gt;=0,VLOOKUP($E192,Valida!$A$1:$G$270,7,FALSE)))</f>
        <v>(+/-) Ganancia (pérdida)</v>
      </c>
      <c r="V192" s="190" t="str">
        <f>VLOOKUP(E192,Valida!$A$2:$K$271,4,FALSE)</f>
        <v>P&amp;L</v>
      </c>
      <c r="W192" s="185" t="s">
        <v>1971</v>
      </c>
      <c r="X192" s="185"/>
      <c r="Y192" s="185" t="s">
        <v>1972</v>
      </c>
      <c r="Z192"/>
    </row>
    <row r="193" spans="1:26">
      <c r="A193" s="185" t="s">
        <v>1799</v>
      </c>
      <c r="B193" s="185" t="s">
        <v>1968</v>
      </c>
      <c r="C193" s="185" t="s">
        <v>1897</v>
      </c>
      <c r="D193" s="185" t="s">
        <v>1969</v>
      </c>
      <c r="E193" s="185">
        <v>510533</v>
      </c>
      <c r="F193" s="185" t="s">
        <v>779</v>
      </c>
      <c r="G193" s="185" t="s">
        <v>1970</v>
      </c>
      <c r="H193" s="185" t="s">
        <v>1515</v>
      </c>
      <c r="I193" s="258" t="str">
        <f t="shared" si="7"/>
        <v>5</v>
      </c>
      <c r="J193" s="221">
        <f t="shared" si="8"/>
        <v>15331</v>
      </c>
      <c r="K193" s="258">
        <f t="shared" si="9"/>
        <v>1</v>
      </c>
      <c r="L193" s="188">
        <v>15331</v>
      </c>
      <c r="M193" s="188">
        <v>0</v>
      </c>
      <c r="N193" s="189">
        <v>1023976635</v>
      </c>
      <c r="O193" t="s">
        <v>1968</v>
      </c>
      <c r="P193" s="187">
        <v>44965.343067129601</v>
      </c>
      <c r="Q193" s="186">
        <v>6985</v>
      </c>
      <c r="R193" s="185"/>
      <c r="S193" s="185" t="s">
        <v>1534</v>
      </c>
      <c r="T193"/>
      <c r="U193" t="str">
        <f>IF($L193&gt;0,VLOOKUP($E193,Valida!$A$1:$G$270,6,FALSE),IF($M193&gt;=0,VLOOKUP($E193,Valida!$A$1:$G$270,7,FALSE)))</f>
        <v>(+/-) Ganancia (pérdida)</v>
      </c>
      <c r="V193" s="190" t="str">
        <f>VLOOKUP(E193,Valida!$A$2:$K$271,4,FALSE)</f>
        <v>P&amp;L</v>
      </c>
      <c r="W193" s="185" t="s">
        <v>1971</v>
      </c>
      <c r="X193" s="185"/>
      <c r="Y193" s="185" t="s">
        <v>1972</v>
      </c>
      <c r="Z193"/>
    </row>
    <row r="194" spans="1:26">
      <c r="A194" s="185" t="s">
        <v>1799</v>
      </c>
      <c r="B194" s="185" t="s">
        <v>1968</v>
      </c>
      <c r="C194" s="185" t="s">
        <v>1897</v>
      </c>
      <c r="D194" s="185" t="s">
        <v>1969</v>
      </c>
      <c r="E194" s="185">
        <v>510536</v>
      </c>
      <c r="F194" s="185" t="s">
        <v>783</v>
      </c>
      <c r="G194" s="185" t="s">
        <v>1970</v>
      </c>
      <c r="H194" s="185" t="s">
        <v>1515</v>
      </c>
      <c r="I194" s="258" t="str">
        <f t="shared" si="7"/>
        <v>5</v>
      </c>
      <c r="J194" s="221">
        <f t="shared" si="8"/>
        <v>127759</v>
      </c>
      <c r="K194" s="258">
        <f t="shared" si="9"/>
        <v>1</v>
      </c>
      <c r="L194" s="188">
        <v>127759</v>
      </c>
      <c r="M194" s="188">
        <v>0</v>
      </c>
      <c r="N194" s="189">
        <v>1023976635</v>
      </c>
      <c r="O194" t="s">
        <v>1968</v>
      </c>
      <c r="P194" s="187">
        <v>44965.343067129601</v>
      </c>
      <c r="Q194" s="186">
        <v>6986</v>
      </c>
      <c r="R194" s="185"/>
      <c r="S194" s="185" t="s">
        <v>1534</v>
      </c>
      <c r="T194"/>
      <c r="U194" t="str">
        <f>IF($L194&gt;0,VLOOKUP($E194,Valida!$A$1:$G$270,6,FALSE),IF($M194&gt;=0,VLOOKUP($E194,Valida!$A$1:$G$270,7,FALSE)))</f>
        <v>(+/-) Ganancia (pérdida)</v>
      </c>
      <c r="V194" s="190" t="str">
        <f>VLOOKUP(E194,Valida!$A$2:$K$271,4,FALSE)</f>
        <v>P&amp;L</v>
      </c>
      <c r="W194" s="185" t="s">
        <v>1971</v>
      </c>
      <c r="X194" s="185"/>
      <c r="Y194" s="185" t="s">
        <v>1972</v>
      </c>
      <c r="Z194"/>
    </row>
    <row r="195" spans="1:26">
      <c r="A195" s="185" t="s">
        <v>1799</v>
      </c>
      <c r="B195" s="185" t="s">
        <v>1968</v>
      </c>
      <c r="C195" s="185" t="s">
        <v>1897</v>
      </c>
      <c r="D195" s="185" t="s">
        <v>1969</v>
      </c>
      <c r="E195" s="185">
        <v>510539</v>
      </c>
      <c r="F195" s="185" t="s">
        <v>818</v>
      </c>
      <c r="G195" s="185" t="s">
        <v>1970</v>
      </c>
      <c r="H195" s="185" t="s">
        <v>1515</v>
      </c>
      <c r="I195" s="258" t="str">
        <f t="shared" ref="I195:I258" si="10">LEFT(E195,1)</f>
        <v>5</v>
      </c>
      <c r="J195" s="221">
        <f t="shared" ref="J195:J258" si="11">L195-M195</f>
        <v>58021</v>
      </c>
      <c r="K195" s="258">
        <f t="shared" ref="K195:K258" si="12">MONTH(A195)</f>
        <v>1</v>
      </c>
      <c r="L195" s="188">
        <v>58021</v>
      </c>
      <c r="M195" s="188">
        <v>0</v>
      </c>
      <c r="N195" s="189">
        <v>1023976635</v>
      </c>
      <c r="O195" t="s">
        <v>1968</v>
      </c>
      <c r="P195" s="187">
        <v>44965.343067129601</v>
      </c>
      <c r="Q195" s="186">
        <v>6987</v>
      </c>
      <c r="R195" s="185"/>
      <c r="S195" s="185" t="s">
        <v>1534</v>
      </c>
      <c r="T195"/>
      <c r="U195" t="str">
        <f>IF($L195&gt;0,VLOOKUP($E195,Valida!$A$1:$G$270,6,FALSE),IF($M195&gt;=0,VLOOKUP($E195,Valida!$A$1:$G$270,7,FALSE)))</f>
        <v>(+/-) Ganancia (pérdida)</v>
      </c>
      <c r="V195" s="190" t="str">
        <f>VLOOKUP(E195,Valida!$A$2:$K$271,4,FALSE)</f>
        <v>P&amp;L</v>
      </c>
      <c r="W195" s="185" t="s">
        <v>1971</v>
      </c>
      <c r="X195" s="185"/>
      <c r="Y195" s="185" t="s">
        <v>1972</v>
      </c>
      <c r="Z195"/>
    </row>
    <row r="196" spans="1:26">
      <c r="A196" s="185" t="s">
        <v>1799</v>
      </c>
      <c r="B196" s="185" t="s">
        <v>1968</v>
      </c>
      <c r="C196" s="185" t="s">
        <v>1897</v>
      </c>
      <c r="D196" s="185" t="s">
        <v>1969</v>
      </c>
      <c r="E196" s="185">
        <v>251010</v>
      </c>
      <c r="F196" s="185" t="s">
        <v>776</v>
      </c>
      <c r="G196" s="185" t="s">
        <v>1970</v>
      </c>
      <c r="H196" s="185" t="s">
        <v>1628</v>
      </c>
      <c r="I196" s="258" t="str">
        <f t="shared" si="10"/>
        <v>2</v>
      </c>
      <c r="J196" s="221">
        <f t="shared" si="11"/>
        <v>-127759</v>
      </c>
      <c r="K196" s="258">
        <f t="shared" si="12"/>
        <v>1</v>
      </c>
      <c r="L196" s="188">
        <v>0</v>
      </c>
      <c r="M196" s="188">
        <v>127759</v>
      </c>
      <c r="N196" s="189">
        <v>1023976635</v>
      </c>
      <c r="O196" t="s">
        <v>1968</v>
      </c>
      <c r="P196" s="187">
        <v>44965.343067129601</v>
      </c>
      <c r="Q196" s="186">
        <v>6988</v>
      </c>
      <c r="R196" s="185"/>
      <c r="S196" s="185" t="s">
        <v>1534</v>
      </c>
      <c r="T196"/>
      <c r="U196" t="str">
        <f>IF($L196&gt;0,VLOOKUP($E196,Valida!$A$1:$G$270,6,FALSE),IF($M196&gt;=0,VLOOKUP($E196,Valida!$A$1:$G$270,7,FALSE)))</f>
        <v>(+/-) Ajustes por el incremento (disminución) de cuentas por pagar de origen comercial</v>
      </c>
      <c r="V196" s="190" t="str">
        <f>VLOOKUP(E196,Valida!$A$2:$K$271,4,FALSE)</f>
        <v>Trade and other payables</v>
      </c>
      <c r="W196" s="185" t="s">
        <v>1971</v>
      </c>
      <c r="X196" s="185"/>
      <c r="Y196" s="185" t="s">
        <v>1972</v>
      </c>
      <c r="Z196"/>
    </row>
    <row r="197" spans="1:26">
      <c r="A197" s="185" t="s">
        <v>1799</v>
      </c>
      <c r="B197" s="185" t="s">
        <v>1968</v>
      </c>
      <c r="C197" s="185" t="s">
        <v>1897</v>
      </c>
      <c r="D197" s="185" t="s">
        <v>1969</v>
      </c>
      <c r="E197" s="185">
        <v>251505</v>
      </c>
      <c r="F197" s="185" t="s">
        <v>779</v>
      </c>
      <c r="G197" s="185" t="s">
        <v>1970</v>
      </c>
      <c r="H197" s="185" t="s">
        <v>1628</v>
      </c>
      <c r="I197" s="258" t="str">
        <f t="shared" si="10"/>
        <v>2</v>
      </c>
      <c r="J197" s="221">
        <f t="shared" si="11"/>
        <v>-15331</v>
      </c>
      <c r="K197" s="258">
        <f t="shared" si="12"/>
        <v>1</v>
      </c>
      <c r="L197" s="188">
        <v>0</v>
      </c>
      <c r="M197" s="188">
        <v>15331</v>
      </c>
      <c r="N197" s="189">
        <v>1023976635</v>
      </c>
      <c r="O197" t="s">
        <v>1968</v>
      </c>
      <c r="P197" s="187">
        <v>44965.343067129601</v>
      </c>
      <c r="Q197" s="186">
        <v>6989</v>
      </c>
      <c r="R197" s="185"/>
      <c r="S197" s="185" t="s">
        <v>1534</v>
      </c>
      <c r="T197"/>
      <c r="U197" t="str">
        <f>IF($L197&gt;0,VLOOKUP($E197,Valida!$A$1:$G$270,6,FALSE),IF($M197&gt;=0,VLOOKUP($E197,Valida!$A$1:$G$270,7,FALSE)))</f>
        <v>(+/-) Ajustes por el incremento (disminución) de cuentas por pagar de origen comercial</v>
      </c>
      <c r="V197" s="190" t="str">
        <f>VLOOKUP(E197,Valida!$A$2:$K$271,4,FALSE)</f>
        <v>Trade and other payables</v>
      </c>
      <c r="W197" s="185" t="s">
        <v>1971</v>
      </c>
      <c r="X197" s="185"/>
      <c r="Y197" s="185" t="s">
        <v>1972</v>
      </c>
      <c r="Z197"/>
    </row>
    <row r="198" spans="1:26">
      <c r="A198" s="185" t="s">
        <v>1799</v>
      </c>
      <c r="B198" s="185" t="s">
        <v>1968</v>
      </c>
      <c r="C198" s="185" t="s">
        <v>1897</v>
      </c>
      <c r="D198" s="185" t="s">
        <v>1969</v>
      </c>
      <c r="E198" s="185">
        <v>252005</v>
      </c>
      <c r="F198" s="185" t="s">
        <v>783</v>
      </c>
      <c r="G198" s="185" t="s">
        <v>1970</v>
      </c>
      <c r="H198" s="185" t="s">
        <v>1628</v>
      </c>
      <c r="I198" s="258" t="str">
        <f t="shared" si="10"/>
        <v>2</v>
      </c>
      <c r="J198" s="221">
        <f t="shared" si="11"/>
        <v>-127759</v>
      </c>
      <c r="K198" s="258">
        <f t="shared" si="12"/>
        <v>1</v>
      </c>
      <c r="L198" s="188">
        <v>0</v>
      </c>
      <c r="M198" s="188">
        <v>127759</v>
      </c>
      <c r="N198" s="189">
        <v>1023976635</v>
      </c>
      <c r="O198" t="s">
        <v>1968</v>
      </c>
      <c r="P198" s="187">
        <v>44965.343067129601</v>
      </c>
      <c r="Q198" s="186">
        <v>6990</v>
      </c>
      <c r="R198" s="185"/>
      <c r="S198" s="185" t="s">
        <v>1534</v>
      </c>
      <c r="T198"/>
      <c r="U198" t="str">
        <f>IF($L198&gt;0,VLOOKUP($E198,Valida!$A$1:$G$270,6,FALSE),IF($M198&gt;=0,VLOOKUP($E198,Valida!$A$1:$G$270,7,FALSE)))</f>
        <v>(+/-) Ajustes por el incremento (disminución) de cuentas por pagar de origen comercial</v>
      </c>
      <c r="V198" s="190" t="str">
        <f>VLOOKUP(E198,Valida!$A$2:$K$271,4,FALSE)</f>
        <v>Trade and other payables</v>
      </c>
      <c r="W198" s="185" t="s">
        <v>1971</v>
      </c>
      <c r="X198" s="185"/>
      <c r="Y198" s="185" t="s">
        <v>1972</v>
      </c>
      <c r="Z198"/>
    </row>
    <row r="199" spans="1:26">
      <c r="A199" s="185" t="s">
        <v>1799</v>
      </c>
      <c r="B199" s="185" t="s">
        <v>1968</v>
      </c>
      <c r="C199" s="185" t="s">
        <v>1897</v>
      </c>
      <c r="D199" s="185" t="s">
        <v>1969</v>
      </c>
      <c r="E199" s="185">
        <v>252505</v>
      </c>
      <c r="F199" s="185" t="s">
        <v>787</v>
      </c>
      <c r="G199" s="185" t="s">
        <v>1970</v>
      </c>
      <c r="H199" s="185" t="s">
        <v>1628</v>
      </c>
      <c r="I199" s="258" t="str">
        <f t="shared" si="10"/>
        <v>2</v>
      </c>
      <c r="J199" s="221">
        <f t="shared" si="11"/>
        <v>-58021</v>
      </c>
      <c r="K199" s="258">
        <f t="shared" si="12"/>
        <v>1</v>
      </c>
      <c r="L199" s="188">
        <v>0</v>
      </c>
      <c r="M199" s="188">
        <v>58021</v>
      </c>
      <c r="N199" s="189">
        <v>1023976635</v>
      </c>
      <c r="O199" t="s">
        <v>1968</v>
      </c>
      <c r="P199" s="187">
        <v>44965.343067129601</v>
      </c>
      <c r="Q199" s="186">
        <v>6991</v>
      </c>
      <c r="R199" s="185"/>
      <c r="S199" s="185" t="s">
        <v>1534</v>
      </c>
      <c r="T199"/>
      <c r="U199" t="str">
        <f>IF($L199&gt;0,VLOOKUP($E199,Valida!$A$1:$G$270,6,FALSE),IF($M199&gt;=0,VLOOKUP($E199,Valida!$A$1:$G$270,7,FALSE)))</f>
        <v>(+/-) Ajustes por el incremento (disminución) de cuentas por pagar de origen comercial</v>
      </c>
      <c r="V199" s="190" t="str">
        <f>VLOOKUP(E199,Valida!$A$2:$K$271,4,FALSE)</f>
        <v>Trade and other payables</v>
      </c>
      <c r="W199" s="185" t="s">
        <v>1971</v>
      </c>
      <c r="X199" s="185"/>
      <c r="Y199" s="185" t="s">
        <v>1972</v>
      </c>
      <c r="Z199"/>
    </row>
    <row r="200" spans="1:26">
      <c r="A200" s="185" t="s">
        <v>1799</v>
      </c>
      <c r="B200" s="185" t="s">
        <v>1968</v>
      </c>
      <c r="C200" s="185" t="s">
        <v>1897</v>
      </c>
      <c r="D200" s="185" t="s">
        <v>1969</v>
      </c>
      <c r="E200" s="185">
        <v>510570</v>
      </c>
      <c r="F200" s="185" t="s">
        <v>1116</v>
      </c>
      <c r="G200" s="185" t="s">
        <v>1970</v>
      </c>
      <c r="H200" s="185" t="s">
        <v>1515</v>
      </c>
      <c r="I200" s="258" t="str">
        <f t="shared" si="10"/>
        <v>5</v>
      </c>
      <c r="J200" s="221">
        <f t="shared" si="11"/>
        <v>167100</v>
      </c>
      <c r="K200" s="258">
        <f t="shared" si="12"/>
        <v>1</v>
      </c>
      <c r="L200" s="188">
        <v>167100</v>
      </c>
      <c r="M200" s="188">
        <v>0</v>
      </c>
      <c r="N200" s="189">
        <v>900950893</v>
      </c>
      <c r="O200" t="s">
        <v>1968</v>
      </c>
      <c r="P200" s="187">
        <v>44965.343067129601</v>
      </c>
      <c r="Q200" s="186">
        <v>6992</v>
      </c>
      <c r="R200" s="185" t="s">
        <v>1519</v>
      </c>
      <c r="S200" s="185" t="s">
        <v>1668</v>
      </c>
      <c r="T200"/>
      <c r="U200" t="str">
        <f>IF($L200&gt;0,VLOOKUP($E200,Valida!$A$1:$G$270,6,FALSE),IF($M200&gt;=0,VLOOKUP($E200,Valida!$A$1:$G$270,7,FALSE)))</f>
        <v>(+/-) Ganancia (pérdida)</v>
      </c>
      <c r="V200" s="190" t="str">
        <f>VLOOKUP(E200,Valida!$A$2:$K$271,4,FALSE)</f>
        <v>P&amp;L</v>
      </c>
      <c r="W200" s="185" t="s">
        <v>1928</v>
      </c>
      <c r="X200" s="185"/>
      <c r="Y200" s="185" t="s">
        <v>1789</v>
      </c>
      <c r="Z200"/>
    </row>
    <row r="201" spans="1:26">
      <c r="A201" s="185" t="s">
        <v>1799</v>
      </c>
      <c r="B201" s="185" t="s">
        <v>1968</v>
      </c>
      <c r="C201" s="185" t="s">
        <v>1897</v>
      </c>
      <c r="D201" s="185" t="s">
        <v>1969</v>
      </c>
      <c r="E201" s="185">
        <v>238030</v>
      </c>
      <c r="F201" s="185" t="s">
        <v>721</v>
      </c>
      <c r="G201" s="185" t="s">
        <v>1970</v>
      </c>
      <c r="H201" s="185" t="s">
        <v>1628</v>
      </c>
      <c r="I201" s="258" t="str">
        <f t="shared" si="10"/>
        <v>2</v>
      </c>
      <c r="J201" s="221">
        <f t="shared" si="11"/>
        <v>-167100</v>
      </c>
      <c r="K201" s="258">
        <f t="shared" si="12"/>
        <v>1</v>
      </c>
      <c r="L201" s="188">
        <v>0</v>
      </c>
      <c r="M201" s="188">
        <v>167100</v>
      </c>
      <c r="N201" s="189">
        <v>900950893</v>
      </c>
      <c r="O201" t="s">
        <v>1968</v>
      </c>
      <c r="P201" s="187">
        <v>44965.343067129601</v>
      </c>
      <c r="Q201" s="186">
        <v>6993</v>
      </c>
      <c r="R201" s="185" t="s">
        <v>1519</v>
      </c>
      <c r="S201" s="185" t="s">
        <v>1668</v>
      </c>
      <c r="T201"/>
      <c r="U201" t="str">
        <f>IF($L201&gt;0,VLOOKUP($E201,Valida!$A$1:$G$270,6,FALSE),IF($M201&gt;=0,VLOOKUP($E201,Valida!$A$1:$G$270,7,FALSE)))</f>
        <v>(+/-) Ajustes por el incremento (disminución) de cuentas por pagar de origen comercial</v>
      </c>
      <c r="V201" s="190" t="str">
        <f>VLOOKUP(E201,Valida!$A$2:$K$271,4,FALSE)</f>
        <v>Trade and other payables</v>
      </c>
      <c r="W201" s="185" t="s">
        <v>1928</v>
      </c>
      <c r="X201" s="185"/>
      <c r="Y201" s="185" t="s">
        <v>1789</v>
      </c>
      <c r="Z201"/>
    </row>
    <row r="202" spans="1:26">
      <c r="A202" s="185" t="s">
        <v>1799</v>
      </c>
      <c r="B202" s="185" t="s">
        <v>1968</v>
      </c>
      <c r="C202" s="185" t="s">
        <v>1897</v>
      </c>
      <c r="D202" s="185" t="s">
        <v>1969</v>
      </c>
      <c r="E202" s="185">
        <v>510568</v>
      </c>
      <c r="F202" s="185" t="s">
        <v>680</v>
      </c>
      <c r="G202" s="185" t="s">
        <v>1970</v>
      </c>
      <c r="H202" s="185" t="s">
        <v>1515</v>
      </c>
      <c r="I202" s="258" t="str">
        <f t="shared" si="10"/>
        <v>5</v>
      </c>
      <c r="J202" s="221">
        <f t="shared" si="11"/>
        <v>7300</v>
      </c>
      <c r="K202" s="258">
        <f t="shared" si="12"/>
        <v>1</v>
      </c>
      <c r="L202" s="188">
        <v>7300</v>
      </c>
      <c r="M202" s="188">
        <v>0</v>
      </c>
      <c r="N202" s="189">
        <v>860002503</v>
      </c>
      <c r="O202" t="s">
        <v>1968</v>
      </c>
      <c r="P202" s="187">
        <v>44965.343067129601</v>
      </c>
      <c r="Q202" s="186">
        <v>6994</v>
      </c>
      <c r="R202" s="185" t="s">
        <v>433</v>
      </c>
      <c r="S202" s="185" t="s">
        <v>1656</v>
      </c>
      <c r="T202"/>
      <c r="U202" t="str">
        <f>IF($L202&gt;0,VLOOKUP($E202,Valida!$A$1:$G$270,6,FALSE),IF($M202&gt;=0,VLOOKUP($E202,Valida!$A$1:$G$270,7,FALSE)))</f>
        <v>(+/-) Ganancia (pérdida)</v>
      </c>
      <c r="V202" s="190" t="str">
        <f>VLOOKUP(E202,Valida!$A$2:$K$271,4,FALSE)</f>
        <v>P&amp;L</v>
      </c>
      <c r="W202" s="185" t="s">
        <v>1912</v>
      </c>
      <c r="X202" s="185" t="s">
        <v>1913</v>
      </c>
      <c r="Y202" s="185" t="s">
        <v>1789</v>
      </c>
      <c r="Z202"/>
    </row>
    <row r="203" spans="1:26">
      <c r="A203" s="185" t="s">
        <v>1799</v>
      </c>
      <c r="B203" s="185" t="s">
        <v>1968</v>
      </c>
      <c r="C203" s="185" t="s">
        <v>1897</v>
      </c>
      <c r="D203" s="185" t="s">
        <v>1969</v>
      </c>
      <c r="E203" s="185">
        <v>237006</v>
      </c>
      <c r="F203" s="185" t="s">
        <v>680</v>
      </c>
      <c r="G203" s="185" t="s">
        <v>1970</v>
      </c>
      <c r="H203" s="185" t="s">
        <v>1628</v>
      </c>
      <c r="I203" s="258" t="str">
        <f t="shared" si="10"/>
        <v>2</v>
      </c>
      <c r="J203" s="221">
        <f t="shared" si="11"/>
        <v>-7300</v>
      </c>
      <c r="K203" s="258">
        <f t="shared" si="12"/>
        <v>1</v>
      </c>
      <c r="L203" s="188">
        <v>0</v>
      </c>
      <c r="M203" s="188">
        <v>7300</v>
      </c>
      <c r="N203" s="189">
        <v>860002503</v>
      </c>
      <c r="O203" t="s">
        <v>1968</v>
      </c>
      <c r="P203" s="187">
        <v>44965.343067129601</v>
      </c>
      <c r="Q203" s="186">
        <v>6995</v>
      </c>
      <c r="R203" s="185" t="s">
        <v>433</v>
      </c>
      <c r="S203" s="185" t="s">
        <v>1656</v>
      </c>
      <c r="T203"/>
      <c r="U203" t="str">
        <f>IF($L203&gt;0,VLOOKUP($E203,Valida!$A$1:$G$270,6,FALSE),IF($M203&gt;=0,VLOOKUP($E203,Valida!$A$1:$G$270,7,FALSE)))</f>
        <v>(+/-) Ajustes por el incremento (disminución) de cuentas por pagar de origen comercial</v>
      </c>
      <c r="V203" s="190" t="str">
        <f>VLOOKUP(E203,Valida!$A$2:$K$271,4,FALSE)</f>
        <v>Trade and other payables</v>
      </c>
      <c r="W203" s="185" t="s">
        <v>1912</v>
      </c>
      <c r="X203" s="185" t="s">
        <v>1913</v>
      </c>
      <c r="Y203" s="185" t="s">
        <v>1789</v>
      </c>
      <c r="Z203"/>
    </row>
    <row r="204" spans="1:26">
      <c r="A204" s="185" t="s">
        <v>1799</v>
      </c>
      <c r="B204" s="185" t="s">
        <v>1968</v>
      </c>
      <c r="C204" s="185" t="s">
        <v>1897</v>
      </c>
      <c r="D204" s="185" t="s">
        <v>1969</v>
      </c>
      <c r="E204" s="185">
        <v>510572</v>
      </c>
      <c r="F204" s="185" t="s">
        <v>1118</v>
      </c>
      <c r="G204" s="185" t="s">
        <v>1970</v>
      </c>
      <c r="H204" s="185" t="s">
        <v>1515</v>
      </c>
      <c r="I204" s="258" t="str">
        <f t="shared" si="10"/>
        <v>5</v>
      </c>
      <c r="J204" s="221">
        <f t="shared" si="11"/>
        <v>27900</v>
      </c>
      <c r="K204" s="258">
        <f t="shared" si="12"/>
        <v>1</v>
      </c>
      <c r="L204" s="188">
        <v>27900</v>
      </c>
      <c r="M204" s="188">
        <v>0</v>
      </c>
      <c r="N204" s="189">
        <v>860066942</v>
      </c>
      <c r="O204" t="s">
        <v>1968</v>
      </c>
      <c r="P204" s="187">
        <v>44965.3430787037</v>
      </c>
      <c r="Q204" s="186">
        <v>6996</v>
      </c>
      <c r="R204" s="185" t="s">
        <v>1814</v>
      </c>
      <c r="S204" s="185" t="s">
        <v>1574</v>
      </c>
      <c r="T204"/>
      <c r="U204" t="str">
        <f>IF($L204&gt;0,VLOOKUP($E204,Valida!$A$1:$G$270,6,FALSE),IF($M204&gt;=0,VLOOKUP($E204,Valida!$A$1:$G$270,7,FALSE)))</f>
        <v>(+/-) Ganancia (pérdida)</v>
      </c>
      <c r="V204" s="190" t="str">
        <f>VLOOKUP(E204,Valida!$A$2:$K$271,4,FALSE)</f>
        <v>P&amp;L</v>
      </c>
      <c r="W204" s="185" t="s">
        <v>1914</v>
      </c>
      <c r="X204" s="185" t="s">
        <v>1915</v>
      </c>
      <c r="Y204" s="185" t="s">
        <v>1789</v>
      </c>
      <c r="Z204"/>
    </row>
    <row r="205" spans="1:26">
      <c r="A205" s="185" t="s">
        <v>1799</v>
      </c>
      <c r="B205" s="185" t="s">
        <v>1968</v>
      </c>
      <c r="C205" s="185" t="s">
        <v>1897</v>
      </c>
      <c r="D205" s="185" t="s">
        <v>1969</v>
      </c>
      <c r="E205" s="185">
        <v>237010</v>
      </c>
      <c r="F205" s="185" t="s">
        <v>683</v>
      </c>
      <c r="G205" s="185" t="s">
        <v>1970</v>
      </c>
      <c r="H205" s="185" t="s">
        <v>1628</v>
      </c>
      <c r="I205" s="258" t="str">
        <f t="shared" si="10"/>
        <v>2</v>
      </c>
      <c r="J205" s="221">
        <f t="shared" si="11"/>
        <v>-27900</v>
      </c>
      <c r="K205" s="258">
        <f t="shared" si="12"/>
        <v>1</v>
      </c>
      <c r="L205" s="188">
        <v>0</v>
      </c>
      <c r="M205" s="188">
        <v>27900</v>
      </c>
      <c r="N205" s="189">
        <v>860066942</v>
      </c>
      <c r="O205" t="s">
        <v>1968</v>
      </c>
      <c r="P205" s="187">
        <v>44965.3430787037</v>
      </c>
      <c r="Q205" s="186">
        <v>6997</v>
      </c>
      <c r="R205" s="185" t="s">
        <v>1814</v>
      </c>
      <c r="S205" s="185" t="s">
        <v>1574</v>
      </c>
      <c r="T205"/>
      <c r="U205" t="str">
        <f>IF($L205&gt;0,VLOOKUP($E205,Valida!$A$1:$G$270,6,FALSE),IF($M205&gt;=0,VLOOKUP($E205,Valida!$A$1:$G$270,7,FALSE)))</f>
        <v>(+/-) Ajustes por el incremento (disminución) de cuentas por pagar de origen comercial</v>
      </c>
      <c r="V205" s="190" t="str">
        <f>VLOOKUP(E205,Valida!$A$2:$K$271,4,FALSE)</f>
        <v>Trade and other payables</v>
      </c>
      <c r="W205" s="185" t="s">
        <v>1914</v>
      </c>
      <c r="X205" s="185" t="s">
        <v>1915</v>
      </c>
      <c r="Y205" s="185" t="s">
        <v>1789</v>
      </c>
      <c r="Z205"/>
    </row>
    <row r="206" spans="1:26">
      <c r="A206" s="185" t="s">
        <v>1799</v>
      </c>
      <c r="B206" s="185" t="s">
        <v>1968</v>
      </c>
      <c r="C206" s="185" t="s">
        <v>1897</v>
      </c>
      <c r="D206" s="185" t="s">
        <v>1969</v>
      </c>
      <c r="E206" s="185">
        <v>251505</v>
      </c>
      <c r="F206" s="185" t="s">
        <v>779</v>
      </c>
      <c r="G206" s="185" t="s">
        <v>1970</v>
      </c>
      <c r="H206" s="185" t="s">
        <v>1515</v>
      </c>
      <c r="I206" s="258" t="str">
        <f t="shared" si="10"/>
        <v>2</v>
      </c>
      <c r="J206" s="221">
        <f t="shared" si="11"/>
        <v>3556</v>
      </c>
      <c r="K206" s="258">
        <f t="shared" si="12"/>
        <v>1</v>
      </c>
      <c r="L206" s="188">
        <v>3556</v>
      </c>
      <c r="M206" s="188">
        <v>0</v>
      </c>
      <c r="N206" s="189">
        <v>1023976635</v>
      </c>
      <c r="O206" t="s">
        <v>1968</v>
      </c>
      <c r="P206" s="187">
        <v>44965.3430787037</v>
      </c>
      <c r="Q206" s="186">
        <v>6998</v>
      </c>
      <c r="R206" s="185"/>
      <c r="S206" s="185" t="s">
        <v>1534</v>
      </c>
      <c r="T206"/>
      <c r="U206" t="str">
        <f>IF($L206&gt;0,VLOOKUP($E206,Valida!$A$1:$G$270,6,FALSE),IF($M206&gt;=0,VLOOKUP($E206,Valida!$A$1:$G$270,7,FALSE)))</f>
        <v>(+/-) Ajustes por el incremento (disminución) de cuentas por pagar de origen comercial</v>
      </c>
      <c r="V206" s="190" t="str">
        <f>VLOOKUP(E206,Valida!$A$2:$K$271,4,FALSE)</f>
        <v>Trade and other payables</v>
      </c>
      <c r="W206" s="185" t="s">
        <v>1971</v>
      </c>
      <c r="X206" s="185"/>
      <c r="Y206" s="185" t="s">
        <v>1972</v>
      </c>
      <c r="Z206"/>
    </row>
    <row r="207" spans="1:26">
      <c r="A207" s="185" t="s">
        <v>1799</v>
      </c>
      <c r="B207" s="185" t="s">
        <v>1968</v>
      </c>
      <c r="C207" s="185" t="s">
        <v>1897</v>
      </c>
      <c r="D207" s="185" t="s">
        <v>1969</v>
      </c>
      <c r="E207" s="185">
        <v>510515</v>
      </c>
      <c r="F207" s="185" t="s">
        <v>1080</v>
      </c>
      <c r="G207" s="185" t="s">
        <v>1970</v>
      </c>
      <c r="H207" s="185" t="s">
        <v>1515</v>
      </c>
      <c r="I207" s="258" t="str">
        <f t="shared" si="10"/>
        <v>5</v>
      </c>
      <c r="J207" s="221">
        <f t="shared" si="11"/>
        <v>192500</v>
      </c>
      <c r="K207" s="258">
        <f t="shared" si="12"/>
        <v>1</v>
      </c>
      <c r="L207" s="188">
        <v>192500</v>
      </c>
      <c r="M207" s="188">
        <v>0</v>
      </c>
      <c r="N207" s="189">
        <v>1023976635</v>
      </c>
      <c r="O207" t="s">
        <v>1968</v>
      </c>
      <c r="P207" s="187">
        <v>44965.3430787037</v>
      </c>
      <c r="Q207" s="186">
        <v>6999</v>
      </c>
      <c r="R207" s="185"/>
      <c r="S207" s="185" t="s">
        <v>1534</v>
      </c>
      <c r="T207"/>
      <c r="U207" t="str">
        <f>IF($L207&gt;0,VLOOKUP($E207,Valida!$A$1:$G$270,6,FALSE),IF($M207&gt;=0,VLOOKUP($E207,Valida!$A$1:$G$270,7,FALSE)))</f>
        <v>(+/-) Ganancia (pérdida)</v>
      </c>
      <c r="V207" s="190" t="str">
        <f>VLOOKUP(E207,Valida!$A$2:$K$271,4,FALSE)</f>
        <v>P&amp;L</v>
      </c>
      <c r="W207" s="185" t="s">
        <v>1971</v>
      </c>
      <c r="X207" s="185"/>
      <c r="Y207" s="185" t="s">
        <v>1972</v>
      </c>
      <c r="Z207"/>
    </row>
    <row r="208" spans="1:26">
      <c r="A208" s="185" t="s">
        <v>1799</v>
      </c>
      <c r="B208" s="185" t="s">
        <v>1975</v>
      </c>
      <c r="C208" s="185" t="s">
        <v>1897</v>
      </c>
      <c r="D208" s="185" t="s">
        <v>1976</v>
      </c>
      <c r="E208" s="185">
        <v>510506</v>
      </c>
      <c r="F208" s="185" t="s">
        <v>1076</v>
      </c>
      <c r="G208" s="185" t="s">
        <v>1977</v>
      </c>
      <c r="H208" s="185" t="s">
        <v>1515</v>
      </c>
      <c r="I208" s="258" t="str">
        <f t="shared" si="10"/>
        <v>5</v>
      </c>
      <c r="J208" s="221">
        <f t="shared" si="11"/>
        <v>1276000</v>
      </c>
      <c r="K208" s="258">
        <f t="shared" si="12"/>
        <v>1</v>
      </c>
      <c r="L208" s="188">
        <v>1276000</v>
      </c>
      <c r="M208" s="188">
        <v>0</v>
      </c>
      <c r="N208" s="189">
        <v>1000018061</v>
      </c>
      <c r="O208" t="s">
        <v>1975</v>
      </c>
      <c r="P208" s="187">
        <v>44965.348344907397</v>
      </c>
      <c r="Q208" s="186">
        <v>7000</v>
      </c>
      <c r="R208" s="185"/>
      <c r="S208" s="185" t="s">
        <v>1522</v>
      </c>
      <c r="T208"/>
      <c r="U208" t="str">
        <f>IF($L208&gt;0,VLOOKUP($E208,Valida!$A$1:$G$270,6,FALSE),IF($M208&gt;=0,VLOOKUP($E208,Valida!$A$1:$G$270,7,FALSE)))</f>
        <v>(+/-) Ganancia (pérdida)</v>
      </c>
      <c r="V208" s="190" t="str">
        <f>VLOOKUP(E208,Valida!$A$2:$K$271,4,FALSE)</f>
        <v>P&amp;L</v>
      </c>
      <c r="W208" s="185" t="s">
        <v>1978</v>
      </c>
      <c r="X208" s="185"/>
      <c r="Y208" s="185" t="s">
        <v>1789</v>
      </c>
      <c r="Z208"/>
    </row>
    <row r="209" spans="1:26">
      <c r="A209" s="185" t="s">
        <v>1799</v>
      </c>
      <c r="B209" s="185" t="s">
        <v>1975</v>
      </c>
      <c r="C209" s="185" t="s">
        <v>1897</v>
      </c>
      <c r="D209" s="185" t="s">
        <v>1976</v>
      </c>
      <c r="E209" s="185">
        <v>510527</v>
      </c>
      <c r="F209" s="185" t="s">
        <v>1089</v>
      </c>
      <c r="G209" s="185" t="s">
        <v>1977</v>
      </c>
      <c r="H209" s="185" t="s">
        <v>1515</v>
      </c>
      <c r="I209" s="258" t="str">
        <f t="shared" si="10"/>
        <v>5</v>
      </c>
      <c r="J209" s="221">
        <f t="shared" si="11"/>
        <v>140606</v>
      </c>
      <c r="K209" s="258">
        <f t="shared" si="12"/>
        <v>1</v>
      </c>
      <c r="L209" s="188">
        <v>140606</v>
      </c>
      <c r="M209" s="188">
        <v>0</v>
      </c>
      <c r="N209" s="189">
        <v>1000018061</v>
      </c>
      <c r="O209" t="s">
        <v>1975</v>
      </c>
      <c r="P209" s="187">
        <v>44965.348344907397</v>
      </c>
      <c r="Q209" s="186">
        <v>7001</v>
      </c>
      <c r="R209" s="185"/>
      <c r="S209" s="185" t="s">
        <v>1522</v>
      </c>
      <c r="T209"/>
      <c r="U209" t="str">
        <f>IF($L209&gt;0,VLOOKUP($E209,Valida!$A$1:$G$270,6,FALSE),IF($M209&gt;=0,VLOOKUP($E209,Valida!$A$1:$G$270,7,FALSE)))</f>
        <v>(+/-) Ganancia (pérdida)</v>
      </c>
      <c r="V209" s="190" t="str">
        <f>VLOOKUP(E209,Valida!$A$2:$K$271,4,FALSE)</f>
        <v>P&amp;L</v>
      </c>
      <c r="W209" s="185" t="s">
        <v>1978</v>
      </c>
      <c r="X209" s="185"/>
      <c r="Y209" s="185" t="s">
        <v>1789</v>
      </c>
      <c r="Z209"/>
    </row>
    <row r="210" spans="1:26">
      <c r="A210" s="185" t="s">
        <v>1799</v>
      </c>
      <c r="B210" s="185" t="s">
        <v>1975</v>
      </c>
      <c r="C210" s="185" t="s">
        <v>1897</v>
      </c>
      <c r="D210" s="185" t="s">
        <v>1976</v>
      </c>
      <c r="E210" s="185">
        <v>237005</v>
      </c>
      <c r="F210" s="185" t="s">
        <v>676</v>
      </c>
      <c r="G210" s="185" t="s">
        <v>1977</v>
      </c>
      <c r="H210" s="185" t="s">
        <v>1628</v>
      </c>
      <c r="I210" s="258" t="str">
        <f t="shared" si="10"/>
        <v>2</v>
      </c>
      <c r="J210" s="221">
        <f t="shared" si="11"/>
        <v>-51040</v>
      </c>
      <c r="K210" s="258">
        <f t="shared" si="12"/>
        <v>1</v>
      </c>
      <c r="L210" s="188">
        <v>0</v>
      </c>
      <c r="M210" s="188">
        <v>51040</v>
      </c>
      <c r="N210" s="189">
        <v>830003564</v>
      </c>
      <c r="O210" t="s">
        <v>1975</v>
      </c>
      <c r="P210" s="187">
        <v>44965.348344907397</v>
      </c>
      <c r="Q210" s="186">
        <v>7002</v>
      </c>
      <c r="R210" s="185" t="s">
        <v>1814</v>
      </c>
      <c r="S210" s="185" t="s">
        <v>1652</v>
      </c>
      <c r="T210"/>
      <c r="U210" t="str">
        <f>IF($L210&gt;0,VLOOKUP($E210,Valida!$A$1:$G$270,6,FALSE),IF($M210&gt;=0,VLOOKUP($E210,Valida!$A$1:$G$270,7,FALSE)))</f>
        <v>(+/-) Ajustes por el incremento (disminución) de cuentas por pagar de origen comercial</v>
      </c>
      <c r="V210" s="190" t="str">
        <f>VLOOKUP(E210,Valida!$A$2:$K$271,4,FALSE)</f>
        <v>Trade and other payables</v>
      </c>
      <c r="W210" s="185" t="s">
        <v>1973</v>
      </c>
      <c r="X210" s="185" t="s">
        <v>1974</v>
      </c>
      <c r="Y210" s="185" t="s">
        <v>1789</v>
      </c>
      <c r="Z210"/>
    </row>
    <row r="211" spans="1:26">
      <c r="A211" s="185" t="s">
        <v>1799</v>
      </c>
      <c r="B211" s="185" t="s">
        <v>1975</v>
      </c>
      <c r="C211" s="185" t="s">
        <v>1897</v>
      </c>
      <c r="D211" s="185" t="s">
        <v>1976</v>
      </c>
      <c r="E211" s="185">
        <v>238030</v>
      </c>
      <c r="F211" s="185" t="s">
        <v>721</v>
      </c>
      <c r="G211" s="185" t="s">
        <v>1977</v>
      </c>
      <c r="H211" s="185" t="s">
        <v>1628</v>
      </c>
      <c r="I211" s="258" t="str">
        <f t="shared" si="10"/>
        <v>2</v>
      </c>
      <c r="J211" s="221">
        <f t="shared" si="11"/>
        <v>-51040</v>
      </c>
      <c r="K211" s="258">
        <f t="shared" si="12"/>
        <v>1</v>
      </c>
      <c r="L211" s="188">
        <v>0</v>
      </c>
      <c r="M211" s="188">
        <v>51040</v>
      </c>
      <c r="N211" s="189">
        <v>800149496</v>
      </c>
      <c r="O211" t="s">
        <v>1975</v>
      </c>
      <c r="P211" s="187">
        <v>44965.348344907397</v>
      </c>
      <c r="Q211" s="186">
        <v>7003</v>
      </c>
      <c r="R211" s="185" t="s">
        <v>433</v>
      </c>
      <c r="S211" s="185" t="s">
        <v>1660</v>
      </c>
      <c r="T211"/>
      <c r="U211" t="str">
        <f>IF($L211&gt;0,VLOOKUP($E211,Valida!$A$1:$G$270,6,FALSE),IF($M211&gt;=0,VLOOKUP($E211,Valida!$A$1:$G$270,7,FALSE)))</f>
        <v>(+/-) Ajustes por el incremento (disminución) de cuentas por pagar de origen comercial</v>
      </c>
      <c r="V211" s="190" t="str">
        <f>VLOOKUP(E211,Valida!$A$2:$K$271,4,FALSE)</f>
        <v>Trade and other payables</v>
      </c>
      <c r="W211" s="185" t="s">
        <v>1979</v>
      </c>
      <c r="X211" s="185"/>
      <c r="Y211" s="185" t="s">
        <v>1789</v>
      </c>
      <c r="Z211"/>
    </row>
    <row r="212" spans="1:26">
      <c r="A212" s="185" t="s">
        <v>1799</v>
      </c>
      <c r="B212" s="185" t="s">
        <v>1975</v>
      </c>
      <c r="C212" s="185" t="s">
        <v>1897</v>
      </c>
      <c r="D212" s="185" t="s">
        <v>1976</v>
      </c>
      <c r="E212" s="185">
        <v>250505</v>
      </c>
      <c r="F212" s="185" t="s">
        <v>767</v>
      </c>
      <c r="G212" s="185" t="s">
        <v>1977</v>
      </c>
      <c r="H212" s="185" t="s">
        <v>1628</v>
      </c>
      <c r="I212" s="258" t="str">
        <f t="shared" si="10"/>
        <v>2</v>
      </c>
      <c r="J212" s="221">
        <f t="shared" si="11"/>
        <v>-1295644</v>
      </c>
      <c r="K212" s="258">
        <f t="shared" si="12"/>
        <v>1</v>
      </c>
      <c r="L212" s="188">
        <v>0</v>
      </c>
      <c r="M212" s="188">
        <v>1295644</v>
      </c>
      <c r="N212" s="189">
        <v>1000018061</v>
      </c>
      <c r="O212" t="s">
        <v>1975</v>
      </c>
      <c r="P212" s="187">
        <v>44965.348344907397</v>
      </c>
      <c r="Q212" s="186">
        <v>7004</v>
      </c>
      <c r="R212" s="185"/>
      <c r="S212" s="185" t="s">
        <v>1522</v>
      </c>
      <c r="T212"/>
      <c r="U212" t="str">
        <f>IF($L212&gt;0,VLOOKUP($E212,Valida!$A$1:$G$270,6,FALSE),IF($M212&gt;=0,VLOOKUP($E212,Valida!$A$1:$G$270,7,FALSE)))</f>
        <v>(+/-) Ajustes por el incremento (disminución) de cuentas por pagar de origen comercial</v>
      </c>
      <c r="V212" s="190" t="str">
        <f>VLOOKUP(E212,Valida!$A$2:$K$271,4,FALSE)</f>
        <v>Trade and other payables</v>
      </c>
      <c r="W212" s="185" t="s">
        <v>1978</v>
      </c>
      <c r="X212" s="185"/>
      <c r="Y212" s="185" t="s">
        <v>1789</v>
      </c>
      <c r="Z212"/>
    </row>
    <row r="213" spans="1:26">
      <c r="A213" s="185" t="s">
        <v>1799</v>
      </c>
      <c r="B213" s="185" t="s">
        <v>1975</v>
      </c>
      <c r="C213" s="185" t="s">
        <v>1897</v>
      </c>
      <c r="D213" s="185" t="s">
        <v>1976</v>
      </c>
      <c r="E213" s="185">
        <v>510530</v>
      </c>
      <c r="F213" s="185" t="s">
        <v>813</v>
      </c>
      <c r="G213" s="185" t="s">
        <v>1977</v>
      </c>
      <c r="H213" s="185" t="s">
        <v>1515</v>
      </c>
      <c r="I213" s="258" t="str">
        <f t="shared" si="10"/>
        <v>5</v>
      </c>
      <c r="J213" s="221">
        <f t="shared" si="11"/>
        <v>118050</v>
      </c>
      <c r="K213" s="258">
        <f t="shared" si="12"/>
        <v>1</v>
      </c>
      <c r="L213" s="188">
        <v>118050</v>
      </c>
      <c r="M213" s="188">
        <v>0</v>
      </c>
      <c r="N213" s="189">
        <v>1000018061</v>
      </c>
      <c r="O213" t="s">
        <v>1975</v>
      </c>
      <c r="P213" s="187">
        <v>44965.348344907397</v>
      </c>
      <c r="Q213" s="186">
        <v>7005</v>
      </c>
      <c r="R213" s="185"/>
      <c r="S213" s="185" t="s">
        <v>1522</v>
      </c>
      <c r="T213"/>
      <c r="U213" t="str">
        <f>IF($L213&gt;0,VLOOKUP($E213,Valida!$A$1:$G$270,6,FALSE),IF($M213&gt;=0,VLOOKUP($E213,Valida!$A$1:$G$270,7,FALSE)))</f>
        <v>(+/-) Ganancia (pérdida)</v>
      </c>
      <c r="V213" s="190" t="str">
        <f>VLOOKUP(E213,Valida!$A$2:$K$271,4,FALSE)</f>
        <v>P&amp;L</v>
      </c>
      <c r="W213" s="185" t="s">
        <v>1978</v>
      </c>
      <c r="X213" s="185"/>
      <c r="Y213" s="185" t="s">
        <v>1789</v>
      </c>
      <c r="Z213"/>
    </row>
    <row r="214" spans="1:26">
      <c r="A214" s="185" t="s">
        <v>1799</v>
      </c>
      <c r="B214" s="185" t="s">
        <v>1975</v>
      </c>
      <c r="C214" s="185" t="s">
        <v>1897</v>
      </c>
      <c r="D214" s="185" t="s">
        <v>1976</v>
      </c>
      <c r="E214" s="185">
        <v>510533</v>
      </c>
      <c r="F214" s="185" t="s">
        <v>779</v>
      </c>
      <c r="G214" s="185" t="s">
        <v>1977</v>
      </c>
      <c r="H214" s="185" t="s">
        <v>1515</v>
      </c>
      <c r="I214" s="258" t="str">
        <f t="shared" si="10"/>
        <v>5</v>
      </c>
      <c r="J214" s="221">
        <f t="shared" si="11"/>
        <v>14166</v>
      </c>
      <c r="K214" s="258">
        <f t="shared" si="12"/>
        <v>1</v>
      </c>
      <c r="L214" s="188">
        <v>14166</v>
      </c>
      <c r="M214" s="188">
        <v>0</v>
      </c>
      <c r="N214" s="189">
        <v>1000018061</v>
      </c>
      <c r="O214" t="s">
        <v>1975</v>
      </c>
      <c r="P214" s="187">
        <v>44965.348344907397</v>
      </c>
      <c r="Q214" s="186">
        <v>7006</v>
      </c>
      <c r="R214" s="185"/>
      <c r="S214" s="185" t="s">
        <v>1522</v>
      </c>
      <c r="T214"/>
      <c r="U214" t="str">
        <f>IF($L214&gt;0,VLOOKUP($E214,Valida!$A$1:$G$270,6,FALSE),IF($M214&gt;=0,VLOOKUP($E214,Valida!$A$1:$G$270,7,FALSE)))</f>
        <v>(+/-) Ganancia (pérdida)</v>
      </c>
      <c r="V214" s="190" t="str">
        <f>VLOOKUP(E214,Valida!$A$2:$K$271,4,FALSE)</f>
        <v>P&amp;L</v>
      </c>
      <c r="W214" s="185" t="s">
        <v>1978</v>
      </c>
      <c r="X214" s="185"/>
      <c r="Y214" s="185" t="s">
        <v>1789</v>
      </c>
      <c r="Z214"/>
    </row>
    <row r="215" spans="1:26">
      <c r="A215" s="185" t="s">
        <v>1799</v>
      </c>
      <c r="B215" s="185" t="s">
        <v>1975</v>
      </c>
      <c r="C215" s="185" t="s">
        <v>1897</v>
      </c>
      <c r="D215" s="185" t="s">
        <v>1976</v>
      </c>
      <c r="E215" s="185">
        <v>510536</v>
      </c>
      <c r="F215" s="185" t="s">
        <v>783</v>
      </c>
      <c r="G215" s="185" t="s">
        <v>1977</v>
      </c>
      <c r="H215" s="185" t="s">
        <v>1515</v>
      </c>
      <c r="I215" s="258" t="str">
        <f t="shared" si="10"/>
        <v>5</v>
      </c>
      <c r="J215" s="221">
        <f t="shared" si="11"/>
        <v>118050</v>
      </c>
      <c r="K215" s="258">
        <f t="shared" si="12"/>
        <v>1</v>
      </c>
      <c r="L215" s="188">
        <v>118050</v>
      </c>
      <c r="M215" s="188">
        <v>0</v>
      </c>
      <c r="N215" s="189">
        <v>1000018061</v>
      </c>
      <c r="O215" t="s">
        <v>1975</v>
      </c>
      <c r="P215" s="187">
        <v>44965.348344907397</v>
      </c>
      <c r="Q215" s="186">
        <v>7007</v>
      </c>
      <c r="R215" s="185"/>
      <c r="S215" s="185" t="s">
        <v>1522</v>
      </c>
      <c r="T215"/>
      <c r="U215" t="str">
        <f>IF($L215&gt;0,VLOOKUP($E215,Valida!$A$1:$G$270,6,FALSE),IF($M215&gt;=0,VLOOKUP($E215,Valida!$A$1:$G$270,7,FALSE)))</f>
        <v>(+/-) Ganancia (pérdida)</v>
      </c>
      <c r="V215" s="190" t="str">
        <f>VLOOKUP(E215,Valida!$A$2:$K$271,4,FALSE)</f>
        <v>P&amp;L</v>
      </c>
      <c r="W215" s="185" t="s">
        <v>1978</v>
      </c>
      <c r="X215" s="185"/>
      <c r="Y215" s="185" t="s">
        <v>1789</v>
      </c>
      <c r="Z215"/>
    </row>
    <row r="216" spans="1:26">
      <c r="A216" s="185" t="s">
        <v>1799</v>
      </c>
      <c r="B216" s="185" t="s">
        <v>1975</v>
      </c>
      <c r="C216" s="185" t="s">
        <v>1897</v>
      </c>
      <c r="D216" s="185" t="s">
        <v>1976</v>
      </c>
      <c r="E216" s="185">
        <v>510539</v>
      </c>
      <c r="F216" s="185" t="s">
        <v>818</v>
      </c>
      <c r="G216" s="185" t="s">
        <v>1977</v>
      </c>
      <c r="H216" s="185" t="s">
        <v>1515</v>
      </c>
      <c r="I216" s="258" t="str">
        <f t="shared" si="10"/>
        <v>5</v>
      </c>
      <c r="J216" s="221">
        <f t="shared" si="11"/>
        <v>53167</v>
      </c>
      <c r="K216" s="258">
        <f t="shared" si="12"/>
        <v>1</v>
      </c>
      <c r="L216" s="188">
        <v>53167</v>
      </c>
      <c r="M216" s="188">
        <v>0</v>
      </c>
      <c r="N216" s="189">
        <v>1000018061</v>
      </c>
      <c r="O216" t="s">
        <v>1975</v>
      </c>
      <c r="P216" s="187">
        <v>44965.348344907397</v>
      </c>
      <c r="Q216" s="186">
        <v>7008</v>
      </c>
      <c r="R216" s="185"/>
      <c r="S216" s="185" t="s">
        <v>1522</v>
      </c>
      <c r="T216"/>
      <c r="U216" t="str">
        <f>IF($L216&gt;0,VLOOKUP($E216,Valida!$A$1:$G$270,6,FALSE),IF($M216&gt;=0,VLOOKUP($E216,Valida!$A$1:$G$270,7,FALSE)))</f>
        <v>(+/-) Ganancia (pérdida)</v>
      </c>
      <c r="V216" s="190" t="str">
        <f>VLOOKUP(E216,Valida!$A$2:$K$271,4,FALSE)</f>
        <v>P&amp;L</v>
      </c>
      <c r="W216" s="185" t="s">
        <v>1978</v>
      </c>
      <c r="X216" s="185"/>
      <c r="Y216" s="185" t="s">
        <v>1789</v>
      </c>
      <c r="Z216"/>
    </row>
    <row r="217" spans="1:26">
      <c r="A217" s="185" t="s">
        <v>1799</v>
      </c>
      <c r="B217" s="185" t="s">
        <v>1975</v>
      </c>
      <c r="C217" s="185" t="s">
        <v>1897</v>
      </c>
      <c r="D217" s="185" t="s">
        <v>1976</v>
      </c>
      <c r="E217" s="185">
        <v>251010</v>
      </c>
      <c r="F217" s="185" t="s">
        <v>776</v>
      </c>
      <c r="G217" s="185" t="s">
        <v>1977</v>
      </c>
      <c r="H217" s="185" t="s">
        <v>1628</v>
      </c>
      <c r="I217" s="258" t="str">
        <f t="shared" si="10"/>
        <v>2</v>
      </c>
      <c r="J217" s="221">
        <f t="shared" si="11"/>
        <v>-118050</v>
      </c>
      <c r="K217" s="258">
        <f t="shared" si="12"/>
        <v>1</v>
      </c>
      <c r="L217" s="188">
        <v>0</v>
      </c>
      <c r="M217" s="188">
        <v>118050</v>
      </c>
      <c r="N217" s="189">
        <v>1000018061</v>
      </c>
      <c r="O217" t="s">
        <v>1975</v>
      </c>
      <c r="P217" s="187">
        <v>44965.348344907397</v>
      </c>
      <c r="Q217" s="186">
        <v>7009</v>
      </c>
      <c r="R217" s="185"/>
      <c r="S217" s="185" t="s">
        <v>1522</v>
      </c>
      <c r="T217"/>
      <c r="U217" t="str">
        <f>IF($L217&gt;0,VLOOKUP($E217,Valida!$A$1:$G$270,6,FALSE),IF($M217&gt;=0,VLOOKUP($E217,Valida!$A$1:$G$270,7,FALSE)))</f>
        <v>(+/-) Ajustes por el incremento (disminución) de cuentas por pagar de origen comercial</v>
      </c>
      <c r="V217" s="190" t="str">
        <f>VLOOKUP(E217,Valida!$A$2:$K$271,4,FALSE)</f>
        <v>Trade and other payables</v>
      </c>
      <c r="W217" s="185" t="s">
        <v>1978</v>
      </c>
      <c r="X217" s="185"/>
      <c r="Y217" s="185" t="s">
        <v>1789</v>
      </c>
      <c r="Z217"/>
    </row>
    <row r="218" spans="1:26">
      <c r="A218" s="185" t="s">
        <v>1799</v>
      </c>
      <c r="B218" s="185" t="s">
        <v>1975</v>
      </c>
      <c r="C218" s="185" t="s">
        <v>1897</v>
      </c>
      <c r="D218" s="185" t="s">
        <v>1976</v>
      </c>
      <c r="E218" s="185">
        <v>251505</v>
      </c>
      <c r="F218" s="185" t="s">
        <v>779</v>
      </c>
      <c r="G218" s="185" t="s">
        <v>1977</v>
      </c>
      <c r="H218" s="185" t="s">
        <v>1628</v>
      </c>
      <c r="I218" s="258" t="str">
        <f t="shared" si="10"/>
        <v>2</v>
      </c>
      <c r="J218" s="221">
        <f t="shared" si="11"/>
        <v>-14166</v>
      </c>
      <c r="K218" s="258">
        <f t="shared" si="12"/>
        <v>1</v>
      </c>
      <c r="L218" s="188">
        <v>0</v>
      </c>
      <c r="M218" s="188">
        <v>14166</v>
      </c>
      <c r="N218" s="189">
        <v>1000018061</v>
      </c>
      <c r="O218" t="s">
        <v>1975</v>
      </c>
      <c r="P218" s="187">
        <v>44965.348344907397</v>
      </c>
      <c r="Q218" s="186">
        <v>7010</v>
      </c>
      <c r="R218" s="185"/>
      <c r="S218" s="185" t="s">
        <v>1522</v>
      </c>
      <c r="T218"/>
      <c r="U218" t="str">
        <f>IF($L218&gt;0,VLOOKUP($E218,Valida!$A$1:$G$270,6,FALSE),IF($M218&gt;=0,VLOOKUP($E218,Valida!$A$1:$G$270,7,FALSE)))</f>
        <v>(+/-) Ajustes por el incremento (disminución) de cuentas por pagar de origen comercial</v>
      </c>
      <c r="V218" s="190" t="str">
        <f>VLOOKUP(E218,Valida!$A$2:$K$271,4,FALSE)</f>
        <v>Trade and other payables</v>
      </c>
      <c r="W218" s="185" t="s">
        <v>1978</v>
      </c>
      <c r="X218" s="185"/>
      <c r="Y218" s="185" t="s">
        <v>1789</v>
      </c>
      <c r="Z218"/>
    </row>
    <row r="219" spans="1:26">
      <c r="A219" s="185" t="s">
        <v>1799</v>
      </c>
      <c r="B219" s="185" t="s">
        <v>1975</v>
      </c>
      <c r="C219" s="185" t="s">
        <v>1897</v>
      </c>
      <c r="D219" s="185" t="s">
        <v>1976</v>
      </c>
      <c r="E219" s="185">
        <v>252005</v>
      </c>
      <c r="F219" s="185" t="s">
        <v>783</v>
      </c>
      <c r="G219" s="185" t="s">
        <v>1977</v>
      </c>
      <c r="H219" s="185" t="s">
        <v>1628</v>
      </c>
      <c r="I219" s="258" t="str">
        <f t="shared" si="10"/>
        <v>2</v>
      </c>
      <c r="J219" s="221">
        <f t="shared" si="11"/>
        <v>-118050</v>
      </c>
      <c r="K219" s="258">
        <f t="shared" si="12"/>
        <v>1</v>
      </c>
      <c r="L219" s="188">
        <v>0</v>
      </c>
      <c r="M219" s="188">
        <v>118050</v>
      </c>
      <c r="N219" s="189">
        <v>1000018061</v>
      </c>
      <c r="O219" t="s">
        <v>1975</v>
      </c>
      <c r="P219" s="187">
        <v>44965.348356481503</v>
      </c>
      <c r="Q219" s="186">
        <v>7011</v>
      </c>
      <c r="R219" s="185"/>
      <c r="S219" s="185" t="s">
        <v>1522</v>
      </c>
      <c r="T219"/>
      <c r="U219" t="str">
        <f>IF($L219&gt;0,VLOOKUP($E219,Valida!$A$1:$G$270,6,FALSE),IF($M219&gt;=0,VLOOKUP($E219,Valida!$A$1:$G$270,7,FALSE)))</f>
        <v>(+/-) Ajustes por el incremento (disminución) de cuentas por pagar de origen comercial</v>
      </c>
      <c r="V219" s="190" t="str">
        <f>VLOOKUP(E219,Valida!$A$2:$K$271,4,FALSE)</f>
        <v>Trade and other payables</v>
      </c>
      <c r="W219" s="185" t="s">
        <v>1978</v>
      </c>
      <c r="X219" s="185"/>
      <c r="Y219" s="185" t="s">
        <v>1789</v>
      </c>
      <c r="Z219"/>
    </row>
    <row r="220" spans="1:26">
      <c r="A220" s="185" t="s">
        <v>1799</v>
      </c>
      <c r="B220" s="185" t="s">
        <v>1975</v>
      </c>
      <c r="C220" s="185" t="s">
        <v>1897</v>
      </c>
      <c r="D220" s="185" t="s">
        <v>1976</v>
      </c>
      <c r="E220" s="185">
        <v>252505</v>
      </c>
      <c r="F220" s="185" t="s">
        <v>787</v>
      </c>
      <c r="G220" s="185" t="s">
        <v>1977</v>
      </c>
      <c r="H220" s="185" t="s">
        <v>1628</v>
      </c>
      <c r="I220" s="258" t="str">
        <f t="shared" si="10"/>
        <v>2</v>
      </c>
      <c r="J220" s="221">
        <f t="shared" si="11"/>
        <v>-53167</v>
      </c>
      <c r="K220" s="258">
        <f t="shared" si="12"/>
        <v>1</v>
      </c>
      <c r="L220" s="188">
        <v>0</v>
      </c>
      <c r="M220" s="188">
        <v>53167</v>
      </c>
      <c r="N220" s="189">
        <v>1000018061</v>
      </c>
      <c r="O220" t="s">
        <v>1975</v>
      </c>
      <c r="P220" s="187">
        <v>44965.348356481503</v>
      </c>
      <c r="Q220" s="186">
        <v>7012</v>
      </c>
      <c r="R220" s="185"/>
      <c r="S220" s="185" t="s">
        <v>1522</v>
      </c>
      <c r="T220"/>
      <c r="U220" t="str">
        <f>IF($L220&gt;0,VLOOKUP($E220,Valida!$A$1:$G$270,6,FALSE),IF($M220&gt;=0,VLOOKUP($E220,Valida!$A$1:$G$270,7,FALSE)))</f>
        <v>(+/-) Ajustes por el incremento (disminución) de cuentas por pagar de origen comercial</v>
      </c>
      <c r="V220" s="190" t="str">
        <f>VLOOKUP(E220,Valida!$A$2:$K$271,4,FALSE)</f>
        <v>Trade and other payables</v>
      </c>
      <c r="W220" s="185" t="s">
        <v>1978</v>
      </c>
      <c r="X220" s="185"/>
      <c r="Y220" s="185" t="s">
        <v>1789</v>
      </c>
      <c r="Z220"/>
    </row>
    <row r="221" spans="1:26">
      <c r="A221" s="185" t="s">
        <v>1799</v>
      </c>
      <c r="B221" s="185" t="s">
        <v>1975</v>
      </c>
      <c r="C221" s="185" t="s">
        <v>1897</v>
      </c>
      <c r="D221" s="185" t="s">
        <v>1976</v>
      </c>
      <c r="E221" s="185">
        <v>510570</v>
      </c>
      <c r="F221" s="185" t="s">
        <v>1116</v>
      </c>
      <c r="G221" s="185" t="s">
        <v>1977</v>
      </c>
      <c r="H221" s="185" t="s">
        <v>1515</v>
      </c>
      <c r="I221" s="258" t="str">
        <f t="shared" si="10"/>
        <v>5</v>
      </c>
      <c r="J221" s="221">
        <f t="shared" si="11"/>
        <v>153100</v>
      </c>
      <c r="K221" s="258">
        <f t="shared" si="12"/>
        <v>1</v>
      </c>
      <c r="L221" s="188">
        <v>153100</v>
      </c>
      <c r="M221" s="188">
        <v>0</v>
      </c>
      <c r="N221" s="189">
        <v>800149496</v>
      </c>
      <c r="O221" t="s">
        <v>1975</v>
      </c>
      <c r="P221" s="187">
        <v>44965.348356481503</v>
      </c>
      <c r="Q221" s="186">
        <v>7013</v>
      </c>
      <c r="R221" s="185" t="s">
        <v>433</v>
      </c>
      <c r="S221" s="185" t="s">
        <v>1660</v>
      </c>
      <c r="T221"/>
      <c r="U221" t="str">
        <f>IF($L221&gt;0,VLOOKUP($E221,Valida!$A$1:$G$270,6,FALSE),IF($M221&gt;=0,VLOOKUP($E221,Valida!$A$1:$G$270,7,FALSE)))</f>
        <v>(+/-) Ganancia (pérdida)</v>
      </c>
      <c r="V221" s="190" t="str">
        <f>VLOOKUP(E221,Valida!$A$2:$K$271,4,FALSE)</f>
        <v>P&amp;L</v>
      </c>
      <c r="W221" s="185" t="s">
        <v>1979</v>
      </c>
      <c r="X221" s="185"/>
      <c r="Y221" s="185" t="s">
        <v>1789</v>
      </c>
      <c r="Z221"/>
    </row>
    <row r="222" spans="1:26">
      <c r="A222" s="185" t="s">
        <v>1799</v>
      </c>
      <c r="B222" s="185" t="s">
        <v>1975</v>
      </c>
      <c r="C222" s="185" t="s">
        <v>1897</v>
      </c>
      <c r="D222" s="185" t="s">
        <v>1976</v>
      </c>
      <c r="E222" s="185">
        <v>238030</v>
      </c>
      <c r="F222" s="185" t="s">
        <v>721</v>
      </c>
      <c r="G222" s="185" t="s">
        <v>1977</v>
      </c>
      <c r="H222" s="185" t="s">
        <v>1628</v>
      </c>
      <c r="I222" s="258" t="str">
        <f t="shared" si="10"/>
        <v>2</v>
      </c>
      <c r="J222" s="221">
        <f t="shared" si="11"/>
        <v>-153100</v>
      </c>
      <c r="K222" s="258">
        <f t="shared" si="12"/>
        <v>1</v>
      </c>
      <c r="L222" s="188">
        <v>0</v>
      </c>
      <c r="M222" s="188">
        <v>153100</v>
      </c>
      <c r="N222" s="189">
        <v>800149496</v>
      </c>
      <c r="O222" t="s">
        <v>1975</v>
      </c>
      <c r="P222" s="187">
        <v>44965.348356481503</v>
      </c>
      <c r="Q222" s="186">
        <v>7014</v>
      </c>
      <c r="R222" s="185" t="s">
        <v>433</v>
      </c>
      <c r="S222" s="185" t="s">
        <v>1660</v>
      </c>
      <c r="T222"/>
      <c r="U222" t="str">
        <f>IF($L222&gt;0,VLOOKUP($E222,Valida!$A$1:$G$270,6,FALSE),IF($M222&gt;=0,VLOOKUP($E222,Valida!$A$1:$G$270,7,FALSE)))</f>
        <v>(+/-) Ajustes por el incremento (disminución) de cuentas por pagar de origen comercial</v>
      </c>
      <c r="V222" s="190" t="str">
        <f>VLOOKUP(E222,Valida!$A$2:$K$271,4,FALSE)</f>
        <v>Trade and other payables</v>
      </c>
      <c r="W222" s="185" t="s">
        <v>1979</v>
      </c>
      <c r="X222" s="185"/>
      <c r="Y222" s="185" t="s">
        <v>1789</v>
      </c>
      <c r="Z222"/>
    </row>
    <row r="223" spans="1:26">
      <c r="A223" s="185" t="s">
        <v>1799</v>
      </c>
      <c r="B223" s="185" t="s">
        <v>1975</v>
      </c>
      <c r="C223" s="185" t="s">
        <v>1897</v>
      </c>
      <c r="D223" s="185" t="s">
        <v>1976</v>
      </c>
      <c r="E223" s="185">
        <v>510568</v>
      </c>
      <c r="F223" s="185" t="s">
        <v>680</v>
      </c>
      <c r="G223" s="185" t="s">
        <v>1977</v>
      </c>
      <c r="H223" s="185" t="s">
        <v>1515</v>
      </c>
      <c r="I223" s="258" t="str">
        <f t="shared" si="10"/>
        <v>5</v>
      </c>
      <c r="J223" s="221">
        <f t="shared" si="11"/>
        <v>6700</v>
      </c>
      <c r="K223" s="258">
        <f t="shared" si="12"/>
        <v>1</v>
      </c>
      <c r="L223" s="188">
        <v>6700</v>
      </c>
      <c r="M223" s="188">
        <v>0</v>
      </c>
      <c r="N223" s="189">
        <v>860002503</v>
      </c>
      <c r="O223" t="s">
        <v>1975</v>
      </c>
      <c r="P223" s="187">
        <v>44965.348356481503</v>
      </c>
      <c r="Q223" s="186">
        <v>7015</v>
      </c>
      <c r="R223" s="185" t="s">
        <v>433</v>
      </c>
      <c r="S223" s="185" t="s">
        <v>1656</v>
      </c>
      <c r="T223"/>
      <c r="U223" t="str">
        <f>IF($L223&gt;0,VLOOKUP($E223,Valida!$A$1:$G$270,6,FALSE),IF($M223&gt;=0,VLOOKUP($E223,Valida!$A$1:$G$270,7,FALSE)))</f>
        <v>(+/-) Ganancia (pérdida)</v>
      </c>
      <c r="V223" s="190" t="str">
        <f>VLOOKUP(E223,Valida!$A$2:$K$271,4,FALSE)</f>
        <v>P&amp;L</v>
      </c>
      <c r="W223" s="185" t="s">
        <v>1912</v>
      </c>
      <c r="X223" s="185" t="s">
        <v>1913</v>
      </c>
      <c r="Y223" s="185" t="s">
        <v>1789</v>
      </c>
      <c r="Z223"/>
    </row>
    <row r="224" spans="1:26">
      <c r="A224" s="185" t="s">
        <v>1799</v>
      </c>
      <c r="B224" s="185" t="s">
        <v>1975</v>
      </c>
      <c r="C224" s="185" t="s">
        <v>1897</v>
      </c>
      <c r="D224" s="185" t="s">
        <v>1976</v>
      </c>
      <c r="E224" s="185">
        <v>237006</v>
      </c>
      <c r="F224" s="185" t="s">
        <v>680</v>
      </c>
      <c r="G224" s="185" t="s">
        <v>1977</v>
      </c>
      <c r="H224" s="185" t="s">
        <v>1628</v>
      </c>
      <c r="I224" s="258" t="str">
        <f t="shared" si="10"/>
        <v>2</v>
      </c>
      <c r="J224" s="221">
        <f t="shared" si="11"/>
        <v>-6700</v>
      </c>
      <c r="K224" s="258">
        <f t="shared" si="12"/>
        <v>1</v>
      </c>
      <c r="L224" s="188">
        <v>0</v>
      </c>
      <c r="M224" s="188">
        <v>6700</v>
      </c>
      <c r="N224" s="189">
        <v>860002503</v>
      </c>
      <c r="O224" t="s">
        <v>1975</v>
      </c>
      <c r="P224" s="187">
        <v>44965.348356481503</v>
      </c>
      <c r="Q224" s="186">
        <v>7016</v>
      </c>
      <c r="R224" s="185" t="s">
        <v>433</v>
      </c>
      <c r="S224" s="185" t="s">
        <v>1656</v>
      </c>
      <c r="T224"/>
      <c r="U224" t="str">
        <f>IF($L224&gt;0,VLOOKUP($E224,Valida!$A$1:$G$270,6,FALSE),IF($M224&gt;=0,VLOOKUP($E224,Valida!$A$1:$G$270,7,FALSE)))</f>
        <v>(+/-) Ajustes por el incremento (disminución) de cuentas por pagar de origen comercial</v>
      </c>
      <c r="V224" s="190" t="str">
        <f>VLOOKUP(E224,Valida!$A$2:$K$271,4,FALSE)</f>
        <v>Trade and other payables</v>
      </c>
      <c r="W224" s="185" t="s">
        <v>1912</v>
      </c>
      <c r="X224" s="185" t="s">
        <v>1913</v>
      </c>
      <c r="Y224" s="185" t="s">
        <v>1789</v>
      </c>
      <c r="Z224"/>
    </row>
    <row r="225" spans="1:26">
      <c r="A225" s="185" t="s">
        <v>1799</v>
      </c>
      <c r="B225" s="185" t="s">
        <v>1975</v>
      </c>
      <c r="C225" s="185" t="s">
        <v>1897</v>
      </c>
      <c r="D225" s="185" t="s">
        <v>1976</v>
      </c>
      <c r="E225" s="185">
        <v>510572</v>
      </c>
      <c r="F225" s="185" t="s">
        <v>1118</v>
      </c>
      <c r="G225" s="185" t="s">
        <v>1977</v>
      </c>
      <c r="H225" s="185" t="s">
        <v>1515</v>
      </c>
      <c r="I225" s="258" t="str">
        <f t="shared" si="10"/>
        <v>5</v>
      </c>
      <c r="J225" s="221">
        <f t="shared" si="11"/>
        <v>25500</v>
      </c>
      <c r="K225" s="258">
        <f t="shared" si="12"/>
        <v>1</v>
      </c>
      <c r="L225" s="188">
        <v>25500</v>
      </c>
      <c r="M225" s="188">
        <v>0</v>
      </c>
      <c r="N225" s="189">
        <v>860066942</v>
      </c>
      <c r="O225" t="s">
        <v>1975</v>
      </c>
      <c r="P225" s="187">
        <v>44965.348356481503</v>
      </c>
      <c r="Q225" s="186">
        <v>7017</v>
      </c>
      <c r="R225" s="185" t="s">
        <v>1814</v>
      </c>
      <c r="S225" s="185" t="s">
        <v>1574</v>
      </c>
      <c r="T225"/>
      <c r="U225" t="str">
        <f>IF($L225&gt;0,VLOOKUP($E225,Valida!$A$1:$G$270,6,FALSE),IF($M225&gt;=0,VLOOKUP($E225,Valida!$A$1:$G$270,7,FALSE)))</f>
        <v>(+/-) Ganancia (pérdida)</v>
      </c>
      <c r="V225" s="190" t="str">
        <f>VLOOKUP(E225,Valida!$A$2:$K$271,4,FALSE)</f>
        <v>P&amp;L</v>
      </c>
      <c r="W225" s="185" t="s">
        <v>1914</v>
      </c>
      <c r="X225" s="185" t="s">
        <v>1915</v>
      </c>
      <c r="Y225" s="185" t="s">
        <v>1789</v>
      </c>
      <c r="Z225"/>
    </row>
    <row r="226" spans="1:26">
      <c r="A226" s="185" t="s">
        <v>1799</v>
      </c>
      <c r="B226" s="185" t="s">
        <v>1975</v>
      </c>
      <c r="C226" s="185" t="s">
        <v>1897</v>
      </c>
      <c r="D226" s="185" t="s">
        <v>1976</v>
      </c>
      <c r="E226" s="185">
        <v>237010</v>
      </c>
      <c r="F226" s="185" t="s">
        <v>683</v>
      </c>
      <c r="G226" s="185" t="s">
        <v>1977</v>
      </c>
      <c r="H226" s="185" t="s">
        <v>1628</v>
      </c>
      <c r="I226" s="258" t="str">
        <f t="shared" si="10"/>
        <v>2</v>
      </c>
      <c r="J226" s="221">
        <f t="shared" si="11"/>
        <v>-25500</v>
      </c>
      <c r="K226" s="258">
        <f t="shared" si="12"/>
        <v>1</v>
      </c>
      <c r="L226" s="188">
        <v>0</v>
      </c>
      <c r="M226" s="188">
        <v>25500</v>
      </c>
      <c r="N226" s="189">
        <v>860066942</v>
      </c>
      <c r="O226" t="s">
        <v>1975</v>
      </c>
      <c r="P226" s="187">
        <v>44965.348356481503</v>
      </c>
      <c r="Q226" s="186">
        <v>7018</v>
      </c>
      <c r="R226" s="185" t="s">
        <v>1814</v>
      </c>
      <c r="S226" s="185" t="s">
        <v>1574</v>
      </c>
      <c r="T226"/>
      <c r="U226" t="str">
        <f>IF($L226&gt;0,VLOOKUP($E226,Valida!$A$1:$G$270,6,FALSE),IF($M226&gt;=0,VLOOKUP($E226,Valida!$A$1:$G$270,7,FALSE)))</f>
        <v>(+/-) Ajustes por el incremento (disminución) de cuentas por pagar de origen comercial</v>
      </c>
      <c r="V226" s="190" t="str">
        <f>VLOOKUP(E226,Valida!$A$2:$K$271,4,FALSE)</f>
        <v>Trade and other payables</v>
      </c>
      <c r="W226" s="185" t="s">
        <v>1914</v>
      </c>
      <c r="X226" s="185" t="s">
        <v>1915</v>
      </c>
      <c r="Y226" s="185" t="s">
        <v>1789</v>
      </c>
      <c r="Z226"/>
    </row>
    <row r="227" spans="1:26">
      <c r="A227" s="185" t="s">
        <v>1799</v>
      </c>
      <c r="B227" s="185" t="s">
        <v>1975</v>
      </c>
      <c r="C227" s="185" t="s">
        <v>1897</v>
      </c>
      <c r="D227" s="185" t="s">
        <v>1976</v>
      </c>
      <c r="E227" s="185">
        <v>251505</v>
      </c>
      <c r="F227" s="185" t="s">
        <v>779</v>
      </c>
      <c r="G227" s="185" t="s">
        <v>1977</v>
      </c>
      <c r="H227" s="185" t="s">
        <v>1515</v>
      </c>
      <c r="I227" s="258" t="str">
        <f t="shared" si="10"/>
        <v>2</v>
      </c>
      <c r="J227" s="221">
        <f t="shared" si="11"/>
        <v>2385</v>
      </c>
      <c r="K227" s="258">
        <f t="shared" si="12"/>
        <v>1</v>
      </c>
      <c r="L227" s="188">
        <v>2385</v>
      </c>
      <c r="M227" s="188">
        <v>0</v>
      </c>
      <c r="N227" s="189">
        <v>1000018061</v>
      </c>
      <c r="O227" t="s">
        <v>1975</v>
      </c>
      <c r="P227" s="187">
        <v>44965.348356481503</v>
      </c>
      <c r="Q227" s="186">
        <v>7019</v>
      </c>
      <c r="R227" s="185"/>
      <c r="S227" s="185" t="s">
        <v>1522</v>
      </c>
      <c r="T227"/>
      <c r="U227" t="str">
        <f>IF($L227&gt;0,VLOOKUP($E227,Valida!$A$1:$G$270,6,FALSE),IF($M227&gt;=0,VLOOKUP($E227,Valida!$A$1:$G$270,7,FALSE)))</f>
        <v>(+/-) Ajustes por el incremento (disminución) de cuentas por pagar de origen comercial</v>
      </c>
      <c r="V227" s="190" t="str">
        <f>VLOOKUP(E227,Valida!$A$2:$K$271,4,FALSE)</f>
        <v>Trade and other payables</v>
      </c>
      <c r="W227" s="185" t="s">
        <v>1978</v>
      </c>
      <c r="X227" s="185"/>
      <c r="Y227" s="185" t="s">
        <v>1789</v>
      </c>
      <c r="Z227"/>
    </row>
    <row r="228" spans="1:26">
      <c r="A228" s="185" t="s">
        <v>1799</v>
      </c>
      <c r="B228" s="185" t="s">
        <v>1975</v>
      </c>
      <c r="C228" s="185" t="s">
        <v>1897</v>
      </c>
      <c r="D228" s="185" t="s">
        <v>1976</v>
      </c>
      <c r="E228" s="185">
        <v>510530</v>
      </c>
      <c r="F228" s="185" t="s">
        <v>813</v>
      </c>
      <c r="G228" s="185" t="s">
        <v>1977</v>
      </c>
      <c r="H228" s="185" t="s">
        <v>1628</v>
      </c>
      <c r="I228" s="258" t="str">
        <f t="shared" si="10"/>
        <v>5</v>
      </c>
      <c r="J228" s="221">
        <f t="shared" si="11"/>
        <v>-21267</v>
      </c>
      <c r="K228" s="258">
        <f t="shared" si="12"/>
        <v>1</v>
      </c>
      <c r="L228" s="188">
        <v>0</v>
      </c>
      <c r="M228" s="188">
        <v>21267</v>
      </c>
      <c r="N228" s="189">
        <v>1000018061</v>
      </c>
      <c r="O228" t="s">
        <v>1975</v>
      </c>
      <c r="P228" s="187">
        <v>44965.348356481503</v>
      </c>
      <c r="Q228" s="186">
        <v>7020</v>
      </c>
      <c r="R228" s="185"/>
      <c r="S228" s="185" t="s">
        <v>1522</v>
      </c>
      <c r="T228"/>
      <c r="U228" t="str">
        <f>IF($L228&gt;0,VLOOKUP($E228,Valida!$A$1:$G$270,6,FALSE),IF($M228&gt;=0,VLOOKUP($E228,Valida!$A$1:$G$270,7,FALSE)))</f>
        <v>(+/-) Ganancia (pérdida)</v>
      </c>
      <c r="V228" s="190" t="str">
        <f>VLOOKUP(E228,Valida!$A$2:$K$271,4,FALSE)</f>
        <v>P&amp;L</v>
      </c>
      <c r="W228" s="185" t="s">
        <v>1978</v>
      </c>
      <c r="X228" s="185"/>
      <c r="Y228" s="185" t="s">
        <v>1789</v>
      </c>
      <c r="Z228"/>
    </row>
    <row r="229" spans="1:26">
      <c r="A229" s="185" t="s">
        <v>1799</v>
      </c>
      <c r="B229" s="185" t="s">
        <v>1980</v>
      </c>
      <c r="C229" s="185" t="s">
        <v>1897</v>
      </c>
      <c r="D229" s="185" t="s">
        <v>1981</v>
      </c>
      <c r="E229" s="185">
        <v>510506</v>
      </c>
      <c r="F229" s="185" t="s">
        <v>1076</v>
      </c>
      <c r="G229" s="185" t="s">
        <v>1982</v>
      </c>
      <c r="H229" s="185" t="s">
        <v>1515</v>
      </c>
      <c r="I229" s="258" t="str">
        <f t="shared" si="10"/>
        <v>5</v>
      </c>
      <c r="J229" s="221">
        <f t="shared" si="11"/>
        <v>1500000</v>
      </c>
      <c r="K229" s="258">
        <f t="shared" si="12"/>
        <v>1</v>
      </c>
      <c r="L229" s="188">
        <v>1500000</v>
      </c>
      <c r="M229" s="188">
        <v>0</v>
      </c>
      <c r="N229" s="189">
        <v>1000036375</v>
      </c>
      <c r="O229" t="s">
        <v>1980</v>
      </c>
      <c r="P229" s="187">
        <v>44965.352696759299</v>
      </c>
      <c r="Q229" s="186">
        <v>7021</v>
      </c>
      <c r="R229" s="185"/>
      <c r="S229" s="185" t="s">
        <v>1524</v>
      </c>
      <c r="T229"/>
      <c r="U229" t="str">
        <f>IF($L229&gt;0,VLOOKUP($E229,Valida!$A$1:$G$270,6,FALSE),IF($M229&gt;=0,VLOOKUP($E229,Valida!$A$1:$G$270,7,FALSE)))</f>
        <v>(+/-) Ganancia (pérdida)</v>
      </c>
      <c r="V229" s="190" t="str">
        <f>VLOOKUP(E229,Valida!$A$2:$K$271,4,FALSE)</f>
        <v>P&amp;L</v>
      </c>
      <c r="W229" s="185" t="s">
        <v>1983</v>
      </c>
      <c r="X229" s="185"/>
      <c r="Y229" s="185" t="s">
        <v>1789</v>
      </c>
      <c r="Z229"/>
    </row>
    <row r="230" spans="1:26">
      <c r="A230" s="185" t="s">
        <v>1799</v>
      </c>
      <c r="B230" s="185" t="s">
        <v>1980</v>
      </c>
      <c r="C230" s="185" t="s">
        <v>1897</v>
      </c>
      <c r="D230" s="185" t="s">
        <v>1981</v>
      </c>
      <c r="E230" s="185">
        <v>510527</v>
      </c>
      <c r="F230" s="185" t="s">
        <v>1089</v>
      </c>
      <c r="G230" s="185" t="s">
        <v>1982</v>
      </c>
      <c r="H230" s="185" t="s">
        <v>1515</v>
      </c>
      <c r="I230" s="258" t="str">
        <f t="shared" si="10"/>
        <v>5</v>
      </c>
      <c r="J230" s="221">
        <f t="shared" si="11"/>
        <v>140606</v>
      </c>
      <c r="K230" s="258">
        <f t="shared" si="12"/>
        <v>1</v>
      </c>
      <c r="L230" s="188">
        <v>140606</v>
      </c>
      <c r="M230" s="188">
        <v>0</v>
      </c>
      <c r="N230" s="189">
        <v>1000036375</v>
      </c>
      <c r="O230" t="s">
        <v>1980</v>
      </c>
      <c r="P230" s="187">
        <v>44965.352696759299</v>
      </c>
      <c r="Q230" s="186">
        <v>7022</v>
      </c>
      <c r="R230" s="185"/>
      <c r="S230" s="185" t="s">
        <v>1524</v>
      </c>
      <c r="T230"/>
      <c r="U230" t="str">
        <f>IF($L230&gt;0,VLOOKUP($E230,Valida!$A$1:$G$270,6,FALSE),IF($M230&gt;=0,VLOOKUP($E230,Valida!$A$1:$G$270,7,FALSE)))</f>
        <v>(+/-) Ganancia (pérdida)</v>
      </c>
      <c r="V230" s="190" t="str">
        <f>VLOOKUP(E230,Valida!$A$2:$K$271,4,FALSE)</f>
        <v>P&amp;L</v>
      </c>
      <c r="W230" s="185" t="s">
        <v>1983</v>
      </c>
      <c r="X230" s="185"/>
      <c r="Y230" s="185" t="s">
        <v>1789</v>
      </c>
      <c r="Z230"/>
    </row>
    <row r="231" spans="1:26">
      <c r="A231" s="185" t="s">
        <v>1799</v>
      </c>
      <c r="B231" s="185" t="s">
        <v>1980</v>
      </c>
      <c r="C231" s="185" t="s">
        <v>1897</v>
      </c>
      <c r="D231" s="185" t="s">
        <v>1981</v>
      </c>
      <c r="E231" s="185">
        <v>237005</v>
      </c>
      <c r="F231" s="185" t="s">
        <v>676</v>
      </c>
      <c r="G231" s="185" t="s">
        <v>1982</v>
      </c>
      <c r="H231" s="185" t="s">
        <v>1628</v>
      </c>
      <c r="I231" s="258" t="str">
        <f t="shared" si="10"/>
        <v>2</v>
      </c>
      <c r="J231" s="221">
        <f t="shared" si="11"/>
        <v>-64125</v>
      </c>
      <c r="K231" s="258">
        <f t="shared" si="12"/>
        <v>1</v>
      </c>
      <c r="L231" s="188">
        <v>0</v>
      </c>
      <c r="M231" s="188">
        <v>64125</v>
      </c>
      <c r="N231" s="189">
        <v>900156264</v>
      </c>
      <c r="O231" t="s">
        <v>1980</v>
      </c>
      <c r="P231" s="187">
        <v>44965.352696759299</v>
      </c>
      <c r="Q231" s="186">
        <v>7023</v>
      </c>
      <c r="R231" s="185" t="s">
        <v>433</v>
      </c>
      <c r="S231" s="185" t="s">
        <v>1654</v>
      </c>
      <c r="T231"/>
      <c r="U231" t="str">
        <f>IF($L231&gt;0,VLOOKUP($E231,Valida!$A$1:$G$270,6,FALSE),IF($M231&gt;=0,VLOOKUP($E231,Valida!$A$1:$G$270,7,FALSE)))</f>
        <v>(+/-) Ajustes por el incremento (disminución) de cuentas por pagar de origen comercial</v>
      </c>
      <c r="V231" s="190" t="str">
        <f>VLOOKUP(E231,Valida!$A$2:$K$271,4,FALSE)</f>
        <v>Trade and other payables</v>
      </c>
      <c r="W231" s="185" t="s">
        <v>1926</v>
      </c>
      <c r="X231" s="185" t="s">
        <v>1927</v>
      </c>
      <c r="Y231" s="185" t="s">
        <v>1789</v>
      </c>
      <c r="Z231"/>
    </row>
    <row r="232" spans="1:26">
      <c r="A232" s="185" t="s">
        <v>1799</v>
      </c>
      <c r="B232" s="185" t="s">
        <v>1980</v>
      </c>
      <c r="C232" s="185" t="s">
        <v>1897</v>
      </c>
      <c r="D232" s="185" t="s">
        <v>1981</v>
      </c>
      <c r="E232" s="185">
        <v>238030</v>
      </c>
      <c r="F232" s="185" t="s">
        <v>721</v>
      </c>
      <c r="G232" s="185" t="s">
        <v>1982</v>
      </c>
      <c r="H232" s="185" t="s">
        <v>1628</v>
      </c>
      <c r="I232" s="258" t="str">
        <f t="shared" si="10"/>
        <v>2</v>
      </c>
      <c r="J232" s="221">
        <f t="shared" si="11"/>
        <v>-64125</v>
      </c>
      <c r="K232" s="258">
        <f t="shared" si="12"/>
        <v>1</v>
      </c>
      <c r="L232" s="188">
        <v>0</v>
      </c>
      <c r="M232" s="188">
        <v>64125</v>
      </c>
      <c r="N232" s="189">
        <v>800224808</v>
      </c>
      <c r="O232" t="s">
        <v>1980</v>
      </c>
      <c r="P232" s="187">
        <v>44965.352696759299</v>
      </c>
      <c r="Q232" s="186">
        <v>7024</v>
      </c>
      <c r="R232" s="185" t="s">
        <v>1827</v>
      </c>
      <c r="S232" s="185" t="s">
        <v>1662</v>
      </c>
      <c r="T232"/>
      <c r="U232" t="str">
        <f>IF($L232&gt;0,VLOOKUP($E232,Valida!$A$1:$G$270,6,FALSE),IF($M232&gt;=0,VLOOKUP($E232,Valida!$A$1:$G$270,7,FALSE)))</f>
        <v>(+/-) Ajustes por el incremento (disminución) de cuentas por pagar de origen comercial</v>
      </c>
      <c r="V232" s="190" t="str">
        <f>VLOOKUP(E232,Valida!$A$2:$K$271,4,FALSE)</f>
        <v>Trade and other payables</v>
      </c>
      <c r="W232" s="185" t="s">
        <v>1911</v>
      </c>
      <c r="X232" s="185"/>
      <c r="Y232" s="185" t="s">
        <v>1789</v>
      </c>
      <c r="Z232"/>
    </row>
    <row r="233" spans="1:26">
      <c r="A233" s="185" t="s">
        <v>1799</v>
      </c>
      <c r="B233" s="185" t="s">
        <v>1980</v>
      </c>
      <c r="C233" s="185" t="s">
        <v>1897</v>
      </c>
      <c r="D233" s="185" t="s">
        <v>1981</v>
      </c>
      <c r="E233" s="185">
        <v>250505</v>
      </c>
      <c r="F233" s="185" t="s">
        <v>767</v>
      </c>
      <c r="G233" s="185" t="s">
        <v>1982</v>
      </c>
      <c r="H233" s="185" t="s">
        <v>1628</v>
      </c>
      <c r="I233" s="258" t="str">
        <f t="shared" si="10"/>
        <v>2</v>
      </c>
      <c r="J233" s="221">
        <f t="shared" si="11"/>
        <v>-1617451</v>
      </c>
      <c r="K233" s="258">
        <f t="shared" si="12"/>
        <v>1</v>
      </c>
      <c r="L233" s="188">
        <v>0</v>
      </c>
      <c r="M233" s="188">
        <v>1617451</v>
      </c>
      <c r="N233" s="189">
        <v>1000036375</v>
      </c>
      <c r="O233" t="s">
        <v>1980</v>
      </c>
      <c r="P233" s="187">
        <v>44965.352696759299</v>
      </c>
      <c r="Q233" s="186">
        <v>7025</v>
      </c>
      <c r="R233" s="185"/>
      <c r="S233" s="185" t="s">
        <v>1524</v>
      </c>
      <c r="T233"/>
      <c r="U233" t="str">
        <f>IF($L233&gt;0,VLOOKUP($E233,Valida!$A$1:$G$270,6,FALSE),IF($M233&gt;=0,VLOOKUP($E233,Valida!$A$1:$G$270,7,FALSE)))</f>
        <v>(+/-) Ajustes por el incremento (disminución) de cuentas por pagar de origen comercial</v>
      </c>
      <c r="V233" s="190" t="str">
        <f>VLOOKUP(E233,Valida!$A$2:$K$271,4,FALSE)</f>
        <v>Trade and other payables</v>
      </c>
      <c r="W233" s="185" t="s">
        <v>1983</v>
      </c>
      <c r="X233" s="185"/>
      <c r="Y233" s="185" t="s">
        <v>1789</v>
      </c>
      <c r="Z233"/>
    </row>
    <row r="234" spans="1:26">
      <c r="A234" s="185" t="s">
        <v>1799</v>
      </c>
      <c r="B234" s="185" t="s">
        <v>1980</v>
      </c>
      <c r="C234" s="185" t="s">
        <v>1897</v>
      </c>
      <c r="D234" s="185" t="s">
        <v>1981</v>
      </c>
      <c r="E234" s="185">
        <v>510530</v>
      </c>
      <c r="F234" s="185" t="s">
        <v>813</v>
      </c>
      <c r="G234" s="185" t="s">
        <v>1982</v>
      </c>
      <c r="H234" s="185" t="s">
        <v>1515</v>
      </c>
      <c r="I234" s="258" t="str">
        <f t="shared" si="10"/>
        <v>5</v>
      </c>
      <c r="J234" s="221">
        <f t="shared" si="11"/>
        <v>145311</v>
      </c>
      <c r="K234" s="258">
        <f t="shared" si="12"/>
        <v>1</v>
      </c>
      <c r="L234" s="188">
        <v>145311</v>
      </c>
      <c r="M234" s="188">
        <v>0</v>
      </c>
      <c r="N234" s="189">
        <v>1000036375</v>
      </c>
      <c r="O234" t="s">
        <v>1980</v>
      </c>
      <c r="P234" s="187">
        <v>44965.352696759299</v>
      </c>
      <c r="Q234" s="186">
        <v>7026</v>
      </c>
      <c r="R234" s="185"/>
      <c r="S234" s="185" t="s">
        <v>1524</v>
      </c>
      <c r="T234"/>
      <c r="U234" t="str">
        <f>IF($L234&gt;0,VLOOKUP($E234,Valida!$A$1:$G$270,6,FALSE),IF($M234&gt;=0,VLOOKUP($E234,Valida!$A$1:$G$270,7,FALSE)))</f>
        <v>(+/-) Ganancia (pérdida)</v>
      </c>
      <c r="V234" s="190" t="str">
        <f>VLOOKUP(E234,Valida!$A$2:$K$271,4,FALSE)</f>
        <v>P&amp;L</v>
      </c>
      <c r="W234" s="185" t="s">
        <v>1983</v>
      </c>
      <c r="X234" s="185"/>
      <c r="Y234" s="185" t="s">
        <v>1789</v>
      </c>
      <c r="Z234"/>
    </row>
    <row r="235" spans="1:26">
      <c r="A235" s="185" t="s">
        <v>1799</v>
      </c>
      <c r="B235" s="185" t="s">
        <v>1980</v>
      </c>
      <c r="C235" s="185" t="s">
        <v>1897</v>
      </c>
      <c r="D235" s="185" t="s">
        <v>1981</v>
      </c>
      <c r="E235" s="185">
        <v>510533</v>
      </c>
      <c r="F235" s="185" t="s">
        <v>779</v>
      </c>
      <c r="G235" s="185" t="s">
        <v>1982</v>
      </c>
      <c r="H235" s="185" t="s">
        <v>1515</v>
      </c>
      <c r="I235" s="258" t="str">
        <f t="shared" si="10"/>
        <v>5</v>
      </c>
      <c r="J235" s="221">
        <f t="shared" si="11"/>
        <v>17437</v>
      </c>
      <c r="K235" s="258">
        <f t="shared" si="12"/>
        <v>1</v>
      </c>
      <c r="L235" s="188">
        <v>17437</v>
      </c>
      <c r="M235" s="188">
        <v>0</v>
      </c>
      <c r="N235" s="189">
        <v>1000036375</v>
      </c>
      <c r="O235" t="s">
        <v>1980</v>
      </c>
      <c r="P235" s="187">
        <v>44965.352696759299</v>
      </c>
      <c r="Q235" s="186">
        <v>7027</v>
      </c>
      <c r="R235" s="185"/>
      <c r="S235" s="185" t="s">
        <v>1524</v>
      </c>
      <c r="T235"/>
      <c r="U235" t="str">
        <f>IF($L235&gt;0,VLOOKUP($E235,Valida!$A$1:$G$270,6,FALSE),IF($M235&gt;=0,VLOOKUP($E235,Valida!$A$1:$G$270,7,FALSE)))</f>
        <v>(+/-) Ganancia (pérdida)</v>
      </c>
      <c r="V235" s="190" t="str">
        <f>VLOOKUP(E235,Valida!$A$2:$K$271,4,FALSE)</f>
        <v>P&amp;L</v>
      </c>
      <c r="W235" s="185" t="s">
        <v>1983</v>
      </c>
      <c r="X235" s="185"/>
      <c r="Y235" s="185" t="s">
        <v>1789</v>
      </c>
      <c r="Z235"/>
    </row>
    <row r="236" spans="1:26">
      <c r="A236" s="185" t="s">
        <v>1799</v>
      </c>
      <c r="B236" s="185" t="s">
        <v>1980</v>
      </c>
      <c r="C236" s="185" t="s">
        <v>1897</v>
      </c>
      <c r="D236" s="185" t="s">
        <v>1981</v>
      </c>
      <c r="E236" s="185">
        <v>510536</v>
      </c>
      <c r="F236" s="185" t="s">
        <v>783</v>
      </c>
      <c r="G236" s="185" t="s">
        <v>1982</v>
      </c>
      <c r="H236" s="185" t="s">
        <v>1515</v>
      </c>
      <c r="I236" s="258" t="str">
        <f t="shared" si="10"/>
        <v>5</v>
      </c>
      <c r="J236" s="221">
        <f t="shared" si="11"/>
        <v>145311</v>
      </c>
      <c r="K236" s="258">
        <f t="shared" si="12"/>
        <v>1</v>
      </c>
      <c r="L236" s="188">
        <v>145311</v>
      </c>
      <c r="M236" s="188">
        <v>0</v>
      </c>
      <c r="N236" s="189">
        <v>1000036375</v>
      </c>
      <c r="O236" t="s">
        <v>1980</v>
      </c>
      <c r="P236" s="187">
        <v>44965.352696759299</v>
      </c>
      <c r="Q236" s="186">
        <v>7028</v>
      </c>
      <c r="R236" s="185"/>
      <c r="S236" s="185" t="s">
        <v>1524</v>
      </c>
      <c r="T236"/>
      <c r="U236" t="str">
        <f>IF($L236&gt;0,VLOOKUP($E236,Valida!$A$1:$G$270,6,FALSE),IF($M236&gt;=0,VLOOKUP($E236,Valida!$A$1:$G$270,7,FALSE)))</f>
        <v>(+/-) Ganancia (pérdida)</v>
      </c>
      <c r="V236" s="190" t="str">
        <f>VLOOKUP(E236,Valida!$A$2:$K$271,4,FALSE)</f>
        <v>P&amp;L</v>
      </c>
      <c r="W236" s="185" t="s">
        <v>1983</v>
      </c>
      <c r="X236" s="185"/>
      <c r="Y236" s="185" t="s">
        <v>1789</v>
      </c>
      <c r="Z236"/>
    </row>
    <row r="237" spans="1:26">
      <c r="A237" s="185" t="s">
        <v>1799</v>
      </c>
      <c r="B237" s="185" t="s">
        <v>1980</v>
      </c>
      <c r="C237" s="185" t="s">
        <v>1897</v>
      </c>
      <c r="D237" s="185" t="s">
        <v>1981</v>
      </c>
      <c r="E237" s="185">
        <v>510539</v>
      </c>
      <c r="F237" s="185" t="s">
        <v>818</v>
      </c>
      <c r="G237" s="185" t="s">
        <v>1982</v>
      </c>
      <c r="H237" s="185" t="s">
        <v>1515</v>
      </c>
      <c r="I237" s="258" t="str">
        <f t="shared" si="10"/>
        <v>5</v>
      </c>
      <c r="J237" s="221">
        <f t="shared" si="11"/>
        <v>66797</v>
      </c>
      <c r="K237" s="258">
        <f t="shared" si="12"/>
        <v>1</v>
      </c>
      <c r="L237" s="188">
        <v>66797</v>
      </c>
      <c r="M237" s="188">
        <v>0</v>
      </c>
      <c r="N237" s="189">
        <v>1000036375</v>
      </c>
      <c r="O237" t="s">
        <v>1980</v>
      </c>
      <c r="P237" s="187">
        <v>44965.352696759299</v>
      </c>
      <c r="Q237" s="186">
        <v>7029</v>
      </c>
      <c r="R237" s="185"/>
      <c r="S237" s="185" t="s">
        <v>1524</v>
      </c>
      <c r="T237"/>
      <c r="U237" t="str">
        <f>IF($L237&gt;0,VLOOKUP($E237,Valida!$A$1:$G$270,6,FALSE),IF($M237&gt;=0,VLOOKUP($E237,Valida!$A$1:$G$270,7,FALSE)))</f>
        <v>(+/-) Ganancia (pérdida)</v>
      </c>
      <c r="V237" s="190" t="str">
        <f>VLOOKUP(E237,Valida!$A$2:$K$271,4,FALSE)</f>
        <v>P&amp;L</v>
      </c>
      <c r="W237" s="185" t="s">
        <v>1983</v>
      </c>
      <c r="X237" s="185"/>
      <c r="Y237" s="185" t="s">
        <v>1789</v>
      </c>
      <c r="Z237"/>
    </row>
    <row r="238" spans="1:26">
      <c r="A238" s="185" t="s">
        <v>1799</v>
      </c>
      <c r="B238" s="185" t="s">
        <v>1980</v>
      </c>
      <c r="C238" s="185" t="s">
        <v>1897</v>
      </c>
      <c r="D238" s="185" t="s">
        <v>1981</v>
      </c>
      <c r="E238" s="185">
        <v>251010</v>
      </c>
      <c r="F238" s="185" t="s">
        <v>776</v>
      </c>
      <c r="G238" s="185" t="s">
        <v>1982</v>
      </c>
      <c r="H238" s="185" t="s">
        <v>1628</v>
      </c>
      <c r="I238" s="258" t="str">
        <f t="shared" si="10"/>
        <v>2</v>
      </c>
      <c r="J238" s="221">
        <f t="shared" si="11"/>
        <v>-145311</v>
      </c>
      <c r="K238" s="258">
        <f t="shared" si="12"/>
        <v>1</v>
      </c>
      <c r="L238" s="188">
        <v>0</v>
      </c>
      <c r="M238" s="188">
        <v>145311</v>
      </c>
      <c r="N238" s="189">
        <v>1000036375</v>
      </c>
      <c r="O238" t="s">
        <v>1980</v>
      </c>
      <c r="P238" s="187">
        <v>44965.352696759299</v>
      </c>
      <c r="Q238" s="186">
        <v>7030</v>
      </c>
      <c r="R238" s="185"/>
      <c r="S238" s="185" t="s">
        <v>1524</v>
      </c>
      <c r="T238"/>
      <c r="U238" t="str">
        <f>IF($L238&gt;0,VLOOKUP($E238,Valida!$A$1:$G$270,6,FALSE),IF($M238&gt;=0,VLOOKUP($E238,Valida!$A$1:$G$270,7,FALSE)))</f>
        <v>(+/-) Ajustes por el incremento (disminución) de cuentas por pagar de origen comercial</v>
      </c>
      <c r="V238" s="190" t="str">
        <f>VLOOKUP(E238,Valida!$A$2:$K$271,4,FALSE)</f>
        <v>Trade and other payables</v>
      </c>
      <c r="W238" s="185" t="s">
        <v>1983</v>
      </c>
      <c r="X238" s="185"/>
      <c r="Y238" s="185" t="s">
        <v>1789</v>
      </c>
      <c r="Z238"/>
    </row>
    <row r="239" spans="1:26">
      <c r="A239" s="185" t="s">
        <v>1799</v>
      </c>
      <c r="B239" s="185" t="s">
        <v>1980</v>
      </c>
      <c r="C239" s="185" t="s">
        <v>1897</v>
      </c>
      <c r="D239" s="185" t="s">
        <v>1981</v>
      </c>
      <c r="E239" s="185">
        <v>251505</v>
      </c>
      <c r="F239" s="185" t="s">
        <v>779</v>
      </c>
      <c r="G239" s="185" t="s">
        <v>1982</v>
      </c>
      <c r="H239" s="185" t="s">
        <v>1628</v>
      </c>
      <c r="I239" s="258" t="str">
        <f t="shared" si="10"/>
        <v>2</v>
      </c>
      <c r="J239" s="221">
        <f t="shared" si="11"/>
        <v>-17437</v>
      </c>
      <c r="K239" s="258">
        <f t="shared" si="12"/>
        <v>1</v>
      </c>
      <c r="L239" s="188">
        <v>0</v>
      </c>
      <c r="M239" s="188">
        <v>17437</v>
      </c>
      <c r="N239" s="189">
        <v>1000036375</v>
      </c>
      <c r="O239" t="s">
        <v>1980</v>
      </c>
      <c r="P239" s="187">
        <v>44965.352696759299</v>
      </c>
      <c r="Q239" s="186">
        <v>7031</v>
      </c>
      <c r="R239" s="185"/>
      <c r="S239" s="185" t="s">
        <v>1524</v>
      </c>
      <c r="T239"/>
      <c r="U239" t="str">
        <f>IF($L239&gt;0,VLOOKUP($E239,Valida!$A$1:$G$270,6,FALSE),IF($M239&gt;=0,VLOOKUP($E239,Valida!$A$1:$G$270,7,FALSE)))</f>
        <v>(+/-) Ajustes por el incremento (disminución) de cuentas por pagar de origen comercial</v>
      </c>
      <c r="V239" s="190" t="str">
        <f>VLOOKUP(E239,Valida!$A$2:$K$271,4,FALSE)</f>
        <v>Trade and other payables</v>
      </c>
      <c r="W239" s="185" t="s">
        <v>1983</v>
      </c>
      <c r="X239" s="185"/>
      <c r="Y239" s="185" t="s">
        <v>1789</v>
      </c>
      <c r="Z239"/>
    </row>
    <row r="240" spans="1:26">
      <c r="A240" s="185" t="s">
        <v>1799</v>
      </c>
      <c r="B240" s="185" t="s">
        <v>1980</v>
      </c>
      <c r="C240" s="185" t="s">
        <v>1897</v>
      </c>
      <c r="D240" s="185" t="s">
        <v>1981</v>
      </c>
      <c r="E240" s="185">
        <v>252005</v>
      </c>
      <c r="F240" s="185" t="s">
        <v>783</v>
      </c>
      <c r="G240" s="185" t="s">
        <v>1982</v>
      </c>
      <c r="H240" s="185" t="s">
        <v>1628</v>
      </c>
      <c r="I240" s="258" t="str">
        <f t="shared" si="10"/>
        <v>2</v>
      </c>
      <c r="J240" s="221">
        <f t="shared" si="11"/>
        <v>-145311</v>
      </c>
      <c r="K240" s="258">
        <f t="shared" si="12"/>
        <v>1</v>
      </c>
      <c r="L240" s="188">
        <v>0</v>
      </c>
      <c r="M240" s="188">
        <v>145311</v>
      </c>
      <c r="N240" s="189">
        <v>1000036375</v>
      </c>
      <c r="O240" t="s">
        <v>1980</v>
      </c>
      <c r="P240" s="187">
        <v>44965.352696759299</v>
      </c>
      <c r="Q240" s="186">
        <v>7032</v>
      </c>
      <c r="R240" s="185"/>
      <c r="S240" s="185" t="s">
        <v>1524</v>
      </c>
      <c r="T240"/>
      <c r="U240" t="str">
        <f>IF($L240&gt;0,VLOOKUP($E240,Valida!$A$1:$G$270,6,FALSE),IF($M240&gt;=0,VLOOKUP($E240,Valida!$A$1:$G$270,7,FALSE)))</f>
        <v>(+/-) Ajustes por el incremento (disminución) de cuentas por pagar de origen comercial</v>
      </c>
      <c r="V240" s="190" t="str">
        <f>VLOOKUP(E240,Valida!$A$2:$K$271,4,FALSE)</f>
        <v>Trade and other payables</v>
      </c>
      <c r="W240" s="185" t="s">
        <v>1983</v>
      </c>
      <c r="X240" s="185"/>
      <c r="Y240" s="185" t="s">
        <v>1789</v>
      </c>
      <c r="Z240"/>
    </row>
    <row r="241" spans="1:26">
      <c r="A241" s="185" t="s">
        <v>1799</v>
      </c>
      <c r="B241" s="185" t="s">
        <v>1980</v>
      </c>
      <c r="C241" s="185" t="s">
        <v>1897</v>
      </c>
      <c r="D241" s="185" t="s">
        <v>1981</v>
      </c>
      <c r="E241" s="185">
        <v>252505</v>
      </c>
      <c r="F241" s="185" t="s">
        <v>787</v>
      </c>
      <c r="G241" s="185" t="s">
        <v>1982</v>
      </c>
      <c r="H241" s="185" t="s">
        <v>1628</v>
      </c>
      <c r="I241" s="258" t="str">
        <f t="shared" si="10"/>
        <v>2</v>
      </c>
      <c r="J241" s="221">
        <f t="shared" si="11"/>
        <v>-66797</v>
      </c>
      <c r="K241" s="258">
        <f t="shared" si="12"/>
        <v>1</v>
      </c>
      <c r="L241" s="188">
        <v>0</v>
      </c>
      <c r="M241" s="188">
        <v>66797</v>
      </c>
      <c r="N241" s="189">
        <v>1000036375</v>
      </c>
      <c r="O241" t="s">
        <v>1980</v>
      </c>
      <c r="P241" s="187">
        <v>44965.352696759299</v>
      </c>
      <c r="Q241" s="186">
        <v>7033</v>
      </c>
      <c r="R241" s="185"/>
      <c r="S241" s="185" t="s">
        <v>1524</v>
      </c>
      <c r="T241"/>
      <c r="U241" t="str">
        <f>IF($L241&gt;0,VLOOKUP($E241,Valida!$A$1:$G$270,6,FALSE),IF($M241&gt;=0,VLOOKUP($E241,Valida!$A$1:$G$270,7,FALSE)))</f>
        <v>(+/-) Ajustes por el incremento (disminución) de cuentas por pagar de origen comercial</v>
      </c>
      <c r="V241" s="190" t="str">
        <f>VLOOKUP(E241,Valida!$A$2:$K$271,4,FALSE)</f>
        <v>Trade and other payables</v>
      </c>
      <c r="W241" s="185" t="s">
        <v>1983</v>
      </c>
      <c r="X241" s="185"/>
      <c r="Y241" s="185" t="s">
        <v>1789</v>
      </c>
      <c r="Z241"/>
    </row>
    <row r="242" spans="1:26">
      <c r="A242" s="185" t="s">
        <v>1799</v>
      </c>
      <c r="B242" s="185" t="s">
        <v>1980</v>
      </c>
      <c r="C242" s="185" t="s">
        <v>1897</v>
      </c>
      <c r="D242" s="185" t="s">
        <v>1981</v>
      </c>
      <c r="E242" s="185">
        <v>510570</v>
      </c>
      <c r="F242" s="185" t="s">
        <v>1116</v>
      </c>
      <c r="G242" s="185" t="s">
        <v>1982</v>
      </c>
      <c r="H242" s="185" t="s">
        <v>1515</v>
      </c>
      <c r="I242" s="258" t="str">
        <f t="shared" si="10"/>
        <v>5</v>
      </c>
      <c r="J242" s="221">
        <f t="shared" si="11"/>
        <v>192400</v>
      </c>
      <c r="K242" s="258">
        <f t="shared" si="12"/>
        <v>1</v>
      </c>
      <c r="L242" s="188">
        <v>192400</v>
      </c>
      <c r="M242" s="188">
        <v>0</v>
      </c>
      <c r="N242" s="189">
        <v>800224808</v>
      </c>
      <c r="O242" t="s">
        <v>1980</v>
      </c>
      <c r="P242" s="187">
        <v>44965.352696759299</v>
      </c>
      <c r="Q242" s="186">
        <v>7034</v>
      </c>
      <c r="R242" s="185" t="s">
        <v>1827</v>
      </c>
      <c r="S242" s="185" t="s">
        <v>1662</v>
      </c>
      <c r="T242"/>
      <c r="U242" t="str">
        <f>IF($L242&gt;0,VLOOKUP($E242,Valida!$A$1:$G$270,6,FALSE),IF($M242&gt;=0,VLOOKUP($E242,Valida!$A$1:$G$270,7,FALSE)))</f>
        <v>(+/-) Ganancia (pérdida)</v>
      </c>
      <c r="V242" s="190" t="str">
        <f>VLOOKUP(E242,Valida!$A$2:$K$271,4,FALSE)</f>
        <v>P&amp;L</v>
      </c>
      <c r="W242" s="185" t="s">
        <v>1911</v>
      </c>
      <c r="X242" s="185"/>
      <c r="Y242" s="185" t="s">
        <v>1789</v>
      </c>
      <c r="Z242"/>
    </row>
    <row r="243" spans="1:26">
      <c r="A243" s="185" t="s">
        <v>1799</v>
      </c>
      <c r="B243" s="185" t="s">
        <v>1980</v>
      </c>
      <c r="C243" s="185" t="s">
        <v>1897</v>
      </c>
      <c r="D243" s="185" t="s">
        <v>1981</v>
      </c>
      <c r="E243" s="185">
        <v>238030</v>
      </c>
      <c r="F243" s="185" t="s">
        <v>721</v>
      </c>
      <c r="G243" s="185" t="s">
        <v>1982</v>
      </c>
      <c r="H243" s="185" t="s">
        <v>1628</v>
      </c>
      <c r="I243" s="258" t="str">
        <f t="shared" si="10"/>
        <v>2</v>
      </c>
      <c r="J243" s="221">
        <f t="shared" si="11"/>
        <v>-192400</v>
      </c>
      <c r="K243" s="258">
        <f t="shared" si="12"/>
        <v>1</v>
      </c>
      <c r="L243" s="188">
        <v>0</v>
      </c>
      <c r="M243" s="188">
        <v>192400</v>
      </c>
      <c r="N243" s="189">
        <v>800224808</v>
      </c>
      <c r="O243" t="s">
        <v>1980</v>
      </c>
      <c r="P243" s="187">
        <v>44965.352696759299</v>
      </c>
      <c r="Q243" s="186">
        <v>7035</v>
      </c>
      <c r="R243" s="185" t="s">
        <v>1827</v>
      </c>
      <c r="S243" s="185" t="s">
        <v>1662</v>
      </c>
      <c r="T243"/>
      <c r="U243" t="str">
        <f>IF($L243&gt;0,VLOOKUP($E243,Valida!$A$1:$G$270,6,FALSE),IF($M243&gt;=0,VLOOKUP($E243,Valida!$A$1:$G$270,7,FALSE)))</f>
        <v>(+/-) Ajustes por el incremento (disminución) de cuentas por pagar de origen comercial</v>
      </c>
      <c r="V243" s="190" t="str">
        <f>VLOOKUP(E243,Valida!$A$2:$K$271,4,FALSE)</f>
        <v>Trade and other payables</v>
      </c>
      <c r="W243" s="185" t="s">
        <v>1911</v>
      </c>
      <c r="X243" s="185"/>
      <c r="Y243" s="185" t="s">
        <v>1789</v>
      </c>
      <c r="Z243"/>
    </row>
    <row r="244" spans="1:26">
      <c r="A244" s="185" t="s">
        <v>1799</v>
      </c>
      <c r="B244" s="185" t="s">
        <v>1980</v>
      </c>
      <c r="C244" s="185" t="s">
        <v>1897</v>
      </c>
      <c r="D244" s="185" t="s">
        <v>1981</v>
      </c>
      <c r="E244" s="185">
        <v>510568</v>
      </c>
      <c r="F244" s="185" t="s">
        <v>680</v>
      </c>
      <c r="G244" s="185" t="s">
        <v>1982</v>
      </c>
      <c r="H244" s="185" t="s">
        <v>1515</v>
      </c>
      <c r="I244" s="258" t="str">
        <f t="shared" si="10"/>
        <v>5</v>
      </c>
      <c r="J244" s="221">
        <f t="shared" si="11"/>
        <v>8400</v>
      </c>
      <c r="K244" s="258">
        <f t="shared" si="12"/>
        <v>1</v>
      </c>
      <c r="L244" s="188">
        <v>8400</v>
      </c>
      <c r="M244" s="188">
        <v>0</v>
      </c>
      <c r="N244" s="189">
        <v>860002503</v>
      </c>
      <c r="O244" t="s">
        <v>1980</v>
      </c>
      <c r="P244" s="187">
        <v>44965.352696759299</v>
      </c>
      <c r="Q244" s="186">
        <v>7036</v>
      </c>
      <c r="R244" s="185" t="s">
        <v>433</v>
      </c>
      <c r="S244" s="185" t="s">
        <v>1656</v>
      </c>
      <c r="T244"/>
      <c r="U244" t="str">
        <f>IF($L244&gt;0,VLOOKUP($E244,Valida!$A$1:$G$270,6,FALSE),IF($M244&gt;=0,VLOOKUP($E244,Valida!$A$1:$G$270,7,FALSE)))</f>
        <v>(+/-) Ganancia (pérdida)</v>
      </c>
      <c r="V244" s="190" t="str">
        <f>VLOOKUP(E244,Valida!$A$2:$K$271,4,FALSE)</f>
        <v>P&amp;L</v>
      </c>
      <c r="W244" s="185" t="s">
        <v>1912</v>
      </c>
      <c r="X244" s="185" t="s">
        <v>1913</v>
      </c>
      <c r="Y244" s="185" t="s">
        <v>1789</v>
      </c>
      <c r="Z244"/>
    </row>
    <row r="245" spans="1:26">
      <c r="A245" s="185" t="s">
        <v>1799</v>
      </c>
      <c r="B245" s="185" t="s">
        <v>1980</v>
      </c>
      <c r="C245" s="185" t="s">
        <v>1897</v>
      </c>
      <c r="D245" s="185" t="s">
        <v>1981</v>
      </c>
      <c r="E245" s="185">
        <v>237006</v>
      </c>
      <c r="F245" s="185" t="s">
        <v>680</v>
      </c>
      <c r="G245" s="185" t="s">
        <v>1982</v>
      </c>
      <c r="H245" s="185" t="s">
        <v>1628</v>
      </c>
      <c r="I245" s="258" t="str">
        <f t="shared" si="10"/>
        <v>2</v>
      </c>
      <c r="J245" s="221">
        <f t="shared" si="11"/>
        <v>-8400</v>
      </c>
      <c r="K245" s="258">
        <f t="shared" si="12"/>
        <v>1</v>
      </c>
      <c r="L245" s="188">
        <v>0</v>
      </c>
      <c r="M245" s="188">
        <v>8400</v>
      </c>
      <c r="N245" s="189">
        <v>860002503</v>
      </c>
      <c r="O245" t="s">
        <v>1980</v>
      </c>
      <c r="P245" s="187">
        <v>44965.352696759299</v>
      </c>
      <c r="Q245" s="186">
        <v>7037</v>
      </c>
      <c r="R245" s="185" t="s">
        <v>433</v>
      </c>
      <c r="S245" s="185" t="s">
        <v>1656</v>
      </c>
      <c r="T245"/>
      <c r="U245" t="str">
        <f>IF($L245&gt;0,VLOOKUP($E245,Valida!$A$1:$G$270,6,FALSE),IF($M245&gt;=0,VLOOKUP($E245,Valida!$A$1:$G$270,7,FALSE)))</f>
        <v>(+/-) Ajustes por el incremento (disminución) de cuentas por pagar de origen comercial</v>
      </c>
      <c r="V245" s="190" t="str">
        <f>VLOOKUP(E245,Valida!$A$2:$K$271,4,FALSE)</f>
        <v>Trade and other payables</v>
      </c>
      <c r="W245" s="185" t="s">
        <v>1912</v>
      </c>
      <c r="X245" s="185" t="s">
        <v>1913</v>
      </c>
      <c r="Y245" s="185" t="s">
        <v>1789</v>
      </c>
      <c r="Z245"/>
    </row>
    <row r="246" spans="1:26">
      <c r="A246" s="185" t="s">
        <v>1799</v>
      </c>
      <c r="B246" s="185" t="s">
        <v>1980</v>
      </c>
      <c r="C246" s="185" t="s">
        <v>1897</v>
      </c>
      <c r="D246" s="185" t="s">
        <v>1981</v>
      </c>
      <c r="E246" s="185">
        <v>510572</v>
      </c>
      <c r="F246" s="185" t="s">
        <v>1118</v>
      </c>
      <c r="G246" s="185" t="s">
        <v>1982</v>
      </c>
      <c r="H246" s="185" t="s">
        <v>1515</v>
      </c>
      <c r="I246" s="258" t="str">
        <f t="shared" si="10"/>
        <v>5</v>
      </c>
      <c r="J246" s="221">
        <f t="shared" si="11"/>
        <v>32100</v>
      </c>
      <c r="K246" s="258">
        <f t="shared" si="12"/>
        <v>1</v>
      </c>
      <c r="L246" s="188">
        <v>32100</v>
      </c>
      <c r="M246" s="188">
        <v>0</v>
      </c>
      <c r="N246" s="189">
        <v>860066942</v>
      </c>
      <c r="O246" t="s">
        <v>1980</v>
      </c>
      <c r="P246" s="187">
        <v>44965.352696759299</v>
      </c>
      <c r="Q246" s="186">
        <v>7038</v>
      </c>
      <c r="R246" s="185" t="s">
        <v>1814</v>
      </c>
      <c r="S246" s="185" t="s">
        <v>1574</v>
      </c>
      <c r="T246"/>
      <c r="U246" t="str">
        <f>IF($L246&gt;0,VLOOKUP($E246,Valida!$A$1:$G$270,6,FALSE),IF($M246&gt;=0,VLOOKUP($E246,Valida!$A$1:$G$270,7,FALSE)))</f>
        <v>(+/-) Ganancia (pérdida)</v>
      </c>
      <c r="V246" s="190" t="str">
        <f>VLOOKUP(E246,Valida!$A$2:$K$271,4,FALSE)</f>
        <v>P&amp;L</v>
      </c>
      <c r="W246" s="185" t="s">
        <v>1914</v>
      </c>
      <c r="X246" s="185" t="s">
        <v>1915</v>
      </c>
      <c r="Y246" s="185" t="s">
        <v>1789</v>
      </c>
      <c r="Z246"/>
    </row>
    <row r="247" spans="1:26">
      <c r="A247" s="185" t="s">
        <v>1799</v>
      </c>
      <c r="B247" s="185" t="s">
        <v>1980</v>
      </c>
      <c r="C247" s="185" t="s">
        <v>1897</v>
      </c>
      <c r="D247" s="185" t="s">
        <v>1981</v>
      </c>
      <c r="E247" s="185">
        <v>237010</v>
      </c>
      <c r="F247" s="185" t="s">
        <v>683</v>
      </c>
      <c r="G247" s="185" t="s">
        <v>1982</v>
      </c>
      <c r="H247" s="185" t="s">
        <v>1628</v>
      </c>
      <c r="I247" s="258" t="str">
        <f t="shared" si="10"/>
        <v>2</v>
      </c>
      <c r="J247" s="221">
        <f t="shared" si="11"/>
        <v>-32100</v>
      </c>
      <c r="K247" s="258">
        <f t="shared" si="12"/>
        <v>1</v>
      </c>
      <c r="L247" s="188">
        <v>0</v>
      </c>
      <c r="M247" s="188">
        <v>32100</v>
      </c>
      <c r="N247" s="189">
        <v>860066942</v>
      </c>
      <c r="O247" t="s">
        <v>1980</v>
      </c>
      <c r="P247" s="187">
        <v>44965.352696759299</v>
      </c>
      <c r="Q247" s="186">
        <v>7039</v>
      </c>
      <c r="R247" s="185" t="s">
        <v>1814</v>
      </c>
      <c r="S247" s="185" t="s">
        <v>1574</v>
      </c>
      <c r="T247"/>
      <c r="U247" t="str">
        <f>IF($L247&gt;0,VLOOKUP($E247,Valida!$A$1:$G$270,6,FALSE),IF($M247&gt;=0,VLOOKUP($E247,Valida!$A$1:$G$270,7,FALSE)))</f>
        <v>(+/-) Ajustes por el incremento (disminución) de cuentas por pagar de origen comercial</v>
      </c>
      <c r="V247" s="190" t="str">
        <f>VLOOKUP(E247,Valida!$A$2:$K$271,4,FALSE)</f>
        <v>Trade and other payables</v>
      </c>
      <c r="W247" s="185" t="s">
        <v>1914</v>
      </c>
      <c r="X247" s="185" t="s">
        <v>1915</v>
      </c>
      <c r="Y247" s="185" t="s">
        <v>1789</v>
      </c>
      <c r="Z247"/>
    </row>
    <row r="248" spans="1:26">
      <c r="A248" s="185" t="s">
        <v>1799</v>
      </c>
      <c r="B248" s="185" t="s">
        <v>1980</v>
      </c>
      <c r="C248" s="185" t="s">
        <v>1897</v>
      </c>
      <c r="D248" s="185" t="s">
        <v>1981</v>
      </c>
      <c r="E248" s="185">
        <v>251505</v>
      </c>
      <c r="F248" s="185" t="s">
        <v>779</v>
      </c>
      <c r="G248" s="185" t="s">
        <v>1982</v>
      </c>
      <c r="H248" s="185" t="s">
        <v>1515</v>
      </c>
      <c r="I248" s="258" t="str">
        <f t="shared" si="10"/>
        <v>2</v>
      </c>
      <c r="J248" s="221">
        <f t="shared" si="11"/>
        <v>1970</v>
      </c>
      <c r="K248" s="258">
        <f t="shared" si="12"/>
        <v>1</v>
      </c>
      <c r="L248" s="188">
        <v>1970</v>
      </c>
      <c r="M248" s="188">
        <v>0</v>
      </c>
      <c r="N248" s="189">
        <v>1000036375</v>
      </c>
      <c r="O248" t="s">
        <v>1980</v>
      </c>
      <c r="P248" s="187">
        <v>44965.352708333303</v>
      </c>
      <c r="Q248" s="186">
        <v>7040</v>
      </c>
      <c r="R248" s="185"/>
      <c r="S248" s="185" t="s">
        <v>1524</v>
      </c>
      <c r="T248"/>
      <c r="U248" t="str">
        <f>IF($L248&gt;0,VLOOKUP($E248,Valida!$A$1:$G$270,6,FALSE),IF($M248&gt;=0,VLOOKUP($E248,Valida!$A$1:$G$270,7,FALSE)))</f>
        <v>(+/-) Ajustes por el incremento (disminución) de cuentas por pagar de origen comercial</v>
      </c>
      <c r="V248" s="190" t="str">
        <f>VLOOKUP(E248,Valida!$A$2:$K$271,4,FALSE)</f>
        <v>Trade and other payables</v>
      </c>
      <c r="W248" s="185" t="s">
        <v>1983</v>
      </c>
      <c r="X248" s="185"/>
      <c r="Y248" s="185" t="s">
        <v>1789</v>
      </c>
      <c r="Z248"/>
    </row>
    <row r="249" spans="1:26">
      <c r="A249" s="185" t="s">
        <v>1799</v>
      </c>
      <c r="B249" s="185" t="s">
        <v>1980</v>
      </c>
      <c r="C249" s="185" t="s">
        <v>1897</v>
      </c>
      <c r="D249" s="185" t="s">
        <v>1981</v>
      </c>
      <c r="E249" s="185">
        <v>510515</v>
      </c>
      <c r="F249" s="185" t="s">
        <v>1080</v>
      </c>
      <c r="G249" s="185" t="s">
        <v>1982</v>
      </c>
      <c r="H249" s="185" t="s">
        <v>1515</v>
      </c>
      <c r="I249" s="258" t="str">
        <f t="shared" si="10"/>
        <v>5</v>
      </c>
      <c r="J249" s="221">
        <f t="shared" si="11"/>
        <v>103125</v>
      </c>
      <c r="K249" s="258">
        <f t="shared" si="12"/>
        <v>1</v>
      </c>
      <c r="L249" s="188">
        <v>103125</v>
      </c>
      <c r="M249" s="188">
        <v>0</v>
      </c>
      <c r="N249" s="189">
        <v>1000036375</v>
      </c>
      <c r="O249" t="s">
        <v>1980</v>
      </c>
      <c r="P249" s="187">
        <v>44965.352708333303</v>
      </c>
      <c r="Q249" s="186">
        <v>7041</v>
      </c>
      <c r="R249" s="185"/>
      <c r="S249" s="185" t="s">
        <v>1524</v>
      </c>
      <c r="T249"/>
      <c r="U249" t="str">
        <f>IF($L249&gt;0,VLOOKUP($E249,Valida!$A$1:$G$270,6,FALSE),IF($M249&gt;=0,VLOOKUP($E249,Valida!$A$1:$G$270,7,FALSE)))</f>
        <v>(+/-) Ganancia (pérdida)</v>
      </c>
      <c r="V249" s="190" t="str">
        <f>VLOOKUP(E249,Valida!$A$2:$K$271,4,FALSE)</f>
        <v>P&amp;L</v>
      </c>
      <c r="W249" s="185" t="s">
        <v>1983</v>
      </c>
      <c r="X249" s="185"/>
      <c r="Y249" s="185" t="s">
        <v>1789</v>
      </c>
      <c r="Z249"/>
    </row>
    <row r="250" spans="1:26">
      <c r="A250" s="185" t="s">
        <v>1799</v>
      </c>
      <c r="B250" s="185" t="s">
        <v>1984</v>
      </c>
      <c r="C250" s="185" t="s">
        <v>1785</v>
      </c>
      <c r="D250" s="185" t="s">
        <v>1985</v>
      </c>
      <c r="E250" s="185">
        <v>237095</v>
      </c>
      <c r="F250" s="185" t="s">
        <v>150</v>
      </c>
      <c r="G250" s="185" t="s">
        <v>1986</v>
      </c>
      <c r="H250" s="185" t="s">
        <v>1628</v>
      </c>
      <c r="I250" s="258" t="str">
        <f t="shared" si="10"/>
        <v>2</v>
      </c>
      <c r="J250" s="221">
        <f t="shared" si="11"/>
        <v>-1143300</v>
      </c>
      <c r="K250" s="258">
        <f t="shared" si="12"/>
        <v>1</v>
      </c>
      <c r="L250" s="188">
        <v>0</v>
      </c>
      <c r="M250" s="188">
        <v>1143300</v>
      </c>
      <c r="N250" s="189">
        <v>860066942</v>
      </c>
      <c r="O250" t="s">
        <v>1984</v>
      </c>
      <c r="P250" s="187">
        <v>44965.843229166698</v>
      </c>
      <c r="Q250" s="186">
        <v>7042</v>
      </c>
      <c r="R250" s="185" t="s">
        <v>1814</v>
      </c>
      <c r="S250" s="185" t="s">
        <v>1574</v>
      </c>
      <c r="T250"/>
      <c r="U250" t="str">
        <f>IF($L250&gt;0,VLOOKUP($E250,Valida!$A$1:$G$270,6,FALSE),IF($M250&gt;=0,VLOOKUP($E250,Valida!$A$1:$G$270,7,FALSE)))</f>
        <v>(+/-) Ajustes por el incremento (disminución) de cuentas por pagar de origen comercial</v>
      </c>
      <c r="V250" s="190" t="str">
        <f>VLOOKUP(E250,Valida!$A$2:$K$271,4,FALSE)</f>
        <v>Trade and other payables</v>
      </c>
      <c r="W250" s="185" t="s">
        <v>1914</v>
      </c>
      <c r="X250" s="185" t="s">
        <v>1915</v>
      </c>
      <c r="Y250" s="185" t="s">
        <v>1789</v>
      </c>
      <c r="Z250"/>
    </row>
    <row r="251" spans="1:26">
      <c r="A251" s="185" t="s">
        <v>1799</v>
      </c>
      <c r="B251" s="185" t="s">
        <v>1984</v>
      </c>
      <c r="C251" s="185" t="s">
        <v>1785</v>
      </c>
      <c r="D251" s="185" t="s">
        <v>1985</v>
      </c>
      <c r="E251" s="185">
        <v>238030</v>
      </c>
      <c r="F251" s="185" t="s">
        <v>721</v>
      </c>
      <c r="G251" s="185" t="s">
        <v>1986</v>
      </c>
      <c r="H251" s="185" t="s">
        <v>1515</v>
      </c>
      <c r="I251" s="258" t="str">
        <f t="shared" si="10"/>
        <v>2</v>
      </c>
      <c r="J251" s="221">
        <f t="shared" si="11"/>
        <v>222800</v>
      </c>
      <c r="K251" s="258">
        <f t="shared" si="12"/>
        <v>1</v>
      </c>
      <c r="L251" s="188">
        <v>222800</v>
      </c>
      <c r="M251" s="188">
        <v>0</v>
      </c>
      <c r="N251" s="189">
        <v>900950893</v>
      </c>
      <c r="O251" t="s">
        <v>1984</v>
      </c>
      <c r="P251" s="187">
        <v>44965.843229166698</v>
      </c>
      <c r="Q251" s="186">
        <v>7043</v>
      </c>
      <c r="R251" s="185" t="s">
        <v>1519</v>
      </c>
      <c r="S251" s="185" t="s">
        <v>1668</v>
      </c>
      <c r="T251"/>
      <c r="U251" t="str">
        <f>IF($L251&gt;0,VLOOKUP($E251,Valida!$A$1:$G$270,6,FALSE),IF($M251&gt;=0,VLOOKUP($E251,Valida!$A$1:$G$270,7,FALSE)))</f>
        <v>(+/-) Ajustes por el incremento (disminución) de cuentas por pagar de origen comercial</v>
      </c>
      <c r="V251" s="190" t="str">
        <f>VLOOKUP(E251,Valida!$A$2:$K$271,4,FALSE)</f>
        <v>Trade and other payables</v>
      </c>
      <c r="W251" s="185" t="s">
        <v>1928</v>
      </c>
      <c r="X251" s="185"/>
      <c r="Y251" s="185" t="s">
        <v>1789</v>
      </c>
      <c r="Z251"/>
    </row>
    <row r="252" spans="1:26">
      <c r="A252" s="185" t="s">
        <v>1799</v>
      </c>
      <c r="B252" s="185" t="s">
        <v>1984</v>
      </c>
      <c r="C252" s="185" t="s">
        <v>1785</v>
      </c>
      <c r="D252" s="185" t="s">
        <v>1985</v>
      </c>
      <c r="E252" s="185">
        <v>238030</v>
      </c>
      <c r="F252" s="185" t="s">
        <v>721</v>
      </c>
      <c r="G252" s="185" t="s">
        <v>1986</v>
      </c>
      <c r="H252" s="185" t="s">
        <v>1515</v>
      </c>
      <c r="I252" s="258" t="str">
        <f t="shared" si="10"/>
        <v>2</v>
      </c>
      <c r="J252" s="221">
        <f t="shared" si="11"/>
        <v>240000</v>
      </c>
      <c r="K252" s="258">
        <f t="shared" si="12"/>
        <v>1</v>
      </c>
      <c r="L252" s="188">
        <v>240000</v>
      </c>
      <c r="M252" s="188">
        <v>0</v>
      </c>
      <c r="N252" s="189">
        <v>800144331</v>
      </c>
      <c r="O252" t="s">
        <v>1984</v>
      </c>
      <c r="P252" s="187">
        <v>44965.843229166698</v>
      </c>
      <c r="Q252" s="186">
        <v>7044</v>
      </c>
      <c r="R252" s="185" t="s">
        <v>844</v>
      </c>
      <c r="S252" s="185" t="s">
        <v>1658</v>
      </c>
      <c r="T252"/>
      <c r="U252" t="str">
        <f>IF($L252&gt;0,VLOOKUP($E252,Valida!$A$1:$G$270,6,FALSE),IF($M252&gt;=0,VLOOKUP($E252,Valida!$A$1:$G$270,7,FALSE)))</f>
        <v>(+/-) Ajustes por el incremento (disminución) de cuentas por pagar de origen comercial</v>
      </c>
      <c r="V252" s="190" t="str">
        <f>VLOOKUP(E252,Valida!$A$2:$K$271,4,FALSE)</f>
        <v>Trade and other payables</v>
      </c>
      <c r="W252" s="185" t="s">
        <v>1904</v>
      </c>
      <c r="X252" s="185" t="s">
        <v>1905</v>
      </c>
      <c r="Y252" s="185" t="s">
        <v>1789</v>
      </c>
      <c r="Z252"/>
    </row>
    <row r="253" spans="1:26">
      <c r="A253" s="185" t="s">
        <v>1799</v>
      </c>
      <c r="B253" s="185" t="s">
        <v>1984</v>
      </c>
      <c r="C253" s="185" t="s">
        <v>1785</v>
      </c>
      <c r="D253" s="185" t="s">
        <v>1985</v>
      </c>
      <c r="E253" s="185">
        <v>238030</v>
      </c>
      <c r="F253" s="185" t="s">
        <v>721</v>
      </c>
      <c r="G253" s="185" t="s">
        <v>1986</v>
      </c>
      <c r="H253" s="185" t="s">
        <v>1515</v>
      </c>
      <c r="I253" s="258" t="str">
        <f t="shared" si="10"/>
        <v>2</v>
      </c>
      <c r="J253" s="221">
        <f t="shared" si="11"/>
        <v>442125</v>
      </c>
      <c r="K253" s="258">
        <f t="shared" si="12"/>
        <v>1</v>
      </c>
      <c r="L253" s="188">
        <v>442125</v>
      </c>
      <c r="M253" s="188">
        <v>0</v>
      </c>
      <c r="N253" s="189">
        <v>800224808</v>
      </c>
      <c r="O253" t="s">
        <v>1984</v>
      </c>
      <c r="P253" s="187">
        <v>44965.843229166698</v>
      </c>
      <c r="Q253" s="186">
        <v>7045</v>
      </c>
      <c r="R253" s="185" t="s">
        <v>1827</v>
      </c>
      <c r="S253" s="185" t="s">
        <v>1662</v>
      </c>
      <c r="T253"/>
      <c r="U253" t="str">
        <f>IF($L253&gt;0,VLOOKUP($E253,Valida!$A$1:$G$270,6,FALSE),IF($M253&gt;=0,VLOOKUP($E253,Valida!$A$1:$G$270,7,FALSE)))</f>
        <v>(+/-) Ajustes por el incremento (disminución) de cuentas por pagar de origen comercial</v>
      </c>
      <c r="V253" s="190" t="str">
        <f>VLOOKUP(E253,Valida!$A$2:$K$271,4,FALSE)</f>
        <v>Trade and other payables</v>
      </c>
      <c r="W253" s="185" t="s">
        <v>1911</v>
      </c>
      <c r="X253" s="185"/>
      <c r="Y253" s="185" t="s">
        <v>1789</v>
      </c>
      <c r="Z253"/>
    </row>
    <row r="254" spans="1:26">
      <c r="A254" s="185" t="s">
        <v>1799</v>
      </c>
      <c r="B254" s="185" t="s">
        <v>1984</v>
      </c>
      <c r="C254" s="185" t="s">
        <v>1785</v>
      </c>
      <c r="D254" s="185" t="s">
        <v>1985</v>
      </c>
      <c r="E254" s="185">
        <v>238030</v>
      </c>
      <c r="F254" s="185" t="s">
        <v>721</v>
      </c>
      <c r="G254" s="185" t="s">
        <v>1986</v>
      </c>
      <c r="H254" s="185" t="s">
        <v>1515</v>
      </c>
      <c r="I254" s="258" t="str">
        <f t="shared" si="10"/>
        <v>2</v>
      </c>
      <c r="J254" s="221">
        <f t="shared" si="11"/>
        <v>204140</v>
      </c>
      <c r="K254" s="258">
        <f t="shared" si="12"/>
        <v>1</v>
      </c>
      <c r="L254" s="188">
        <v>204140</v>
      </c>
      <c r="M254" s="188">
        <v>0</v>
      </c>
      <c r="N254" s="189">
        <v>800149496</v>
      </c>
      <c r="O254" t="s">
        <v>1984</v>
      </c>
      <c r="P254" s="187">
        <v>44965.843229166698</v>
      </c>
      <c r="Q254" s="186">
        <v>7046</v>
      </c>
      <c r="R254" s="185" t="s">
        <v>433</v>
      </c>
      <c r="S254" s="185" t="s">
        <v>1660</v>
      </c>
      <c r="T254"/>
      <c r="U254" t="str">
        <f>IF($L254&gt;0,VLOOKUP($E254,Valida!$A$1:$G$270,6,FALSE),IF($M254&gt;=0,VLOOKUP($E254,Valida!$A$1:$G$270,7,FALSE)))</f>
        <v>(+/-) Ajustes por el incremento (disminución) de cuentas por pagar de origen comercial</v>
      </c>
      <c r="V254" s="190" t="str">
        <f>VLOOKUP(E254,Valida!$A$2:$K$271,4,FALSE)</f>
        <v>Trade and other payables</v>
      </c>
      <c r="W254" s="185" t="s">
        <v>1979</v>
      </c>
      <c r="X254" s="185"/>
      <c r="Y254" s="185" t="s">
        <v>1789</v>
      </c>
      <c r="Z254"/>
    </row>
    <row r="255" spans="1:26">
      <c r="A255" s="185" t="s">
        <v>1799</v>
      </c>
      <c r="B255" s="185" t="s">
        <v>1984</v>
      </c>
      <c r="C255" s="185" t="s">
        <v>1785</v>
      </c>
      <c r="D255" s="185" t="s">
        <v>1985</v>
      </c>
      <c r="E255" s="185">
        <v>53059510</v>
      </c>
      <c r="F255" s="185" t="s">
        <v>1065</v>
      </c>
      <c r="G255" s="185" t="s">
        <v>1986</v>
      </c>
      <c r="H255" s="185" t="s">
        <v>1515</v>
      </c>
      <c r="I255" s="258" t="str">
        <f t="shared" si="10"/>
        <v>5</v>
      </c>
      <c r="J255" s="221">
        <f t="shared" si="11"/>
        <v>235</v>
      </c>
      <c r="K255" s="258">
        <f t="shared" si="12"/>
        <v>1</v>
      </c>
      <c r="L255" s="188">
        <v>235</v>
      </c>
      <c r="M255" s="188">
        <v>0</v>
      </c>
      <c r="N255" s="189">
        <v>860066942</v>
      </c>
      <c r="O255" t="s">
        <v>1984</v>
      </c>
      <c r="P255" s="187">
        <v>44965.843229166698</v>
      </c>
      <c r="Q255" s="186">
        <v>7047</v>
      </c>
      <c r="R255" s="185" t="s">
        <v>1814</v>
      </c>
      <c r="S255" s="185" t="s">
        <v>1574</v>
      </c>
      <c r="T255"/>
      <c r="U255" t="str">
        <f>IF($L255&gt;0,VLOOKUP($E255,Valida!$A$1:$G$270,6,FALSE),IF($M255&gt;=0,VLOOKUP($E255,Valida!$A$1:$G$270,7,FALSE)))</f>
        <v>(+/-) Ganancia (pérdida)</v>
      </c>
      <c r="V255" s="190" t="str">
        <f>VLOOKUP(E255,Valida!$A$2:$K$271,4,FALSE)</f>
        <v>P&amp;L</v>
      </c>
      <c r="W255" s="185" t="s">
        <v>1914</v>
      </c>
      <c r="X255" s="185" t="s">
        <v>1915</v>
      </c>
      <c r="Y255" s="185" t="s">
        <v>1789</v>
      </c>
      <c r="Z255"/>
    </row>
    <row r="256" spans="1:26">
      <c r="A256" s="185" t="s">
        <v>1799</v>
      </c>
      <c r="B256" s="185" t="s">
        <v>1984</v>
      </c>
      <c r="C256" s="185" t="s">
        <v>1785</v>
      </c>
      <c r="D256" s="185" t="s">
        <v>1985</v>
      </c>
      <c r="E256" s="185">
        <v>510570</v>
      </c>
      <c r="F256" s="185" t="s">
        <v>1116</v>
      </c>
      <c r="G256" s="185" t="s">
        <v>1986</v>
      </c>
      <c r="H256" s="185" t="s">
        <v>1515</v>
      </c>
      <c r="I256" s="258" t="str">
        <f t="shared" si="10"/>
        <v>5</v>
      </c>
      <c r="J256" s="221">
        <f t="shared" si="11"/>
        <v>34000</v>
      </c>
      <c r="K256" s="258">
        <f t="shared" si="12"/>
        <v>1</v>
      </c>
      <c r="L256" s="188">
        <v>34000</v>
      </c>
      <c r="M256" s="188">
        <v>0</v>
      </c>
      <c r="N256" s="189">
        <v>900950893</v>
      </c>
      <c r="O256" t="s">
        <v>1984</v>
      </c>
      <c r="P256" s="187">
        <v>44965.843229166698</v>
      </c>
      <c r="Q256" s="186">
        <v>7048</v>
      </c>
      <c r="R256" s="185" t="s">
        <v>1519</v>
      </c>
      <c r="S256" s="185" t="s">
        <v>1668</v>
      </c>
      <c r="T256"/>
      <c r="U256" t="str">
        <f>IF($L256&gt;0,VLOOKUP($E256,Valida!$A$1:$G$270,6,FALSE),IF($M256&gt;=0,VLOOKUP($E256,Valida!$A$1:$G$270,7,FALSE)))</f>
        <v>(+/-) Ganancia (pérdida)</v>
      </c>
      <c r="V256" s="190" t="str">
        <f>VLOOKUP(E256,Valida!$A$2:$K$271,4,FALSE)</f>
        <v>P&amp;L</v>
      </c>
      <c r="W256" s="185" t="s">
        <v>1928</v>
      </c>
      <c r="X256" s="185"/>
      <c r="Y256" s="185" t="s">
        <v>1789</v>
      </c>
      <c r="Z256"/>
    </row>
    <row r="257" spans="1:26">
      <c r="A257" s="185" t="s">
        <v>1799</v>
      </c>
      <c r="B257" s="185" t="s">
        <v>1987</v>
      </c>
      <c r="C257" s="185" t="s">
        <v>1785</v>
      </c>
      <c r="D257" s="185" t="s">
        <v>1988</v>
      </c>
      <c r="E257" s="185">
        <v>237010</v>
      </c>
      <c r="F257" s="185" t="s">
        <v>683</v>
      </c>
      <c r="G257" s="185" t="s">
        <v>1989</v>
      </c>
      <c r="H257" s="185" t="s">
        <v>1515</v>
      </c>
      <c r="I257" s="258" t="str">
        <f t="shared" si="10"/>
        <v>2</v>
      </c>
      <c r="J257" s="221">
        <f t="shared" si="11"/>
        <v>138700</v>
      </c>
      <c r="K257" s="258">
        <f t="shared" si="12"/>
        <v>1</v>
      </c>
      <c r="L257" s="188">
        <v>138700</v>
      </c>
      <c r="M257" s="188">
        <v>0</v>
      </c>
      <c r="N257" s="189">
        <v>860066942</v>
      </c>
      <c r="O257" t="s">
        <v>1987</v>
      </c>
      <c r="P257" s="187">
        <v>44965.849166666703</v>
      </c>
      <c r="Q257" s="186">
        <v>7056</v>
      </c>
      <c r="R257" s="185" t="s">
        <v>1814</v>
      </c>
      <c r="S257" s="185" t="s">
        <v>1574</v>
      </c>
      <c r="T257"/>
      <c r="U257" t="str">
        <f>IF($L257&gt;0,VLOOKUP($E257,Valida!$A$1:$G$270,6,FALSE),IF($M257&gt;=0,VLOOKUP($E257,Valida!$A$1:$G$270,7,FALSE)))</f>
        <v>(+/-) Ajustes por el incremento (disminución) de cuentas por pagar de origen comercial</v>
      </c>
      <c r="V257" s="190" t="str">
        <f>VLOOKUP(E257,Valida!$A$2:$K$271,4,FALSE)</f>
        <v>Trade and other payables</v>
      </c>
      <c r="W257" s="185" t="s">
        <v>1914</v>
      </c>
      <c r="X257" s="185" t="s">
        <v>1915</v>
      </c>
      <c r="Y257" s="185" t="s">
        <v>1789</v>
      </c>
      <c r="Z257"/>
    </row>
    <row r="258" spans="1:26">
      <c r="A258" s="185" t="s">
        <v>1799</v>
      </c>
      <c r="B258" s="185" t="s">
        <v>1987</v>
      </c>
      <c r="C258" s="185" t="s">
        <v>1785</v>
      </c>
      <c r="D258" s="185" t="s">
        <v>1988</v>
      </c>
      <c r="E258" s="185">
        <v>237095</v>
      </c>
      <c r="F258" s="185" t="s">
        <v>150</v>
      </c>
      <c r="G258" s="185" t="s">
        <v>1989</v>
      </c>
      <c r="H258" s="185" t="s">
        <v>1628</v>
      </c>
      <c r="I258" s="258" t="str">
        <f t="shared" si="10"/>
        <v>2</v>
      </c>
      <c r="J258" s="221">
        <f t="shared" si="11"/>
        <v>-180700</v>
      </c>
      <c r="K258" s="258">
        <f t="shared" si="12"/>
        <v>1</v>
      </c>
      <c r="L258" s="188">
        <v>0</v>
      </c>
      <c r="M258" s="188">
        <v>180700</v>
      </c>
      <c r="N258" s="189">
        <v>860066942</v>
      </c>
      <c r="O258" t="s">
        <v>1987</v>
      </c>
      <c r="P258" s="187">
        <v>44965.8491782407</v>
      </c>
      <c r="Q258" s="186">
        <v>7058</v>
      </c>
      <c r="R258" s="185" t="s">
        <v>1814</v>
      </c>
      <c r="S258" s="185" t="s">
        <v>1574</v>
      </c>
      <c r="T258"/>
      <c r="U258" t="str">
        <f>IF($L258&gt;0,VLOOKUP($E258,Valida!$A$1:$G$270,6,FALSE),IF($M258&gt;=0,VLOOKUP($E258,Valida!$A$1:$G$270,7,FALSE)))</f>
        <v>(+/-) Ajustes por el incremento (disminución) de cuentas por pagar de origen comercial</v>
      </c>
      <c r="V258" s="190" t="str">
        <f>VLOOKUP(E258,Valida!$A$2:$K$271,4,FALSE)</f>
        <v>Trade and other payables</v>
      </c>
      <c r="W258" s="185" t="s">
        <v>1914</v>
      </c>
      <c r="X258" s="185" t="s">
        <v>1915</v>
      </c>
      <c r="Y258" s="185" t="s">
        <v>1789</v>
      </c>
      <c r="Z258"/>
    </row>
    <row r="259" spans="1:26">
      <c r="A259" s="185" t="s">
        <v>1799</v>
      </c>
      <c r="B259" s="185" t="s">
        <v>1987</v>
      </c>
      <c r="C259" s="185" t="s">
        <v>1785</v>
      </c>
      <c r="D259" s="185" t="s">
        <v>1988</v>
      </c>
      <c r="E259" s="185">
        <v>237006</v>
      </c>
      <c r="F259" s="185" t="s">
        <v>680</v>
      </c>
      <c r="G259" s="185" t="s">
        <v>1989</v>
      </c>
      <c r="H259" s="185" t="s">
        <v>1515</v>
      </c>
      <c r="I259" s="258" t="str">
        <f t="shared" ref="I259:I322" si="13">LEFT(E259,1)</f>
        <v>2</v>
      </c>
      <c r="J259" s="221">
        <f t="shared" ref="J259:J322" si="14">L259-M259</f>
        <v>36400</v>
      </c>
      <c r="K259" s="258">
        <f t="shared" ref="K259:K322" si="15">MONTH(A259)</f>
        <v>1</v>
      </c>
      <c r="L259" s="188">
        <v>36400</v>
      </c>
      <c r="M259" s="188">
        <v>0</v>
      </c>
      <c r="N259" s="189">
        <v>860002503</v>
      </c>
      <c r="O259" t="s">
        <v>1987</v>
      </c>
      <c r="P259" s="187">
        <v>44965.8491782407</v>
      </c>
      <c r="Q259" s="186">
        <v>7059</v>
      </c>
      <c r="R259" s="185" t="s">
        <v>433</v>
      </c>
      <c r="S259" s="185" t="s">
        <v>1656</v>
      </c>
      <c r="T259"/>
      <c r="U259" t="str">
        <f>IF($L259&gt;0,VLOOKUP($E259,Valida!$A$1:$G$270,6,FALSE),IF($M259&gt;=0,VLOOKUP($E259,Valida!$A$1:$G$270,7,FALSE)))</f>
        <v>(+/-) Ajustes por el incremento (disminución) de cuentas por pagar de origen comercial</v>
      </c>
      <c r="V259" s="190" t="str">
        <f>VLOOKUP(E259,Valida!$A$2:$K$271,4,FALSE)</f>
        <v>Trade and other payables</v>
      </c>
      <c r="W259" s="185" t="s">
        <v>1912</v>
      </c>
      <c r="X259" s="185" t="s">
        <v>1913</v>
      </c>
      <c r="Y259" s="185" t="s">
        <v>1789</v>
      </c>
      <c r="Z259"/>
    </row>
    <row r="260" spans="1:26">
      <c r="A260" s="185" t="s">
        <v>1799</v>
      </c>
      <c r="B260" s="185" t="s">
        <v>1987</v>
      </c>
      <c r="C260" s="185" t="s">
        <v>1785</v>
      </c>
      <c r="D260" s="185" t="s">
        <v>1988</v>
      </c>
      <c r="E260" s="185">
        <v>510572</v>
      </c>
      <c r="F260" s="185" t="s">
        <v>1118</v>
      </c>
      <c r="G260" s="185" t="s">
        <v>1989</v>
      </c>
      <c r="H260" s="185" t="s">
        <v>1515</v>
      </c>
      <c r="I260" s="258" t="str">
        <f t="shared" si="13"/>
        <v>5</v>
      </c>
      <c r="J260" s="221">
        <f t="shared" si="14"/>
        <v>5600</v>
      </c>
      <c r="K260" s="258">
        <f t="shared" si="15"/>
        <v>1</v>
      </c>
      <c r="L260" s="188">
        <v>5600</v>
      </c>
      <c r="M260" s="188">
        <v>0</v>
      </c>
      <c r="N260" s="189">
        <v>860066942</v>
      </c>
      <c r="O260" t="s">
        <v>1987</v>
      </c>
      <c r="P260" s="187">
        <v>44965.8491782407</v>
      </c>
      <c r="Q260" s="186">
        <v>7060</v>
      </c>
      <c r="R260" s="185" t="s">
        <v>1814</v>
      </c>
      <c r="S260" s="185" t="s">
        <v>1574</v>
      </c>
      <c r="T260"/>
      <c r="U260" t="str">
        <f>IF($L260&gt;0,VLOOKUP($E260,Valida!$A$1:$G$270,6,FALSE),IF($M260&gt;=0,VLOOKUP($E260,Valida!$A$1:$G$270,7,FALSE)))</f>
        <v>(+/-) Ganancia (pérdida)</v>
      </c>
      <c r="V260" s="190" t="str">
        <f>VLOOKUP(E260,Valida!$A$2:$K$271,4,FALSE)</f>
        <v>P&amp;L</v>
      </c>
      <c r="W260" s="185" t="s">
        <v>1914</v>
      </c>
      <c r="X260" s="185" t="s">
        <v>1915</v>
      </c>
      <c r="Y260" s="185" t="s">
        <v>1789</v>
      </c>
      <c r="Z260"/>
    </row>
    <row r="261" spans="1:26">
      <c r="A261" s="185" t="s">
        <v>1799</v>
      </c>
      <c r="B261" s="185" t="s">
        <v>1990</v>
      </c>
      <c r="C261" s="185" t="s">
        <v>1991</v>
      </c>
      <c r="D261" s="185" t="s">
        <v>1992</v>
      </c>
      <c r="E261" s="185">
        <v>23653001</v>
      </c>
      <c r="F261" s="185" t="s">
        <v>611</v>
      </c>
      <c r="G261" s="185" t="s">
        <v>1993</v>
      </c>
      <c r="H261" s="185" t="s">
        <v>1515</v>
      </c>
      <c r="I261" s="258" t="str">
        <f t="shared" si="13"/>
        <v>2</v>
      </c>
      <c r="J261" s="221">
        <f t="shared" si="14"/>
        <v>802142</v>
      </c>
      <c r="K261" s="258">
        <f t="shared" si="15"/>
        <v>1</v>
      </c>
      <c r="L261" s="188">
        <v>802142</v>
      </c>
      <c r="M261" s="188">
        <v>0</v>
      </c>
      <c r="N261" s="189">
        <v>800197268</v>
      </c>
      <c r="O261" t="s">
        <v>1990</v>
      </c>
      <c r="P261" s="187">
        <v>44965.853888888902</v>
      </c>
      <c r="Q261" s="186">
        <v>7061</v>
      </c>
      <c r="R261" s="185" t="s">
        <v>983</v>
      </c>
      <c r="S261" s="185" t="s">
        <v>1558</v>
      </c>
      <c r="T261"/>
      <c r="U261" t="str">
        <f>IF($L261&gt;0,VLOOKUP($E261,Valida!$A$1:$G$270,6,FALSE),IF($M261&gt;=0,VLOOKUP($E261,Valida!$A$1:$G$270,7,FALSE)))</f>
        <v>(+/-) Ajustes por el incremento (disminución) de cuentas por pagar de origen comercial</v>
      </c>
      <c r="V261" s="190" t="str">
        <f>VLOOKUP(E261,Valida!$A$2:$K$271,4,FALSE)</f>
        <v>Trade and other payables</v>
      </c>
      <c r="W261" s="185" t="s">
        <v>1944</v>
      </c>
      <c r="X261" s="185"/>
      <c r="Y261" s="185" t="s">
        <v>1789</v>
      </c>
      <c r="Z261"/>
    </row>
    <row r="262" spans="1:26">
      <c r="A262" s="185" t="s">
        <v>1799</v>
      </c>
      <c r="B262" s="185" t="s">
        <v>1990</v>
      </c>
      <c r="C262" s="185" t="s">
        <v>1991</v>
      </c>
      <c r="D262" s="185" t="s">
        <v>1992</v>
      </c>
      <c r="E262" s="185">
        <v>23653002</v>
      </c>
      <c r="F262" s="185" t="s">
        <v>241</v>
      </c>
      <c r="G262" s="185" t="s">
        <v>1993</v>
      </c>
      <c r="H262" s="185" t="s">
        <v>1515</v>
      </c>
      <c r="I262" s="258" t="str">
        <f t="shared" si="13"/>
        <v>2</v>
      </c>
      <c r="J262" s="221">
        <f t="shared" si="14"/>
        <v>4280</v>
      </c>
      <c r="K262" s="258">
        <f t="shared" si="15"/>
        <v>1</v>
      </c>
      <c r="L262" s="188">
        <v>4280</v>
      </c>
      <c r="M262" s="188">
        <v>0</v>
      </c>
      <c r="N262" s="189">
        <v>800197268</v>
      </c>
      <c r="O262" t="s">
        <v>1990</v>
      </c>
      <c r="P262" s="187">
        <v>44965.853888888902</v>
      </c>
      <c r="Q262" s="186">
        <v>7062</v>
      </c>
      <c r="R262" s="185" t="s">
        <v>983</v>
      </c>
      <c r="S262" s="185" t="s">
        <v>1558</v>
      </c>
      <c r="T262"/>
      <c r="U262" t="str">
        <f>IF($L262&gt;0,VLOOKUP($E262,Valida!$A$1:$G$270,6,FALSE),IF($M262&gt;=0,VLOOKUP($E262,Valida!$A$1:$G$270,7,FALSE)))</f>
        <v>(+/-) Ajustes por el incremento (disminución) de cuentas por pagar de origen comercial</v>
      </c>
      <c r="V262" s="190" t="str">
        <f>VLOOKUP(E262,Valida!$A$2:$K$271,4,FALSE)</f>
        <v>Trade and other payables</v>
      </c>
      <c r="W262" s="185" t="s">
        <v>1944</v>
      </c>
      <c r="X262" s="185"/>
      <c r="Y262" s="185" t="s">
        <v>1789</v>
      </c>
      <c r="Z262"/>
    </row>
    <row r="263" spans="1:26">
      <c r="A263" s="185" t="s">
        <v>1799</v>
      </c>
      <c r="B263" s="185" t="s">
        <v>1990</v>
      </c>
      <c r="C263" s="185" t="s">
        <v>1991</v>
      </c>
      <c r="D263" s="185" t="s">
        <v>1992</v>
      </c>
      <c r="E263" s="185">
        <v>23654001</v>
      </c>
      <c r="F263" s="185" t="s">
        <v>622</v>
      </c>
      <c r="G263" s="185" t="s">
        <v>1993</v>
      </c>
      <c r="H263" s="185" t="s">
        <v>1515</v>
      </c>
      <c r="I263" s="258" t="str">
        <f t="shared" si="13"/>
        <v>2</v>
      </c>
      <c r="J263" s="221">
        <f t="shared" si="14"/>
        <v>57538</v>
      </c>
      <c r="K263" s="258">
        <f t="shared" si="15"/>
        <v>1</v>
      </c>
      <c r="L263" s="188">
        <v>57538</v>
      </c>
      <c r="M263" s="188">
        <v>0</v>
      </c>
      <c r="N263" s="189">
        <v>800197268</v>
      </c>
      <c r="O263" t="s">
        <v>1990</v>
      </c>
      <c r="P263" s="187">
        <v>44965.853900463</v>
      </c>
      <c r="Q263" s="186">
        <v>7063</v>
      </c>
      <c r="R263" s="185" t="s">
        <v>983</v>
      </c>
      <c r="S263" s="185" t="s">
        <v>1558</v>
      </c>
      <c r="T263"/>
      <c r="U263" t="str">
        <f>IF($L263&gt;0,VLOOKUP($E263,Valida!$A$1:$G$270,6,FALSE),IF($M263&gt;=0,VLOOKUP($E263,Valida!$A$1:$G$270,7,FALSE)))</f>
        <v>(+/-) Ajustes por el incremento (disminución) de cuentas por pagar de origen comercial</v>
      </c>
      <c r="V263" s="190" t="str">
        <f>VLOOKUP(E263,Valida!$A$2:$K$271,4,FALSE)</f>
        <v>Trade and other payables</v>
      </c>
      <c r="W263" s="185" t="s">
        <v>1944</v>
      </c>
      <c r="X263" s="185"/>
      <c r="Y263" s="185" t="s">
        <v>1789</v>
      </c>
      <c r="Z263"/>
    </row>
    <row r="264" spans="1:26">
      <c r="A264" s="185" t="s">
        <v>1799</v>
      </c>
      <c r="B264" s="185" t="s">
        <v>1990</v>
      </c>
      <c r="C264" s="185" t="s">
        <v>1991</v>
      </c>
      <c r="D264" s="185" t="s">
        <v>1992</v>
      </c>
      <c r="E264" s="185">
        <v>236595</v>
      </c>
      <c r="F264" s="185" t="s">
        <v>648</v>
      </c>
      <c r="G264" s="185" t="s">
        <v>1993</v>
      </c>
      <c r="H264" s="185" t="s">
        <v>1628</v>
      </c>
      <c r="I264" s="258" t="str">
        <f t="shared" si="13"/>
        <v>2</v>
      </c>
      <c r="J264" s="221">
        <f t="shared" si="14"/>
        <v>-1264000</v>
      </c>
      <c r="K264" s="258">
        <f t="shared" si="15"/>
        <v>1</v>
      </c>
      <c r="L264" s="188">
        <v>0</v>
      </c>
      <c r="M264" s="188">
        <v>1264000</v>
      </c>
      <c r="N264" s="189">
        <v>800197268</v>
      </c>
      <c r="O264" t="s">
        <v>1990</v>
      </c>
      <c r="P264" s="187">
        <v>44965.853900463</v>
      </c>
      <c r="Q264" s="186">
        <v>7064</v>
      </c>
      <c r="R264" s="185" t="s">
        <v>983</v>
      </c>
      <c r="S264" s="185" t="s">
        <v>1558</v>
      </c>
      <c r="T264"/>
      <c r="U264" t="str">
        <f>IF($L264&gt;0,VLOOKUP($E264,Valida!$A$1:$G$270,6,FALSE),IF($M264&gt;=0,VLOOKUP($E264,Valida!$A$1:$G$270,7,FALSE)))</f>
        <v>(+/-) Ajustes por el incremento (disminución) de cuentas por pagar de origen comercial</v>
      </c>
      <c r="V264" s="190" t="str">
        <f>VLOOKUP(E264,Valida!$A$2:$K$271,4,FALSE)</f>
        <v>Trade and other payables</v>
      </c>
      <c r="W264" s="185" t="s">
        <v>1944</v>
      </c>
      <c r="X264" s="185"/>
      <c r="Y264" s="185" t="s">
        <v>1789</v>
      </c>
      <c r="Z264"/>
    </row>
    <row r="265" spans="1:26">
      <c r="A265" s="185" t="s">
        <v>1799</v>
      </c>
      <c r="B265" s="185" t="s">
        <v>1990</v>
      </c>
      <c r="C265" s="185" t="s">
        <v>1991</v>
      </c>
      <c r="D265" s="185" t="s">
        <v>1992</v>
      </c>
      <c r="E265" s="185">
        <v>53059510</v>
      </c>
      <c r="F265" s="185" t="s">
        <v>1065</v>
      </c>
      <c r="G265" s="185" t="s">
        <v>1993</v>
      </c>
      <c r="H265" s="185" t="s">
        <v>1515</v>
      </c>
      <c r="I265" s="258" t="str">
        <f t="shared" si="13"/>
        <v>5</v>
      </c>
      <c r="J265" s="221">
        <f t="shared" si="14"/>
        <v>2289</v>
      </c>
      <c r="K265" s="258">
        <f t="shared" si="15"/>
        <v>1</v>
      </c>
      <c r="L265" s="188">
        <v>2289</v>
      </c>
      <c r="M265" s="188">
        <v>0</v>
      </c>
      <c r="N265" s="189">
        <v>800197268</v>
      </c>
      <c r="O265" t="s">
        <v>1990</v>
      </c>
      <c r="P265" s="187">
        <v>44965.853900463</v>
      </c>
      <c r="Q265" s="186">
        <v>7065</v>
      </c>
      <c r="R265" s="185" t="s">
        <v>983</v>
      </c>
      <c r="S265" s="185" t="s">
        <v>1558</v>
      </c>
      <c r="T265"/>
      <c r="U265" t="str">
        <f>IF($L265&gt;0,VLOOKUP($E265,Valida!$A$1:$G$270,6,FALSE),IF($M265&gt;=0,VLOOKUP($E265,Valida!$A$1:$G$270,7,FALSE)))</f>
        <v>(+/-) Ganancia (pérdida)</v>
      </c>
      <c r="V265" s="190" t="str">
        <f>VLOOKUP(E265,Valida!$A$2:$K$271,4,FALSE)</f>
        <v>P&amp;L</v>
      </c>
      <c r="W265" s="185" t="s">
        <v>1944</v>
      </c>
      <c r="X265" s="185"/>
      <c r="Y265" s="185" t="s">
        <v>1789</v>
      </c>
      <c r="Z265"/>
    </row>
    <row r="266" spans="1:26">
      <c r="A266" s="185" t="s">
        <v>1799</v>
      </c>
      <c r="B266" s="185" t="s">
        <v>1990</v>
      </c>
      <c r="C266" s="185" t="s">
        <v>1991</v>
      </c>
      <c r="D266" s="185" t="s">
        <v>1992</v>
      </c>
      <c r="E266" s="185">
        <v>236595</v>
      </c>
      <c r="F266" s="185" t="s">
        <v>648</v>
      </c>
      <c r="G266" s="185" t="s">
        <v>1993</v>
      </c>
      <c r="H266" s="185" t="s">
        <v>1628</v>
      </c>
      <c r="I266" s="258" t="str">
        <f t="shared" si="13"/>
        <v>2</v>
      </c>
      <c r="J266" s="221">
        <f t="shared" si="14"/>
        <v>-2000</v>
      </c>
      <c r="K266" s="258">
        <f t="shared" si="15"/>
        <v>1</v>
      </c>
      <c r="L266" s="188">
        <v>0</v>
      </c>
      <c r="M266" s="188">
        <v>2000</v>
      </c>
      <c r="N266" s="189">
        <v>800197268</v>
      </c>
      <c r="O266" t="s">
        <v>1990</v>
      </c>
      <c r="P266" s="187">
        <v>44965.853900463</v>
      </c>
      <c r="Q266" s="186">
        <v>7066</v>
      </c>
      <c r="R266" s="185" t="s">
        <v>983</v>
      </c>
      <c r="S266" s="185" t="s">
        <v>1558</v>
      </c>
      <c r="T266"/>
      <c r="U266" t="str">
        <f>IF($L266&gt;0,VLOOKUP($E266,Valida!$A$1:$G$270,6,FALSE),IF($M266&gt;=0,VLOOKUP($E266,Valida!$A$1:$G$270,7,FALSE)))</f>
        <v>(+/-) Ajustes por el incremento (disminución) de cuentas por pagar de origen comercial</v>
      </c>
      <c r="V266" s="190" t="str">
        <f>VLOOKUP(E266,Valida!$A$2:$K$271,4,FALSE)</f>
        <v>Trade and other payables</v>
      </c>
      <c r="W266" s="185" t="s">
        <v>1944</v>
      </c>
      <c r="X266" s="185"/>
      <c r="Y266" s="185" t="s">
        <v>1789</v>
      </c>
      <c r="Z266"/>
    </row>
    <row r="267" spans="1:26">
      <c r="A267" s="185" t="s">
        <v>1799</v>
      </c>
      <c r="B267" s="185" t="s">
        <v>1990</v>
      </c>
      <c r="C267" s="185" t="s">
        <v>1991</v>
      </c>
      <c r="D267" s="185" t="s">
        <v>1992</v>
      </c>
      <c r="E267" s="185">
        <v>23657501</v>
      </c>
      <c r="F267" s="185" t="s">
        <v>646</v>
      </c>
      <c r="G267" s="185" t="s">
        <v>1993</v>
      </c>
      <c r="H267" s="185" t="s">
        <v>1515</v>
      </c>
      <c r="I267" s="258" t="str">
        <f t="shared" si="13"/>
        <v>2</v>
      </c>
      <c r="J267" s="221">
        <f t="shared" si="14"/>
        <v>399751</v>
      </c>
      <c r="K267" s="258">
        <f t="shared" si="15"/>
        <v>1</v>
      </c>
      <c r="L267" s="188">
        <v>399751</v>
      </c>
      <c r="M267" s="188">
        <v>0</v>
      </c>
      <c r="N267" s="189">
        <v>800197268</v>
      </c>
      <c r="O267" t="s">
        <v>1990</v>
      </c>
      <c r="P267" s="187">
        <v>44965</v>
      </c>
      <c r="Q267" s="186">
        <v>7067</v>
      </c>
      <c r="R267" s="185" t="s">
        <v>983</v>
      </c>
      <c r="S267" s="185" t="s">
        <v>1558</v>
      </c>
      <c r="T267"/>
      <c r="U267" t="str">
        <f>IF($L267&gt;0,VLOOKUP($E267,Valida!$A$1:$G$270,6,FALSE),IF($M267&gt;=0,VLOOKUP($E267,Valida!$A$1:$G$270,7,FALSE)))</f>
        <v>(+/-) Ajustes por el incremento (disminución) de cuentas por pagar de origen comercial</v>
      </c>
      <c r="V267" s="190" t="str">
        <f>VLOOKUP(E267,Valida!$A$2:$K$271,4,FALSE)</f>
        <v>Trade and other payables</v>
      </c>
      <c r="W267" s="185" t="s">
        <v>1944</v>
      </c>
      <c r="X267" s="185"/>
      <c r="Y267" s="185" t="s">
        <v>1789</v>
      </c>
      <c r="Z267"/>
    </row>
    <row r="268" spans="1:26">
      <c r="A268" s="185" t="s">
        <v>1799</v>
      </c>
      <c r="B268" s="185" t="s">
        <v>1990</v>
      </c>
      <c r="C268" s="185" t="s">
        <v>1991</v>
      </c>
      <c r="D268" s="185" t="s">
        <v>1992</v>
      </c>
      <c r="E268" s="185">
        <v>13551901</v>
      </c>
      <c r="F268" s="185" t="s">
        <v>271</v>
      </c>
      <c r="G268" s="185" t="s">
        <v>1993</v>
      </c>
      <c r="H268" s="185" t="s">
        <v>1515</v>
      </c>
      <c r="I268" s="258" t="str">
        <f t="shared" si="13"/>
        <v>1</v>
      </c>
      <c r="J268" s="221">
        <f t="shared" si="14"/>
        <v>399751</v>
      </c>
      <c r="K268" s="258">
        <f t="shared" si="15"/>
        <v>1</v>
      </c>
      <c r="L268" s="188">
        <v>399751</v>
      </c>
      <c r="M268" s="188">
        <v>0</v>
      </c>
      <c r="N268" s="189">
        <v>800197268</v>
      </c>
      <c r="O268" t="s">
        <v>1990</v>
      </c>
      <c r="P268" s="187">
        <v>44965</v>
      </c>
      <c r="Q268" s="186">
        <v>7068</v>
      </c>
      <c r="R268" s="185" t="s">
        <v>983</v>
      </c>
      <c r="S268" s="185" t="s">
        <v>1558</v>
      </c>
      <c r="T268"/>
      <c r="U268" t="str">
        <f>IF($L268&gt;0,VLOOKUP($E268,Valida!$A$1:$G$270,6,FALSE),IF($M268&gt;=0,VLOOKUP($E268,Valida!$A$1:$G$270,7,FALSE)))</f>
        <v>(+/-) Ajustes por disminuciones (incrementos) en otras cuentas por cobrar derivadas de las actividades de operación</v>
      </c>
      <c r="V268" s="190" t="str">
        <f>VLOOKUP(E268,Valida!$A$2:$K$271,4,FALSE)</f>
        <v>Prepayments: Taxes</v>
      </c>
      <c r="W268" s="185" t="s">
        <v>1944</v>
      </c>
      <c r="X268" s="185"/>
      <c r="Y268" s="185" t="s">
        <v>1789</v>
      </c>
      <c r="Z268"/>
    </row>
    <row r="269" spans="1:26">
      <c r="A269" s="185" t="s">
        <v>1994</v>
      </c>
      <c r="B269" s="185" t="s">
        <v>1995</v>
      </c>
      <c r="C269" s="185" t="s">
        <v>1890</v>
      </c>
      <c r="D269" s="185" t="s">
        <v>1996</v>
      </c>
      <c r="E269" s="185">
        <v>237095</v>
      </c>
      <c r="F269" s="185" t="s">
        <v>150</v>
      </c>
      <c r="G269" s="185" t="s">
        <v>1997</v>
      </c>
      <c r="H269" s="185" t="s">
        <v>1515</v>
      </c>
      <c r="I269" s="258" t="str">
        <f t="shared" si="13"/>
        <v>2</v>
      </c>
      <c r="J269" s="221">
        <f t="shared" si="14"/>
        <v>286000</v>
      </c>
      <c r="K269" s="258">
        <f t="shared" si="15"/>
        <v>2</v>
      </c>
      <c r="L269" s="188">
        <v>286000</v>
      </c>
      <c r="M269" s="188">
        <v>0</v>
      </c>
      <c r="N269" s="189">
        <v>860066942</v>
      </c>
      <c r="O269" t="s">
        <v>1995</v>
      </c>
      <c r="P269" s="187">
        <v>44980.974513888897</v>
      </c>
      <c r="Q269" s="186">
        <v>7262</v>
      </c>
      <c r="R269" s="185" t="s">
        <v>1814</v>
      </c>
      <c r="S269" s="185" t="s">
        <v>1574</v>
      </c>
      <c r="T269"/>
      <c r="U269" t="str">
        <f>IF($L269&gt;0,VLOOKUP($E269,Valida!$A$1:$G$270,6,FALSE),IF($M269&gt;=0,VLOOKUP($E269,Valida!$A$1:$G$270,7,FALSE)))</f>
        <v>(+/-) Ajustes por el incremento (disminución) de cuentas por pagar de origen comercial</v>
      </c>
      <c r="V269" s="190" t="str">
        <f>VLOOKUP(E269,Valida!$A$2:$K$271,4,FALSE)</f>
        <v>Trade and other payables</v>
      </c>
      <c r="W269" s="185" t="s">
        <v>1914</v>
      </c>
      <c r="X269" s="185" t="s">
        <v>1915</v>
      </c>
      <c r="Y269" s="185" t="s">
        <v>1789</v>
      </c>
      <c r="Z269"/>
    </row>
    <row r="270" spans="1:26">
      <c r="A270" s="185" t="s">
        <v>1799</v>
      </c>
      <c r="B270" s="185" t="s">
        <v>1990</v>
      </c>
      <c r="C270" s="185" t="s">
        <v>1991</v>
      </c>
      <c r="D270" s="185" t="s">
        <v>1992</v>
      </c>
      <c r="E270" s="185">
        <v>23657501</v>
      </c>
      <c r="F270" s="185" t="s">
        <v>646</v>
      </c>
      <c r="G270" s="185" t="s">
        <v>1993</v>
      </c>
      <c r="H270" s="185" t="s">
        <v>1628</v>
      </c>
      <c r="I270" s="258" t="str">
        <f t="shared" si="13"/>
        <v>2</v>
      </c>
      <c r="J270" s="221">
        <f t="shared" si="14"/>
        <v>-399751</v>
      </c>
      <c r="K270" s="258">
        <f t="shared" si="15"/>
        <v>1</v>
      </c>
      <c r="L270" s="188">
        <v>0</v>
      </c>
      <c r="M270" s="188">
        <v>399751</v>
      </c>
      <c r="N270" s="189">
        <v>800197268</v>
      </c>
      <c r="O270" t="s">
        <v>1990</v>
      </c>
      <c r="P270" s="187">
        <v>44965</v>
      </c>
      <c r="Q270" s="186">
        <v>7069</v>
      </c>
      <c r="R270" s="185" t="s">
        <v>983</v>
      </c>
      <c r="S270" s="185" t="s">
        <v>1558</v>
      </c>
      <c r="T270"/>
      <c r="U270" t="str">
        <f>IF($L270&gt;0,VLOOKUP($E270,Valida!$A$1:$G$270,6,FALSE),IF($M270&gt;=0,VLOOKUP($E270,Valida!$A$1:$G$270,7,FALSE)))</f>
        <v>(+/-) Ajustes por el incremento (disminución) de cuentas por pagar de origen comercial</v>
      </c>
      <c r="V270" s="190" t="str">
        <f>VLOOKUP(E270,Valida!$A$2:$K$271,4,FALSE)</f>
        <v>Trade and other payables</v>
      </c>
      <c r="W270" s="185" t="s">
        <v>1944</v>
      </c>
      <c r="X270" s="185"/>
      <c r="Y270" s="185" t="s">
        <v>1789</v>
      </c>
      <c r="Z270"/>
    </row>
    <row r="271" spans="1:26">
      <c r="A271" s="185" t="s">
        <v>1994</v>
      </c>
      <c r="B271" s="185" t="s">
        <v>1995</v>
      </c>
      <c r="C271" s="185" t="s">
        <v>1890</v>
      </c>
      <c r="D271" s="185" t="s">
        <v>1996</v>
      </c>
      <c r="E271" s="185">
        <v>237095</v>
      </c>
      <c r="F271" s="185" t="s">
        <v>150</v>
      </c>
      <c r="G271" s="185" t="s">
        <v>1997</v>
      </c>
      <c r="H271" s="185" t="s">
        <v>1515</v>
      </c>
      <c r="I271" s="258" t="str">
        <f t="shared" si="13"/>
        <v>2</v>
      </c>
      <c r="J271" s="221">
        <f t="shared" si="14"/>
        <v>1324000</v>
      </c>
      <c r="K271" s="258">
        <f t="shared" si="15"/>
        <v>2</v>
      </c>
      <c r="L271" s="188">
        <v>1324000</v>
      </c>
      <c r="M271" s="188">
        <v>0</v>
      </c>
      <c r="N271" s="189">
        <v>860066942</v>
      </c>
      <c r="O271" t="s">
        <v>1995</v>
      </c>
      <c r="P271" s="187">
        <v>44980.974513888897</v>
      </c>
      <c r="Q271" s="186">
        <v>7263</v>
      </c>
      <c r="R271" s="185" t="s">
        <v>1814</v>
      </c>
      <c r="S271" s="185" t="s">
        <v>1574</v>
      </c>
      <c r="T271"/>
      <c r="U271" t="str">
        <f>IF($L271&gt;0,VLOOKUP($E271,Valida!$A$1:$G$270,6,FALSE),IF($M271&gt;=0,VLOOKUP($E271,Valida!$A$1:$G$270,7,FALSE)))</f>
        <v>(+/-) Ajustes por el incremento (disminución) de cuentas por pagar de origen comercial</v>
      </c>
      <c r="V271" s="190" t="str">
        <f>VLOOKUP(E271,Valida!$A$2:$K$271,4,FALSE)</f>
        <v>Trade and other payables</v>
      </c>
      <c r="W271" s="185" t="s">
        <v>1914</v>
      </c>
      <c r="X271" s="185" t="s">
        <v>1915</v>
      </c>
      <c r="Y271" s="185" t="s">
        <v>1789</v>
      </c>
      <c r="Z271"/>
    </row>
    <row r="272" spans="1:26">
      <c r="A272" s="185" t="s">
        <v>1994</v>
      </c>
      <c r="B272" s="185" t="s">
        <v>1995</v>
      </c>
      <c r="C272" s="185" t="s">
        <v>1890</v>
      </c>
      <c r="D272" s="185" t="s">
        <v>1996</v>
      </c>
      <c r="E272" s="185">
        <v>112005</v>
      </c>
      <c r="F272" s="185" t="s">
        <v>24</v>
      </c>
      <c r="G272" s="185" t="s">
        <v>1997</v>
      </c>
      <c r="H272" s="185" t="s">
        <v>1628</v>
      </c>
      <c r="I272" s="258" t="str">
        <f t="shared" si="13"/>
        <v>1</v>
      </c>
      <c r="J272" s="221">
        <f t="shared" si="14"/>
        <v>-1614300</v>
      </c>
      <c r="K272" s="258">
        <f t="shared" si="15"/>
        <v>2</v>
      </c>
      <c r="L272" s="188">
        <v>0</v>
      </c>
      <c r="M272" s="188">
        <v>1614300</v>
      </c>
      <c r="N272" s="189">
        <v>860066942</v>
      </c>
      <c r="O272" t="s">
        <v>1995</v>
      </c>
      <c r="P272" s="187">
        <v>44980.974513888897</v>
      </c>
      <c r="Q272" s="186">
        <v>7264</v>
      </c>
      <c r="R272" s="185" t="s">
        <v>1814</v>
      </c>
      <c r="S272" s="185" t="s">
        <v>1574</v>
      </c>
      <c r="T272" t="s">
        <v>1894</v>
      </c>
      <c r="U272" t="str">
        <f>IF($L272&gt;0,VLOOKUP($E272,Valida!$A$1:$G$270,6,FALSE),IF($M272&gt;=0,VLOOKUP($E272,Valida!$A$1:$G$270,7,FALSE)))</f>
        <v>Disponible</v>
      </c>
      <c r="V272" s="190" t="str">
        <f>VLOOKUP(E272,Valida!$A$2:$K$271,4,FALSE)</f>
        <v>Cash and equivalents</v>
      </c>
      <c r="W272" s="185" t="s">
        <v>1914</v>
      </c>
      <c r="X272" s="185" t="s">
        <v>1915</v>
      </c>
      <c r="Y272" s="185" t="s">
        <v>1789</v>
      </c>
      <c r="Z272"/>
    </row>
    <row r="273" spans="1:26">
      <c r="A273" s="185" t="s">
        <v>1994</v>
      </c>
      <c r="B273" s="185" t="s">
        <v>1995</v>
      </c>
      <c r="C273" s="185" t="s">
        <v>1890</v>
      </c>
      <c r="D273" s="185" t="s">
        <v>1996</v>
      </c>
      <c r="E273" s="185">
        <v>53059510</v>
      </c>
      <c r="F273" s="185" t="s">
        <v>1065</v>
      </c>
      <c r="G273" s="185" t="s">
        <v>1997</v>
      </c>
      <c r="H273" s="185" t="s">
        <v>1515</v>
      </c>
      <c r="I273" s="258" t="str">
        <f t="shared" si="13"/>
        <v>5</v>
      </c>
      <c r="J273" s="221">
        <f t="shared" si="14"/>
        <v>4300</v>
      </c>
      <c r="K273" s="258">
        <f t="shared" si="15"/>
        <v>2</v>
      </c>
      <c r="L273" s="188">
        <v>4300</v>
      </c>
      <c r="M273" s="188">
        <v>0</v>
      </c>
      <c r="N273" s="189">
        <v>860066942</v>
      </c>
      <c r="O273" t="s">
        <v>1995</v>
      </c>
      <c r="P273" s="187">
        <v>44980.974513888897</v>
      </c>
      <c r="Q273" s="186">
        <v>7265</v>
      </c>
      <c r="R273" s="185" t="s">
        <v>1814</v>
      </c>
      <c r="S273" s="185" t="s">
        <v>1574</v>
      </c>
      <c r="T273"/>
      <c r="U273" t="str">
        <f>IF($L273&gt;0,VLOOKUP($E273,Valida!$A$1:$G$270,6,FALSE),IF($M273&gt;=0,VLOOKUP($E273,Valida!$A$1:$G$270,7,FALSE)))</f>
        <v>(+/-) Ganancia (pérdida)</v>
      </c>
      <c r="V273" s="190" t="str">
        <f>VLOOKUP(E273,Valida!$A$2:$K$271,4,FALSE)</f>
        <v>P&amp;L</v>
      </c>
      <c r="W273" s="185" t="s">
        <v>1914</v>
      </c>
      <c r="X273" s="185" t="s">
        <v>1915</v>
      </c>
      <c r="Y273" s="185" t="s">
        <v>1789</v>
      </c>
      <c r="Z273"/>
    </row>
    <row r="274" spans="1:26">
      <c r="A274" s="185" t="s">
        <v>1998</v>
      </c>
      <c r="B274" s="185" t="s">
        <v>1999</v>
      </c>
      <c r="C274" s="185" t="s">
        <v>1890</v>
      </c>
      <c r="D274" s="185" t="s">
        <v>2000</v>
      </c>
      <c r="E274" s="185">
        <v>250505</v>
      </c>
      <c r="F274" s="185" t="s">
        <v>767</v>
      </c>
      <c r="G274" s="185" t="s">
        <v>2001</v>
      </c>
      <c r="H274" s="185" t="s">
        <v>1515</v>
      </c>
      <c r="I274" s="258" t="str">
        <f t="shared" si="13"/>
        <v>2</v>
      </c>
      <c r="J274" s="221">
        <f t="shared" si="14"/>
        <v>541451</v>
      </c>
      <c r="K274" s="258">
        <f t="shared" si="15"/>
        <v>2</v>
      </c>
      <c r="L274" s="188">
        <v>541451</v>
      </c>
      <c r="M274" s="188">
        <v>0</v>
      </c>
      <c r="N274" s="189">
        <v>1023976635</v>
      </c>
      <c r="O274" t="s">
        <v>1999</v>
      </c>
      <c r="P274" s="187">
        <v>44980.9754398148</v>
      </c>
      <c r="Q274" s="186">
        <v>7266</v>
      </c>
      <c r="R274" s="185"/>
      <c r="S274" s="185" t="s">
        <v>1534</v>
      </c>
      <c r="T274"/>
      <c r="U274" t="str">
        <f>IF($L274&gt;0,VLOOKUP($E274,Valida!$A$1:$G$270,6,FALSE),IF($M274&gt;=0,VLOOKUP($E274,Valida!$A$1:$G$270,7,FALSE)))</f>
        <v>(+/-) Ajustes por el incremento (disminución) de cuentas por pagar de origen comercial</v>
      </c>
      <c r="V274" s="190" t="str">
        <f>VLOOKUP(E274,Valida!$A$2:$K$271,4,FALSE)</f>
        <v>Trade and other payables</v>
      </c>
      <c r="W274" s="185" t="s">
        <v>1971</v>
      </c>
      <c r="X274" s="185"/>
      <c r="Y274" s="185" t="s">
        <v>1972</v>
      </c>
      <c r="Z274"/>
    </row>
    <row r="275" spans="1:26">
      <c r="A275" s="185" t="s">
        <v>1998</v>
      </c>
      <c r="B275" s="185" t="s">
        <v>1999</v>
      </c>
      <c r="C275" s="185" t="s">
        <v>1890</v>
      </c>
      <c r="D275" s="185" t="s">
        <v>2000</v>
      </c>
      <c r="E275" s="185">
        <v>112005</v>
      </c>
      <c r="F275" s="185" t="s">
        <v>24</v>
      </c>
      <c r="G275" s="185" t="s">
        <v>2001</v>
      </c>
      <c r="H275" s="185" t="s">
        <v>1628</v>
      </c>
      <c r="I275" s="258" t="str">
        <f t="shared" si="13"/>
        <v>1</v>
      </c>
      <c r="J275" s="221">
        <f t="shared" si="14"/>
        <v>-541451</v>
      </c>
      <c r="K275" s="258">
        <f t="shared" si="15"/>
        <v>2</v>
      </c>
      <c r="L275" s="188">
        <v>0</v>
      </c>
      <c r="M275" s="188">
        <v>541451</v>
      </c>
      <c r="N275" s="189">
        <v>1023976635</v>
      </c>
      <c r="O275" t="s">
        <v>1999</v>
      </c>
      <c r="P275" s="187">
        <v>44980.9754398148</v>
      </c>
      <c r="Q275" s="186">
        <v>7267</v>
      </c>
      <c r="R275" s="185"/>
      <c r="S275" s="185" t="s">
        <v>1534</v>
      </c>
      <c r="T275" t="s">
        <v>1894</v>
      </c>
      <c r="U275" t="str">
        <f>IF($L275&gt;0,VLOOKUP($E275,Valida!$A$1:$G$270,6,FALSE),IF($M275&gt;=0,VLOOKUP($E275,Valida!$A$1:$G$270,7,FALSE)))</f>
        <v>Disponible</v>
      </c>
      <c r="V275" s="190" t="str">
        <f>VLOOKUP(E275,Valida!$A$2:$K$271,4,FALSE)</f>
        <v>Cash and equivalents</v>
      </c>
      <c r="W275" s="185" t="s">
        <v>1971</v>
      </c>
      <c r="X275" s="185"/>
      <c r="Y275" s="185" t="s">
        <v>1972</v>
      </c>
      <c r="Z275"/>
    </row>
    <row r="276" spans="1:26">
      <c r="A276" s="185" t="s">
        <v>2002</v>
      </c>
      <c r="B276" s="185" t="s">
        <v>2003</v>
      </c>
      <c r="C276" s="185" t="s">
        <v>1890</v>
      </c>
      <c r="D276" s="185" t="s">
        <v>2004</v>
      </c>
      <c r="E276" s="185">
        <v>23359504</v>
      </c>
      <c r="F276" s="185" t="s">
        <v>553</v>
      </c>
      <c r="G276" s="185" t="s">
        <v>1921</v>
      </c>
      <c r="H276" s="185" t="s">
        <v>1515</v>
      </c>
      <c r="I276" s="258" t="str">
        <f t="shared" si="13"/>
        <v>2</v>
      </c>
      <c r="J276" s="221">
        <f t="shared" si="14"/>
        <v>330000</v>
      </c>
      <c r="K276" s="258">
        <f t="shared" si="15"/>
        <v>2</v>
      </c>
      <c r="L276" s="188">
        <v>330000</v>
      </c>
      <c r="M276" s="188">
        <v>0</v>
      </c>
      <c r="N276" s="189">
        <v>800042928</v>
      </c>
      <c r="O276" t="s">
        <v>2003</v>
      </c>
      <c r="P276" s="187">
        <v>44980.9762962963</v>
      </c>
      <c r="Q276" s="186">
        <v>7268</v>
      </c>
      <c r="R276" s="185" t="s">
        <v>6</v>
      </c>
      <c r="S276" s="185" t="s">
        <v>1554</v>
      </c>
      <c r="T276"/>
      <c r="U276" t="str">
        <f>IF($L276&gt;0,VLOOKUP($E276,Valida!$A$1:$G$270,6,FALSE),IF($M276&gt;=0,VLOOKUP($E276,Valida!$A$1:$G$270,7,FALSE)))</f>
        <v>(+/-) Ajustes por el incremento (disminución) de cuentas por pagar de origen comercial</v>
      </c>
      <c r="V276" s="190" t="str">
        <f>VLOOKUP(E276,Valida!$A$2:$K$271,4,FALSE)</f>
        <v>Trade and other payables</v>
      </c>
      <c r="W276" s="185" t="s">
        <v>1820</v>
      </c>
      <c r="X276" s="185" t="s">
        <v>1821</v>
      </c>
      <c r="Y276" s="185" t="s">
        <v>1789</v>
      </c>
      <c r="Z276"/>
    </row>
    <row r="277" spans="1:26">
      <c r="A277" s="185" t="s">
        <v>2002</v>
      </c>
      <c r="B277" s="185" t="s">
        <v>2003</v>
      </c>
      <c r="C277" s="185" t="s">
        <v>1890</v>
      </c>
      <c r="D277" s="185" t="s">
        <v>2004</v>
      </c>
      <c r="E277" s="185">
        <v>112005</v>
      </c>
      <c r="F277" s="185" t="s">
        <v>24</v>
      </c>
      <c r="G277" s="185" t="s">
        <v>1921</v>
      </c>
      <c r="H277" s="185" t="s">
        <v>1628</v>
      </c>
      <c r="I277" s="258" t="str">
        <f t="shared" si="13"/>
        <v>1</v>
      </c>
      <c r="J277" s="221">
        <f t="shared" si="14"/>
        <v>-330000</v>
      </c>
      <c r="K277" s="258">
        <f t="shared" si="15"/>
        <v>2</v>
      </c>
      <c r="L277" s="188">
        <v>0</v>
      </c>
      <c r="M277" s="188">
        <v>330000</v>
      </c>
      <c r="N277" s="189">
        <v>800042928</v>
      </c>
      <c r="O277" t="s">
        <v>2003</v>
      </c>
      <c r="P277" s="187">
        <v>44980.9762962963</v>
      </c>
      <c r="Q277" s="186">
        <v>7269</v>
      </c>
      <c r="R277" s="185" t="s">
        <v>6</v>
      </c>
      <c r="S277" s="185" t="s">
        <v>1554</v>
      </c>
      <c r="T277" t="s">
        <v>1894</v>
      </c>
      <c r="U277" t="str">
        <f>IF($L277&gt;0,VLOOKUP($E277,Valida!$A$1:$G$270,6,FALSE),IF($M277&gt;=0,VLOOKUP($E277,Valida!$A$1:$G$270,7,FALSE)))</f>
        <v>Disponible</v>
      </c>
      <c r="V277" s="190" t="str">
        <f>VLOOKUP(E277,Valida!$A$2:$K$271,4,FALSE)</f>
        <v>Cash and equivalents</v>
      </c>
      <c r="W277" s="185" t="s">
        <v>1820</v>
      </c>
      <c r="X277" s="185" t="s">
        <v>1821</v>
      </c>
      <c r="Y277" s="185" t="s">
        <v>1789</v>
      </c>
      <c r="Z277"/>
    </row>
    <row r="278" spans="1:26">
      <c r="A278" s="185" t="s">
        <v>2002</v>
      </c>
      <c r="B278" s="185" t="s">
        <v>2005</v>
      </c>
      <c r="C278" s="185" t="s">
        <v>1890</v>
      </c>
      <c r="D278" s="185" t="s">
        <v>2006</v>
      </c>
      <c r="E278" s="185">
        <v>23359502</v>
      </c>
      <c r="F278" s="185" t="s">
        <v>547</v>
      </c>
      <c r="G278" s="185" t="s">
        <v>1921</v>
      </c>
      <c r="H278" s="185" t="s">
        <v>1515</v>
      </c>
      <c r="I278" s="258" t="str">
        <f t="shared" si="13"/>
        <v>2</v>
      </c>
      <c r="J278" s="221">
        <f t="shared" si="14"/>
        <v>122016</v>
      </c>
      <c r="K278" s="258">
        <f t="shared" si="15"/>
        <v>2</v>
      </c>
      <c r="L278" s="188">
        <v>122016</v>
      </c>
      <c r="M278" s="188">
        <v>0</v>
      </c>
      <c r="N278" s="189">
        <v>900424409</v>
      </c>
      <c r="O278" t="s">
        <v>2005</v>
      </c>
      <c r="P278" s="187">
        <v>44980.978831018503</v>
      </c>
      <c r="Q278" s="186">
        <v>7270</v>
      </c>
      <c r="R278" s="185" t="s">
        <v>844</v>
      </c>
      <c r="S278" s="185" t="s">
        <v>1598</v>
      </c>
      <c r="T278"/>
      <c r="U278" t="str">
        <f>IF($L278&gt;0,VLOOKUP($E278,Valida!$A$1:$G$270,6,FALSE),IF($M278&gt;=0,VLOOKUP($E278,Valida!$A$1:$G$270,7,FALSE)))</f>
        <v>(+/-) Ajustes por el incremento (disminución) de cuentas por pagar de origen comercial</v>
      </c>
      <c r="V278" s="190" t="str">
        <f>VLOOKUP(E278,Valida!$A$2:$K$271,4,FALSE)</f>
        <v>Trade and other payables</v>
      </c>
      <c r="W278" s="185" t="s">
        <v>1864</v>
      </c>
      <c r="X278" s="185" t="s">
        <v>1865</v>
      </c>
      <c r="Y278" s="185" t="s">
        <v>1789</v>
      </c>
      <c r="Z278"/>
    </row>
    <row r="279" spans="1:26">
      <c r="A279" s="185" t="s">
        <v>2002</v>
      </c>
      <c r="B279" s="185" t="s">
        <v>2005</v>
      </c>
      <c r="C279" s="185" t="s">
        <v>1890</v>
      </c>
      <c r="D279" s="185" t="s">
        <v>2006</v>
      </c>
      <c r="E279" s="185">
        <v>112005</v>
      </c>
      <c r="F279" s="185" t="s">
        <v>24</v>
      </c>
      <c r="G279" s="185" t="s">
        <v>1921</v>
      </c>
      <c r="H279" s="185" t="s">
        <v>1628</v>
      </c>
      <c r="I279" s="258" t="str">
        <f t="shared" si="13"/>
        <v>1</v>
      </c>
      <c r="J279" s="221">
        <f t="shared" si="14"/>
        <v>-122016</v>
      </c>
      <c r="K279" s="258">
        <f t="shared" si="15"/>
        <v>2</v>
      </c>
      <c r="L279" s="188">
        <v>0</v>
      </c>
      <c r="M279" s="188">
        <v>122016</v>
      </c>
      <c r="N279" s="189">
        <v>900424409</v>
      </c>
      <c r="O279" t="s">
        <v>2005</v>
      </c>
      <c r="P279" s="187">
        <v>44980.978831018503</v>
      </c>
      <c r="Q279" s="186">
        <v>7271</v>
      </c>
      <c r="R279" s="185" t="s">
        <v>844</v>
      </c>
      <c r="S279" s="185" t="s">
        <v>1598</v>
      </c>
      <c r="T279" t="s">
        <v>1894</v>
      </c>
      <c r="U279" t="str">
        <f>IF($L279&gt;0,VLOOKUP($E279,Valida!$A$1:$G$270,6,FALSE),IF($M279&gt;=0,VLOOKUP($E279,Valida!$A$1:$G$270,7,FALSE)))</f>
        <v>Disponible</v>
      </c>
      <c r="V279" s="190" t="str">
        <f>VLOOKUP(E279,Valida!$A$2:$K$271,4,FALSE)</f>
        <v>Cash and equivalents</v>
      </c>
      <c r="W279" s="185" t="s">
        <v>1864</v>
      </c>
      <c r="X279" s="185" t="s">
        <v>1865</v>
      </c>
      <c r="Y279" s="185" t="s">
        <v>1789</v>
      </c>
      <c r="Z279"/>
    </row>
    <row r="280" spans="1:26">
      <c r="A280" s="185" t="s">
        <v>2002</v>
      </c>
      <c r="B280" s="185" t="s">
        <v>2007</v>
      </c>
      <c r="C280" s="185" t="s">
        <v>1890</v>
      </c>
      <c r="D280" s="185" t="s">
        <v>2008</v>
      </c>
      <c r="E280" s="185">
        <v>23354001</v>
      </c>
      <c r="F280" s="185" t="s">
        <v>484</v>
      </c>
      <c r="G280" s="185" t="s">
        <v>1921</v>
      </c>
      <c r="H280" s="185" t="s">
        <v>1515</v>
      </c>
      <c r="I280" s="258" t="str">
        <f t="shared" si="13"/>
        <v>2</v>
      </c>
      <c r="J280" s="221">
        <f t="shared" si="14"/>
        <v>28749303</v>
      </c>
      <c r="K280" s="258">
        <f t="shared" si="15"/>
        <v>2</v>
      </c>
      <c r="L280" s="188">
        <v>28749303</v>
      </c>
      <c r="M280" s="188">
        <v>0</v>
      </c>
      <c r="N280" s="189">
        <v>900471482</v>
      </c>
      <c r="O280" t="s">
        <v>2007</v>
      </c>
      <c r="P280" s="187">
        <v>44980.979317129597</v>
      </c>
      <c r="Q280" s="186">
        <v>7272</v>
      </c>
      <c r="R280" s="185" t="s">
        <v>6</v>
      </c>
      <c r="S280" s="185" t="s">
        <v>1600</v>
      </c>
      <c r="T280"/>
      <c r="U280" t="str">
        <f>IF($L280&gt;0,VLOOKUP($E280,Valida!$A$1:$G$270,6,FALSE),IF($M280&gt;=0,VLOOKUP($E280,Valida!$A$1:$G$270,7,FALSE)))</f>
        <v>(+/-) Ajustes por el incremento (disminución) de cuentas por pagar de origen comercial</v>
      </c>
      <c r="V280" s="190" t="str">
        <f>VLOOKUP(E280,Valida!$A$2:$K$271,4,FALSE)</f>
        <v>Trade and other payables</v>
      </c>
      <c r="W280" s="185" t="s">
        <v>1853</v>
      </c>
      <c r="X280" s="185" t="s">
        <v>1854</v>
      </c>
      <c r="Y280" s="185" t="s">
        <v>1789</v>
      </c>
      <c r="Z280"/>
    </row>
    <row r="281" spans="1:26">
      <c r="A281" s="185" t="s">
        <v>2002</v>
      </c>
      <c r="B281" s="185" t="s">
        <v>2007</v>
      </c>
      <c r="C281" s="185" t="s">
        <v>1890</v>
      </c>
      <c r="D281" s="185" t="s">
        <v>2008</v>
      </c>
      <c r="E281" s="185">
        <v>112005</v>
      </c>
      <c r="F281" s="185" t="s">
        <v>24</v>
      </c>
      <c r="G281" s="185" t="s">
        <v>1921</v>
      </c>
      <c r="H281" s="185" t="s">
        <v>1628</v>
      </c>
      <c r="I281" s="258" t="str">
        <f t="shared" si="13"/>
        <v>1</v>
      </c>
      <c r="J281" s="221">
        <f t="shared" si="14"/>
        <v>-28749303</v>
      </c>
      <c r="K281" s="258">
        <f t="shared" si="15"/>
        <v>2</v>
      </c>
      <c r="L281" s="188">
        <v>0</v>
      </c>
      <c r="M281" s="188">
        <v>28749303</v>
      </c>
      <c r="N281" s="189">
        <v>900471482</v>
      </c>
      <c r="O281" t="s">
        <v>2007</v>
      </c>
      <c r="P281" s="187">
        <v>44980.979317129597</v>
      </c>
      <c r="Q281" s="186">
        <v>7273</v>
      </c>
      <c r="R281" s="185" t="s">
        <v>6</v>
      </c>
      <c r="S281" s="185" t="s">
        <v>1600</v>
      </c>
      <c r="T281" t="s">
        <v>1894</v>
      </c>
      <c r="U281" t="str">
        <f>IF($L281&gt;0,VLOOKUP($E281,Valida!$A$1:$G$270,6,FALSE),IF($M281&gt;=0,VLOOKUP($E281,Valida!$A$1:$G$270,7,FALSE)))</f>
        <v>Disponible</v>
      </c>
      <c r="V281" s="190" t="str">
        <f>VLOOKUP(E281,Valida!$A$2:$K$271,4,FALSE)</f>
        <v>Cash and equivalents</v>
      </c>
      <c r="W281" s="185" t="s">
        <v>1853</v>
      </c>
      <c r="X281" s="185" t="s">
        <v>1854</v>
      </c>
      <c r="Y281" s="185" t="s">
        <v>1789</v>
      </c>
      <c r="Z281"/>
    </row>
    <row r="282" spans="1:26">
      <c r="A282" s="185" t="s">
        <v>2009</v>
      </c>
      <c r="B282" s="185" t="s">
        <v>2010</v>
      </c>
      <c r="C282" s="185" t="s">
        <v>1792</v>
      </c>
      <c r="D282" s="185" t="s">
        <v>2011</v>
      </c>
      <c r="E282" s="185">
        <v>251010</v>
      </c>
      <c r="F282" s="185" t="s">
        <v>776</v>
      </c>
      <c r="G282" s="185" t="s">
        <v>2012</v>
      </c>
      <c r="H282" s="185" t="s">
        <v>1515</v>
      </c>
      <c r="I282" s="258" t="str">
        <f t="shared" si="13"/>
        <v>2</v>
      </c>
      <c r="J282" s="221">
        <f t="shared" si="14"/>
        <v>465488</v>
      </c>
      <c r="K282" s="258">
        <f t="shared" si="15"/>
        <v>2</v>
      </c>
      <c r="L282" s="188">
        <v>465488</v>
      </c>
      <c r="M282" s="188">
        <v>0</v>
      </c>
      <c r="N282" s="189">
        <v>1130744136</v>
      </c>
      <c r="O282" t="s">
        <v>2013</v>
      </c>
      <c r="P282" s="187">
        <v>44984.848993055602</v>
      </c>
      <c r="Q282" s="186">
        <v>7274</v>
      </c>
      <c r="R282" s="185"/>
      <c r="S282" s="185" t="s">
        <v>1538</v>
      </c>
      <c r="T282"/>
      <c r="U282" t="str">
        <f>IF($L282&gt;0,VLOOKUP($E282,Valida!$A$1:$G$270,6,FALSE),IF($M282&gt;=0,VLOOKUP($E282,Valida!$A$1:$G$270,7,FALSE)))</f>
        <v>(+/-) Ajustes por el incremento (disminución) de cuentas por pagar de origen comercial</v>
      </c>
      <c r="V282" s="190" t="str">
        <f>VLOOKUP(E282,Valida!$A$2:$K$271,4,FALSE)</f>
        <v>Trade and other payables</v>
      </c>
      <c r="W282" s="185" t="s">
        <v>1909</v>
      </c>
      <c r="X282" s="185" t="s">
        <v>1910</v>
      </c>
      <c r="Y282" s="185" t="s">
        <v>1789</v>
      </c>
      <c r="Z282"/>
    </row>
    <row r="283" spans="1:26">
      <c r="A283" s="185" t="s">
        <v>2009</v>
      </c>
      <c r="B283" s="185" t="s">
        <v>2010</v>
      </c>
      <c r="C283" s="185" t="s">
        <v>1792</v>
      </c>
      <c r="D283" s="185" t="s">
        <v>2011</v>
      </c>
      <c r="E283" s="185">
        <v>251010</v>
      </c>
      <c r="F283" s="185" t="s">
        <v>776</v>
      </c>
      <c r="G283" s="185" t="s">
        <v>2012</v>
      </c>
      <c r="H283" s="185" t="s">
        <v>1515</v>
      </c>
      <c r="I283" s="258" t="str">
        <f t="shared" si="13"/>
        <v>2</v>
      </c>
      <c r="J283" s="221">
        <f t="shared" si="14"/>
        <v>462248</v>
      </c>
      <c r="K283" s="258">
        <f t="shared" si="15"/>
        <v>2</v>
      </c>
      <c r="L283" s="188">
        <v>462248</v>
      </c>
      <c r="M283" s="188">
        <v>0</v>
      </c>
      <c r="N283" s="189">
        <v>1010101811</v>
      </c>
      <c r="O283" t="s">
        <v>2013</v>
      </c>
      <c r="P283" s="187">
        <v>44984.848993055602</v>
      </c>
      <c r="Q283" s="186">
        <v>7275</v>
      </c>
      <c r="R283" s="185"/>
      <c r="S283" s="185" t="s">
        <v>1528</v>
      </c>
      <c r="T283"/>
      <c r="U283" t="str">
        <f>IF($L283&gt;0,VLOOKUP($E283,Valida!$A$1:$G$270,6,FALSE),IF($M283&gt;=0,VLOOKUP($E283,Valida!$A$1:$G$270,7,FALSE)))</f>
        <v>(+/-) Ajustes por el incremento (disminución) de cuentas por pagar de origen comercial</v>
      </c>
      <c r="V283" s="190" t="str">
        <f>VLOOKUP(E283,Valida!$A$2:$K$271,4,FALSE)</f>
        <v>Trade and other payables</v>
      </c>
      <c r="W283" s="185" t="s">
        <v>1967</v>
      </c>
      <c r="X283" s="185"/>
      <c r="Y283" s="185" t="s">
        <v>1789</v>
      </c>
      <c r="Z283"/>
    </row>
    <row r="284" spans="1:26">
      <c r="A284" s="185" t="s">
        <v>2009</v>
      </c>
      <c r="B284" s="185" t="s">
        <v>2010</v>
      </c>
      <c r="C284" s="185" t="s">
        <v>1792</v>
      </c>
      <c r="D284" s="185" t="s">
        <v>2011</v>
      </c>
      <c r="E284" s="185">
        <v>251010</v>
      </c>
      <c r="F284" s="185" t="s">
        <v>776</v>
      </c>
      <c r="G284" s="185" t="s">
        <v>2012</v>
      </c>
      <c r="H284" s="185" t="s">
        <v>1515</v>
      </c>
      <c r="I284" s="258" t="str">
        <f t="shared" si="13"/>
        <v>2</v>
      </c>
      <c r="J284" s="221">
        <f t="shared" si="14"/>
        <v>155528</v>
      </c>
      <c r="K284" s="258">
        <f t="shared" si="15"/>
        <v>2</v>
      </c>
      <c r="L284" s="188">
        <v>155528</v>
      </c>
      <c r="M284" s="188">
        <v>0</v>
      </c>
      <c r="N284" s="189">
        <v>1000018061</v>
      </c>
      <c r="O284" t="s">
        <v>2013</v>
      </c>
      <c r="P284" s="187">
        <v>44984.848993055602</v>
      </c>
      <c r="Q284" s="186">
        <v>7276</v>
      </c>
      <c r="R284" s="185"/>
      <c r="S284" s="185" t="s">
        <v>1522</v>
      </c>
      <c r="T284"/>
      <c r="U284" t="str">
        <f>IF($L284&gt;0,VLOOKUP($E284,Valida!$A$1:$G$270,6,FALSE),IF($M284&gt;=0,VLOOKUP($E284,Valida!$A$1:$G$270,7,FALSE)))</f>
        <v>(+/-) Ajustes por el incremento (disminución) de cuentas por pagar de origen comercial</v>
      </c>
      <c r="V284" s="190" t="str">
        <f>VLOOKUP(E284,Valida!$A$2:$K$271,4,FALSE)</f>
        <v>Trade and other payables</v>
      </c>
      <c r="W284" s="185" t="s">
        <v>1978</v>
      </c>
      <c r="X284" s="185"/>
      <c r="Y284" s="185" t="s">
        <v>1789</v>
      </c>
      <c r="Z284"/>
    </row>
    <row r="285" spans="1:26">
      <c r="A285" s="185" t="s">
        <v>2009</v>
      </c>
      <c r="B285" s="185" t="s">
        <v>2010</v>
      </c>
      <c r="C285" s="185" t="s">
        <v>1792</v>
      </c>
      <c r="D285" s="185" t="s">
        <v>2011</v>
      </c>
      <c r="E285" s="185">
        <v>251010</v>
      </c>
      <c r="F285" s="185" t="s">
        <v>776</v>
      </c>
      <c r="G285" s="185" t="s">
        <v>2012</v>
      </c>
      <c r="H285" s="185" t="s">
        <v>1515</v>
      </c>
      <c r="I285" s="258" t="str">
        <f t="shared" si="13"/>
        <v>2</v>
      </c>
      <c r="J285" s="221">
        <f t="shared" si="14"/>
        <v>168833</v>
      </c>
      <c r="K285" s="258">
        <f t="shared" si="15"/>
        <v>2</v>
      </c>
      <c r="L285" s="188">
        <v>168833</v>
      </c>
      <c r="M285" s="188">
        <v>0</v>
      </c>
      <c r="N285" s="189">
        <v>1000036375</v>
      </c>
      <c r="O285" t="s">
        <v>2013</v>
      </c>
      <c r="P285" s="187">
        <v>44984.848993055602</v>
      </c>
      <c r="Q285" s="186">
        <v>7277</v>
      </c>
      <c r="R285" s="185"/>
      <c r="S285" s="185" t="s">
        <v>1524</v>
      </c>
      <c r="T285"/>
      <c r="U285" t="str">
        <f>IF($L285&gt;0,VLOOKUP($E285,Valida!$A$1:$G$270,6,FALSE),IF($M285&gt;=0,VLOOKUP($E285,Valida!$A$1:$G$270,7,FALSE)))</f>
        <v>(+/-) Ajustes por el incremento (disminución) de cuentas por pagar de origen comercial</v>
      </c>
      <c r="V285" s="190" t="str">
        <f>VLOOKUP(E285,Valida!$A$2:$K$271,4,FALSE)</f>
        <v>Trade and other payables</v>
      </c>
      <c r="W285" s="185" t="s">
        <v>1983</v>
      </c>
      <c r="X285" s="185"/>
      <c r="Y285" s="185" t="s">
        <v>1789</v>
      </c>
      <c r="Z285"/>
    </row>
    <row r="286" spans="1:26">
      <c r="A286" s="185" t="s">
        <v>2009</v>
      </c>
      <c r="B286" s="185" t="s">
        <v>2010</v>
      </c>
      <c r="C286" s="185" t="s">
        <v>1792</v>
      </c>
      <c r="D286" s="185" t="s">
        <v>2011</v>
      </c>
      <c r="E286" s="185">
        <v>251010</v>
      </c>
      <c r="F286" s="185" t="s">
        <v>776</v>
      </c>
      <c r="G286" s="185" t="s">
        <v>2012</v>
      </c>
      <c r="H286" s="185" t="s">
        <v>1628</v>
      </c>
      <c r="I286" s="258" t="str">
        <f t="shared" si="13"/>
        <v>2</v>
      </c>
      <c r="J286" s="221">
        <f t="shared" si="14"/>
        <v>-155528</v>
      </c>
      <c r="K286" s="258">
        <f t="shared" si="15"/>
        <v>2</v>
      </c>
      <c r="L286" s="188">
        <v>0</v>
      </c>
      <c r="M286" s="188">
        <v>155528</v>
      </c>
      <c r="N286" s="189">
        <v>800227940</v>
      </c>
      <c r="O286" t="s">
        <v>2013</v>
      </c>
      <c r="P286" s="187">
        <v>44984.848993055602</v>
      </c>
      <c r="Q286" s="186">
        <v>7278</v>
      </c>
      <c r="R286" s="185"/>
      <c r="S286" s="185" t="s">
        <v>1664</v>
      </c>
      <c r="T286"/>
      <c r="U286" t="str">
        <f>IF($L286&gt;0,VLOOKUP($E286,Valida!$A$1:$G$270,6,FALSE),IF($M286&gt;=0,VLOOKUP($E286,Valida!$A$1:$G$270,7,FALSE)))</f>
        <v>(+/-) Ajustes por el incremento (disminución) de cuentas por pagar de origen comercial</v>
      </c>
      <c r="V286" s="190" t="str">
        <f>VLOOKUP(E286,Valida!$A$2:$K$271,4,FALSE)</f>
        <v>Trade and other payables</v>
      </c>
      <c r="W286" s="185"/>
      <c r="X286" s="185"/>
      <c r="Y286" s="185"/>
      <c r="Z286"/>
    </row>
    <row r="287" spans="1:26">
      <c r="A287" s="185" t="s">
        <v>2009</v>
      </c>
      <c r="B287" s="185" t="s">
        <v>2010</v>
      </c>
      <c r="C287" s="185" t="s">
        <v>1792</v>
      </c>
      <c r="D287" s="185" t="s">
        <v>2011</v>
      </c>
      <c r="E287" s="185">
        <v>251010</v>
      </c>
      <c r="F287" s="185" t="s">
        <v>776</v>
      </c>
      <c r="G287" s="185" t="s">
        <v>2012</v>
      </c>
      <c r="H287" s="185" t="s">
        <v>1628</v>
      </c>
      <c r="I287" s="258" t="str">
        <f t="shared" si="13"/>
        <v>2</v>
      </c>
      <c r="J287" s="221">
        <f t="shared" si="14"/>
        <v>-1096569</v>
      </c>
      <c r="K287" s="258">
        <f t="shared" si="15"/>
        <v>2</v>
      </c>
      <c r="L287" s="188">
        <v>0</v>
      </c>
      <c r="M287" s="188">
        <v>1096569</v>
      </c>
      <c r="N287" s="189">
        <v>800144331</v>
      </c>
      <c r="O287" t="s">
        <v>2013</v>
      </c>
      <c r="P287" s="187">
        <v>44984.848993055602</v>
      </c>
      <c r="Q287" s="186">
        <v>7279</v>
      </c>
      <c r="R287" s="185" t="s">
        <v>844</v>
      </c>
      <c r="S287" s="185" t="s">
        <v>1658</v>
      </c>
      <c r="T287"/>
      <c r="U287" t="str">
        <f>IF($L287&gt;0,VLOOKUP($E287,Valida!$A$1:$G$270,6,FALSE),IF($M287&gt;=0,VLOOKUP($E287,Valida!$A$1:$G$270,7,FALSE)))</f>
        <v>(+/-) Ajustes por el incremento (disminución) de cuentas por pagar de origen comercial</v>
      </c>
      <c r="V287" s="190" t="str">
        <f>VLOOKUP(E287,Valida!$A$2:$K$271,4,FALSE)</f>
        <v>Trade and other payables</v>
      </c>
      <c r="W287" s="185" t="s">
        <v>1904</v>
      </c>
      <c r="X287" s="185" t="s">
        <v>1905</v>
      </c>
      <c r="Y287" s="185" t="s">
        <v>1789</v>
      </c>
      <c r="Z287"/>
    </row>
    <row r="288" spans="1:26">
      <c r="A288" s="185" t="s">
        <v>2009</v>
      </c>
      <c r="B288" s="185" t="s">
        <v>2014</v>
      </c>
      <c r="C288" s="185" t="s">
        <v>1792</v>
      </c>
      <c r="D288" s="185" t="s">
        <v>2015</v>
      </c>
      <c r="E288" s="185">
        <v>251010</v>
      </c>
      <c r="F288" s="185" t="s">
        <v>776</v>
      </c>
      <c r="G288" s="185" t="s">
        <v>2012</v>
      </c>
      <c r="H288" s="185" t="s">
        <v>1515</v>
      </c>
      <c r="I288" s="258" t="str">
        <f t="shared" si="13"/>
        <v>2</v>
      </c>
      <c r="J288" s="221">
        <f t="shared" si="14"/>
        <v>1096569</v>
      </c>
      <c r="K288" s="258">
        <f t="shared" si="15"/>
        <v>2</v>
      </c>
      <c r="L288" s="188">
        <v>1096569</v>
      </c>
      <c r="M288" s="188">
        <v>0</v>
      </c>
      <c r="N288" s="189">
        <v>800144331</v>
      </c>
      <c r="O288" t="s">
        <v>2013</v>
      </c>
      <c r="P288" s="187">
        <v>44984.8499884259</v>
      </c>
      <c r="Q288" s="186">
        <v>7280</v>
      </c>
      <c r="R288" s="185" t="s">
        <v>844</v>
      </c>
      <c r="S288" s="185" t="s">
        <v>1658</v>
      </c>
      <c r="T288"/>
      <c r="U288" t="str">
        <f>IF($L288&gt;0,VLOOKUP($E288,Valida!$A$1:$G$270,6,FALSE),IF($M288&gt;=0,VLOOKUP($E288,Valida!$A$1:$G$270,7,FALSE)))</f>
        <v>(+/-) Ajustes por el incremento (disminución) de cuentas por pagar de origen comercial</v>
      </c>
      <c r="V288" s="190" t="str">
        <f>VLOOKUP(E288,Valida!$A$2:$K$271,4,FALSE)</f>
        <v>Trade and other payables</v>
      </c>
      <c r="W288" s="185" t="s">
        <v>1904</v>
      </c>
      <c r="X288" s="185" t="s">
        <v>1905</v>
      </c>
      <c r="Y288" s="185" t="s">
        <v>1789</v>
      </c>
      <c r="Z288"/>
    </row>
    <row r="289" spans="1:26">
      <c r="A289" s="185" t="s">
        <v>2009</v>
      </c>
      <c r="B289" s="185" t="s">
        <v>2014</v>
      </c>
      <c r="C289" s="185" t="s">
        <v>1792</v>
      </c>
      <c r="D289" s="185" t="s">
        <v>2015</v>
      </c>
      <c r="E289" s="185">
        <v>251010</v>
      </c>
      <c r="F289" s="185" t="s">
        <v>776</v>
      </c>
      <c r="G289" s="185" t="s">
        <v>2012</v>
      </c>
      <c r="H289" s="185" t="s">
        <v>1515</v>
      </c>
      <c r="I289" s="258" t="str">
        <f t="shared" si="13"/>
        <v>2</v>
      </c>
      <c r="J289" s="221">
        <f t="shared" si="14"/>
        <v>155528</v>
      </c>
      <c r="K289" s="258">
        <f t="shared" si="15"/>
        <v>2</v>
      </c>
      <c r="L289" s="188">
        <v>155528</v>
      </c>
      <c r="M289" s="188">
        <v>0</v>
      </c>
      <c r="N289" s="189">
        <v>800227940</v>
      </c>
      <c r="O289" t="s">
        <v>2013</v>
      </c>
      <c r="P289" s="187">
        <v>44984.85</v>
      </c>
      <c r="Q289" s="186">
        <v>7281</v>
      </c>
      <c r="R289" s="185"/>
      <c r="S289" s="185" t="s">
        <v>1664</v>
      </c>
      <c r="T289"/>
      <c r="U289" t="str">
        <f>IF($L289&gt;0,VLOOKUP($E289,Valida!$A$1:$G$270,6,FALSE),IF($M289&gt;=0,VLOOKUP($E289,Valida!$A$1:$G$270,7,FALSE)))</f>
        <v>(+/-) Ajustes por el incremento (disminución) de cuentas por pagar de origen comercial</v>
      </c>
      <c r="V289" s="190" t="str">
        <f>VLOOKUP(E289,Valida!$A$2:$K$271,4,FALSE)</f>
        <v>Trade and other payables</v>
      </c>
      <c r="W289" s="185"/>
      <c r="X289" s="185"/>
      <c r="Y289" s="185"/>
      <c r="Z289"/>
    </row>
    <row r="290" spans="1:26">
      <c r="A290" s="185" t="s">
        <v>2009</v>
      </c>
      <c r="B290" s="185" t="s">
        <v>2014</v>
      </c>
      <c r="C290" s="185" t="s">
        <v>1792</v>
      </c>
      <c r="D290" s="185" t="s">
        <v>2015</v>
      </c>
      <c r="E290" s="185">
        <v>237095</v>
      </c>
      <c r="F290" s="185" t="s">
        <v>150</v>
      </c>
      <c r="G290" s="185" t="s">
        <v>2012</v>
      </c>
      <c r="H290" s="185" t="s">
        <v>1628</v>
      </c>
      <c r="I290" s="258" t="str">
        <f t="shared" si="13"/>
        <v>2</v>
      </c>
      <c r="J290" s="221">
        <f t="shared" si="14"/>
        <v>-1252097</v>
      </c>
      <c r="K290" s="258">
        <f t="shared" si="15"/>
        <v>2</v>
      </c>
      <c r="L290" s="188">
        <v>0</v>
      </c>
      <c r="M290" s="188">
        <v>1252097</v>
      </c>
      <c r="N290" s="189">
        <v>860066942</v>
      </c>
      <c r="O290" t="s">
        <v>2013</v>
      </c>
      <c r="P290" s="187">
        <v>44984.85</v>
      </c>
      <c r="Q290" s="186">
        <v>7282</v>
      </c>
      <c r="R290" s="185" t="s">
        <v>1814</v>
      </c>
      <c r="S290" s="185" t="s">
        <v>1574</v>
      </c>
      <c r="T290"/>
      <c r="U290" t="str">
        <f>IF($L290&gt;0,VLOOKUP($E290,Valida!$A$1:$G$270,6,FALSE),IF($M290&gt;=0,VLOOKUP($E290,Valida!$A$1:$G$270,7,FALSE)))</f>
        <v>(+/-) Ajustes por el incremento (disminución) de cuentas por pagar de origen comercial</v>
      </c>
      <c r="V290" s="190" t="str">
        <f>VLOOKUP(E290,Valida!$A$2:$K$271,4,FALSE)</f>
        <v>Trade and other payables</v>
      </c>
      <c r="W290" s="185" t="s">
        <v>1914</v>
      </c>
      <c r="X290" s="185" t="s">
        <v>1915</v>
      </c>
      <c r="Y290" s="185" t="s">
        <v>1789</v>
      </c>
      <c r="Z290"/>
    </row>
    <row r="291" spans="1:26">
      <c r="A291" s="185" t="s">
        <v>2009</v>
      </c>
      <c r="B291" s="185" t="s">
        <v>2016</v>
      </c>
      <c r="C291" s="185" t="s">
        <v>1890</v>
      </c>
      <c r="D291" s="185" t="s">
        <v>2017</v>
      </c>
      <c r="E291" s="185">
        <v>237095</v>
      </c>
      <c r="F291" s="185" t="s">
        <v>150</v>
      </c>
      <c r="G291" s="185" t="s">
        <v>2012</v>
      </c>
      <c r="H291" s="185" t="s">
        <v>1515</v>
      </c>
      <c r="I291" s="258" t="str">
        <f t="shared" si="13"/>
        <v>2</v>
      </c>
      <c r="J291" s="221">
        <f t="shared" si="14"/>
        <v>1252097</v>
      </c>
      <c r="K291" s="258">
        <f t="shared" si="15"/>
        <v>2</v>
      </c>
      <c r="L291" s="188">
        <v>1252097</v>
      </c>
      <c r="M291" s="188">
        <v>0</v>
      </c>
      <c r="N291" s="189">
        <v>860066942</v>
      </c>
      <c r="O291" t="s">
        <v>2016</v>
      </c>
      <c r="P291" s="187">
        <v>44984.850902777798</v>
      </c>
      <c r="Q291" s="186">
        <v>7283</v>
      </c>
      <c r="R291" s="185" t="s">
        <v>1814</v>
      </c>
      <c r="S291" s="185" t="s">
        <v>1574</v>
      </c>
      <c r="T291"/>
      <c r="U291" t="str">
        <f>IF($L291&gt;0,VLOOKUP($E291,Valida!$A$1:$G$270,6,FALSE),IF($M291&gt;=0,VLOOKUP($E291,Valida!$A$1:$G$270,7,FALSE)))</f>
        <v>(+/-) Ajustes por el incremento (disminución) de cuentas por pagar de origen comercial</v>
      </c>
      <c r="V291" s="190" t="str">
        <f>VLOOKUP(E291,Valida!$A$2:$K$271,4,FALSE)</f>
        <v>Trade and other payables</v>
      </c>
      <c r="W291" s="185" t="s">
        <v>1914</v>
      </c>
      <c r="X291" s="185" t="s">
        <v>1915</v>
      </c>
      <c r="Y291" s="185" t="s">
        <v>1789</v>
      </c>
      <c r="Z291"/>
    </row>
    <row r="292" spans="1:26">
      <c r="A292" s="185" t="s">
        <v>2009</v>
      </c>
      <c r="B292" s="185" t="s">
        <v>2016</v>
      </c>
      <c r="C292" s="185" t="s">
        <v>1890</v>
      </c>
      <c r="D292" s="185" t="s">
        <v>2017</v>
      </c>
      <c r="E292" s="185">
        <v>112005</v>
      </c>
      <c r="F292" s="185" t="s">
        <v>24</v>
      </c>
      <c r="G292" s="185" t="s">
        <v>2012</v>
      </c>
      <c r="H292" s="185" t="s">
        <v>1628</v>
      </c>
      <c r="I292" s="258" t="str">
        <f t="shared" si="13"/>
        <v>1</v>
      </c>
      <c r="J292" s="221">
        <f t="shared" si="14"/>
        <v>-1252097</v>
      </c>
      <c r="K292" s="258">
        <f t="shared" si="15"/>
        <v>2</v>
      </c>
      <c r="L292" s="188">
        <v>0</v>
      </c>
      <c r="M292" s="188">
        <v>1252097</v>
      </c>
      <c r="N292" s="189">
        <v>860066942</v>
      </c>
      <c r="O292" t="s">
        <v>2016</v>
      </c>
      <c r="P292" s="187">
        <v>44984.850902777798</v>
      </c>
      <c r="Q292" s="186">
        <v>7284</v>
      </c>
      <c r="R292" s="185" t="s">
        <v>1814</v>
      </c>
      <c r="S292" s="185" t="s">
        <v>1574</v>
      </c>
      <c r="T292" t="s">
        <v>1894</v>
      </c>
      <c r="U292" t="str">
        <f>IF($L292&gt;0,VLOOKUP($E292,Valida!$A$1:$G$270,6,FALSE),IF($M292&gt;=0,VLOOKUP($E292,Valida!$A$1:$G$270,7,FALSE)))</f>
        <v>Disponible</v>
      </c>
      <c r="V292" s="190" t="str">
        <f>VLOOKUP(E292,Valida!$A$2:$K$271,4,FALSE)</f>
        <v>Cash and equivalents</v>
      </c>
      <c r="W292" s="185" t="s">
        <v>1914</v>
      </c>
      <c r="X292" s="185" t="s">
        <v>1915</v>
      </c>
      <c r="Y292" s="185" t="s">
        <v>1789</v>
      </c>
      <c r="Z292"/>
    </row>
    <row r="293" spans="1:26">
      <c r="A293" s="185" t="s">
        <v>2009</v>
      </c>
      <c r="B293" s="185" t="s">
        <v>2018</v>
      </c>
      <c r="C293" s="185" t="s">
        <v>1890</v>
      </c>
      <c r="D293" s="185" t="s">
        <v>2019</v>
      </c>
      <c r="E293" s="185">
        <v>23355006</v>
      </c>
      <c r="F293" s="185" t="s">
        <v>519</v>
      </c>
      <c r="G293" s="185" t="s">
        <v>1921</v>
      </c>
      <c r="H293" s="185" t="s">
        <v>1515</v>
      </c>
      <c r="I293" s="258" t="str">
        <f t="shared" si="13"/>
        <v>2</v>
      </c>
      <c r="J293" s="221">
        <f t="shared" si="14"/>
        <v>3824660</v>
      </c>
      <c r="K293" s="258">
        <f t="shared" si="15"/>
        <v>2</v>
      </c>
      <c r="L293" s="188">
        <v>3824660</v>
      </c>
      <c r="M293" s="188">
        <v>0</v>
      </c>
      <c r="N293" s="189">
        <v>800153993</v>
      </c>
      <c r="O293" t="s">
        <v>2018</v>
      </c>
      <c r="P293" s="187">
        <v>44984.8515162037</v>
      </c>
      <c r="Q293" s="186">
        <v>7285</v>
      </c>
      <c r="R293" s="185" t="s">
        <v>1814</v>
      </c>
      <c r="S293" s="185" t="s">
        <v>1556</v>
      </c>
      <c r="T293"/>
      <c r="U293" t="str">
        <f>IF($L293&gt;0,VLOOKUP($E293,Valida!$A$1:$G$270,6,FALSE),IF($M293&gt;=0,VLOOKUP($E293,Valida!$A$1:$G$270,7,FALSE)))</f>
        <v>(+/-) Ajustes por el incremento (disminución) de cuentas por pagar de origen comercial</v>
      </c>
      <c r="V293" s="190" t="str">
        <f>VLOOKUP(E293,Valida!$A$2:$K$271,4,FALSE)</f>
        <v>Trade and other payables</v>
      </c>
      <c r="W293" s="185" t="s">
        <v>1815</v>
      </c>
      <c r="X293" s="185"/>
      <c r="Y293" s="185" t="s">
        <v>1789</v>
      </c>
      <c r="Z293"/>
    </row>
    <row r="294" spans="1:26">
      <c r="A294" s="185" t="s">
        <v>2009</v>
      </c>
      <c r="B294" s="185" t="s">
        <v>2018</v>
      </c>
      <c r="C294" s="185" t="s">
        <v>1890</v>
      </c>
      <c r="D294" s="185" t="s">
        <v>2019</v>
      </c>
      <c r="E294" s="185">
        <v>112005</v>
      </c>
      <c r="F294" s="185" t="s">
        <v>24</v>
      </c>
      <c r="G294" s="185" t="s">
        <v>1921</v>
      </c>
      <c r="H294" s="185" t="s">
        <v>1628</v>
      </c>
      <c r="I294" s="258" t="str">
        <f t="shared" si="13"/>
        <v>1</v>
      </c>
      <c r="J294" s="221">
        <f t="shared" si="14"/>
        <v>-3824660</v>
      </c>
      <c r="K294" s="258">
        <f t="shared" si="15"/>
        <v>2</v>
      </c>
      <c r="L294" s="188">
        <v>0</v>
      </c>
      <c r="M294" s="188">
        <v>3824660</v>
      </c>
      <c r="N294" s="189">
        <v>800153993</v>
      </c>
      <c r="O294" t="s">
        <v>2018</v>
      </c>
      <c r="P294" s="187">
        <v>44984.8515162037</v>
      </c>
      <c r="Q294" s="186">
        <v>7286</v>
      </c>
      <c r="R294" s="185" t="s">
        <v>1814</v>
      </c>
      <c r="S294" s="185" t="s">
        <v>1556</v>
      </c>
      <c r="T294" t="s">
        <v>1894</v>
      </c>
      <c r="U294" t="str">
        <f>IF($L294&gt;0,VLOOKUP($E294,Valida!$A$1:$G$270,6,FALSE),IF($M294&gt;=0,VLOOKUP($E294,Valida!$A$1:$G$270,7,FALSE)))</f>
        <v>Disponible</v>
      </c>
      <c r="V294" s="190" t="str">
        <f>VLOOKUP(E294,Valida!$A$2:$K$271,4,FALSE)</f>
        <v>Cash and equivalents</v>
      </c>
      <c r="W294" s="185" t="s">
        <v>1815</v>
      </c>
      <c r="X294" s="185"/>
      <c r="Y294" s="185" t="s">
        <v>1789</v>
      </c>
      <c r="Z294"/>
    </row>
    <row r="295" spans="1:26">
      <c r="A295" s="185" t="s">
        <v>2009</v>
      </c>
      <c r="B295" s="185" t="s">
        <v>2020</v>
      </c>
      <c r="C295" s="185" t="s">
        <v>1890</v>
      </c>
      <c r="D295" s="185" t="s">
        <v>2021</v>
      </c>
      <c r="E295" s="185">
        <v>23355006</v>
      </c>
      <c r="F295" s="185" t="s">
        <v>519</v>
      </c>
      <c r="G295" s="185" t="s">
        <v>1921</v>
      </c>
      <c r="H295" s="185" t="s">
        <v>1515</v>
      </c>
      <c r="I295" s="258" t="str">
        <f t="shared" si="13"/>
        <v>2</v>
      </c>
      <c r="J295" s="221">
        <f t="shared" si="14"/>
        <v>1457040</v>
      </c>
      <c r="K295" s="258">
        <f t="shared" si="15"/>
        <v>2</v>
      </c>
      <c r="L295" s="188">
        <v>1457040</v>
      </c>
      <c r="M295" s="188">
        <v>0</v>
      </c>
      <c r="N295" s="189">
        <v>899999115</v>
      </c>
      <c r="O295" t="s">
        <v>2020</v>
      </c>
      <c r="P295" s="187">
        <v>44984.852025462998</v>
      </c>
      <c r="Q295" s="186">
        <v>7287</v>
      </c>
      <c r="R295" s="185" t="s">
        <v>1827</v>
      </c>
      <c r="S295" s="185" t="s">
        <v>1586</v>
      </c>
      <c r="T295"/>
      <c r="U295" t="str">
        <f>IF($L295&gt;0,VLOOKUP($E295,Valida!$A$1:$G$270,6,FALSE),IF($M295&gt;=0,VLOOKUP($E295,Valida!$A$1:$G$270,7,FALSE)))</f>
        <v>(+/-) Ajustes por el incremento (disminución) de cuentas por pagar de origen comercial</v>
      </c>
      <c r="V295" s="190" t="str">
        <f>VLOOKUP(E295,Valida!$A$2:$K$271,4,FALSE)</f>
        <v>Trade and other payables</v>
      </c>
      <c r="W295" s="185" t="s">
        <v>1828</v>
      </c>
      <c r="X295" s="185" t="s">
        <v>1829</v>
      </c>
      <c r="Y295" s="185" t="s">
        <v>1789</v>
      </c>
      <c r="Z295"/>
    </row>
    <row r="296" spans="1:26">
      <c r="A296" s="185" t="s">
        <v>2009</v>
      </c>
      <c r="B296" s="185" t="s">
        <v>2020</v>
      </c>
      <c r="C296" s="185" t="s">
        <v>1890</v>
      </c>
      <c r="D296" s="185" t="s">
        <v>2021</v>
      </c>
      <c r="E296" s="185">
        <v>112005</v>
      </c>
      <c r="F296" s="185" t="s">
        <v>24</v>
      </c>
      <c r="G296" s="185" t="s">
        <v>1921</v>
      </c>
      <c r="H296" s="185" t="s">
        <v>1628</v>
      </c>
      <c r="I296" s="258" t="str">
        <f t="shared" si="13"/>
        <v>1</v>
      </c>
      <c r="J296" s="221">
        <f t="shared" si="14"/>
        <v>-1457040</v>
      </c>
      <c r="K296" s="258">
        <f t="shared" si="15"/>
        <v>2</v>
      </c>
      <c r="L296" s="188">
        <v>0</v>
      </c>
      <c r="M296" s="188">
        <v>1457040</v>
      </c>
      <c r="N296" s="189">
        <v>899999115</v>
      </c>
      <c r="O296" t="s">
        <v>2020</v>
      </c>
      <c r="P296" s="187">
        <v>44984.852025462998</v>
      </c>
      <c r="Q296" s="186">
        <v>7288</v>
      </c>
      <c r="R296" s="185" t="s">
        <v>1827</v>
      </c>
      <c r="S296" s="185" t="s">
        <v>1586</v>
      </c>
      <c r="T296" t="s">
        <v>1894</v>
      </c>
      <c r="U296" t="str">
        <f>IF($L296&gt;0,VLOOKUP($E296,Valida!$A$1:$G$270,6,FALSE),IF($M296&gt;=0,VLOOKUP($E296,Valida!$A$1:$G$270,7,FALSE)))</f>
        <v>Disponible</v>
      </c>
      <c r="V296" s="190" t="str">
        <f>VLOOKUP(E296,Valida!$A$2:$K$271,4,FALSE)</f>
        <v>Cash and equivalents</v>
      </c>
      <c r="W296" s="185" t="s">
        <v>1828</v>
      </c>
      <c r="X296" s="185" t="s">
        <v>1829</v>
      </c>
      <c r="Y296" s="185" t="s">
        <v>1789</v>
      </c>
      <c r="Z296"/>
    </row>
    <row r="297" spans="1:26">
      <c r="A297" s="185" t="s">
        <v>2009</v>
      </c>
      <c r="B297" s="185" t="s">
        <v>2022</v>
      </c>
      <c r="C297" s="185" t="s">
        <v>1890</v>
      </c>
      <c r="D297" s="185" t="s">
        <v>2023</v>
      </c>
      <c r="E297" s="185">
        <v>23359502</v>
      </c>
      <c r="F297" s="185" t="s">
        <v>547</v>
      </c>
      <c r="G297" s="185" t="s">
        <v>1921</v>
      </c>
      <c r="H297" s="185" t="s">
        <v>1515</v>
      </c>
      <c r="I297" s="258" t="str">
        <f t="shared" si="13"/>
        <v>2</v>
      </c>
      <c r="J297" s="221">
        <f t="shared" si="14"/>
        <v>4314860</v>
      </c>
      <c r="K297" s="258">
        <f t="shared" si="15"/>
        <v>2</v>
      </c>
      <c r="L297" s="188">
        <v>4314860</v>
      </c>
      <c r="M297" s="188">
        <v>0</v>
      </c>
      <c r="N297" s="189">
        <v>830062853</v>
      </c>
      <c r="O297" t="s">
        <v>2022</v>
      </c>
      <c r="P297" s="187">
        <v>44984.853078703702</v>
      </c>
      <c r="Q297" s="186">
        <v>7289</v>
      </c>
      <c r="R297" s="185" t="s">
        <v>433</v>
      </c>
      <c r="S297" s="185" t="s">
        <v>1564</v>
      </c>
      <c r="T297"/>
      <c r="U297" t="str">
        <f>IF($L297&gt;0,VLOOKUP($E297,Valida!$A$1:$G$270,6,FALSE),IF($M297&gt;=0,VLOOKUP($E297,Valida!$A$1:$G$270,7,FALSE)))</f>
        <v>(+/-) Ajustes por el incremento (disminución) de cuentas por pagar de origen comercial</v>
      </c>
      <c r="V297" s="190" t="str">
        <f>VLOOKUP(E297,Valida!$A$2:$K$271,4,FALSE)</f>
        <v>Trade and other payables</v>
      </c>
      <c r="W297" s="185" t="s">
        <v>2024</v>
      </c>
      <c r="X297" s="185" t="s">
        <v>2025</v>
      </c>
      <c r="Y297" s="185" t="s">
        <v>1789</v>
      </c>
      <c r="Z297"/>
    </row>
    <row r="298" spans="1:26">
      <c r="A298" s="185" t="s">
        <v>2009</v>
      </c>
      <c r="B298" s="185" t="s">
        <v>2022</v>
      </c>
      <c r="C298" s="185" t="s">
        <v>1890</v>
      </c>
      <c r="D298" s="185" t="s">
        <v>2023</v>
      </c>
      <c r="E298" s="185">
        <v>112005</v>
      </c>
      <c r="F298" s="185" t="s">
        <v>24</v>
      </c>
      <c r="G298" s="185" t="s">
        <v>1921</v>
      </c>
      <c r="H298" s="185" t="s">
        <v>1628</v>
      </c>
      <c r="I298" s="258" t="str">
        <f t="shared" si="13"/>
        <v>1</v>
      </c>
      <c r="J298" s="221">
        <f t="shared" si="14"/>
        <v>-4314860</v>
      </c>
      <c r="K298" s="258">
        <f t="shared" si="15"/>
        <v>2</v>
      </c>
      <c r="L298" s="188">
        <v>0</v>
      </c>
      <c r="M298" s="188">
        <v>4314860</v>
      </c>
      <c r="N298" s="189">
        <v>830062853</v>
      </c>
      <c r="O298" t="s">
        <v>2022</v>
      </c>
      <c r="P298" s="187">
        <v>44984.853078703702</v>
      </c>
      <c r="Q298" s="186">
        <v>7290</v>
      </c>
      <c r="R298" s="185" t="s">
        <v>433</v>
      </c>
      <c r="S298" s="185" t="s">
        <v>1564</v>
      </c>
      <c r="T298" t="s">
        <v>1894</v>
      </c>
      <c r="U298" t="str">
        <f>IF($L298&gt;0,VLOOKUP($E298,Valida!$A$1:$G$270,6,FALSE),IF($M298&gt;=0,VLOOKUP($E298,Valida!$A$1:$G$270,7,FALSE)))</f>
        <v>Disponible</v>
      </c>
      <c r="V298" s="190" t="str">
        <f>VLOOKUP(E298,Valida!$A$2:$K$271,4,FALSE)</f>
        <v>Cash and equivalents</v>
      </c>
      <c r="W298" s="185" t="s">
        <v>2024</v>
      </c>
      <c r="X298" s="185" t="s">
        <v>2025</v>
      </c>
      <c r="Y298" s="185" t="s">
        <v>1789</v>
      </c>
      <c r="Z298"/>
    </row>
    <row r="299" spans="1:26">
      <c r="A299" s="185" t="s">
        <v>2009</v>
      </c>
      <c r="B299" s="185" t="s">
        <v>2026</v>
      </c>
      <c r="C299" s="185" t="s">
        <v>1890</v>
      </c>
      <c r="D299" s="185" t="s">
        <v>2027</v>
      </c>
      <c r="E299" s="185">
        <v>23355001</v>
      </c>
      <c r="F299" s="185" t="s">
        <v>502</v>
      </c>
      <c r="G299" s="185" t="s">
        <v>1921</v>
      </c>
      <c r="H299" s="185" t="s">
        <v>1515</v>
      </c>
      <c r="I299" s="258" t="str">
        <f t="shared" si="13"/>
        <v>2</v>
      </c>
      <c r="J299" s="221">
        <f t="shared" si="14"/>
        <v>48664.17</v>
      </c>
      <c r="K299" s="258">
        <f t="shared" si="15"/>
        <v>2</v>
      </c>
      <c r="L299" s="188">
        <v>48664.17</v>
      </c>
      <c r="M299" s="188">
        <v>0</v>
      </c>
      <c r="N299" s="189">
        <v>800153993</v>
      </c>
      <c r="O299" t="s">
        <v>2026</v>
      </c>
      <c r="P299" s="187">
        <v>44984.853703703702</v>
      </c>
      <c r="Q299" s="186">
        <v>7291</v>
      </c>
      <c r="R299" s="185" t="s">
        <v>1814</v>
      </c>
      <c r="S299" s="185" t="s">
        <v>1556</v>
      </c>
      <c r="T299"/>
      <c r="U299" t="str">
        <f>IF($L299&gt;0,VLOOKUP($E299,Valida!$A$1:$G$270,6,FALSE),IF($M299&gt;=0,VLOOKUP($E299,Valida!$A$1:$G$270,7,FALSE)))</f>
        <v>(+/-) Ajustes por el incremento (disminución) de cuentas por pagar de origen comercial</v>
      </c>
      <c r="V299" s="190" t="str">
        <f>VLOOKUP(E299,Valida!$A$2:$K$271,4,FALSE)</f>
        <v>Trade and other payables</v>
      </c>
      <c r="W299" s="185" t="s">
        <v>1815</v>
      </c>
      <c r="X299" s="185"/>
      <c r="Y299" s="185" t="s">
        <v>1789</v>
      </c>
      <c r="Z299"/>
    </row>
    <row r="300" spans="1:26">
      <c r="A300" s="185" t="s">
        <v>2009</v>
      </c>
      <c r="B300" s="185" t="s">
        <v>2026</v>
      </c>
      <c r="C300" s="185" t="s">
        <v>1890</v>
      </c>
      <c r="D300" s="185" t="s">
        <v>2027</v>
      </c>
      <c r="E300" s="185">
        <v>112005</v>
      </c>
      <c r="F300" s="185" t="s">
        <v>24</v>
      </c>
      <c r="G300" s="185" t="s">
        <v>1921</v>
      </c>
      <c r="H300" s="185" t="s">
        <v>1628</v>
      </c>
      <c r="I300" s="258" t="str">
        <f t="shared" si="13"/>
        <v>1</v>
      </c>
      <c r="J300" s="221">
        <f t="shared" si="14"/>
        <v>-48664</v>
      </c>
      <c r="K300" s="258">
        <f t="shared" si="15"/>
        <v>2</v>
      </c>
      <c r="L300" s="188">
        <v>0</v>
      </c>
      <c r="M300" s="188">
        <v>48664</v>
      </c>
      <c r="N300" s="189">
        <v>800153993</v>
      </c>
      <c r="O300" t="s">
        <v>2026</v>
      </c>
      <c r="P300" s="187">
        <v>44984.853703703702</v>
      </c>
      <c r="Q300" s="186">
        <v>7292</v>
      </c>
      <c r="R300" s="185" t="s">
        <v>1814</v>
      </c>
      <c r="S300" s="185" t="s">
        <v>1556</v>
      </c>
      <c r="T300" t="s">
        <v>1894</v>
      </c>
      <c r="U300" t="str">
        <f>IF($L300&gt;0,VLOOKUP($E300,Valida!$A$1:$G$270,6,FALSE),IF($M300&gt;=0,VLOOKUP($E300,Valida!$A$1:$G$270,7,FALSE)))</f>
        <v>Disponible</v>
      </c>
      <c r="V300" s="190" t="str">
        <f>VLOOKUP(E300,Valida!$A$2:$K$271,4,FALSE)</f>
        <v>Cash and equivalents</v>
      </c>
      <c r="W300" s="185" t="s">
        <v>1815</v>
      </c>
      <c r="X300" s="185"/>
      <c r="Y300" s="185" t="s">
        <v>1789</v>
      </c>
      <c r="Z300"/>
    </row>
    <row r="301" spans="1:26">
      <c r="A301" s="185" t="s">
        <v>2009</v>
      </c>
      <c r="B301" s="185" t="s">
        <v>2026</v>
      </c>
      <c r="C301" s="185" t="s">
        <v>1890</v>
      </c>
      <c r="D301" s="185" t="s">
        <v>2027</v>
      </c>
      <c r="E301" s="185">
        <v>53059510</v>
      </c>
      <c r="F301" s="185" t="s">
        <v>1065</v>
      </c>
      <c r="G301" s="185" t="s">
        <v>1921</v>
      </c>
      <c r="H301" s="185" t="s">
        <v>1628</v>
      </c>
      <c r="I301" s="258" t="str">
        <f t="shared" si="13"/>
        <v>5</v>
      </c>
      <c r="J301" s="221">
        <f t="shared" si="14"/>
        <v>-0.17</v>
      </c>
      <c r="K301" s="258">
        <f t="shared" si="15"/>
        <v>2</v>
      </c>
      <c r="L301" s="188">
        <v>0</v>
      </c>
      <c r="M301" s="188">
        <v>0.17</v>
      </c>
      <c r="N301" s="189">
        <v>800153993</v>
      </c>
      <c r="O301" t="s">
        <v>2026</v>
      </c>
      <c r="P301" s="187">
        <v>44984.853703703702</v>
      </c>
      <c r="Q301" s="186">
        <v>7293</v>
      </c>
      <c r="R301" s="185" t="s">
        <v>1814</v>
      </c>
      <c r="S301" s="185" t="s">
        <v>1556</v>
      </c>
      <c r="T301"/>
      <c r="U301" t="str">
        <f>IF($L301&gt;0,VLOOKUP($E301,Valida!$A$1:$G$270,6,FALSE),IF($M301&gt;=0,VLOOKUP($E301,Valida!$A$1:$G$270,7,FALSE)))</f>
        <v>(+/-) Ganancia (pérdida)</v>
      </c>
      <c r="V301" s="190" t="str">
        <f>VLOOKUP(E301,Valida!$A$2:$K$271,4,FALSE)</f>
        <v>P&amp;L</v>
      </c>
      <c r="W301" s="185" t="s">
        <v>1815</v>
      </c>
      <c r="X301" s="185"/>
      <c r="Y301" s="185" t="s">
        <v>1789</v>
      </c>
      <c r="Z301"/>
    </row>
    <row r="302" spans="1:26">
      <c r="A302" s="185" t="s">
        <v>2009</v>
      </c>
      <c r="B302" s="185" t="s">
        <v>2028</v>
      </c>
      <c r="C302" s="185" t="s">
        <v>1890</v>
      </c>
      <c r="D302" s="185" t="s">
        <v>2029</v>
      </c>
      <c r="E302" s="185">
        <v>23352503</v>
      </c>
      <c r="F302" s="185" t="s">
        <v>470</v>
      </c>
      <c r="G302" s="185" t="s">
        <v>1921</v>
      </c>
      <c r="H302" s="185" t="s">
        <v>1515</v>
      </c>
      <c r="I302" s="258" t="str">
        <f t="shared" si="13"/>
        <v>2</v>
      </c>
      <c r="J302" s="221">
        <f t="shared" si="14"/>
        <v>175500</v>
      </c>
      <c r="K302" s="258">
        <f t="shared" si="15"/>
        <v>2</v>
      </c>
      <c r="L302" s="188">
        <v>175500</v>
      </c>
      <c r="M302" s="188">
        <v>0</v>
      </c>
      <c r="N302" s="189">
        <v>900170994</v>
      </c>
      <c r="O302" t="s">
        <v>2028</v>
      </c>
      <c r="P302" s="187">
        <v>44984.854317129597</v>
      </c>
      <c r="Q302" s="186">
        <v>7294</v>
      </c>
      <c r="R302" s="185" t="s">
        <v>1841</v>
      </c>
      <c r="S302" s="185" t="s">
        <v>1592</v>
      </c>
      <c r="T302"/>
      <c r="U302" t="str">
        <f>IF($L302&gt;0,VLOOKUP($E302,Valida!$A$1:$G$270,6,FALSE),IF($M302&gt;=0,VLOOKUP($E302,Valida!$A$1:$G$270,7,FALSE)))</f>
        <v>(+/-) Ajustes por el incremento (disminución) de cuentas por pagar de origen comercial</v>
      </c>
      <c r="V302" s="190" t="str">
        <f>VLOOKUP(E302,Valida!$A$2:$K$271,4,FALSE)</f>
        <v>Trade and other payables</v>
      </c>
      <c r="W302" s="185" t="s">
        <v>2030</v>
      </c>
      <c r="X302" s="185" t="s">
        <v>2031</v>
      </c>
      <c r="Y302" s="185" t="s">
        <v>1789</v>
      </c>
      <c r="Z302"/>
    </row>
    <row r="303" spans="1:26">
      <c r="A303" s="185" t="s">
        <v>2009</v>
      </c>
      <c r="B303" s="185" t="s">
        <v>2028</v>
      </c>
      <c r="C303" s="185" t="s">
        <v>1890</v>
      </c>
      <c r="D303" s="185" t="s">
        <v>2029</v>
      </c>
      <c r="E303" s="185">
        <v>112005</v>
      </c>
      <c r="F303" s="185" t="s">
        <v>24</v>
      </c>
      <c r="G303" s="185" t="s">
        <v>1921</v>
      </c>
      <c r="H303" s="185" t="s">
        <v>1628</v>
      </c>
      <c r="I303" s="258" t="str">
        <f t="shared" si="13"/>
        <v>1</v>
      </c>
      <c r="J303" s="221">
        <f t="shared" si="14"/>
        <v>-175500</v>
      </c>
      <c r="K303" s="258">
        <f t="shared" si="15"/>
        <v>2</v>
      </c>
      <c r="L303" s="188">
        <v>0</v>
      </c>
      <c r="M303" s="188">
        <v>175500</v>
      </c>
      <c r="N303" s="189">
        <v>900170994</v>
      </c>
      <c r="O303" t="s">
        <v>2028</v>
      </c>
      <c r="P303" s="187">
        <v>44984.854317129597</v>
      </c>
      <c r="Q303" s="186">
        <v>7295</v>
      </c>
      <c r="R303" s="185" t="s">
        <v>1841</v>
      </c>
      <c r="S303" s="185" t="s">
        <v>1592</v>
      </c>
      <c r="T303" t="s">
        <v>1894</v>
      </c>
      <c r="U303" t="str">
        <f>IF($L303&gt;0,VLOOKUP($E303,Valida!$A$1:$G$270,6,FALSE),IF($M303&gt;=0,VLOOKUP($E303,Valida!$A$1:$G$270,7,FALSE)))</f>
        <v>Disponible</v>
      </c>
      <c r="V303" s="190" t="str">
        <f>VLOOKUP(E303,Valida!$A$2:$K$271,4,FALSE)</f>
        <v>Cash and equivalents</v>
      </c>
      <c r="W303" s="185" t="s">
        <v>2030</v>
      </c>
      <c r="X303" s="185" t="s">
        <v>2031</v>
      </c>
      <c r="Y303" s="185" t="s">
        <v>1789</v>
      </c>
      <c r="Z303"/>
    </row>
    <row r="304" spans="1:26">
      <c r="A304" s="185" t="s">
        <v>2032</v>
      </c>
      <c r="B304" s="185" t="s">
        <v>2033</v>
      </c>
      <c r="C304" s="185" t="s">
        <v>1890</v>
      </c>
      <c r="D304" s="185" t="s">
        <v>2034</v>
      </c>
      <c r="E304" s="185">
        <v>23355004</v>
      </c>
      <c r="F304" s="185" t="s">
        <v>513</v>
      </c>
      <c r="G304" s="185" t="s">
        <v>1921</v>
      </c>
      <c r="H304" s="185" t="s">
        <v>1515</v>
      </c>
      <c r="I304" s="258" t="str">
        <f t="shared" si="13"/>
        <v>2</v>
      </c>
      <c r="J304" s="221">
        <f t="shared" si="14"/>
        <v>1391973.08</v>
      </c>
      <c r="K304" s="258">
        <f t="shared" si="15"/>
        <v>2</v>
      </c>
      <c r="L304" s="188">
        <v>1391973.08</v>
      </c>
      <c r="M304" s="188">
        <v>0</v>
      </c>
      <c r="N304" s="189">
        <v>860010451</v>
      </c>
      <c r="O304" t="s">
        <v>2033</v>
      </c>
      <c r="P304" s="187">
        <v>44984.854965277802</v>
      </c>
      <c r="Q304" s="186">
        <v>7296</v>
      </c>
      <c r="R304" s="185" t="s">
        <v>6</v>
      </c>
      <c r="S304" s="185" t="s">
        <v>1568</v>
      </c>
      <c r="T304"/>
      <c r="U304" t="str">
        <f>IF($L304&gt;0,VLOOKUP($E304,Valida!$A$1:$G$270,6,FALSE),IF($M304&gt;=0,VLOOKUP($E304,Valida!$A$1:$G$270,7,FALSE)))</f>
        <v>(+/-) Ajustes por el incremento (disminución) de cuentas por pagar de origen comercial</v>
      </c>
      <c r="V304" s="190" t="str">
        <f>VLOOKUP(E304,Valida!$A$2:$K$271,4,FALSE)</f>
        <v>Trade and other payables</v>
      </c>
      <c r="W304" s="185" t="s">
        <v>2035</v>
      </c>
      <c r="X304" s="185" t="s">
        <v>2036</v>
      </c>
      <c r="Y304" s="185" t="s">
        <v>1789</v>
      </c>
      <c r="Z304"/>
    </row>
    <row r="305" spans="1:26">
      <c r="A305" s="185" t="s">
        <v>2032</v>
      </c>
      <c r="B305" s="185" t="s">
        <v>2033</v>
      </c>
      <c r="C305" s="185" t="s">
        <v>1890</v>
      </c>
      <c r="D305" s="185" t="s">
        <v>2034</v>
      </c>
      <c r="E305" s="185">
        <v>112005</v>
      </c>
      <c r="F305" s="185" t="s">
        <v>24</v>
      </c>
      <c r="G305" s="185" t="s">
        <v>1921</v>
      </c>
      <c r="H305" s="185" t="s">
        <v>1628</v>
      </c>
      <c r="I305" s="258" t="str">
        <f t="shared" si="13"/>
        <v>1</v>
      </c>
      <c r="J305" s="221">
        <f t="shared" si="14"/>
        <v>-1391973.08</v>
      </c>
      <c r="K305" s="258">
        <f t="shared" si="15"/>
        <v>2</v>
      </c>
      <c r="L305" s="188">
        <v>0</v>
      </c>
      <c r="M305" s="188">
        <v>1391973.08</v>
      </c>
      <c r="N305" s="189">
        <v>860010451</v>
      </c>
      <c r="O305" t="s">
        <v>2033</v>
      </c>
      <c r="P305" s="187">
        <v>44984.854965277802</v>
      </c>
      <c r="Q305" s="186">
        <v>7297</v>
      </c>
      <c r="R305" s="185" t="s">
        <v>6</v>
      </c>
      <c r="S305" s="185" t="s">
        <v>1568</v>
      </c>
      <c r="T305" t="s">
        <v>1894</v>
      </c>
      <c r="U305" t="str">
        <f>IF($L305&gt;0,VLOOKUP($E305,Valida!$A$1:$G$270,6,FALSE),IF($M305&gt;=0,VLOOKUP($E305,Valida!$A$1:$G$270,7,FALSE)))</f>
        <v>Disponible</v>
      </c>
      <c r="V305" s="190" t="str">
        <f>VLOOKUP(E305,Valida!$A$2:$K$271,4,FALSE)</f>
        <v>Cash and equivalents</v>
      </c>
      <c r="W305" s="185" t="s">
        <v>2035</v>
      </c>
      <c r="X305" s="185" t="s">
        <v>2036</v>
      </c>
      <c r="Y305" s="185" t="s">
        <v>1789</v>
      </c>
      <c r="Z305"/>
    </row>
    <row r="306" spans="1:26">
      <c r="A306" s="185" t="s">
        <v>1888</v>
      </c>
      <c r="B306" s="185" t="s">
        <v>2037</v>
      </c>
      <c r="C306" s="185" t="s">
        <v>1890</v>
      </c>
      <c r="D306" s="185" t="s">
        <v>2038</v>
      </c>
      <c r="E306" s="185">
        <v>23352503</v>
      </c>
      <c r="F306" s="185" t="s">
        <v>470</v>
      </c>
      <c r="G306" s="185" t="s">
        <v>1921</v>
      </c>
      <c r="H306" s="185" t="s">
        <v>1515</v>
      </c>
      <c r="I306" s="258" t="str">
        <f t="shared" si="13"/>
        <v>2</v>
      </c>
      <c r="J306" s="221">
        <f t="shared" si="14"/>
        <v>117000</v>
      </c>
      <c r="K306" s="258">
        <f t="shared" si="15"/>
        <v>2</v>
      </c>
      <c r="L306" s="188">
        <v>117000</v>
      </c>
      <c r="M306" s="188">
        <v>0</v>
      </c>
      <c r="N306" s="189">
        <v>900170994</v>
      </c>
      <c r="O306" t="s">
        <v>2037</v>
      </c>
      <c r="P306" s="187">
        <v>44984.855497685203</v>
      </c>
      <c r="Q306" s="186">
        <v>7298</v>
      </c>
      <c r="R306" s="185" t="s">
        <v>1841</v>
      </c>
      <c r="S306" s="185" t="s">
        <v>1592</v>
      </c>
      <c r="T306"/>
      <c r="U306" t="str">
        <f>IF($L306&gt;0,VLOOKUP($E306,Valida!$A$1:$G$270,6,FALSE),IF($M306&gt;=0,VLOOKUP($E306,Valida!$A$1:$G$270,7,FALSE)))</f>
        <v>(+/-) Ajustes por el incremento (disminución) de cuentas por pagar de origen comercial</v>
      </c>
      <c r="V306" s="190" t="str">
        <f>VLOOKUP(E306,Valida!$A$2:$K$271,4,FALSE)</f>
        <v>Trade and other payables</v>
      </c>
      <c r="W306" s="185" t="s">
        <v>2030</v>
      </c>
      <c r="X306" s="185" t="s">
        <v>2031</v>
      </c>
      <c r="Y306" s="185" t="s">
        <v>1789</v>
      </c>
      <c r="Z306"/>
    </row>
    <row r="307" spans="1:26">
      <c r="A307" s="185" t="s">
        <v>1888</v>
      </c>
      <c r="B307" s="185" t="s">
        <v>2037</v>
      </c>
      <c r="C307" s="185" t="s">
        <v>1890</v>
      </c>
      <c r="D307" s="185" t="s">
        <v>2038</v>
      </c>
      <c r="E307" s="185">
        <v>112005</v>
      </c>
      <c r="F307" s="185" t="s">
        <v>24</v>
      </c>
      <c r="G307" s="185" t="s">
        <v>1921</v>
      </c>
      <c r="H307" s="185" t="s">
        <v>1628</v>
      </c>
      <c r="I307" s="258" t="str">
        <f t="shared" si="13"/>
        <v>1</v>
      </c>
      <c r="J307" s="221">
        <f t="shared" si="14"/>
        <v>-117000</v>
      </c>
      <c r="K307" s="258">
        <f t="shared" si="15"/>
        <v>2</v>
      </c>
      <c r="L307" s="188">
        <v>0</v>
      </c>
      <c r="M307" s="188">
        <v>117000</v>
      </c>
      <c r="N307" s="189">
        <v>900170994</v>
      </c>
      <c r="O307" t="s">
        <v>2037</v>
      </c>
      <c r="P307" s="187">
        <v>44984.855497685203</v>
      </c>
      <c r="Q307" s="186">
        <v>7299</v>
      </c>
      <c r="R307" s="185" t="s">
        <v>1841</v>
      </c>
      <c r="S307" s="185" t="s">
        <v>1592</v>
      </c>
      <c r="T307" t="s">
        <v>1894</v>
      </c>
      <c r="U307" t="str">
        <f>IF($L307&gt;0,VLOOKUP($E307,Valida!$A$1:$G$270,6,FALSE),IF($M307&gt;=0,VLOOKUP($E307,Valida!$A$1:$G$270,7,FALSE)))</f>
        <v>Disponible</v>
      </c>
      <c r="V307" s="190" t="str">
        <f>VLOOKUP(E307,Valida!$A$2:$K$271,4,FALSE)</f>
        <v>Cash and equivalents</v>
      </c>
      <c r="W307" s="185" t="s">
        <v>2030</v>
      </c>
      <c r="X307" s="185" t="s">
        <v>2031</v>
      </c>
      <c r="Y307" s="185" t="s">
        <v>1789</v>
      </c>
      <c r="Z307"/>
    </row>
    <row r="308" spans="1:26">
      <c r="A308" s="185" t="s">
        <v>2039</v>
      </c>
      <c r="B308" s="185" t="s">
        <v>2040</v>
      </c>
      <c r="C308" s="185" t="s">
        <v>1897</v>
      </c>
      <c r="D308" s="185" t="s">
        <v>2041</v>
      </c>
      <c r="E308" s="185">
        <v>510506</v>
      </c>
      <c r="F308" s="185" t="s">
        <v>1076</v>
      </c>
      <c r="G308" s="185" t="s">
        <v>2042</v>
      </c>
      <c r="H308" s="185" t="s">
        <v>1515</v>
      </c>
      <c r="I308" s="258" t="str">
        <f t="shared" si="13"/>
        <v>5</v>
      </c>
      <c r="J308" s="221">
        <f t="shared" si="14"/>
        <v>1160000</v>
      </c>
      <c r="K308" s="258">
        <f t="shared" si="15"/>
        <v>4</v>
      </c>
      <c r="L308" s="188">
        <v>1160000</v>
      </c>
      <c r="M308" s="188">
        <v>0</v>
      </c>
      <c r="N308" s="189">
        <v>1130744136</v>
      </c>
      <c r="O308" t="s">
        <v>2040</v>
      </c>
      <c r="P308" s="187">
        <v>45042</v>
      </c>
      <c r="Q308" s="186">
        <v>10495</v>
      </c>
      <c r="R308" s="185"/>
      <c r="S308" s="185" t="s">
        <v>1538</v>
      </c>
      <c r="T308"/>
      <c r="U308" t="str">
        <f>IF($L308&gt;0,VLOOKUP($E308,Valida!$A$1:$G$270,6,FALSE),IF($M308&gt;=0,VLOOKUP($E308,Valida!$A$1:$G$270,7,FALSE)))</f>
        <v>(+/-) Ganancia (pérdida)</v>
      </c>
      <c r="V308" s="190" t="str">
        <f>VLOOKUP(E308,Valida!$A$2:$K$271,4,FALSE)</f>
        <v>P&amp;L</v>
      </c>
      <c r="W308" s="185" t="s">
        <v>1909</v>
      </c>
      <c r="X308" s="185" t="s">
        <v>1910</v>
      </c>
      <c r="Y308" s="185" t="s">
        <v>1789</v>
      </c>
      <c r="Z308"/>
    </row>
    <row r="309" spans="1:26">
      <c r="A309" s="185" t="s">
        <v>2039</v>
      </c>
      <c r="B309" s="185" t="s">
        <v>2040</v>
      </c>
      <c r="C309" s="185" t="s">
        <v>1897</v>
      </c>
      <c r="D309" s="185" t="s">
        <v>2041</v>
      </c>
      <c r="E309" s="185">
        <v>510527</v>
      </c>
      <c r="F309" s="185" t="s">
        <v>1089</v>
      </c>
      <c r="G309" s="185" t="s">
        <v>2042</v>
      </c>
      <c r="H309" s="185" t="s">
        <v>1515</v>
      </c>
      <c r="I309" s="258" t="str">
        <f t="shared" si="13"/>
        <v>5</v>
      </c>
      <c r="J309" s="221">
        <f t="shared" si="14"/>
        <v>140606</v>
      </c>
      <c r="K309" s="258">
        <f t="shared" si="15"/>
        <v>4</v>
      </c>
      <c r="L309" s="188">
        <v>140606</v>
      </c>
      <c r="M309" s="188">
        <v>0</v>
      </c>
      <c r="N309" s="189">
        <v>1130744136</v>
      </c>
      <c r="O309" t="s">
        <v>2040</v>
      </c>
      <c r="P309" s="187">
        <v>45042</v>
      </c>
      <c r="Q309" s="186">
        <v>10496</v>
      </c>
      <c r="R309" s="185"/>
      <c r="S309" s="185" t="s">
        <v>1538</v>
      </c>
      <c r="T309"/>
      <c r="U309" t="str">
        <f>IF($L309&gt;0,VLOOKUP($E309,Valida!$A$1:$G$270,6,FALSE),IF($M309&gt;=0,VLOOKUP($E309,Valida!$A$1:$G$270,7,FALSE)))</f>
        <v>(+/-) Ganancia (pérdida)</v>
      </c>
      <c r="V309" s="190" t="str">
        <f>VLOOKUP(E309,Valida!$A$2:$K$271,4,FALSE)</f>
        <v>P&amp;L</v>
      </c>
      <c r="W309" s="185" t="s">
        <v>1909</v>
      </c>
      <c r="X309" s="185" t="s">
        <v>1910</v>
      </c>
      <c r="Y309" s="185" t="s">
        <v>1789</v>
      </c>
      <c r="Z309"/>
    </row>
    <row r="310" spans="1:26">
      <c r="A310" s="185" t="s">
        <v>2039</v>
      </c>
      <c r="B310" s="185" t="s">
        <v>2040</v>
      </c>
      <c r="C310" s="185" t="s">
        <v>1897</v>
      </c>
      <c r="D310" s="185" t="s">
        <v>2041</v>
      </c>
      <c r="E310" s="185">
        <v>237005</v>
      </c>
      <c r="F310" s="185" t="s">
        <v>676</v>
      </c>
      <c r="G310" s="185" t="s">
        <v>2042</v>
      </c>
      <c r="H310" s="185" t="s">
        <v>1628</v>
      </c>
      <c r="I310" s="258" t="str">
        <f t="shared" si="13"/>
        <v>2</v>
      </c>
      <c r="J310" s="221">
        <f t="shared" si="14"/>
        <v>-46400</v>
      </c>
      <c r="K310" s="258">
        <f t="shared" si="15"/>
        <v>4</v>
      </c>
      <c r="L310" s="188">
        <v>0</v>
      </c>
      <c r="M310" s="188">
        <v>46400</v>
      </c>
      <c r="N310" s="189">
        <v>800251440</v>
      </c>
      <c r="O310" t="s">
        <v>2040</v>
      </c>
      <c r="P310" s="187">
        <v>45042</v>
      </c>
      <c r="Q310" s="186">
        <v>10497</v>
      </c>
      <c r="R310" s="185" t="s">
        <v>1901</v>
      </c>
      <c r="S310" s="185" t="s">
        <v>1560</v>
      </c>
      <c r="T310"/>
      <c r="U310" t="str">
        <f>IF($L310&gt;0,VLOOKUP($E310,Valida!$A$1:$G$270,6,FALSE),IF($M310&gt;=0,VLOOKUP($E310,Valida!$A$1:$G$270,7,FALSE)))</f>
        <v>(+/-) Ajustes por el incremento (disminución) de cuentas por pagar de origen comercial</v>
      </c>
      <c r="V310" s="190" t="str">
        <f>VLOOKUP(E310,Valida!$A$2:$K$271,4,FALSE)</f>
        <v>Trade and other payables</v>
      </c>
      <c r="W310" s="185" t="s">
        <v>1902</v>
      </c>
      <c r="X310" s="185" t="s">
        <v>1903</v>
      </c>
      <c r="Y310" s="185" t="s">
        <v>1789</v>
      </c>
      <c r="Z310"/>
    </row>
    <row r="311" spans="1:26">
      <c r="A311" s="185" t="s">
        <v>2039</v>
      </c>
      <c r="B311" s="185" t="s">
        <v>2040</v>
      </c>
      <c r="C311" s="185" t="s">
        <v>1897</v>
      </c>
      <c r="D311" s="185" t="s">
        <v>2041</v>
      </c>
      <c r="E311" s="185">
        <v>238030</v>
      </c>
      <c r="F311" s="185" t="s">
        <v>721</v>
      </c>
      <c r="G311" s="185" t="s">
        <v>2042</v>
      </c>
      <c r="H311" s="185" t="s">
        <v>1628</v>
      </c>
      <c r="I311" s="258" t="str">
        <f t="shared" si="13"/>
        <v>2</v>
      </c>
      <c r="J311" s="221">
        <f t="shared" si="14"/>
        <v>-46400</v>
      </c>
      <c r="K311" s="258">
        <f t="shared" si="15"/>
        <v>4</v>
      </c>
      <c r="L311" s="188">
        <v>0</v>
      </c>
      <c r="M311" s="188">
        <v>46400</v>
      </c>
      <c r="N311" s="189">
        <v>800224808</v>
      </c>
      <c r="O311" t="s">
        <v>2040</v>
      </c>
      <c r="P311" s="187">
        <v>45042</v>
      </c>
      <c r="Q311" s="186">
        <v>10498</v>
      </c>
      <c r="R311" s="185" t="s">
        <v>1827</v>
      </c>
      <c r="S311" s="185" t="s">
        <v>1662</v>
      </c>
      <c r="T311"/>
      <c r="U311" t="str">
        <f>IF($L311&gt;0,VLOOKUP($E311,Valida!$A$1:$G$270,6,FALSE),IF($M311&gt;=0,VLOOKUP($E311,Valida!$A$1:$G$270,7,FALSE)))</f>
        <v>(+/-) Ajustes por el incremento (disminución) de cuentas por pagar de origen comercial</v>
      </c>
      <c r="V311" s="190" t="str">
        <f>VLOOKUP(E311,Valida!$A$2:$K$271,4,FALSE)</f>
        <v>Trade and other payables</v>
      </c>
      <c r="W311" s="185" t="s">
        <v>1911</v>
      </c>
      <c r="X311" s="185"/>
      <c r="Y311" s="185" t="s">
        <v>1789</v>
      </c>
      <c r="Z311"/>
    </row>
    <row r="312" spans="1:26">
      <c r="A312" s="185" t="s">
        <v>2039</v>
      </c>
      <c r="B312" s="185" t="s">
        <v>2040</v>
      </c>
      <c r="C312" s="185" t="s">
        <v>1897</v>
      </c>
      <c r="D312" s="185" t="s">
        <v>2041</v>
      </c>
      <c r="E312" s="185">
        <v>510506</v>
      </c>
      <c r="F312" s="185" t="s">
        <v>1076</v>
      </c>
      <c r="G312" s="185" t="s">
        <v>2042</v>
      </c>
      <c r="H312" s="185" t="s">
        <v>1515</v>
      </c>
      <c r="I312" s="258" t="str">
        <f t="shared" si="13"/>
        <v>5</v>
      </c>
      <c r="J312" s="221">
        <f t="shared" si="14"/>
        <v>1500000</v>
      </c>
      <c r="K312" s="258">
        <f t="shared" si="15"/>
        <v>4</v>
      </c>
      <c r="L312" s="188">
        <v>1500000</v>
      </c>
      <c r="M312" s="188">
        <v>0</v>
      </c>
      <c r="N312" s="189">
        <v>1010101811</v>
      </c>
      <c r="O312" t="s">
        <v>2040</v>
      </c>
      <c r="P312" s="187">
        <v>45042</v>
      </c>
      <c r="Q312" s="186">
        <v>10499</v>
      </c>
      <c r="R312" s="185"/>
      <c r="S312" s="185" t="s">
        <v>1528</v>
      </c>
      <c r="T312"/>
      <c r="U312" t="str">
        <f>IF($L312&gt;0,VLOOKUP($E312,Valida!$A$1:$G$270,6,FALSE),IF($M312&gt;=0,VLOOKUP($E312,Valida!$A$1:$G$270,7,FALSE)))</f>
        <v>(+/-) Ganancia (pérdida)</v>
      </c>
      <c r="V312" s="190" t="str">
        <f>VLOOKUP(E312,Valida!$A$2:$K$271,4,FALSE)</f>
        <v>P&amp;L</v>
      </c>
      <c r="W312" s="185" t="s">
        <v>1967</v>
      </c>
      <c r="X312" s="185"/>
      <c r="Y312" s="185" t="s">
        <v>1789</v>
      </c>
      <c r="Z312"/>
    </row>
    <row r="313" spans="1:26">
      <c r="A313" s="185" t="s">
        <v>2039</v>
      </c>
      <c r="B313" s="185" t="s">
        <v>2040</v>
      </c>
      <c r="C313" s="185" t="s">
        <v>1897</v>
      </c>
      <c r="D313" s="185" t="s">
        <v>2041</v>
      </c>
      <c r="E313" s="185">
        <v>510527</v>
      </c>
      <c r="F313" s="185" t="s">
        <v>1089</v>
      </c>
      <c r="G313" s="185" t="s">
        <v>2042</v>
      </c>
      <c r="H313" s="185" t="s">
        <v>1515</v>
      </c>
      <c r="I313" s="258" t="str">
        <f t="shared" si="13"/>
        <v>5</v>
      </c>
      <c r="J313" s="221">
        <f t="shared" si="14"/>
        <v>140606</v>
      </c>
      <c r="K313" s="258">
        <f t="shared" si="15"/>
        <v>4</v>
      </c>
      <c r="L313" s="188">
        <v>140606</v>
      </c>
      <c r="M313" s="188">
        <v>0</v>
      </c>
      <c r="N313" s="189">
        <v>1010101811</v>
      </c>
      <c r="O313" t="s">
        <v>2040</v>
      </c>
      <c r="P313" s="187">
        <v>45042</v>
      </c>
      <c r="Q313" s="186">
        <v>10500</v>
      </c>
      <c r="R313" s="185"/>
      <c r="S313" s="185" t="s">
        <v>1528</v>
      </c>
      <c r="T313"/>
      <c r="U313" t="str">
        <f>IF($L313&gt;0,VLOOKUP($E313,Valida!$A$1:$G$270,6,FALSE),IF($M313&gt;=0,VLOOKUP($E313,Valida!$A$1:$G$270,7,FALSE)))</f>
        <v>(+/-) Ganancia (pérdida)</v>
      </c>
      <c r="V313" s="190" t="str">
        <f>VLOOKUP(E313,Valida!$A$2:$K$271,4,FALSE)</f>
        <v>P&amp;L</v>
      </c>
      <c r="W313" s="185" t="s">
        <v>1967</v>
      </c>
      <c r="X313" s="185"/>
      <c r="Y313" s="185" t="s">
        <v>1789</v>
      </c>
      <c r="Z313"/>
    </row>
    <row r="314" spans="1:26">
      <c r="A314" s="185" t="s">
        <v>2039</v>
      </c>
      <c r="B314" s="185" t="s">
        <v>2040</v>
      </c>
      <c r="C314" s="185" t="s">
        <v>1897</v>
      </c>
      <c r="D314" s="185" t="s">
        <v>2041</v>
      </c>
      <c r="E314" s="185">
        <v>237005</v>
      </c>
      <c r="F314" s="185" t="s">
        <v>676</v>
      </c>
      <c r="G314" s="185" t="s">
        <v>2042</v>
      </c>
      <c r="H314" s="185" t="s">
        <v>1628</v>
      </c>
      <c r="I314" s="258" t="str">
        <f t="shared" si="13"/>
        <v>2</v>
      </c>
      <c r="J314" s="221">
        <f t="shared" si="14"/>
        <v>-60000</v>
      </c>
      <c r="K314" s="258">
        <f t="shared" si="15"/>
        <v>4</v>
      </c>
      <c r="L314" s="188">
        <v>0</v>
      </c>
      <c r="M314" s="188">
        <v>60000</v>
      </c>
      <c r="N314" s="189">
        <v>860066942</v>
      </c>
      <c r="O314" t="s">
        <v>2040</v>
      </c>
      <c r="P314" s="187">
        <v>45042</v>
      </c>
      <c r="Q314" s="186">
        <v>10501</v>
      </c>
      <c r="R314" s="185" t="s">
        <v>1814</v>
      </c>
      <c r="S314" s="185" t="s">
        <v>1574</v>
      </c>
      <c r="T314"/>
      <c r="U314" t="str">
        <f>IF($L314&gt;0,VLOOKUP($E314,Valida!$A$1:$G$270,6,FALSE),IF($M314&gt;=0,VLOOKUP($E314,Valida!$A$1:$G$270,7,FALSE)))</f>
        <v>(+/-) Ajustes por el incremento (disminución) de cuentas por pagar de origen comercial</v>
      </c>
      <c r="V314" s="190" t="str">
        <f>VLOOKUP(E314,Valida!$A$2:$K$271,4,FALSE)</f>
        <v>Trade and other payables</v>
      </c>
      <c r="W314" s="185" t="s">
        <v>1914</v>
      </c>
      <c r="X314" s="185" t="s">
        <v>1915</v>
      </c>
      <c r="Y314" s="185" t="s">
        <v>1789</v>
      </c>
      <c r="Z314"/>
    </row>
    <row r="315" spans="1:26">
      <c r="A315" s="185" t="s">
        <v>2039</v>
      </c>
      <c r="B315" s="185" t="s">
        <v>2040</v>
      </c>
      <c r="C315" s="185" t="s">
        <v>1897</v>
      </c>
      <c r="D315" s="185" t="s">
        <v>2041</v>
      </c>
      <c r="E315" s="185">
        <v>238030</v>
      </c>
      <c r="F315" s="185" t="s">
        <v>721</v>
      </c>
      <c r="G315" s="185" t="s">
        <v>2042</v>
      </c>
      <c r="H315" s="185" t="s">
        <v>1628</v>
      </c>
      <c r="I315" s="258" t="str">
        <f t="shared" si="13"/>
        <v>2</v>
      </c>
      <c r="J315" s="221">
        <f t="shared" si="14"/>
        <v>-60000</v>
      </c>
      <c r="K315" s="258">
        <f t="shared" si="15"/>
        <v>4</v>
      </c>
      <c r="L315" s="188">
        <v>0</v>
      </c>
      <c r="M315" s="188">
        <v>60000</v>
      </c>
      <c r="N315" s="189">
        <v>800224808</v>
      </c>
      <c r="O315" t="s">
        <v>2040</v>
      </c>
      <c r="P315" s="187">
        <v>45042</v>
      </c>
      <c r="Q315" s="186">
        <v>10502</v>
      </c>
      <c r="R315" s="185" t="s">
        <v>1827</v>
      </c>
      <c r="S315" s="185" t="s">
        <v>1662</v>
      </c>
      <c r="T315"/>
      <c r="U315" t="str">
        <f>IF($L315&gt;0,VLOOKUP($E315,Valida!$A$1:$G$270,6,FALSE),IF($M315&gt;=0,VLOOKUP($E315,Valida!$A$1:$G$270,7,FALSE)))</f>
        <v>(+/-) Ajustes por el incremento (disminución) de cuentas por pagar de origen comercial</v>
      </c>
      <c r="V315" s="190" t="str">
        <f>VLOOKUP(E315,Valida!$A$2:$K$271,4,FALSE)</f>
        <v>Trade and other payables</v>
      </c>
      <c r="W315" s="185" t="s">
        <v>1911</v>
      </c>
      <c r="X315" s="185"/>
      <c r="Y315" s="185" t="s">
        <v>1789</v>
      </c>
      <c r="Z315"/>
    </row>
    <row r="316" spans="1:26">
      <c r="A316" s="185" t="s">
        <v>2039</v>
      </c>
      <c r="B316" s="185" t="s">
        <v>2040</v>
      </c>
      <c r="C316" s="185" t="s">
        <v>1897</v>
      </c>
      <c r="D316" s="185" t="s">
        <v>2041</v>
      </c>
      <c r="E316" s="185">
        <v>510506</v>
      </c>
      <c r="F316" s="185" t="s">
        <v>1076</v>
      </c>
      <c r="G316" s="185" t="s">
        <v>2042</v>
      </c>
      <c r="H316" s="185" t="s">
        <v>1515</v>
      </c>
      <c r="I316" s="258" t="str">
        <f t="shared" si="13"/>
        <v>5</v>
      </c>
      <c r="J316" s="221">
        <f t="shared" si="14"/>
        <v>1200000</v>
      </c>
      <c r="K316" s="258">
        <f t="shared" si="15"/>
        <v>4</v>
      </c>
      <c r="L316" s="188">
        <v>1200000</v>
      </c>
      <c r="M316" s="188">
        <v>0</v>
      </c>
      <c r="N316" s="189">
        <v>1020842223</v>
      </c>
      <c r="O316" t="s">
        <v>2040</v>
      </c>
      <c r="P316" s="187">
        <v>45042</v>
      </c>
      <c r="Q316" s="186">
        <v>10503</v>
      </c>
      <c r="R316" s="185"/>
      <c r="S316" s="185" t="s">
        <v>1532</v>
      </c>
      <c r="T316"/>
      <c r="U316" t="str">
        <f>IF($L316&gt;0,VLOOKUP($E316,Valida!$A$1:$G$270,6,FALSE),IF($M316&gt;=0,VLOOKUP($E316,Valida!$A$1:$G$270,7,FALSE)))</f>
        <v>(+/-) Ganancia (pérdida)</v>
      </c>
      <c r="V316" s="190" t="str">
        <f>VLOOKUP(E316,Valida!$A$2:$K$271,4,FALSE)</f>
        <v>P&amp;L</v>
      </c>
      <c r="W316" s="185" t="s">
        <v>1900</v>
      </c>
      <c r="X316" s="185"/>
      <c r="Y316" s="185" t="s">
        <v>1789</v>
      </c>
      <c r="Z316"/>
    </row>
    <row r="317" spans="1:26">
      <c r="A317" s="185" t="s">
        <v>2043</v>
      </c>
      <c r="B317" s="185" t="s">
        <v>2044</v>
      </c>
      <c r="C317" s="185" t="s">
        <v>2045</v>
      </c>
      <c r="D317" s="185" t="s">
        <v>6</v>
      </c>
      <c r="E317" s="185">
        <v>23355002</v>
      </c>
      <c r="F317" s="185" t="s">
        <v>506</v>
      </c>
      <c r="G317" s="185" t="s">
        <v>2046</v>
      </c>
      <c r="H317" s="185" t="s">
        <v>1628</v>
      </c>
      <c r="I317" s="258" t="str">
        <f t="shared" si="13"/>
        <v>2</v>
      </c>
      <c r="J317" s="221">
        <f t="shared" si="14"/>
        <v>-3955088</v>
      </c>
      <c r="K317" s="258">
        <f t="shared" si="15"/>
        <v>3</v>
      </c>
      <c r="L317" s="188">
        <v>0</v>
      </c>
      <c r="M317" s="188">
        <v>3955088</v>
      </c>
      <c r="N317" s="189">
        <v>860044821</v>
      </c>
      <c r="O317" t="s">
        <v>2047</v>
      </c>
      <c r="P317" s="187">
        <v>45001.7644097222</v>
      </c>
      <c r="Q317" s="186">
        <v>8722</v>
      </c>
      <c r="R317" s="185" t="s">
        <v>6</v>
      </c>
      <c r="S317" s="185" t="s">
        <v>1570</v>
      </c>
      <c r="T317"/>
      <c r="U317" t="str">
        <f>IF($L317&gt;0,VLOOKUP($E317,Valida!$A$1:$G$270,6,FALSE),IF($M317&gt;=0,VLOOKUP($E317,Valida!$A$1:$G$270,7,FALSE)))</f>
        <v>(+/-) Ajustes por el incremento (disminución) de cuentas por pagar de origen comercial</v>
      </c>
      <c r="V317" s="190" t="str">
        <f>VLOOKUP(E317,Valida!$A$2:$K$271,4,FALSE)</f>
        <v>Trade and other payables</v>
      </c>
      <c r="W317" s="185" t="s">
        <v>2048</v>
      </c>
      <c r="X317" s="185"/>
      <c r="Y317" s="185" t="s">
        <v>1789</v>
      </c>
      <c r="Z317"/>
    </row>
    <row r="318" spans="1:26">
      <c r="A318" s="185" t="s">
        <v>2043</v>
      </c>
      <c r="B318" s="185" t="s">
        <v>2044</v>
      </c>
      <c r="C318" s="185" t="s">
        <v>2045</v>
      </c>
      <c r="D318" s="185" t="s">
        <v>6</v>
      </c>
      <c r="E318" s="185">
        <v>51359501</v>
      </c>
      <c r="F318" s="185" t="s">
        <v>1290</v>
      </c>
      <c r="G318" s="185" t="s">
        <v>2049</v>
      </c>
      <c r="H318" s="185" t="s">
        <v>1515</v>
      </c>
      <c r="I318" s="258" t="str">
        <f t="shared" si="13"/>
        <v>5</v>
      </c>
      <c r="J318" s="221">
        <f t="shared" si="14"/>
        <v>3955088</v>
      </c>
      <c r="K318" s="258">
        <f t="shared" si="15"/>
        <v>3</v>
      </c>
      <c r="L318" s="188">
        <v>3955088</v>
      </c>
      <c r="M318" s="188">
        <v>0</v>
      </c>
      <c r="N318" s="189">
        <v>860044821</v>
      </c>
      <c r="O318" t="s">
        <v>2047</v>
      </c>
      <c r="P318" s="187">
        <v>45001.7644097222</v>
      </c>
      <c r="Q318" s="186">
        <v>8723</v>
      </c>
      <c r="R318" s="185" t="s">
        <v>6</v>
      </c>
      <c r="S318" s="185" t="s">
        <v>1570</v>
      </c>
      <c r="T318"/>
      <c r="U318" t="str">
        <f>IF($L318&gt;0,VLOOKUP($E318,Valida!$A$1:$G$270,6,FALSE),IF($M318&gt;=0,VLOOKUP($E318,Valida!$A$1:$G$270,7,FALSE)))</f>
        <v>(+/-) Ganancia (pérdida)</v>
      </c>
      <c r="V318" s="190" t="str">
        <f>VLOOKUP(E318,Valida!$A$2:$K$271,4,FALSE)</f>
        <v>P&amp;L</v>
      </c>
      <c r="W318" s="185" t="s">
        <v>2048</v>
      </c>
      <c r="X318" s="185"/>
      <c r="Y318" s="185" t="s">
        <v>1789</v>
      </c>
      <c r="Z318"/>
    </row>
    <row r="319" spans="1:26">
      <c r="A319" s="185" t="s">
        <v>1895</v>
      </c>
      <c r="B319" s="185" t="s">
        <v>2050</v>
      </c>
      <c r="C319" s="185" t="s">
        <v>1792</v>
      </c>
      <c r="D319" s="185" t="s">
        <v>2051</v>
      </c>
      <c r="E319" s="185">
        <v>51953001</v>
      </c>
      <c r="F319" s="185" t="s">
        <v>1418</v>
      </c>
      <c r="G319" s="185" t="s">
        <v>2052</v>
      </c>
      <c r="H319" s="185" t="s">
        <v>1515</v>
      </c>
      <c r="I319" s="258" t="str">
        <f t="shared" si="13"/>
        <v>5</v>
      </c>
      <c r="J319" s="221">
        <f t="shared" si="14"/>
        <v>510629</v>
      </c>
      <c r="K319" s="258">
        <f t="shared" si="15"/>
        <v>2</v>
      </c>
      <c r="L319" s="188">
        <v>510629</v>
      </c>
      <c r="M319" s="188">
        <v>0</v>
      </c>
      <c r="N319" s="189">
        <v>901051438</v>
      </c>
      <c r="O319" t="s">
        <v>2053</v>
      </c>
      <c r="P319" s="187">
        <v>45006.442951388897</v>
      </c>
      <c r="Q319" s="186">
        <v>8730</v>
      </c>
      <c r="R319" s="185" t="s">
        <v>1841</v>
      </c>
      <c r="S319" s="185" t="s">
        <v>1608</v>
      </c>
      <c r="T319"/>
      <c r="U319" t="str">
        <f>IF($L319&gt;0,VLOOKUP($E319,Valida!$A$1:$G$270,6,FALSE),IF($M319&gt;=0,VLOOKUP($E319,Valida!$A$1:$G$270,7,FALSE)))</f>
        <v>(+/-) Ganancia (pérdida)</v>
      </c>
      <c r="V319" s="190" t="str">
        <f>VLOOKUP(E319,Valida!$A$2:$K$271,4,FALSE)</f>
        <v>P&amp;L</v>
      </c>
      <c r="W319" s="185" t="s">
        <v>1878</v>
      </c>
      <c r="X319" s="185" t="s">
        <v>1879</v>
      </c>
      <c r="Y319" s="185" t="s">
        <v>1789</v>
      </c>
      <c r="Z319"/>
    </row>
    <row r="320" spans="1:26">
      <c r="A320" s="185" t="s">
        <v>1895</v>
      </c>
      <c r="B320" s="185" t="s">
        <v>2050</v>
      </c>
      <c r="C320" s="185" t="s">
        <v>1792</v>
      </c>
      <c r="D320" s="185" t="s">
        <v>2051</v>
      </c>
      <c r="E320" s="185">
        <v>23359505</v>
      </c>
      <c r="F320" s="185" t="s">
        <v>557</v>
      </c>
      <c r="G320" s="185" t="s">
        <v>2052</v>
      </c>
      <c r="H320" s="185" t="s">
        <v>1628</v>
      </c>
      <c r="I320" s="258" t="str">
        <f t="shared" si="13"/>
        <v>2</v>
      </c>
      <c r="J320" s="221">
        <f t="shared" si="14"/>
        <v>-510629</v>
      </c>
      <c r="K320" s="258">
        <f t="shared" si="15"/>
        <v>2</v>
      </c>
      <c r="L320" s="188">
        <v>0</v>
      </c>
      <c r="M320" s="188">
        <v>510629</v>
      </c>
      <c r="N320" s="189">
        <v>901051438</v>
      </c>
      <c r="O320" t="s">
        <v>2053</v>
      </c>
      <c r="P320" s="187">
        <v>45006.442951388897</v>
      </c>
      <c r="Q320" s="186">
        <v>8731</v>
      </c>
      <c r="R320" s="185" t="s">
        <v>1841</v>
      </c>
      <c r="S320" s="185" t="s">
        <v>1608</v>
      </c>
      <c r="T320"/>
      <c r="U320" t="str">
        <f>IF($L320&gt;0,VLOOKUP($E320,Valida!$A$1:$G$270,6,FALSE),IF($M320&gt;=0,VLOOKUP($E320,Valida!$A$1:$G$270,7,FALSE)))</f>
        <v>(+/-) Ajustes por el incremento (disminución) de cuentas por pagar de origen comercial</v>
      </c>
      <c r="V320" s="190" t="str">
        <f>VLOOKUP(E320,Valida!$A$2:$K$271,4,FALSE)</f>
        <v>Trade and other payables</v>
      </c>
      <c r="W320" s="185" t="s">
        <v>1878</v>
      </c>
      <c r="X320" s="185" t="s">
        <v>1879</v>
      </c>
      <c r="Y320" s="185" t="s">
        <v>1789</v>
      </c>
      <c r="Z320"/>
    </row>
    <row r="321" spans="1:26">
      <c r="A321" s="185" t="s">
        <v>2039</v>
      </c>
      <c r="B321" s="185" t="s">
        <v>2040</v>
      </c>
      <c r="C321" s="185" t="s">
        <v>1897</v>
      </c>
      <c r="D321" s="185" t="s">
        <v>2041</v>
      </c>
      <c r="E321" s="185">
        <v>510527</v>
      </c>
      <c r="F321" s="185" t="s">
        <v>1089</v>
      </c>
      <c r="G321" s="185" t="s">
        <v>2042</v>
      </c>
      <c r="H321" s="185" t="s">
        <v>1515</v>
      </c>
      <c r="I321" s="258" t="str">
        <f t="shared" si="13"/>
        <v>5</v>
      </c>
      <c r="J321" s="221">
        <f t="shared" si="14"/>
        <v>140606</v>
      </c>
      <c r="K321" s="258">
        <f t="shared" si="15"/>
        <v>4</v>
      </c>
      <c r="L321" s="188">
        <v>140606</v>
      </c>
      <c r="M321" s="188">
        <v>0</v>
      </c>
      <c r="N321" s="189">
        <v>1020842223</v>
      </c>
      <c r="O321" t="s">
        <v>2040</v>
      </c>
      <c r="P321" s="187">
        <v>45042</v>
      </c>
      <c r="Q321" s="186">
        <v>10504</v>
      </c>
      <c r="R321" s="185"/>
      <c r="S321" s="185" t="s">
        <v>1532</v>
      </c>
      <c r="T321"/>
      <c r="U321" t="str">
        <f>IF($L321&gt;0,VLOOKUP($E321,Valida!$A$1:$G$270,6,FALSE),IF($M321&gt;=0,VLOOKUP($E321,Valida!$A$1:$G$270,7,FALSE)))</f>
        <v>(+/-) Ganancia (pérdida)</v>
      </c>
      <c r="V321" s="190" t="str">
        <f>VLOOKUP(E321,Valida!$A$2:$K$271,4,FALSE)</f>
        <v>P&amp;L</v>
      </c>
      <c r="W321" s="185" t="s">
        <v>1900</v>
      </c>
      <c r="X321" s="185"/>
      <c r="Y321" s="185" t="s">
        <v>1789</v>
      </c>
      <c r="Z321"/>
    </row>
    <row r="322" spans="1:26">
      <c r="A322" s="185" t="s">
        <v>2039</v>
      </c>
      <c r="B322" s="185" t="s">
        <v>2040</v>
      </c>
      <c r="C322" s="185" t="s">
        <v>1897</v>
      </c>
      <c r="D322" s="185" t="s">
        <v>2041</v>
      </c>
      <c r="E322" s="185">
        <v>510515</v>
      </c>
      <c r="F322" s="185" t="s">
        <v>1080</v>
      </c>
      <c r="G322" s="185" t="s">
        <v>2042</v>
      </c>
      <c r="H322" s="185" t="s">
        <v>1515</v>
      </c>
      <c r="I322" s="258" t="str">
        <f t="shared" si="13"/>
        <v>5</v>
      </c>
      <c r="J322" s="221">
        <f t="shared" si="14"/>
        <v>37500</v>
      </c>
      <c r="K322" s="258">
        <f t="shared" si="15"/>
        <v>4</v>
      </c>
      <c r="L322" s="188">
        <v>37500</v>
      </c>
      <c r="M322" s="188">
        <v>0</v>
      </c>
      <c r="N322" s="189">
        <v>1020842223</v>
      </c>
      <c r="O322" t="s">
        <v>2040</v>
      </c>
      <c r="P322" s="187">
        <v>45042</v>
      </c>
      <c r="Q322" s="186">
        <v>10505</v>
      </c>
      <c r="R322" s="185"/>
      <c r="S322" s="185" t="s">
        <v>1532</v>
      </c>
      <c r="T322"/>
      <c r="U322" t="str">
        <f>IF($L322&gt;0,VLOOKUP($E322,Valida!$A$1:$G$270,6,FALSE),IF($M322&gt;=0,VLOOKUP($E322,Valida!$A$1:$G$270,7,FALSE)))</f>
        <v>(+/-) Ganancia (pérdida)</v>
      </c>
      <c r="V322" s="190" t="str">
        <f>VLOOKUP(E322,Valida!$A$2:$K$271,4,FALSE)</f>
        <v>P&amp;L</v>
      </c>
      <c r="W322" s="185" t="s">
        <v>1900</v>
      </c>
      <c r="X322" s="185"/>
      <c r="Y322" s="185" t="s">
        <v>1789</v>
      </c>
      <c r="Z322"/>
    </row>
    <row r="323" spans="1:26">
      <c r="A323" s="185" t="s">
        <v>2054</v>
      </c>
      <c r="B323" s="185" t="s">
        <v>2055</v>
      </c>
      <c r="C323" s="185" t="s">
        <v>2045</v>
      </c>
      <c r="D323" s="185" t="s">
        <v>433</v>
      </c>
      <c r="E323" s="185">
        <v>23355002</v>
      </c>
      <c r="F323" s="185" t="s">
        <v>506</v>
      </c>
      <c r="G323" s="185" t="s">
        <v>2056</v>
      </c>
      <c r="H323" s="185" t="s">
        <v>1628</v>
      </c>
      <c r="I323" s="258" t="str">
        <f t="shared" ref="I323:I386" si="16">LEFT(E323,1)</f>
        <v>2</v>
      </c>
      <c r="J323" s="221">
        <f t="shared" ref="J323:J386" si="17">L323-M323</f>
        <v>-116068.19</v>
      </c>
      <c r="K323" s="258">
        <f t="shared" ref="K323:K386" si="18">MONTH(A323)</f>
        <v>3</v>
      </c>
      <c r="L323" s="188">
        <v>0</v>
      </c>
      <c r="M323" s="188">
        <v>116068.19</v>
      </c>
      <c r="N323" s="189">
        <v>440493581</v>
      </c>
      <c r="O323" t="s">
        <v>2057</v>
      </c>
      <c r="P323" s="187">
        <v>45002.319629629601</v>
      </c>
      <c r="Q323" s="186">
        <v>8728</v>
      </c>
      <c r="R323" s="185"/>
      <c r="S323" s="185" t="s">
        <v>1546</v>
      </c>
      <c r="T323"/>
      <c r="U323" t="str">
        <f>IF($L323&gt;0,VLOOKUP($E323,Valida!$A$1:$G$270,6,FALSE),IF($M323&gt;=0,VLOOKUP($E323,Valida!$A$1:$G$270,7,FALSE)))</f>
        <v>(+/-) Ajustes por el incremento (disminución) de cuentas por pagar de origen comercial</v>
      </c>
      <c r="V323" s="190" t="str">
        <f>VLOOKUP(E323,Valida!$A$2:$K$271,4,FALSE)</f>
        <v>Trade and other payables</v>
      </c>
      <c r="W323" s="185" t="s">
        <v>1808</v>
      </c>
      <c r="X323" s="185"/>
      <c r="Y323" s="185"/>
      <c r="Z323"/>
    </row>
    <row r="324" spans="1:26">
      <c r="A324" s="185" t="s">
        <v>2054</v>
      </c>
      <c r="B324" s="185" t="s">
        <v>2055</v>
      </c>
      <c r="C324" s="185" t="s">
        <v>2045</v>
      </c>
      <c r="D324" s="185" t="s">
        <v>433</v>
      </c>
      <c r="E324" s="185">
        <v>51352001</v>
      </c>
      <c r="F324" s="185" t="s">
        <v>1267</v>
      </c>
      <c r="G324" s="185" t="s">
        <v>2058</v>
      </c>
      <c r="H324" s="185" t="s">
        <v>1515</v>
      </c>
      <c r="I324" s="258" t="str">
        <f t="shared" si="16"/>
        <v>5</v>
      </c>
      <c r="J324" s="221">
        <f t="shared" si="17"/>
        <v>116068.19</v>
      </c>
      <c r="K324" s="258">
        <f t="shared" si="18"/>
        <v>3</v>
      </c>
      <c r="L324" s="188">
        <v>116068.19</v>
      </c>
      <c r="M324" s="188">
        <v>0</v>
      </c>
      <c r="N324" s="189">
        <v>440493581</v>
      </c>
      <c r="O324" t="s">
        <v>2057</v>
      </c>
      <c r="P324" s="187">
        <v>45002.3196412037</v>
      </c>
      <c r="Q324" s="186">
        <v>8729</v>
      </c>
      <c r="R324" s="185"/>
      <c r="S324" s="185" t="s">
        <v>1546</v>
      </c>
      <c r="T324"/>
      <c r="U324" t="str">
        <f>IF($L324&gt;0,VLOOKUP($E324,Valida!$A$1:$G$270,6,FALSE),IF($M324&gt;=0,VLOOKUP($E324,Valida!$A$1:$G$270,7,FALSE)))</f>
        <v>(+/-) Ganancia (pérdida)</v>
      </c>
      <c r="V324" s="190" t="str">
        <f>VLOOKUP(E324,Valida!$A$2:$K$271,4,FALSE)</f>
        <v>P&amp;L</v>
      </c>
      <c r="W324" s="185" t="s">
        <v>1808</v>
      </c>
      <c r="X324" s="185"/>
      <c r="Y324" s="185"/>
      <c r="Z324"/>
    </row>
    <row r="325" spans="1:26">
      <c r="A325" s="185" t="s">
        <v>1895</v>
      </c>
      <c r="B325" s="185" t="s">
        <v>2059</v>
      </c>
      <c r="C325" s="185" t="s">
        <v>1890</v>
      </c>
      <c r="D325" s="185" t="s">
        <v>2060</v>
      </c>
      <c r="E325" s="185">
        <v>23355004</v>
      </c>
      <c r="F325" s="185" t="s">
        <v>513</v>
      </c>
      <c r="G325" s="185" t="s">
        <v>2061</v>
      </c>
      <c r="H325" s="185" t="s">
        <v>1515</v>
      </c>
      <c r="I325" s="258" t="str">
        <f t="shared" si="16"/>
        <v>2</v>
      </c>
      <c r="J325" s="221">
        <f t="shared" si="17"/>
        <v>2167000</v>
      </c>
      <c r="K325" s="258">
        <f t="shared" si="18"/>
        <v>2</v>
      </c>
      <c r="L325" s="188">
        <v>2167000</v>
      </c>
      <c r="M325" s="188">
        <v>0</v>
      </c>
      <c r="N325" s="189">
        <v>900994552</v>
      </c>
      <c r="O325" t="s">
        <v>2059</v>
      </c>
      <c r="P325" s="187">
        <v>45006.451689814799</v>
      </c>
      <c r="Q325" s="186">
        <v>8734</v>
      </c>
      <c r="R325" s="185" t="s">
        <v>844</v>
      </c>
      <c r="S325" s="185" t="s">
        <v>1606</v>
      </c>
      <c r="T325"/>
      <c r="U325" t="str">
        <f>IF($L325&gt;0,VLOOKUP($E325,Valida!$A$1:$G$270,6,FALSE),IF($M325&gt;=0,VLOOKUP($E325,Valida!$A$1:$G$270,7,FALSE)))</f>
        <v>(+/-) Ajustes por el incremento (disminución) de cuentas por pagar de origen comercial</v>
      </c>
      <c r="V325" s="190" t="str">
        <f>VLOOKUP(E325,Valida!$A$2:$K$271,4,FALSE)</f>
        <v>Trade and other payables</v>
      </c>
      <c r="W325" s="185" t="s">
        <v>1796</v>
      </c>
      <c r="X325" s="185" t="s">
        <v>1797</v>
      </c>
      <c r="Y325" s="185" t="s">
        <v>1789</v>
      </c>
      <c r="Z325"/>
    </row>
    <row r="326" spans="1:26">
      <c r="A326" s="185" t="s">
        <v>1895</v>
      </c>
      <c r="B326" s="185" t="s">
        <v>2059</v>
      </c>
      <c r="C326" s="185" t="s">
        <v>1890</v>
      </c>
      <c r="D326" s="185" t="s">
        <v>2060</v>
      </c>
      <c r="E326" s="185">
        <v>112005</v>
      </c>
      <c r="F326" s="185" t="s">
        <v>24</v>
      </c>
      <c r="G326" s="185" t="s">
        <v>2061</v>
      </c>
      <c r="H326" s="185" t="s">
        <v>1628</v>
      </c>
      <c r="I326" s="258" t="str">
        <f t="shared" si="16"/>
        <v>1</v>
      </c>
      <c r="J326" s="221">
        <f t="shared" si="17"/>
        <v>-2167000</v>
      </c>
      <c r="K326" s="258">
        <f t="shared" si="18"/>
        <v>2</v>
      </c>
      <c r="L326" s="188">
        <v>0</v>
      </c>
      <c r="M326" s="188">
        <v>2167000</v>
      </c>
      <c r="N326" s="189">
        <v>900994552</v>
      </c>
      <c r="O326" t="s">
        <v>2059</v>
      </c>
      <c r="P326" s="187">
        <v>45006.451689814799</v>
      </c>
      <c r="Q326" s="186">
        <v>8735</v>
      </c>
      <c r="R326" s="185" t="s">
        <v>844</v>
      </c>
      <c r="S326" s="185" t="s">
        <v>1606</v>
      </c>
      <c r="T326" t="s">
        <v>1894</v>
      </c>
      <c r="U326" t="str">
        <f>IF($L326&gt;0,VLOOKUP($E326,Valida!$A$1:$G$270,6,FALSE),IF($M326&gt;=0,VLOOKUP($E326,Valida!$A$1:$G$270,7,FALSE)))</f>
        <v>Disponible</v>
      </c>
      <c r="V326" s="190" t="str">
        <f>VLOOKUP(E326,Valida!$A$2:$K$271,4,FALSE)</f>
        <v>Cash and equivalents</v>
      </c>
      <c r="W326" s="185" t="s">
        <v>1796</v>
      </c>
      <c r="X326" s="185" t="s">
        <v>1797</v>
      </c>
      <c r="Y326" s="185" t="s">
        <v>1789</v>
      </c>
      <c r="Z326"/>
    </row>
    <row r="327" spans="1:26">
      <c r="A327" s="185" t="s">
        <v>1895</v>
      </c>
      <c r="B327" s="185" t="s">
        <v>2062</v>
      </c>
      <c r="C327" s="185" t="s">
        <v>1890</v>
      </c>
      <c r="D327" s="185" t="s">
        <v>2063</v>
      </c>
      <c r="E327" s="185">
        <v>23359505</v>
      </c>
      <c r="F327" s="185" t="s">
        <v>557</v>
      </c>
      <c r="G327" s="185" t="s">
        <v>2064</v>
      </c>
      <c r="H327" s="185" t="s">
        <v>1515</v>
      </c>
      <c r="I327" s="258" t="str">
        <f t="shared" si="16"/>
        <v>2</v>
      </c>
      <c r="J327" s="221">
        <f t="shared" si="17"/>
        <v>510629</v>
      </c>
      <c r="K327" s="258">
        <f t="shared" si="18"/>
        <v>2</v>
      </c>
      <c r="L327" s="188">
        <v>510629</v>
      </c>
      <c r="M327" s="188">
        <v>0</v>
      </c>
      <c r="N327" s="189">
        <v>901051438</v>
      </c>
      <c r="O327" t="s">
        <v>2062</v>
      </c>
      <c r="P327" s="187">
        <v>45006.452118055597</v>
      </c>
      <c r="Q327" s="186">
        <v>8736</v>
      </c>
      <c r="R327" s="185" t="s">
        <v>1841</v>
      </c>
      <c r="S327" s="185" t="s">
        <v>1608</v>
      </c>
      <c r="T327"/>
      <c r="U327" t="str">
        <f>IF($L327&gt;0,VLOOKUP($E327,Valida!$A$1:$G$270,6,FALSE),IF($M327&gt;=0,VLOOKUP($E327,Valida!$A$1:$G$270,7,FALSE)))</f>
        <v>(+/-) Ajustes por el incremento (disminución) de cuentas por pagar de origen comercial</v>
      </c>
      <c r="V327" s="190" t="str">
        <f>VLOOKUP(E327,Valida!$A$2:$K$271,4,FALSE)</f>
        <v>Trade and other payables</v>
      </c>
      <c r="W327" s="185" t="s">
        <v>1878</v>
      </c>
      <c r="X327" s="185" t="s">
        <v>1879</v>
      </c>
      <c r="Y327" s="185" t="s">
        <v>1789</v>
      </c>
      <c r="Z327"/>
    </row>
    <row r="328" spans="1:26">
      <c r="A328" s="185" t="s">
        <v>1895</v>
      </c>
      <c r="B328" s="185" t="s">
        <v>2062</v>
      </c>
      <c r="C328" s="185" t="s">
        <v>1890</v>
      </c>
      <c r="D328" s="185" t="s">
        <v>2063</v>
      </c>
      <c r="E328" s="185">
        <v>112005</v>
      </c>
      <c r="F328" s="185" t="s">
        <v>24</v>
      </c>
      <c r="G328" s="185" t="s">
        <v>2064</v>
      </c>
      <c r="H328" s="185" t="s">
        <v>1628</v>
      </c>
      <c r="I328" s="258" t="str">
        <f t="shared" si="16"/>
        <v>1</v>
      </c>
      <c r="J328" s="221">
        <f t="shared" si="17"/>
        <v>-510629</v>
      </c>
      <c r="K328" s="258">
        <f t="shared" si="18"/>
        <v>2</v>
      </c>
      <c r="L328" s="188">
        <v>0</v>
      </c>
      <c r="M328" s="188">
        <v>510629</v>
      </c>
      <c r="N328" s="189">
        <v>901051438</v>
      </c>
      <c r="O328" t="s">
        <v>2062</v>
      </c>
      <c r="P328" s="187">
        <v>45006.452118055597</v>
      </c>
      <c r="Q328" s="186">
        <v>8737</v>
      </c>
      <c r="R328" s="185" t="s">
        <v>1841</v>
      </c>
      <c r="S328" s="185" t="s">
        <v>1608</v>
      </c>
      <c r="T328" t="s">
        <v>1894</v>
      </c>
      <c r="U328" t="str">
        <f>IF($L328&gt;0,VLOOKUP($E328,Valida!$A$1:$G$270,6,FALSE),IF($M328&gt;=0,VLOOKUP($E328,Valida!$A$1:$G$270,7,FALSE)))</f>
        <v>Disponible</v>
      </c>
      <c r="V328" s="190" t="str">
        <f>VLOOKUP(E328,Valida!$A$2:$K$271,4,FALSE)</f>
        <v>Cash and equivalents</v>
      </c>
      <c r="W328" s="185" t="s">
        <v>1878</v>
      </c>
      <c r="X328" s="185" t="s">
        <v>1879</v>
      </c>
      <c r="Y328" s="185" t="s">
        <v>1789</v>
      </c>
      <c r="Z328"/>
    </row>
    <row r="329" spans="1:26">
      <c r="A329" s="185" t="s">
        <v>1895</v>
      </c>
      <c r="B329" s="185" t="s">
        <v>2065</v>
      </c>
      <c r="C329" s="185" t="s">
        <v>1890</v>
      </c>
      <c r="D329" s="185" t="s">
        <v>2066</v>
      </c>
      <c r="E329" s="185">
        <v>23351001</v>
      </c>
      <c r="F329" s="185" t="s">
        <v>453</v>
      </c>
      <c r="G329" s="185" t="s">
        <v>2067</v>
      </c>
      <c r="H329" s="185" t="s">
        <v>1515</v>
      </c>
      <c r="I329" s="258" t="str">
        <f t="shared" si="16"/>
        <v>2</v>
      </c>
      <c r="J329" s="221">
        <f t="shared" si="17"/>
        <v>37000</v>
      </c>
      <c r="K329" s="258">
        <f t="shared" si="18"/>
        <v>2</v>
      </c>
      <c r="L329" s="188">
        <v>37000</v>
      </c>
      <c r="M329" s="188">
        <v>0</v>
      </c>
      <c r="N329" s="189">
        <v>900180739</v>
      </c>
      <c r="O329" t="s">
        <v>2065</v>
      </c>
      <c r="P329" s="187">
        <v>45006.452638888899</v>
      </c>
      <c r="Q329" s="186">
        <v>8738</v>
      </c>
      <c r="R329" s="185" t="s">
        <v>6</v>
      </c>
      <c r="S329" s="185" t="s">
        <v>1594</v>
      </c>
      <c r="T329"/>
      <c r="U329" t="str">
        <f>IF($L329&gt;0,VLOOKUP($E329,Valida!$A$1:$G$270,6,FALSE),IF($M329&gt;=0,VLOOKUP($E329,Valida!$A$1:$G$270,7,FALSE)))</f>
        <v>(+/-) Ajustes por el incremento (disminución) de cuentas por pagar de origen comercial</v>
      </c>
      <c r="V329" s="190" t="str">
        <f>VLOOKUP(E329,Valida!$A$2:$K$271,4,FALSE)</f>
        <v>Trade and other payables</v>
      </c>
      <c r="W329" s="185"/>
      <c r="X329" s="185"/>
      <c r="Y329" s="185"/>
      <c r="Z329"/>
    </row>
    <row r="330" spans="1:26">
      <c r="A330" s="185" t="s">
        <v>1895</v>
      </c>
      <c r="B330" s="185" t="s">
        <v>2065</v>
      </c>
      <c r="C330" s="185" t="s">
        <v>1890</v>
      </c>
      <c r="D330" s="185" t="s">
        <v>2066</v>
      </c>
      <c r="E330" s="185">
        <v>112005</v>
      </c>
      <c r="F330" s="185" t="s">
        <v>24</v>
      </c>
      <c r="G330" s="185" t="s">
        <v>2067</v>
      </c>
      <c r="H330" s="185" t="s">
        <v>1628</v>
      </c>
      <c r="I330" s="258" t="str">
        <f t="shared" si="16"/>
        <v>1</v>
      </c>
      <c r="J330" s="221">
        <f t="shared" si="17"/>
        <v>-37000</v>
      </c>
      <c r="K330" s="258">
        <f t="shared" si="18"/>
        <v>2</v>
      </c>
      <c r="L330" s="188">
        <v>0</v>
      </c>
      <c r="M330" s="188">
        <v>37000</v>
      </c>
      <c r="N330" s="189">
        <v>900180739</v>
      </c>
      <c r="O330" t="s">
        <v>2065</v>
      </c>
      <c r="P330" s="187">
        <v>45006.452638888899</v>
      </c>
      <c r="Q330" s="186">
        <v>8739</v>
      </c>
      <c r="R330" s="185" t="s">
        <v>6</v>
      </c>
      <c r="S330" s="185" t="s">
        <v>1594</v>
      </c>
      <c r="T330" t="s">
        <v>1894</v>
      </c>
      <c r="U330" t="str">
        <f>IF($L330&gt;0,VLOOKUP($E330,Valida!$A$1:$G$270,6,FALSE),IF($M330&gt;=0,VLOOKUP($E330,Valida!$A$1:$G$270,7,FALSE)))</f>
        <v>Disponible</v>
      </c>
      <c r="V330" s="190" t="str">
        <f>VLOOKUP(E330,Valida!$A$2:$K$271,4,FALSE)</f>
        <v>Cash and equivalents</v>
      </c>
      <c r="W330" s="185"/>
      <c r="X330" s="185"/>
      <c r="Y330" s="185"/>
      <c r="Z330"/>
    </row>
    <row r="331" spans="1:26">
      <c r="A331" s="185" t="s">
        <v>1895</v>
      </c>
      <c r="B331" s="185" t="s">
        <v>2068</v>
      </c>
      <c r="C331" s="185" t="s">
        <v>1952</v>
      </c>
      <c r="D331" s="185" t="s">
        <v>2069</v>
      </c>
      <c r="E331" s="185">
        <v>53050501</v>
      </c>
      <c r="F331" s="185" t="s">
        <v>1462</v>
      </c>
      <c r="G331" s="185" t="s">
        <v>1954</v>
      </c>
      <c r="H331" s="185" t="s">
        <v>1515</v>
      </c>
      <c r="I331" s="258" t="str">
        <f t="shared" si="16"/>
        <v>5</v>
      </c>
      <c r="J331" s="221">
        <f t="shared" si="17"/>
        <v>69200</v>
      </c>
      <c r="K331" s="258">
        <f t="shared" si="18"/>
        <v>2</v>
      </c>
      <c r="L331" s="188">
        <v>69200</v>
      </c>
      <c r="M331" s="188">
        <v>0</v>
      </c>
      <c r="N331" s="189">
        <v>890903938</v>
      </c>
      <c r="O331" t="s">
        <v>2068</v>
      </c>
      <c r="P331" s="187">
        <v>45006.4552430556</v>
      </c>
      <c r="Q331" s="186">
        <v>8740</v>
      </c>
      <c r="R331" s="185" t="s">
        <v>1827</v>
      </c>
      <c r="S331" s="185" t="s">
        <v>1580</v>
      </c>
      <c r="T331"/>
      <c r="U331" t="str">
        <f>IF($L331&gt;0,VLOOKUP($E331,Valida!$A$1:$G$270,6,FALSE),IF($M331&gt;=0,VLOOKUP($E331,Valida!$A$1:$G$270,7,FALSE)))</f>
        <v>(+/-) Ganancia (pérdida)</v>
      </c>
      <c r="V331" s="190" t="str">
        <f>VLOOKUP(E331,Valida!$A$2:$K$271,4,FALSE)</f>
        <v>P&amp;L</v>
      </c>
      <c r="W331" s="185" t="s">
        <v>1955</v>
      </c>
      <c r="X331" s="185"/>
      <c r="Y331" s="185" t="s">
        <v>1844</v>
      </c>
      <c r="Z331"/>
    </row>
    <row r="332" spans="1:26">
      <c r="A332" s="185" t="s">
        <v>1895</v>
      </c>
      <c r="B332" s="185" t="s">
        <v>2068</v>
      </c>
      <c r="C332" s="185" t="s">
        <v>1952</v>
      </c>
      <c r="D332" s="185" t="s">
        <v>2069</v>
      </c>
      <c r="E332" s="185">
        <v>24081002</v>
      </c>
      <c r="F332" s="185" t="s">
        <v>1687</v>
      </c>
      <c r="G332" s="185" t="s">
        <v>1954</v>
      </c>
      <c r="H332" s="185" t="s">
        <v>1515</v>
      </c>
      <c r="I332" s="258" t="str">
        <f t="shared" si="16"/>
        <v>2</v>
      </c>
      <c r="J332" s="221">
        <f t="shared" si="17"/>
        <v>13148</v>
      </c>
      <c r="K332" s="258">
        <f t="shared" si="18"/>
        <v>2</v>
      </c>
      <c r="L332" s="188">
        <v>13148</v>
      </c>
      <c r="M332" s="188">
        <v>0</v>
      </c>
      <c r="N332" s="189">
        <v>890903938</v>
      </c>
      <c r="O332" t="s">
        <v>2068</v>
      </c>
      <c r="P332" s="187">
        <v>45006.4552430556</v>
      </c>
      <c r="Q332" s="186">
        <v>8741</v>
      </c>
      <c r="R332" s="185" t="s">
        <v>1827</v>
      </c>
      <c r="S332" s="185" t="s">
        <v>1580</v>
      </c>
      <c r="T332"/>
      <c r="U332" t="str">
        <f>IF($L332&gt;0,VLOOKUP($E332,Valida!$A$1:$G$270,6,FALSE),IF($M332&gt;=0,VLOOKUP($E332,Valida!$A$1:$G$270,7,FALSE)))</f>
        <v>(+/-) Ajustes por el incremento (disminución) de cuentas por pagar de origen comercial</v>
      </c>
      <c r="V332" s="190" t="str">
        <f>VLOOKUP(E332,Valida!$A$2:$K$271,4,FALSE)</f>
        <v>Trade and other payables</v>
      </c>
      <c r="W332" s="185" t="s">
        <v>1955</v>
      </c>
      <c r="X332" s="185"/>
      <c r="Y332" s="185" t="s">
        <v>1844</v>
      </c>
      <c r="Z332"/>
    </row>
    <row r="333" spans="1:26">
      <c r="A333" s="185" t="s">
        <v>1895</v>
      </c>
      <c r="B333" s="185" t="s">
        <v>2068</v>
      </c>
      <c r="C333" s="185" t="s">
        <v>1952</v>
      </c>
      <c r="D333" s="185" t="s">
        <v>2069</v>
      </c>
      <c r="E333" s="185">
        <v>112005</v>
      </c>
      <c r="F333" s="185" t="s">
        <v>24</v>
      </c>
      <c r="G333" s="185" t="s">
        <v>1954</v>
      </c>
      <c r="H333" s="185" t="s">
        <v>1628</v>
      </c>
      <c r="I333" s="258" t="str">
        <f t="shared" si="16"/>
        <v>1</v>
      </c>
      <c r="J333" s="221">
        <f t="shared" si="17"/>
        <v>-69200</v>
      </c>
      <c r="K333" s="258">
        <f t="shared" si="18"/>
        <v>2</v>
      </c>
      <c r="L333" s="188">
        <v>0</v>
      </c>
      <c r="M333" s="188">
        <v>69200</v>
      </c>
      <c r="N333" s="189">
        <v>890903938</v>
      </c>
      <c r="O333" t="s">
        <v>2068</v>
      </c>
      <c r="P333" s="187">
        <v>45006.4552430556</v>
      </c>
      <c r="Q333" s="186">
        <v>8742</v>
      </c>
      <c r="R333" s="185" t="s">
        <v>1827</v>
      </c>
      <c r="S333" s="185" t="s">
        <v>1580</v>
      </c>
      <c r="T333" t="s">
        <v>1894</v>
      </c>
      <c r="U333" t="str">
        <f>IF($L333&gt;0,VLOOKUP($E333,Valida!$A$1:$G$270,6,FALSE),IF($M333&gt;=0,VLOOKUP($E333,Valida!$A$1:$G$270,7,FALSE)))</f>
        <v>Disponible</v>
      </c>
      <c r="V333" s="190" t="str">
        <f>VLOOKUP(E333,Valida!$A$2:$K$271,4,FALSE)</f>
        <v>Cash and equivalents</v>
      </c>
      <c r="W333" s="185" t="s">
        <v>1955</v>
      </c>
      <c r="X333" s="185"/>
      <c r="Y333" s="185" t="s">
        <v>1844</v>
      </c>
      <c r="Z333"/>
    </row>
    <row r="334" spans="1:26">
      <c r="A334" s="185" t="s">
        <v>1895</v>
      </c>
      <c r="B334" s="185" t="s">
        <v>2068</v>
      </c>
      <c r="C334" s="185" t="s">
        <v>1952</v>
      </c>
      <c r="D334" s="185" t="s">
        <v>2069</v>
      </c>
      <c r="E334" s="185">
        <v>112005</v>
      </c>
      <c r="F334" s="185" t="s">
        <v>24</v>
      </c>
      <c r="G334" s="185" t="s">
        <v>1956</v>
      </c>
      <c r="H334" s="185" t="s">
        <v>1628</v>
      </c>
      <c r="I334" s="258" t="str">
        <f t="shared" si="16"/>
        <v>1</v>
      </c>
      <c r="J334" s="221">
        <f t="shared" si="17"/>
        <v>-13148</v>
      </c>
      <c r="K334" s="258">
        <f t="shared" si="18"/>
        <v>2</v>
      </c>
      <c r="L334" s="188">
        <v>0</v>
      </c>
      <c r="M334" s="188">
        <v>13148</v>
      </c>
      <c r="N334" s="189">
        <v>890903938</v>
      </c>
      <c r="O334" t="s">
        <v>2068</v>
      </c>
      <c r="P334" s="187">
        <v>45006.4552430556</v>
      </c>
      <c r="Q334" s="186">
        <v>8743</v>
      </c>
      <c r="R334" s="185" t="s">
        <v>1827</v>
      </c>
      <c r="S334" s="185" t="s">
        <v>1580</v>
      </c>
      <c r="T334" t="s">
        <v>1894</v>
      </c>
      <c r="U334" t="str">
        <f>IF($L334&gt;0,VLOOKUP($E334,Valida!$A$1:$G$270,6,FALSE),IF($M334&gt;=0,VLOOKUP($E334,Valida!$A$1:$G$270,7,FALSE)))</f>
        <v>Disponible</v>
      </c>
      <c r="V334" s="190" t="str">
        <f>VLOOKUP(E334,Valida!$A$2:$K$271,4,FALSE)</f>
        <v>Cash and equivalents</v>
      </c>
      <c r="W334" s="185" t="s">
        <v>1955</v>
      </c>
      <c r="X334" s="185"/>
      <c r="Y334" s="185" t="s">
        <v>1844</v>
      </c>
      <c r="Z334"/>
    </row>
    <row r="335" spans="1:26">
      <c r="A335" s="185" t="s">
        <v>1895</v>
      </c>
      <c r="B335" s="185" t="s">
        <v>2068</v>
      </c>
      <c r="C335" s="185" t="s">
        <v>1952</v>
      </c>
      <c r="D335" s="185" t="s">
        <v>2069</v>
      </c>
      <c r="E335" s="185">
        <v>53050503</v>
      </c>
      <c r="F335" s="185" t="s">
        <v>1468</v>
      </c>
      <c r="G335" s="185" t="s">
        <v>1957</v>
      </c>
      <c r="H335" s="185" t="s">
        <v>1515</v>
      </c>
      <c r="I335" s="258" t="str">
        <f t="shared" si="16"/>
        <v>5</v>
      </c>
      <c r="J335" s="221">
        <f t="shared" si="17"/>
        <v>95218.38</v>
      </c>
      <c r="K335" s="258">
        <f t="shared" si="18"/>
        <v>2</v>
      </c>
      <c r="L335" s="188">
        <v>95218.38</v>
      </c>
      <c r="M335" s="188">
        <v>0</v>
      </c>
      <c r="N335" s="189">
        <v>890903938</v>
      </c>
      <c r="O335" t="s">
        <v>2068</v>
      </c>
      <c r="P335" s="187">
        <v>45006.4552430556</v>
      </c>
      <c r="Q335" s="186">
        <v>8744</v>
      </c>
      <c r="R335" s="185" t="s">
        <v>1827</v>
      </c>
      <c r="S335" s="185" t="s">
        <v>1580</v>
      </c>
      <c r="T335"/>
      <c r="U335" t="str">
        <f>IF($L335&gt;0,VLOOKUP($E335,Valida!$A$1:$G$270,6,FALSE),IF($M335&gt;=0,VLOOKUP($E335,Valida!$A$1:$G$270,7,FALSE)))</f>
        <v>(+/-) Ganancia (pérdida)</v>
      </c>
      <c r="V335" s="190" t="str">
        <f>VLOOKUP(E335,Valida!$A$2:$K$271,4,FALSE)</f>
        <v>P&amp;L</v>
      </c>
      <c r="W335" s="185" t="s">
        <v>1955</v>
      </c>
      <c r="X335" s="185"/>
      <c r="Y335" s="185" t="s">
        <v>1844</v>
      </c>
      <c r="Z335"/>
    </row>
    <row r="336" spans="1:26">
      <c r="A336" s="185" t="s">
        <v>1895</v>
      </c>
      <c r="B336" s="185" t="s">
        <v>2068</v>
      </c>
      <c r="C336" s="185" t="s">
        <v>1952</v>
      </c>
      <c r="D336" s="185" t="s">
        <v>2069</v>
      </c>
      <c r="E336" s="185">
        <v>24081002</v>
      </c>
      <c r="F336" s="185" t="s">
        <v>1687</v>
      </c>
      <c r="G336" s="185" t="s">
        <v>1957</v>
      </c>
      <c r="H336" s="185" t="s">
        <v>1515</v>
      </c>
      <c r="I336" s="258" t="str">
        <f t="shared" si="16"/>
        <v>2</v>
      </c>
      <c r="J336" s="221">
        <f t="shared" si="17"/>
        <v>18091.62</v>
      </c>
      <c r="K336" s="258">
        <f t="shared" si="18"/>
        <v>2</v>
      </c>
      <c r="L336" s="188">
        <v>18091.62</v>
      </c>
      <c r="M336" s="188">
        <v>0</v>
      </c>
      <c r="N336" s="189">
        <v>890903938</v>
      </c>
      <c r="O336" t="s">
        <v>2068</v>
      </c>
      <c r="P336" s="187">
        <v>45006.4552430556</v>
      </c>
      <c r="Q336" s="186">
        <v>8745</v>
      </c>
      <c r="R336" s="185" t="s">
        <v>1827</v>
      </c>
      <c r="S336" s="185" t="s">
        <v>1580</v>
      </c>
      <c r="T336"/>
      <c r="U336" t="str">
        <f>IF($L336&gt;0,VLOOKUP($E336,Valida!$A$1:$G$270,6,FALSE),IF($M336&gt;=0,VLOOKUP($E336,Valida!$A$1:$G$270,7,FALSE)))</f>
        <v>(+/-) Ajustes por el incremento (disminución) de cuentas por pagar de origen comercial</v>
      </c>
      <c r="V336" s="190" t="str">
        <f>VLOOKUP(E336,Valida!$A$2:$K$271,4,FALSE)</f>
        <v>Trade and other payables</v>
      </c>
      <c r="W336" s="185" t="s">
        <v>1955</v>
      </c>
      <c r="X336" s="185"/>
      <c r="Y336" s="185" t="s">
        <v>1844</v>
      </c>
      <c r="Z336"/>
    </row>
    <row r="337" spans="1:26">
      <c r="A337" s="185" t="s">
        <v>1895</v>
      </c>
      <c r="B337" s="185" t="s">
        <v>2068</v>
      </c>
      <c r="C337" s="185" t="s">
        <v>1952</v>
      </c>
      <c r="D337" s="185" t="s">
        <v>2069</v>
      </c>
      <c r="E337" s="185">
        <v>112005</v>
      </c>
      <c r="F337" s="185" t="s">
        <v>24</v>
      </c>
      <c r="G337" s="185" t="s">
        <v>1957</v>
      </c>
      <c r="H337" s="185" t="s">
        <v>1628</v>
      </c>
      <c r="I337" s="258" t="str">
        <f t="shared" si="16"/>
        <v>1</v>
      </c>
      <c r="J337" s="221">
        <f t="shared" si="17"/>
        <v>-95218.38</v>
      </c>
      <c r="K337" s="258">
        <f t="shared" si="18"/>
        <v>2</v>
      </c>
      <c r="L337" s="188">
        <v>0</v>
      </c>
      <c r="M337" s="188">
        <v>95218.38</v>
      </c>
      <c r="N337" s="189">
        <v>890903938</v>
      </c>
      <c r="O337" t="s">
        <v>2068</v>
      </c>
      <c r="P337" s="187">
        <v>45006.4552430556</v>
      </c>
      <c r="Q337" s="186">
        <v>8746</v>
      </c>
      <c r="R337" s="185" t="s">
        <v>1827</v>
      </c>
      <c r="S337" s="185" t="s">
        <v>1580</v>
      </c>
      <c r="T337" t="s">
        <v>1894</v>
      </c>
      <c r="U337" t="str">
        <f>IF($L337&gt;0,VLOOKUP($E337,Valida!$A$1:$G$270,6,FALSE),IF($M337&gt;=0,VLOOKUP($E337,Valida!$A$1:$G$270,7,FALSE)))</f>
        <v>Disponible</v>
      </c>
      <c r="V337" s="190" t="str">
        <f>VLOOKUP(E337,Valida!$A$2:$K$271,4,FALSE)</f>
        <v>Cash and equivalents</v>
      </c>
      <c r="W337" s="185" t="s">
        <v>1955</v>
      </c>
      <c r="X337" s="185"/>
      <c r="Y337" s="185" t="s">
        <v>1844</v>
      </c>
      <c r="Z337"/>
    </row>
    <row r="338" spans="1:26">
      <c r="A338" s="185" t="s">
        <v>1895</v>
      </c>
      <c r="B338" s="185" t="s">
        <v>2068</v>
      </c>
      <c r="C338" s="185" t="s">
        <v>1952</v>
      </c>
      <c r="D338" s="185" t="s">
        <v>2069</v>
      </c>
      <c r="E338" s="185">
        <v>112005</v>
      </c>
      <c r="F338" s="185" t="s">
        <v>24</v>
      </c>
      <c r="G338" s="185" t="s">
        <v>1957</v>
      </c>
      <c r="H338" s="185" t="s">
        <v>1628</v>
      </c>
      <c r="I338" s="258" t="str">
        <f t="shared" si="16"/>
        <v>1</v>
      </c>
      <c r="J338" s="221">
        <f t="shared" si="17"/>
        <v>-18091.62</v>
      </c>
      <c r="K338" s="258">
        <f t="shared" si="18"/>
        <v>2</v>
      </c>
      <c r="L338" s="188">
        <v>0</v>
      </c>
      <c r="M338" s="188">
        <v>18091.62</v>
      </c>
      <c r="N338" s="189">
        <v>890903938</v>
      </c>
      <c r="O338" t="s">
        <v>2068</v>
      </c>
      <c r="P338" s="187">
        <v>45006.4552430556</v>
      </c>
      <c r="Q338" s="186">
        <v>8747</v>
      </c>
      <c r="R338" s="185" t="s">
        <v>1827</v>
      </c>
      <c r="S338" s="185" t="s">
        <v>1580</v>
      </c>
      <c r="T338" t="s">
        <v>1894</v>
      </c>
      <c r="U338" t="str">
        <f>IF($L338&gt;0,VLOOKUP($E338,Valida!$A$1:$G$270,6,FALSE),IF($M338&gt;=0,VLOOKUP($E338,Valida!$A$1:$G$270,7,FALSE)))</f>
        <v>Disponible</v>
      </c>
      <c r="V338" s="190" t="str">
        <f>VLOOKUP(E338,Valida!$A$2:$K$271,4,FALSE)</f>
        <v>Cash and equivalents</v>
      </c>
      <c r="W338" s="185" t="s">
        <v>1955</v>
      </c>
      <c r="X338" s="185"/>
      <c r="Y338" s="185" t="s">
        <v>1844</v>
      </c>
      <c r="Z338"/>
    </row>
    <row r="339" spans="1:26">
      <c r="A339" s="185" t="s">
        <v>2039</v>
      </c>
      <c r="B339" s="185" t="s">
        <v>2040</v>
      </c>
      <c r="C339" s="185" t="s">
        <v>1897</v>
      </c>
      <c r="D339" s="185" t="s">
        <v>2041</v>
      </c>
      <c r="E339" s="185">
        <v>510515</v>
      </c>
      <c r="F339" s="185" t="s">
        <v>1080</v>
      </c>
      <c r="G339" s="185" t="s">
        <v>2042</v>
      </c>
      <c r="H339" s="185" t="s">
        <v>1515</v>
      </c>
      <c r="I339" s="258" t="str">
        <f t="shared" si="16"/>
        <v>5</v>
      </c>
      <c r="J339" s="221">
        <f t="shared" si="17"/>
        <v>165000</v>
      </c>
      <c r="K339" s="258">
        <f t="shared" si="18"/>
        <v>4</v>
      </c>
      <c r="L339" s="188">
        <v>165000</v>
      </c>
      <c r="M339" s="188">
        <v>0</v>
      </c>
      <c r="N339" s="189">
        <v>1020842223</v>
      </c>
      <c r="O339" t="s">
        <v>2040</v>
      </c>
      <c r="P339" s="187">
        <v>45042</v>
      </c>
      <c r="Q339" s="186">
        <v>10506</v>
      </c>
      <c r="R339" s="185"/>
      <c r="S339" s="185" t="s">
        <v>1532</v>
      </c>
      <c r="T339"/>
      <c r="U339" t="str">
        <f>IF($L339&gt;0,VLOOKUP($E339,Valida!$A$1:$G$270,6,FALSE),IF($M339&gt;=0,VLOOKUP($E339,Valida!$A$1:$G$270,7,FALSE)))</f>
        <v>(+/-) Ganancia (pérdida)</v>
      </c>
      <c r="V339" s="190" t="str">
        <f>VLOOKUP(E339,Valida!$A$2:$K$271,4,FALSE)</f>
        <v>P&amp;L</v>
      </c>
      <c r="W339" s="185" t="s">
        <v>1900</v>
      </c>
      <c r="X339" s="185"/>
      <c r="Y339" s="185" t="s">
        <v>1789</v>
      </c>
      <c r="Z339"/>
    </row>
    <row r="340" spans="1:26">
      <c r="A340" s="185" t="s">
        <v>1895</v>
      </c>
      <c r="B340" s="185" t="s">
        <v>1916</v>
      </c>
      <c r="C340" s="185" t="s">
        <v>1897</v>
      </c>
      <c r="D340" s="185" t="s">
        <v>1917</v>
      </c>
      <c r="E340" s="185">
        <v>510536</v>
      </c>
      <c r="F340" s="185" t="s">
        <v>783</v>
      </c>
      <c r="G340" s="185" t="s">
        <v>1899</v>
      </c>
      <c r="H340" s="185" t="s">
        <v>1515</v>
      </c>
      <c r="I340" s="258" t="str">
        <f t="shared" si="16"/>
        <v>5</v>
      </c>
      <c r="J340" s="221">
        <f t="shared" si="17"/>
        <v>91024</v>
      </c>
      <c r="K340" s="258">
        <f t="shared" si="18"/>
        <v>2</v>
      </c>
      <c r="L340" s="188">
        <v>91024</v>
      </c>
      <c r="M340" s="188">
        <v>0</v>
      </c>
      <c r="N340" s="189">
        <v>80747504</v>
      </c>
      <c r="O340" t="s">
        <v>1916</v>
      </c>
      <c r="P340" s="187">
        <v>44985.307372685202</v>
      </c>
      <c r="Q340" s="186">
        <v>7928</v>
      </c>
      <c r="R340" s="185"/>
      <c r="S340" s="185" t="s">
        <v>1562</v>
      </c>
      <c r="T340"/>
      <c r="U340" t="str">
        <f>IF($L340&gt;0,VLOOKUP($E340,Valida!$A$1:$G$270,6,FALSE),IF($M340&gt;=0,VLOOKUP($E340,Valida!$A$1:$G$270,7,FALSE)))</f>
        <v>(+/-) Ganancia (pérdida)</v>
      </c>
      <c r="V340" s="190" t="str">
        <f>VLOOKUP(E340,Valida!$A$2:$K$271,4,FALSE)</f>
        <v>P&amp;L</v>
      </c>
      <c r="W340" s="185" t="s">
        <v>1918</v>
      </c>
      <c r="X340" s="185"/>
      <c r="Y340" s="185" t="s">
        <v>1789</v>
      </c>
      <c r="Z340"/>
    </row>
    <row r="341" spans="1:26">
      <c r="A341" s="185" t="s">
        <v>1895</v>
      </c>
      <c r="B341" s="185" t="s">
        <v>1916</v>
      </c>
      <c r="C341" s="185" t="s">
        <v>1897</v>
      </c>
      <c r="D341" s="185" t="s">
        <v>1917</v>
      </c>
      <c r="E341" s="185">
        <v>510539</v>
      </c>
      <c r="F341" s="185" t="s">
        <v>818</v>
      </c>
      <c r="G341" s="185" t="s">
        <v>1899</v>
      </c>
      <c r="H341" s="185" t="s">
        <v>1515</v>
      </c>
      <c r="I341" s="258" t="str">
        <f t="shared" si="16"/>
        <v>5</v>
      </c>
      <c r="J341" s="221">
        <f t="shared" si="17"/>
        <v>42778</v>
      </c>
      <c r="K341" s="258">
        <f t="shared" si="18"/>
        <v>2</v>
      </c>
      <c r="L341" s="188">
        <v>42778</v>
      </c>
      <c r="M341" s="188">
        <v>0</v>
      </c>
      <c r="N341" s="189">
        <v>80747504</v>
      </c>
      <c r="O341" t="s">
        <v>1916</v>
      </c>
      <c r="P341" s="187">
        <v>44985.307372685202</v>
      </c>
      <c r="Q341" s="186">
        <v>7929</v>
      </c>
      <c r="R341" s="185"/>
      <c r="S341" s="185" t="s">
        <v>1562</v>
      </c>
      <c r="T341"/>
      <c r="U341" t="str">
        <f>IF($L341&gt;0,VLOOKUP($E341,Valida!$A$1:$G$270,6,FALSE),IF($M341&gt;=0,VLOOKUP($E341,Valida!$A$1:$G$270,7,FALSE)))</f>
        <v>(+/-) Ganancia (pérdida)</v>
      </c>
      <c r="V341" s="190" t="str">
        <f>VLOOKUP(E341,Valida!$A$2:$K$271,4,FALSE)</f>
        <v>P&amp;L</v>
      </c>
      <c r="W341" s="185" t="s">
        <v>1918</v>
      </c>
      <c r="X341" s="185"/>
      <c r="Y341" s="185" t="s">
        <v>1789</v>
      </c>
      <c r="Z341"/>
    </row>
    <row r="342" spans="1:26">
      <c r="A342" s="185" t="s">
        <v>1895</v>
      </c>
      <c r="B342" s="185" t="s">
        <v>1916</v>
      </c>
      <c r="C342" s="185" t="s">
        <v>1897</v>
      </c>
      <c r="D342" s="185" t="s">
        <v>1917</v>
      </c>
      <c r="E342" s="185">
        <v>251010</v>
      </c>
      <c r="F342" s="185" t="s">
        <v>776</v>
      </c>
      <c r="G342" s="185" t="s">
        <v>1899</v>
      </c>
      <c r="H342" s="185" t="s">
        <v>1628</v>
      </c>
      <c r="I342" s="258" t="str">
        <f t="shared" si="16"/>
        <v>2</v>
      </c>
      <c r="J342" s="221">
        <f t="shared" si="17"/>
        <v>-91024</v>
      </c>
      <c r="K342" s="258">
        <f t="shared" si="18"/>
        <v>2</v>
      </c>
      <c r="L342" s="188">
        <v>0</v>
      </c>
      <c r="M342" s="188">
        <v>91024</v>
      </c>
      <c r="N342" s="189">
        <v>80747504</v>
      </c>
      <c r="O342" t="s">
        <v>1916</v>
      </c>
      <c r="P342" s="187">
        <v>44985.307372685202</v>
      </c>
      <c r="Q342" s="186">
        <v>7930</v>
      </c>
      <c r="R342" s="185"/>
      <c r="S342" s="185" t="s">
        <v>1562</v>
      </c>
      <c r="T342"/>
      <c r="U342" t="str">
        <f>IF($L342&gt;0,VLOOKUP($E342,Valida!$A$1:$G$270,6,FALSE),IF($M342&gt;=0,VLOOKUP($E342,Valida!$A$1:$G$270,7,FALSE)))</f>
        <v>(+/-) Ajustes por el incremento (disminución) de cuentas por pagar de origen comercial</v>
      </c>
      <c r="V342" s="190" t="str">
        <f>VLOOKUP(E342,Valida!$A$2:$K$271,4,FALSE)</f>
        <v>Trade and other payables</v>
      </c>
      <c r="W342" s="185" t="s">
        <v>1918</v>
      </c>
      <c r="X342" s="185"/>
      <c r="Y342" s="185" t="s">
        <v>1789</v>
      </c>
      <c r="Z342"/>
    </row>
    <row r="343" spans="1:26">
      <c r="A343" s="185" t="s">
        <v>1895</v>
      </c>
      <c r="B343" s="185" t="s">
        <v>1916</v>
      </c>
      <c r="C343" s="185" t="s">
        <v>1897</v>
      </c>
      <c r="D343" s="185" t="s">
        <v>1917</v>
      </c>
      <c r="E343" s="185">
        <v>251505</v>
      </c>
      <c r="F343" s="185" t="s">
        <v>779</v>
      </c>
      <c r="G343" s="185" t="s">
        <v>1899</v>
      </c>
      <c r="H343" s="185" t="s">
        <v>1628</v>
      </c>
      <c r="I343" s="258" t="str">
        <f t="shared" si="16"/>
        <v>2</v>
      </c>
      <c r="J343" s="221">
        <f t="shared" si="17"/>
        <v>-10923</v>
      </c>
      <c r="K343" s="258">
        <f t="shared" si="18"/>
        <v>2</v>
      </c>
      <c r="L343" s="188">
        <v>0</v>
      </c>
      <c r="M343" s="188">
        <v>10923</v>
      </c>
      <c r="N343" s="189">
        <v>80747504</v>
      </c>
      <c r="O343" t="s">
        <v>1916</v>
      </c>
      <c r="P343" s="187">
        <v>44985.307372685202</v>
      </c>
      <c r="Q343" s="186">
        <v>7931</v>
      </c>
      <c r="R343" s="185"/>
      <c r="S343" s="185" t="s">
        <v>1562</v>
      </c>
      <c r="T343"/>
      <c r="U343" t="str">
        <f>IF($L343&gt;0,VLOOKUP($E343,Valida!$A$1:$G$270,6,FALSE),IF($M343&gt;=0,VLOOKUP($E343,Valida!$A$1:$G$270,7,FALSE)))</f>
        <v>(+/-) Ajustes por el incremento (disminución) de cuentas por pagar de origen comercial</v>
      </c>
      <c r="V343" s="190" t="str">
        <f>VLOOKUP(E343,Valida!$A$2:$K$271,4,FALSE)</f>
        <v>Trade and other payables</v>
      </c>
      <c r="W343" s="185" t="s">
        <v>1918</v>
      </c>
      <c r="X343" s="185"/>
      <c r="Y343" s="185" t="s">
        <v>1789</v>
      </c>
      <c r="Z343"/>
    </row>
    <row r="344" spans="1:26">
      <c r="A344" s="185" t="s">
        <v>1895</v>
      </c>
      <c r="B344" s="185" t="s">
        <v>1916</v>
      </c>
      <c r="C344" s="185" t="s">
        <v>1897</v>
      </c>
      <c r="D344" s="185" t="s">
        <v>1917</v>
      </c>
      <c r="E344" s="185">
        <v>252005</v>
      </c>
      <c r="F344" s="185" t="s">
        <v>783</v>
      </c>
      <c r="G344" s="185" t="s">
        <v>1899</v>
      </c>
      <c r="H344" s="185" t="s">
        <v>1628</v>
      </c>
      <c r="I344" s="258" t="str">
        <f t="shared" si="16"/>
        <v>2</v>
      </c>
      <c r="J344" s="221">
        <f t="shared" si="17"/>
        <v>-91024</v>
      </c>
      <c r="K344" s="258">
        <f t="shared" si="18"/>
        <v>2</v>
      </c>
      <c r="L344" s="188">
        <v>0</v>
      </c>
      <c r="M344" s="188">
        <v>91024</v>
      </c>
      <c r="N344" s="189">
        <v>80747504</v>
      </c>
      <c r="O344" t="s">
        <v>1916</v>
      </c>
      <c r="P344" s="187">
        <v>44985.307372685202</v>
      </c>
      <c r="Q344" s="186">
        <v>7932</v>
      </c>
      <c r="R344" s="185"/>
      <c r="S344" s="185" t="s">
        <v>1562</v>
      </c>
      <c r="T344"/>
      <c r="U344" t="str">
        <f>IF($L344&gt;0,VLOOKUP($E344,Valida!$A$1:$G$270,6,FALSE),IF($M344&gt;=0,VLOOKUP($E344,Valida!$A$1:$G$270,7,FALSE)))</f>
        <v>(+/-) Ajustes por el incremento (disminución) de cuentas por pagar de origen comercial</v>
      </c>
      <c r="V344" s="190" t="str">
        <f>VLOOKUP(E344,Valida!$A$2:$K$271,4,FALSE)</f>
        <v>Trade and other payables</v>
      </c>
      <c r="W344" s="185" t="s">
        <v>1918</v>
      </c>
      <c r="X344" s="185"/>
      <c r="Y344" s="185" t="s">
        <v>1789</v>
      </c>
      <c r="Z344"/>
    </row>
    <row r="345" spans="1:26">
      <c r="A345" s="185" t="s">
        <v>1895</v>
      </c>
      <c r="B345" s="185" t="s">
        <v>1916</v>
      </c>
      <c r="C345" s="185" t="s">
        <v>1897</v>
      </c>
      <c r="D345" s="185" t="s">
        <v>1917</v>
      </c>
      <c r="E345" s="185">
        <v>252505</v>
      </c>
      <c r="F345" s="185" t="s">
        <v>787</v>
      </c>
      <c r="G345" s="185" t="s">
        <v>1899</v>
      </c>
      <c r="H345" s="185" t="s">
        <v>1628</v>
      </c>
      <c r="I345" s="258" t="str">
        <f t="shared" si="16"/>
        <v>2</v>
      </c>
      <c r="J345" s="221">
        <f t="shared" si="17"/>
        <v>-42778</v>
      </c>
      <c r="K345" s="258">
        <f t="shared" si="18"/>
        <v>2</v>
      </c>
      <c r="L345" s="188">
        <v>0</v>
      </c>
      <c r="M345" s="188">
        <v>42778</v>
      </c>
      <c r="N345" s="189">
        <v>80747504</v>
      </c>
      <c r="O345" t="s">
        <v>1916</v>
      </c>
      <c r="P345" s="187">
        <v>44985.307372685202</v>
      </c>
      <c r="Q345" s="186">
        <v>7933</v>
      </c>
      <c r="R345" s="185"/>
      <c r="S345" s="185" t="s">
        <v>1562</v>
      </c>
      <c r="T345"/>
      <c r="U345" t="str">
        <f>IF($L345&gt;0,VLOOKUP($E345,Valida!$A$1:$G$270,6,FALSE),IF($M345&gt;=0,VLOOKUP($E345,Valida!$A$1:$G$270,7,FALSE)))</f>
        <v>(+/-) Ajustes por el incremento (disminución) de cuentas por pagar de origen comercial</v>
      </c>
      <c r="V345" s="190" t="str">
        <f>VLOOKUP(E345,Valida!$A$2:$K$271,4,FALSE)</f>
        <v>Trade and other payables</v>
      </c>
      <c r="W345" s="185" t="s">
        <v>1918</v>
      </c>
      <c r="X345" s="185"/>
      <c r="Y345" s="185" t="s">
        <v>1789</v>
      </c>
      <c r="Z345"/>
    </row>
    <row r="346" spans="1:26">
      <c r="A346" s="185" t="s">
        <v>1895</v>
      </c>
      <c r="B346" s="185" t="s">
        <v>1916</v>
      </c>
      <c r="C346" s="185" t="s">
        <v>1897</v>
      </c>
      <c r="D346" s="185" t="s">
        <v>1917</v>
      </c>
      <c r="E346" s="185">
        <v>238030</v>
      </c>
      <c r="F346" s="185" t="s">
        <v>721</v>
      </c>
      <c r="G346" s="185" t="s">
        <v>1899</v>
      </c>
      <c r="H346" s="185" t="s">
        <v>1628</v>
      </c>
      <c r="I346" s="258" t="str">
        <f t="shared" si="16"/>
        <v>2</v>
      </c>
      <c r="J346" s="221">
        <f t="shared" si="17"/>
        <v>-123200</v>
      </c>
      <c r="K346" s="258">
        <f t="shared" si="18"/>
        <v>2</v>
      </c>
      <c r="L346" s="188">
        <v>0</v>
      </c>
      <c r="M346" s="188">
        <v>123200</v>
      </c>
      <c r="N346" s="189">
        <v>900950893</v>
      </c>
      <c r="O346" t="s">
        <v>1916</v>
      </c>
      <c r="P346" s="187">
        <v>44985.307372685202</v>
      </c>
      <c r="Q346" s="186">
        <v>7934</v>
      </c>
      <c r="R346" s="185" t="s">
        <v>1519</v>
      </c>
      <c r="S346" s="185" t="s">
        <v>1668</v>
      </c>
      <c r="T346"/>
      <c r="U346" t="str">
        <f>IF($L346&gt;0,VLOOKUP($E346,Valida!$A$1:$G$270,6,FALSE),IF($M346&gt;=0,VLOOKUP($E346,Valida!$A$1:$G$270,7,FALSE)))</f>
        <v>(+/-) Ajustes por el incremento (disminución) de cuentas por pagar de origen comercial</v>
      </c>
      <c r="V346" s="190" t="str">
        <f>VLOOKUP(E346,Valida!$A$2:$K$271,4,FALSE)</f>
        <v>Trade and other payables</v>
      </c>
      <c r="W346" s="185" t="s">
        <v>1928</v>
      </c>
      <c r="X346" s="185"/>
      <c r="Y346" s="185" t="s">
        <v>1789</v>
      </c>
      <c r="Z346"/>
    </row>
    <row r="347" spans="1:26">
      <c r="A347" s="185" t="s">
        <v>1895</v>
      </c>
      <c r="B347" s="185" t="s">
        <v>1916</v>
      </c>
      <c r="C347" s="185" t="s">
        <v>1897</v>
      </c>
      <c r="D347" s="185" t="s">
        <v>1917</v>
      </c>
      <c r="E347" s="185">
        <v>510570</v>
      </c>
      <c r="F347" s="185" t="s">
        <v>1116</v>
      </c>
      <c r="G347" s="185" t="s">
        <v>1899</v>
      </c>
      <c r="H347" s="185" t="s">
        <v>1515</v>
      </c>
      <c r="I347" s="258" t="str">
        <f t="shared" si="16"/>
        <v>5</v>
      </c>
      <c r="J347" s="221">
        <f t="shared" si="17"/>
        <v>123200</v>
      </c>
      <c r="K347" s="258">
        <f t="shared" si="18"/>
        <v>2</v>
      </c>
      <c r="L347" s="188">
        <v>123200</v>
      </c>
      <c r="M347" s="188">
        <v>0</v>
      </c>
      <c r="N347" s="189">
        <v>900950893</v>
      </c>
      <c r="O347" t="s">
        <v>1916</v>
      </c>
      <c r="P347" s="187">
        <v>44985.307372685202</v>
      </c>
      <c r="Q347" s="186">
        <v>7935</v>
      </c>
      <c r="R347" s="185" t="s">
        <v>1519</v>
      </c>
      <c r="S347" s="185" t="s">
        <v>1668</v>
      </c>
      <c r="T347"/>
      <c r="U347" t="str">
        <f>IF($L347&gt;0,VLOOKUP($E347,Valida!$A$1:$G$270,6,FALSE),IF($M347&gt;=0,VLOOKUP($E347,Valida!$A$1:$G$270,7,FALSE)))</f>
        <v>(+/-) Ganancia (pérdida)</v>
      </c>
      <c r="V347" s="190" t="str">
        <f>VLOOKUP(E347,Valida!$A$2:$K$271,4,FALSE)</f>
        <v>P&amp;L</v>
      </c>
      <c r="W347" s="185" t="s">
        <v>1928</v>
      </c>
      <c r="X347" s="185"/>
      <c r="Y347" s="185" t="s">
        <v>1789</v>
      </c>
      <c r="Z347"/>
    </row>
    <row r="348" spans="1:26">
      <c r="A348" s="185" t="s">
        <v>1895</v>
      </c>
      <c r="B348" s="185" t="s">
        <v>1916</v>
      </c>
      <c r="C348" s="185" t="s">
        <v>1897</v>
      </c>
      <c r="D348" s="185" t="s">
        <v>1917</v>
      </c>
      <c r="E348" s="185">
        <v>510568</v>
      </c>
      <c r="F348" s="185" t="s">
        <v>680</v>
      </c>
      <c r="G348" s="185" t="s">
        <v>1899</v>
      </c>
      <c r="H348" s="185" t="s">
        <v>1515</v>
      </c>
      <c r="I348" s="258" t="str">
        <f t="shared" si="16"/>
        <v>5</v>
      </c>
      <c r="J348" s="221">
        <f t="shared" si="17"/>
        <v>5400</v>
      </c>
      <c r="K348" s="258">
        <f t="shared" si="18"/>
        <v>2</v>
      </c>
      <c r="L348" s="188">
        <v>5400</v>
      </c>
      <c r="M348" s="188">
        <v>0</v>
      </c>
      <c r="N348" s="189">
        <v>860002503</v>
      </c>
      <c r="O348" t="s">
        <v>1916</v>
      </c>
      <c r="P348" s="187">
        <v>44985.307372685202</v>
      </c>
      <c r="Q348" s="186">
        <v>7936</v>
      </c>
      <c r="R348" s="185" t="s">
        <v>433</v>
      </c>
      <c r="S348" s="185" t="s">
        <v>1656</v>
      </c>
      <c r="T348"/>
      <c r="U348" t="str">
        <f>IF($L348&gt;0,VLOOKUP($E348,Valida!$A$1:$G$270,6,FALSE),IF($M348&gt;=0,VLOOKUP($E348,Valida!$A$1:$G$270,7,FALSE)))</f>
        <v>(+/-) Ganancia (pérdida)</v>
      </c>
      <c r="V348" s="190" t="str">
        <f>VLOOKUP(E348,Valida!$A$2:$K$271,4,FALSE)</f>
        <v>P&amp;L</v>
      </c>
      <c r="W348" s="185" t="s">
        <v>1912</v>
      </c>
      <c r="X348" s="185" t="s">
        <v>1913</v>
      </c>
      <c r="Y348" s="185" t="s">
        <v>1789</v>
      </c>
      <c r="Z348"/>
    </row>
    <row r="349" spans="1:26">
      <c r="A349" s="185" t="s">
        <v>1895</v>
      </c>
      <c r="B349" s="185" t="s">
        <v>1916</v>
      </c>
      <c r="C349" s="185" t="s">
        <v>1897</v>
      </c>
      <c r="D349" s="185" t="s">
        <v>1917</v>
      </c>
      <c r="E349" s="185">
        <v>237006</v>
      </c>
      <c r="F349" s="185" t="s">
        <v>680</v>
      </c>
      <c r="G349" s="185" t="s">
        <v>1899</v>
      </c>
      <c r="H349" s="185" t="s">
        <v>1628</v>
      </c>
      <c r="I349" s="258" t="str">
        <f t="shared" si="16"/>
        <v>2</v>
      </c>
      <c r="J349" s="221">
        <f t="shared" si="17"/>
        <v>-5400</v>
      </c>
      <c r="K349" s="258">
        <f t="shared" si="18"/>
        <v>2</v>
      </c>
      <c r="L349" s="188">
        <v>0</v>
      </c>
      <c r="M349" s="188">
        <v>5400</v>
      </c>
      <c r="N349" s="189">
        <v>860002503</v>
      </c>
      <c r="O349" t="s">
        <v>1916</v>
      </c>
      <c r="P349" s="187">
        <v>44985.307372685202</v>
      </c>
      <c r="Q349" s="186">
        <v>7937</v>
      </c>
      <c r="R349" s="185" t="s">
        <v>433</v>
      </c>
      <c r="S349" s="185" t="s">
        <v>1656</v>
      </c>
      <c r="T349"/>
      <c r="U349" t="str">
        <f>IF($L349&gt;0,VLOOKUP($E349,Valida!$A$1:$G$270,6,FALSE),IF($M349&gt;=0,VLOOKUP($E349,Valida!$A$1:$G$270,7,FALSE)))</f>
        <v>(+/-) Ajustes por el incremento (disminución) de cuentas por pagar de origen comercial</v>
      </c>
      <c r="V349" s="190" t="str">
        <f>VLOOKUP(E349,Valida!$A$2:$K$271,4,FALSE)</f>
        <v>Trade and other payables</v>
      </c>
      <c r="W349" s="185" t="s">
        <v>1912</v>
      </c>
      <c r="X349" s="185" t="s">
        <v>1913</v>
      </c>
      <c r="Y349" s="185" t="s">
        <v>1789</v>
      </c>
      <c r="Z349"/>
    </row>
    <row r="350" spans="1:26">
      <c r="A350" s="185" t="s">
        <v>1895</v>
      </c>
      <c r="B350" s="185" t="s">
        <v>1916</v>
      </c>
      <c r="C350" s="185" t="s">
        <v>1897</v>
      </c>
      <c r="D350" s="185" t="s">
        <v>1917</v>
      </c>
      <c r="E350" s="185">
        <v>510572</v>
      </c>
      <c r="F350" s="185" t="s">
        <v>1118</v>
      </c>
      <c r="G350" s="185" t="s">
        <v>1899</v>
      </c>
      <c r="H350" s="185" t="s">
        <v>1515</v>
      </c>
      <c r="I350" s="258" t="str">
        <f t="shared" si="16"/>
        <v>5</v>
      </c>
      <c r="J350" s="221">
        <f t="shared" si="17"/>
        <v>20500</v>
      </c>
      <c r="K350" s="258">
        <f t="shared" si="18"/>
        <v>2</v>
      </c>
      <c r="L350" s="188">
        <v>20500</v>
      </c>
      <c r="M350" s="188">
        <v>0</v>
      </c>
      <c r="N350" s="189">
        <v>860066942</v>
      </c>
      <c r="O350" t="s">
        <v>1916</v>
      </c>
      <c r="P350" s="187">
        <v>44985.307372685202</v>
      </c>
      <c r="Q350" s="186">
        <v>7938</v>
      </c>
      <c r="R350" s="185" t="s">
        <v>1814</v>
      </c>
      <c r="S350" s="185" t="s">
        <v>1574</v>
      </c>
      <c r="T350"/>
      <c r="U350" t="str">
        <f>IF($L350&gt;0,VLOOKUP($E350,Valida!$A$1:$G$270,6,FALSE),IF($M350&gt;=0,VLOOKUP($E350,Valida!$A$1:$G$270,7,FALSE)))</f>
        <v>(+/-) Ganancia (pérdida)</v>
      </c>
      <c r="V350" s="190" t="str">
        <f>VLOOKUP(E350,Valida!$A$2:$K$271,4,FALSE)</f>
        <v>P&amp;L</v>
      </c>
      <c r="W350" s="185" t="s">
        <v>1914</v>
      </c>
      <c r="X350" s="185" t="s">
        <v>1915</v>
      </c>
      <c r="Y350" s="185" t="s">
        <v>1789</v>
      </c>
      <c r="Z350"/>
    </row>
    <row r="351" spans="1:26">
      <c r="A351" s="185" t="s">
        <v>1895</v>
      </c>
      <c r="B351" s="185" t="s">
        <v>1916</v>
      </c>
      <c r="C351" s="185" t="s">
        <v>1897</v>
      </c>
      <c r="D351" s="185" t="s">
        <v>1917</v>
      </c>
      <c r="E351" s="185">
        <v>237010</v>
      </c>
      <c r="F351" s="185" t="s">
        <v>683</v>
      </c>
      <c r="G351" s="185" t="s">
        <v>1899</v>
      </c>
      <c r="H351" s="185" t="s">
        <v>1628</v>
      </c>
      <c r="I351" s="258" t="str">
        <f t="shared" si="16"/>
        <v>2</v>
      </c>
      <c r="J351" s="221">
        <f t="shared" si="17"/>
        <v>-20500</v>
      </c>
      <c r="K351" s="258">
        <f t="shared" si="18"/>
        <v>2</v>
      </c>
      <c r="L351" s="188">
        <v>0</v>
      </c>
      <c r="M351" s="188">
        <v>20500</v>
      </c>
      <c r="N351" s="189">
        <v>860066942</v>
      </c>
      <c r="O351" t="s">
        <v>1916</v>
      </c>
      <c r="P351" s="187">
        <v>44985.307372685202</v>
      </c>
      <c r="Q351" s="186">
        <v>7939</v>
      </c>
      <c r="R351" s="185" t="s">
        <v>1814</v>
      </c>
      <c r="S351" s="185" t="s">
        <v>1574</v>
      </c>
      <c r="T351"/>
      <c r="U351" t="str">
        <f>IF($L351&gt;0,VLOOKUP($E351,Valida!$A$1:$G$270,6,FALSE),IF($M351&gt;=0,VLOOKUP($E351,Valida!$A$1:$G$270,7,FALSE)))</f>
        <v>(+/-) Ajustes por el incremento (disminución) de cuentas por pagar de origen comercial</v>
      </c>
      <c r="V351" s="190" t="str">
        <f>VLOOKUP(E351,Valida!$A$2:$K$271,4,FALSE)</f>
        <v>Trade and other payables</v>
      </c>
      <c r="W351" s="185" t="s">
        <v>1914</v>
      </c>
      <c r="X351" s="185" t="s">
        <v>1915</v>
      </c>
      <c r="Y351" s="185" t="s">
        <v>1789</v>
      </c>
      <c r="Z351"/>
    </row>
    <row r="352" spans="1:26">
      <c r="A352" s="185" t="s">
        <v>1895</v>
      </c>
      <c r="B352" s="185" t="s">
        <v>2070</v>
      </c>
      <c r="C352" s="185" t="s">
        <v>1897</v>
      </c>
      <c r="D352" s="185" t="s">
        <v>2071</v>
      </c>
      <c r="E352" s="185">
        <v>510506</v>
      </c>
      <c r="F352" s="185" t="s">
        <v>1076</v>
      </c>
      <c r="G352" s="185" t="s">
        <v>1966</v>
      </c>
      <c r="H352" s="185" t="s">
        <v>1515</v>
      </c>
      <c r="I352" s="258" t="str">
        <f t="shared" si="16"/>
        <v>5</v>
      </c>
      <c r="J352" s="221">
        <f t="shared" si="17"/>
        <v>1500000</v>
      </c>
      <c r="K352" s="258">
        <f t="shared" si="18"/>
        <v>2</v>
      </c>
      <c r="L352" s="188">
        <v>1500000</v>
      </c>
      <c r="M352" s="188">
        <v>0</v>
      </c>
      <c r="N352" s="189">
        <v>1010101811</v>
      </c>
      <c r="O352" t="s">
        <v>2070</v>
      </c>
      <c r="P352" s="187">
        <v>44985.313101851898</v>
      </c>
      <c r="Q352" s="186">
        <v>7940</v>
      </c>
      <c r="R352" s="185"/>
      <c r="S352" s="185" t="s">
        <v>1528</v>
      </c>
      <c r="T352"/>
      <c r="U352" t="str">
        <f>IF($L352&gt;0,VLOOKUP($E352,Valida!$A$1:$G$270,6,FALSE),IF($M352&gt;=0,VLOOKUP($E352,Valida!$A$1:$G$270,7,FALSE)))</f>
        <v>(+/-) Ganancia (pérdida)</v>
      </c>
      <c r="V352" s="190" t="str">
        <f>VLOOKUP(E352,Valida!$A$2:$K$271,4,FALSE)</f>
        <v>P&amp;L</v>
      </c>
      <c r="W352" s="185" t="s">
        <v>1967</v>
      </c>
      <c r="X352" s="185"/>
      <c r="Y352" s="185" t="s">
        <v>1789</v>
      </c>
      <c r="Z352"/>
    </row>
    <row r="353" spans="1:26">
      <c r="A353" s="185" t="s">
        <v>1895</v>
      </c>
      <c r="B353" s="185" t="s">
        <v>2070</v>
      </c>
      <c r="C353" s="185" t="s">
        <v>1897</v>
      </c>
      <c r="D353" s="185" t="s">
        <v>2071</v>
      </c>
      <c r="E353" s="185">
        <v>510527</v>
      </c>
      <c r="F353" s="185" t="s">
        <v>1089</v>
      </c>
      <c r="G353" s="185" t="s">
        <v>1966</v>
      </c>
      <c r="H353" s="185" t="s">
        <v>1515</v>
      </c>
      <c r="I353" s="258" t="str">
        <f t="shared" si="16"/>
        <v>5</v>
      </c>
      <c r="J353" s="221">
        <f t="shared" si="17"/>
        <v>140606</v>
      </c>
      <c r="K353" s="258">
        <f t="shared" si="18"/>
        <v>2</v>
      </c>
      <c r="L353" s="188">
        <v>140606</v>
      </c>
      <c r="M353" s="188">
        <v>0</v>
      </c>
      <c r="N353" s="189">
        <v>1010101811</v>
      </c>
      <c r="O353" t="s">
        <v>2070</v>
      </c>
      <c r="P353" s="187">
        <v>44985.313101851898</v>
      </c>
      <c r="Q353" s="186">
        <v>7941</v>
      </c>
      <c r="R353" s="185"/>
      <c r="S353" s="185" t="s">
        <v>1528</v>
      </c>
      <c r="T353"/>
      <c r="U353" t="str">
        <f>IF($L353&gt;0,VLOOKUP($E353,Valida!$A$1:$G$270,6,FALSE),IF($M353&gt;=0,VLOOKUP($E353,Valida!$A$1:$G$270,7,FALSE)))</f>
        <v>(+/-) Ganancia (pérdida)</v>
      </c>
      <c r="V353" s="190" t="str">
        <f>VLOOKUP(E353,Valida!$A$2:$K$271,4,FALSE)</f>
        <v>P&amp;L</v>
      </c>
      <c r="W353" s="185" t="s">
        <v>1967</v>
      </c>
      <c r="X353" s="185"/>
      <c r="Y353" s="185" t="s">
        <v>1789</v>
      </c>
      <c r="Z353"/>
    </row>
    <row r="354" spans="1:26">
      <c r="A354" s="185" t="s">
        <v>1895</v>
      </c>
      <c r="B354" s="185" t="s">
        <v>2070</v>
      </c>
      <c r="C354" s="185" t="s">
        <v>1897</v>
      </c>
      <c r="D354" s="185" t="s">
        <v>2071</v>
      </c>
      <c r="E354" s="185">
        <v>237005</v>
      </c>
      <c r="F354" s="185" t="s">
        <v>676</v>
      </c>
      <c r="G354" s="185" t="s">
        <v>1966</v>
      </c>
      <c r="H354" s="185" t="s">
        <v>1628</v>
      </c>
      <c r="I354" s="258" t="str">
        <f t="shared" si="16"/>
        <v>2</v>
      </c>
      <c r="J354" s="221">
        <f t="shared" si="17"/>
        <v>-65419</v>
      </c>
      <c r="K354" s="258">
        <f t="shared" si="18"/>
        <v>2</v>
      </c>
      <c r="L354" s="188">
        <v>0</v>
      </c>
      <c r="M354" s="188">
        <v>65419</v>
      </c>
      <c r="N354" s="189">
        <v>860066942</v>
      </c>
      <c r="O354" t="s">
        <v>2070</v>
      </c>
      <c r="P354" s="187">
        <v>44985.313101851898</v>
      </c>
      <c r="Q354" s="186">
        <v>7942</v>
      </c>
      <c r="R354" s="185" t="s">
        <v>1814</v>
      </c>
      <c r="S354" s="185" t="s">
        <v>1574</v>
      </c>
      <c r="T354"/>
      <c r="U354" t="str">
        <f>IF($L354&gt;0,VLOOKUP($E354,Valida!$A$1:$G$270,6,FALSE),IF($M354&gt;=0,VLOOKUP($E354,Valida!$A$1:$G$270,7,FALSE)))</f>
        <v>(+/-) Ajustes por el incremento (disminución) de cuentas por pagar de origen comercial</v>
      </c>
      <c r="V354" s="190" t="str">
        <f>VLOOKUP(E354,Valida!$A$2:$K$271,4,FALSE)</f>
        <v>Trade and other payables</v>
      </c>
      <c r="W354" s="185" t="s">
        <v>1914</v>
      </c>
      <c r="X354" s="185" t="s">
        <v>1915</v>
      </c>
      <c r="Y354" s="185" t="s">
        <v>1789</v>
      </c>
      <c r="Z354"/>
    </row>
    <row r="355" spans="1:26">
      <c r="A355" s="185" t="s">
        <v>1895</v>
      </c>
      <c r="B355" s="185" t="s">
        <v>2070</v>
      </c>
      <c r="C355" s="185" t="s">
        <v>1897</v>
      </c>
      <c r="D355" s="185" t="s">
        <v>2071</v>
      </c>
      <c r="E355" s="185">
        <v>238030</v>
      </c>
      <c r="F355" s="185" t="s">
        <v>721</v>
      </c>
      <c r="G355" s="185" t="s">
        <v>1966</v>
      </c>
      <c r="H355" s="185" t="s">
        <v>1628</v>
      </c>
      <c r="I355" s="258" t="str">
        <f t="shared" si="16"/>
        <v>2</v>
      </c>
      <c r="J355" s="221">
        <f t="shared" si="17"/>
        <v>-65419</v>
      </c>
      <c r="K355" s="258">
        <f t="shared" si="18"/>
        <v>2</v>
      </c>
      <c r="L355" s="188">
        <v>0</v>
      </c>
      <c r="M355" s="188">
        <v>65419</v>
      </c>
      <c r="N355" s="189">
        <v>800144331</v>
      </c>
      <c r="O355" t="s">
        <v>2070</v>
      </c>
      <c r="P355" s="187">
        <v>44985.313101851898</v>
      </c>
      <c r="Q355" s="186">
        <v>7943</v>
      </c>
      <c r="R355" s="185" t="s">
        <v>844</v>
      </c>
      <c r="S355" s="185" t="s">
        <v>1658</v>
      </c>
      <c r="T355"/>
      <c r="U355" t="str">
        <f>IF($L355&gt;0,VLOOKUP($E355,Valida!$A$1:$G$270,6,FALSE),IF($M355&gt;=0,VLOOKUP($E355,Valida!$A$1:$G$270,7,FALSE)))</f>
        <v>(+/-) Ajustes por el incremento (disminución) de cuentas por pagar de origen comercial</v>
      </c>
      <c r="V355" s="190" t="str">
        <f>VLOOKUP(E355,Valida!$A$2:$K$271,4,FALSE)</f>
        <v>Trade and other payables</v>
      </c>
      <c r="W355" s="185" t="s">
        <v>1904</v>
      </c>
      <c r="X355" s="185" t="s">
        <v>1905</v>
      </c>
      <c r="Y355" s="185" t="s">
        <v>1789</v>
      </c>
      <c r="Z355"/>
    </row>
    <row r="356" spans="1:26">
      <c r="A356" s="185" t="s">
        <v>1895</v>
      </c>
      <c r="B356" s="185" t="s">
        <v>2070</v>
      </c>
      <c r="C356" s="185" t="s">
        <v>1897</v>
      </c>
      <c r="D356" s="185" t="s">
        <v>2071</v>
      </c>
      <c r="E356" s="185">
        <v>250505</v>
      </c>
      <c r="F356" s="185" t="s">
        <v>767</v>
      </c>
      <c r="G356" s="185" t="s">
        <v>1966</v>
      </c>
      <c r="H356" s="185" t="s">
        <v>1628</v>
      </c>
      <c r="I356" s="258" t="str">
        <f t="shared" si="16"/>
        <v>2</v>
      </c>
      <c r="J356" s="221">
        <f t="shared" si="17"/>
        <v>-1645237</v>
      </c>
      <c r="K356" s="258">
        <f t="shared" si="18"/>
        <v>2</v>
      </c>
      <c r="L356" s="188">
        <v>0</v>
      </c>
      <c r="M356" s="188">
        <v>1645237</v>
      </c>
      <c r="N356" s="189">
        <v>1010101811</v>
      </c>
      <c r="O356" t="s">
        <v>2070</v>
      </c>
      <c r="P356" s="187">
        <v>44985.313101851898</v>
      </c>
      <c r="Q356" s="186">
        <v>7944</v>
      </c>
      <c r="R356" s="185"/>
      <c r="S356" s="185" t="s">
        <v>1528</v>
      </c>
      <c r="T356"/>
      <c r="U356" t="str">
        <f>IF($L356&gt;0,VLOOKUP($E356,Valida!$A$1:$G$270,6,FALSE),IF($M356&gt;=0,VLOOKUP($E356,Valida!$A$1:$G$270,7,FALSE)))</f>
        <v>(+/-) Ajustes por el incremento (disminución) de cuentas por pagar de origen comercial</v>
      </c>
      <c r="V356" s="190" t="str">
        <f>VLOOKUP(E356,Valida!$A$2:$K$271,4,FALSE)</f>
        <v>Trade and other payables</v>
      </c>
      <c r="W356" s="185" t="s">
        <v>1967</v>
      </c>
      <c r="X356" s="185"/>
      <c r="Y356" s="185" t="s">
        <v>1789</v>
      </c>
      <c r="Z356"/>
    </row>
    <row r="357" spans="1:26">
      <c r="A357" s="185" t="s">
        <v>1895</v>
      </c>
      <c r="B357" s="185" t="s">
        <v>2070</v>
      </c>
      <c r="C357" s="185" t="s">
        <v>1897</v>
      </c>
      <c r="D357" s="185" t="s">
        <v>2071</v>
      </c>
      <c r="E357" s="185">
        <v>510530</v>
      </c>
      <c r="F357" s="185" t="s">
        <v>813</v>
      </c>
      <c r="G357" s="185" t="s">
        <v>1966</v>
      </c>
      <c r="H357" s="185" t="s">
        <v>1515</v>
      </c>
      <c r="I357" s="258" t="str">
        <f t="shared" si="16"/>
        <v>5</v>
      </c>
      <c r="J357" s="221">
        <f t="shared" si="17"/>
        <v>148006</v>
      </c>
      <c r="K357" s="258">
        <f t="shared" si="18"/>
        <v>2</v>
      </c>
      <c r="L357" s="188">
        <v>148006</v>
      </c>
      <c r="M357" s="188">
        <v>0</v>
      </c>
      <c r="N357" s="189">
        <v>1010101811</v>
      </c>
      <c r="O357" t="s">
        <v>2070</v>
      </c>
      <c r="P357" s="187">
        <v>44985.313101851898</v>
      </c>
      <c r="Q357" s="186">
        <v>7945</v>
      </c>
      <c r="R357" s="185"/>
      <c r="S357" s="185" t="s">
        <v>1528</v>
      </c>
      <c r="T357"/>
      <c r="U357" t="str">
        <f>IF($L357&gt;0,VLOOKUP($E357,Valida!$A$1:$G$270,6,FALSE),IF($M357&gt;=0,VLOOKUP($E357,Valida!$A$1:$G$270,7,FALSE)))</f>
        <v>(+/-) Ganancia (pérdida)</v>
      </c>
      <c r="V357" s="190" t="str">
        <f>VLOOKUP(E357,Valida!$A$2:$K$271,4,FALSE)</f>
        <v>P&amp;L</v>
      </c>
      <c r="W357" s="185" t="s">
        <v>1967</v>
      </c>
      <c r="X357" s="185"/>
      <c r="Y357" s="185" t="s">
        <v>1789</v>
      </c>
      <c r="Z357"/>
    </row>
    <row r="358" spans="1:26">
      <c r="A358" s="185" t="s">
        <v>1895</v>
      </c>
      <c r="B358" s="185" t="s">
        <v>2070</v>
      </c>
      <c r="C358" s="185" t="s">
        <v>1897</v>
      </c>
      <c r="D358" s="185" t="s">
        <v>2071</v>
      </c>
      <c r="E358" s="185">
        <v>510533</v>
      </c>
      <c r="F358" s="185" t="s">
        <v>779</v>
      </c>
      <c r="G358" s="185" t="s">
        <v>1966</v>
      </c>
      <c r="H358" s="185" t="s">
        <v>1515</v>
      </c>
      <c r="I358" s="258" t="str">
        <f t="shared" si="16"/>
        <v>5</v>
      </c>
      <c r="J358" s="221">
        <f t="shared" si="17"/>
        <v>17761</v>
      </c>
      <c r="K358" s="258">
        <f t="shared" si="18"/>
        <v>2</v>
      </c>
      <c r="L358" s="188">
        <v>17761</v>
      </c>
      <c r="M358" s="188">
        <v>0</v>
      </c>
      <c r="N358" s="189">
        <v>1010101811</v>
      </c>
      <c r="O358" t="s">
        <v>2070</v>
      </c>
      <c r="P358" s="187">
        <v>44985.313101851898</v>
      </c>
      <c r="Q358" s="186">
        <v>7946</v>
      </c>
      <c r="R358" s="185"/>
      <c r="S358" s="185" t="s">
        <v>1528</v>
      </c>
      <c r="T358"/>
      <c r="U358" t="str">
        <f>IF($L358&gt;0,VLOOKUP($E358,Valida!$A$1:$G$270,6,FALSE),IF($M358&gt;=0,VLOOKUP($E358,Valida!$A$1:$G$270,7,FALSE)))</f>
        <v>(+/-) Ganancia (pérdida)</v>
      </c>
      <c r="V358" s="190" t="str">
        <f>VLOOKUP(E358,Valida!$A$2:$K$271,4,FALSE)</f>
        <v>P&amp;L</v>
      </c>
      <c r="W358" s="185" t="s">
        <v>1967</v>
      </c>
      <c r="X358" s="185"/>
      <c r="Y358" s="185" t="s">
        <v>1789</v>
      </c>
      <c r="Z358"/>
    </row>
    <row r="359" spans="1:26">
      <c r="A359" s="185" t="s">
        <v>1895</v>
      </c>
      <c r="B359" s="185" t="s">
        <v>2070</v>
      </c>
      <c r="C359" s="185" t="s">
        <v>1897</v>
      </c>
      <c r="D359" s="185" t="s">
        <v>2071</v>
      </c>
      <c r="E359" s="185">
        <v>510536</v>
      </c>
      <c r="F359" s="185" t="s">
        <v>783</v>
      </c>
      <c r="G359" s="185" t="s">
        <v>1966</v>
      </c>
      <c r="H359" s="185" t="s">
        <v>1515</v>
      </c>
      <c r="I359" s="258" t="str">
        <f t="shared" si="16"/>
        <v>5</v>
      </c>
      <c r="J359" s="221">
        <f t="shared" si="17"/>
        <v>148006</v>
      </c>
      <c r="K359" s="258">
        <f t="shared" si="18"/>
        <v>2</v>
      </c>
      <c r="L359" s="188">
        <v>148006</v>
      </c>
      <c r="M359" s="188">
        <v>0</v>
      </c>
      <c r="N359" s="189">
        <v>1010101811</v>
      </c>
      <c r="O359" t="s">
        <v>2070</v>
      </c>
      <c r="P359" s="187">
        <v>44985.313101851898</v>
      </c>
      <c r="Q359" s="186">
        <v>7947</v>
      </c>
      <c r="R359" s="185"/>
      <c r="S359" s="185" t="s">
        <v>1528</v>
      </c>
      <c r="T359"/>
      <c r="U359" t="str">
        <f>IF($L359&gt;0,VLOOKUP($E359,Valida!$A$1:$G$270,6,FALSE),IF($M359&gt;=0,VLOOKUP($E359,Valida!$A$1:$G$270,7,FALSE)))</f>
        <v>(+/-) Ganancia (pérdida)</v>
      </c>
      <c r="V359" s="190" t="str">
        <f>VLOOKUP(E359,Valida!$A$2:$K$271,4,FALSE)</f>
        <v>P&amp;L</v>
      </c>
      <c r="W359" s="185" t="s">
        <v>1967</v>
      </c>
      <c r="X359" s="185"/>
      <c r="Y359" s="185" t="s">
        <v>1789</v>
      </c>
      <c r="Z359"/>
    </row>
    <row r="360" spans="1:26">
      <c r="A360" s="185" t="s">
        <v>1895</v>
      </c>
      <c r="B360" s="185" t="s">
        <v>2070</v>
      </c>
      <c r="C360" s="185" t="s">
        <v>1897</v>
      </c>
      <c r="D360" s="185" t="s">
        <v>2071</v>
      </c>
      <c r="E360" s="185">
        <v>510539</v>
      </c>
      <c r="F360" s="185" t="s">
        <v>818</v>
      </c>
      <c r="G360" s="185" t="s">
        <v>1966</v>
      </c>
      <c r="H360" s="185" t="s">
        <v>1515</v>
      </c>
      <c r="I360" s="258" t="str">
        <f t="shared" si="16"/>
        <v>5</v>
      </c>
      <c r="J360" s="221">
        <f t="shared" si="17"/>
        <v>68145</v>
      </c>
      <c r="K360" s="258">
        <f t="shared" si="18"/>
        <v>2</v>
      </c>
      <c r="L360" s="188">
        <v>68145</v>
      </c>
      <c r="M360" s="188">
        <v>0</v>
      </c>
      <c r="N360" s="189">
        <v>1010101811</v>
      </c>
      <c r="O360" t="s">
        <v>2070</v>
      </c>
      <c r="P360" s="187">
        <v>44985.313101851898</v>
      </c>
      <c r="Q360" s="186">
        <v>7948</v>
      </c>
      <c r="R360" s="185"/>
      <c r="S360" s="185" t="s">
        <v>1528</v>
      </c>
      <c r="T360"/>
      <c r="U360" t="str">
        <f>IF($L360&gt;0,VLOOKUP($E360,Valida!$A$1:$G$270,6,FALSE),IF($M360&gt;=0,VLOOKUP($E360,Valida!$A$1:$G$270,7,FALSE)))</f>
        <v>(+/-) Ganancia (pérdida)</v>
      </c>
      <c r="V360" s="190" t="str">
        <f>VLOOKUP(E360,Valida!$A$2:$K$271,4,FALSE)</f>
        <v>P&amp;L</v>
      </c>
      <c r="W360" s="185" t="s">
        <v>1967</v>
      </c>
      <c r="X360" s="185"/>
      <c r="Y360" s="185" t="s">
        <v>1789</v>
      </c>
      <c r="Z360"/>
    </row>
    <row r="361" spans="1:26">
      <c r="A361" s="185" t="s">
        <v>1895</v>
      </c>
      <c r="B361" s="185" t="s">
        <v>2070</v>
      </c>
      <c r="C361" s="185" t="s">
        <v>1897</v>
      </c>
      <c r="D361" s="185" t="s">
        <v>2071</v>
      </c>
      <c r="E361" s="185">
        <v>251010</v>
      </c>
      <c r="F361" s="185" t="s">
        <v>776</v>
      </c>
      <c r="G361" s="185" t="s">
        <v>1966</v>
      </c>
      <c r="H361" s="185" t="s">
        <v>1628</v>
      </c>
      <c r="I361" s="258" t="str">
        <f t="shared" si="16"/>
        <v>2</v>
      </c>
      <c r="J361" s="221">
        <f t="shared" si="17"/>
        <v>-148006</v>
      </c>
      <c r="K361" s="258">
        <f t="shared" si="18"/>
        <v>2</v>
      </c>
      <c r="L361" s="188">
        <v>0</v>
      </c>
      <c r="M361" s="188">
        <v>148006</v>
      </c>
      <c r="N361" s="189">
        <v>1010101811</v>
      </c>
      <c r="O361" t="s">
        <v>2070</v>
      </c>
      <c r="P361" s="187">
        <v>44985.313101851898</v>
      </c>
      <c r="Q361" s="186">
        <v>7949</v>
      </c>
      <c r="R361" s="185"/>
      <c r="S361" s="185" t="s">
        <v>1528</v>
      </c>
      <c r="T361"/>
      <c r="U361" t="str">
        <f>IF($L361&gt;0,VLOOKUP($E361,Valida!$A$1:$G$270,6,FALSE),IF($M361&gt;=0,VLOOKUP($E361,Valida!$A$1:$G$270,7,FALSE)))</f>
        <v>(+/-) Ajustes por el incremento (disminución) de cuentas por pagar de origen comercial</v>
      </c>
      <c r="V361" s="190" t="str">
        <f>VLOOKUP(E361,Valida!$A$2:$K$271,4,FALSE)</f>
        <v>Trade and other payables</v>
      </c>
      <c r="W361" s="185" t="s">
        <v>1967</v>
      </c>
      <c r="X361" s="185"/>
      <c r="Y361" s="185" t="s">
        <v>1789</v>
      </c>
      <c r="Z361"/>
    </row>
    <row r="362" spans="1:26">
      <c r="A362" s="185" t="s">
        <v>1895</v>
      </c>
      <c r="B362" s="185" t="s">
        <v>2070</v>
      </c>
      <c r="C362" s="185" t="s">
        <v>1897</v>
      </c>
      <c r="D362" s="185" t="s">
        <v>2071</v>
      </c>
      <c r="E362" s="185">
        <v>251505</v>
      </c>
      <c r="F362" s="185" t="s">
        <v>779</v>
      </c>
      <c r="G362" s="185" t="s">
        <v>1966</v>
      </c>
      <c r="H362" s="185" t="s">
        <v>1628</v>
      </c>
      <c r="I362" s="258" t="str">
        <f t="shared" si="16"/>
        <v>2</v>
      </c>
      <c r="J362" s="221">
        <f t="shared" si="17"/>
        <v>-17761</v>
      </c>
      <c r="K362" s="258">
        <f t="shared" si="18"/>
        <v>2</v>
      </c>
      <c r="L362" s="188">
        <v>0</v>
      </c>
      <c r="M362" s="188">
        <v>17761</v>
      </c>
      <c r="N362" s="189">
        <v>1010101811</v>
      </c>
      <c r="O362" t="s">
        <v>2070</v>
      </c>
      <c r="P362" s="187">
        <v>44985.313101851898</v>
      </c>
      <c r="Q362" s="186">
        <v>7950</v>
      </c>
      <c r="R362" s="185"/>
      <c r="S362" s="185" t="s">
        <v>1528</v>
      </c>
      <c r="T362"/>
      <c r="U362" t="str">
        <f>IF($L362&gt;0,VLOOKUP($E362,Valida!$A$1:$G$270,6,FALSE),IF($M362&gt;=0,VLOOKUP($E362,Valida!$A$1:$G$270,7,FALSE)))</f>
        <v>(+/-) Ajustes por el incremento (disminución) de cuentas por pagar de origen comercial</v>
      </c>
      <c r="V362" s="190" t="str">
        <f>VLOOKUP(E362,Valida!$A$2:$K$271,4,FALSE)</f>
        <v>Trade and other payables</v>
      </c>
      <c r="W362" s="185" t="s">
        <v>1967</v>
      </c>
      <c r="X362" s="185"/>
      <c r="Y362" s="185" t="s">
        <v>1789</v>
      </c>
      <c r="Z362"/>
    </row>
    <row r="363" spans="1:26">
      <c r="A363" s="185" t="s">
        <v>1895</v>
      </c>
      <c r="B363" s="185" t="s">
        <v>2070</v>
      </c>
      <c r="C363" s="185" t="s">
        <v>1897</v>
      </c>
      <c r="D363" s="185" t="s">
        <v>2071</v>
      </c>
      <c r="E363" s="185">
        <v>252005</v>
      </c>
      <c r="F363" s="185" t="s">
        <v>783</v>
      </c>
      <c r="G363" s="185" t="s">
        <v>1966</v>
      </c>
      <c r="H363" s="185" t="s">
        <v>1628</v>
      </c>
      <c r="I363" s="258" t="str">
        <f t="shared" si="16"/>
        <v>2</v>
      </c>
      <c r="J363" s="221">
        <f t="shared" si="17"/>
        <v>-148006</v>
      </c>
      <c r="K363" s="258">
        <f t="shared" si="18"/>
        <v>2</v>
      </c>
      <c r="L363" s="188">
        <v>0</v>
      </c>
      <c r="M363" s="188">
        <v>148006</v>
      </c>
      <c r="N363" s="189">
        <v>1010101811</v>
      </c>
      <c r="O363" t="s">
        <v>2070</v>
      </c>
      <c r="P363" s="187">
        <v>44985.313101851898</v>
      </c>
      <c r="Q363" s="186">
        <v>7951</v>
      </c>
      <c r="R363" s="185"/>
      <c r="S363" s="185" t="s">
        <v>1528</v>
      </c>
      <c r="T363"/>
      <c r="U363" t="str">
        <f>IF($L363&gt;0,VLOOKUP($E363,Valida!$A$1:$G$270,6,FALSE),IF($M363&gt;=0,VLOOKUP($E363,Valida!$A$1:$G$270,7,FALSE)))</f>
        <v>(+/-) Ajustes por el incremento (disminución) de cuentas por pagar de origen comercial</v>
      </c>
      <c r="V363" s="190" t="str">
        <f>VLOOKUP(E363,Valida!$A$2:$K$271,4,FALSE)</f>
        <v>Trade and other payables</v>
      </c>
      <c r="W363" s="185" t="s">
        <v>1967</v>
      </c>
      <c r="X363" s="185"/>
      <c r="Y363" s="185" t="s">
        <v>1789</v>
      </c>
      <c r="Z363"/>
    </row>
    <row r="364" spans="1:26">
      <c r="A364" s="185" t="s">
        <v>2072</v>
      </c>
      <c r="B364" s="185" t="s">
        <v>2073</v>
      </c>
      <c r="C364" s="185" t="s">
        <v>1792</v>
      </c>
      <c r="D364" s="185" t="s">
        <v>2074</v>
      </c>
      <c r="E364" s="185">
        <v>513060</v>
      </c>
      <c r="F364" s="185" t="s">
        <v>1241</v>
      </c>
      <c r="G364" s="185" t="s">
        <v>2075</v>
      </c>
      <c r="H364" s="185" t="s">
        <v>1515</v>
      </c>
      <c r="I364" s="258" t="str">
        <f t="shared" si="16"/>
        <v>5</v>
      </c>
      <c r="J364" s="221">
        <f t="shared" si="17"/>
        <v>307044</v>
      </c>
      <c r="K364" s="258">
        <f t="shared" si="18"/>
        <v>2</v>
      </c>
      <c r="L364" s="188">
        <v>307044</v>
      </c>
      <c r="M364" s="188">
        <v>0</v>
      </c>
      <c r="N364" s="189">
        <v>891700037</v>
      </c>
      <c r="O364" t="s">
        <v>2076</v>
      </c>
      <c r="P364" s="187">
        <v>44980.881678240701</v>
      </c>
      <c r="Q364" s="186">
        <v>7166</v>
      </c>
      <c r="R364" s="185" t="s">
        <v>1841</v>
      </c>
      <c r="S364" s="185" t="s">
        <v>1582</v>
      </c>
      <c r="T364"/>
      <c r="U364" t="str">
        <f>IF($L364&gt;0,VLOOKUP($E364,Valida!$A$1:$G$270,6,FALSE),IF($M364&gt;=0,VLOOKUP($E364,Valida!$A$1:$G$270,7,FALSE)))</f>
        <v>(+/-) Ganancia (pérdida)</v>
      </c>
      <c r="V364" s="190" t="str">
        <f>VLOOKUP(E364,Valida!$A$2:$K$271,4,FALSE)</f>
        <v>P&amp;L</v>
      </c>
      <c r="W364" s="185" t="s">
        <v>2077</v>
      </c>
      <c r="X364" s="185" t="s">
        <v>2078</v>
      </c>
      <c r="Y364" s="185" t="s">
        <v>1789</v>
      </c>
      <c r="Z364"/>
    </row>
    <row r="365" spans="1:26">
      <c r="A365" s="185" t="s">
        <v>2072</v>
      </c>
      <c r="B365" s="185" t="s">
        <v>2073</v>
      </c>
      <c r="C365" s="185" t="s">
        <v>1792</v>
      </c>
      <c r="D365" s="185" t="s">
        <v>2074</v>
      </c>
      <c r="E365" s="185">
        <v>24081002</v>
      </c>
      <c r="F365" s="185" t="s">
        <v>1687</v>
      </c>
      <c r="G365" s="185" t="s">
        <v>2075</v>
      </c>
      <c r="H365" s="185" t="s">
        <v>1515</v>
      </c>
      <c r="I365" s="258" t="str">
        <f t="shared" si="16"/>
        <v>2</v>
      </c>
      <c r="J365" s="221">
        <f t="shared" si="17"/>
        <v>58338</v>
      </c>
      <c r="K365" s="258">
        <f t="shared" si="18"/>
        <v>2</v>
      </c>
      <c r="L365" s="188">
        <v>58338</v>
      </c>
      <c r="M365" s="188">
        <v>0</v>
      </c>
      <c r="N365" s="189">
        <v>891700037</v>
      </c>
      <c r="O365" t="s">
        <v>2076</v>
      </c>
      <c r="P365" s="187">
        <v>44980.881678240701</v>
      </c>
      <c r="Q365" s="186">
        <v>7167</v>
      </c>
      <c r="R365" s="185" t="s">
        <v>1841</v>
      </c>
      <c r="S365" s="185" t="s">
        <v>1582</v>
      </c>
      <c r="T365"/>
      <c r="U365" t="str">
        <f>IF($L365&gt;0,VLOOKUP($E365,Valida!$A$1:$G$270,6,FALSE),IF($M365&gt;=0,VLOOKUP($E365,Valida!$A$1:$G$270,7,FALSE)))</f>
        <v>(+/-) Ajustes por el incremento (disminución) de cuentas por pagar de origen comercial</v>
      </c>
      <c r="V365" s="190" t="str">
        <f>VLOOKUP(E365,Valida!$A$2:$K$271,4,FALSE)</f>
        <v>Trade and other payables</v>
      </c>
      <c r="W365" s="185" t="s">
        <v>2077</v>
      </c>
      <c r="X365" s="185" t="s">
        <v>2078</v>
      </c>
      <c r="Y365" s="185" t="s">
        <v>1789</v>
      </c>
      <c r="Z365"/>
    </row>
    <row r="366" spans="1:26">
      <c r="A366" s="185" t="s">
        <v>2072</v>
      </c>
      <c r="B366" s="185" t="s">
        <v>2073</v>
      </c>
      <c r="C366" s="185" t="s">
        <v>1792</v>
      </c>
      <c r="D366" s="185" t="s">
        <v>2074</v>
      </c>
      <c r="E366" s="185">
        <v>233555</v>
      </c>
      <c r="F366" s="185" t="s">
        <v>522</v>
      </c>
      <c r="G366" s="185" t="s">
        <v>2075</v>
      </c>
      <c r="H366" s="185" t="s">
        <v>1628</v>
      </c>
      <c r="I366" s="258" t="str">
        <f t="shared" si="16"/>
        <v>2</v>
      </c>
      <c r="J366" s="221">
        <f t="shared" si="17"/>
        <v>-365382</v>
      </c>
      <c r="K366" s="258">
        <f t="shared" si="18"/>
        <v>2</v>
      </c>
      <c r="L366" s="188">
        <v>0</v>
      </c>
      <c r="M366" s="188">
        <v>365382</v>
      </c>
      <c r="N366" s="189">
        <v>891700037</v>
      </c>
      <c r="O366" t="s">
        <v>2076</v>
      </c>
      <c r="P366" s="187">
        <v>44980.881678240701</v>
      </c>
      <c r="Q366" s="186">
        <v>7168</v>
      </c>
      <c r="R366" s="185" t="s">
        <v>1841</v>
      </c>
      <c r="S366" s="185" t="s">
        <v>1582</v>
      </c>
      <c r="T366"/>
      <c r="U366" t="str">
        <f>IF($L366&gt;0,VLOOKUP($E366,Valida!$A$1:$G$270,6,FALSE),IF($M366&gt;=0,VLOOKUP($E366,Valida!$A$1:$G$270,7,FALSE)))</f>
        <v>(+/-) Ajustes por el incremento (disminución) de cuentas por pagar de origen comercial</v>
      </c>
      <c r="V366" s="190" t="str">
        <f>VLOOKUP(E366,Valida!$A$2:$K$271,4,FALSE)</f>
        <v>Trade and other payables</v>
      </c>
      <c r="W366" s="185" t="s">
        <v>2077</v>
      </c>
      <c r="X366" s="185" t="s">
        <v>2078</v>
      </c>
      <c r="Y366" s="185" t="s">
        <v>1789</v>
      </c>
      <c r="Z366"/>
    </row>
    <row r="367" spans="1:26">
      <c r="A367" s="185" t="s">
        <v>2079</v>
      </c>
      <c r="B367" s="185" t="s">
        <v>2080</v>
      </c>
      <c r="C367" s="185" t="s">
        <v>1792</v>
      </c>
      <c r="D367" s="185" t="s">
        <v>2081</v>
      </c>
      <c r="E367" s="185">
        <v>51359501</v>
      </c>
      <c r="F367" s="185" t="s">
        <v>1290</v>
      </c>
      <c r="G367" s="185" t="s">
        <v>2082</v>
      </c>
      <c r="H367" s="185" t="s">
        <v>1515</v>
      </c>
      <c r="I367" s="258" t="str">
        <f t="shared" si="16"/>
        <v>5</v>
      </c>
      <c r="J367" s="221">
        <f t="shared" si="17"/>
        <v>2500000</v>
      </c>
      <c r="K367" s="258">
        <f t="shared" si="18"/>
        <v>2</v>
      </c>
      <c r="L367" s="188">
        <v>2500000</v>
      </c>
      <c r="M367" s="188">
        <v>0</v>
      </c>
      <c r="N367" s="189">
        <v>900471482</v>
      </c>
      <c r="O367" t="s">
        <v>2083</v>
      </c>
      <c r="P367" s="187">
        <v>44980.882696759298</v>
      </c>
      <c r="Q367" s="186">
        <v>7169</v>
      </c>
      <c r="R367" s="185" t="s">
        <v>6</v>
      </c>
      <c r="S367" s="185" t="s">
        <v>1600</v>
      </c>
      <c r="T367"/>
      <c r="U367" t="str">
        <f>IF($L367&gt;0,VLOOKUP($E367,Valida!$A$1:$G$270,6,FALSE),IF($M367&gt;=0,VLOOKUP($E367,Valida!$A$1:$G$270,7,FALSE)))</f>
        <v>(+/-) Ganancia (pérdida)</v>
      </c>
      <c r="V367" s="190" t="str">
        <f>VLOOKUP(E367,Valida!$A$2:$K$271,4,FALSE)</f>
        <v>P&amp;L</v>
      </c>
      <c r="W367" s="185" t="s">
        <v>1853</v>
      </c>
      <c r="X367" s="185" t="s">
        <v>1854</v>
      </c>
      <c r="Y367" s="185" t="s">
        <v>1789</v>
      </c>
      <c r="Z367"/>
    </row>
    <row r="368" spans="1:26">
      <c r="A368" s="185" t="s">
        <v>2079</v>
      </c>
      <c r="B368" s="185" t="s">
        <v>2080</v>
      </c>
      <c r="C368" s="185" t="s">
        <v>1792</v>
      </c>
      <c r="D368" s="185" t="s">
        <v>2081</v>
      </c>
      <c r="E368" s="185">
        <v>23354001</v>
      </c>
      <c r="F368" s="185" t="s">
        <v>484</v>
      </c>
      <c r="G368" s="185" t="s">
        <v>2082</v>
      </c>
      <c r="H368" s="185" t="s">
        <v>1628</v>
      </c>
      <c r="I368" s="258" t="str">
        <f t="shared" si="16"/>
        <v>2</v>
      </c>
      <c r="J368" s="221">
        <f t="shared" si="17"/>
        <v>-2500000</v>
      </c>
      <c r="K368" s="258">
        <f t="shared" si="18"/>
        <v>2</v>
      </c>
      <c r="L368" s="188">
        <v>0</v>
      </c>
      <c r="M368" s="188">
        <v>2500000</v>
      </c>
      <c r="N368" s="189">
        <v>900471482</v>
      </c>
      <c r="O368" t="s">
        <v>2083</v>
      </c>
      <c r="P368" s="187">
        <v>44980.882696759298</v>
      </c>
      <c r="Q368" s="186">
        <v>7170</v>
      </c>
      <c r="R368" s="185" t="s">
        <v>6</v>
      </c>
      <c r="S368" s="185" t="s">
        <v>1600</v>
      </c>
      <c r="T368"/>
      <c r="U368" t="str">
        <f>IF($L368&gt;0,VLOOKUP($E368,Valida!$A$1:$G$270,6,FALSE),IF($M368&gt;=0,VLOOKUP($E368,Valida!$A$1:$G$270,7,FALSE)))</f>
        <v>(+/-) Ajustes por el incremento (disminución) de cuentas por pagar de origen comercial</v>
      </c>
      <c r="V368" s="190" t="str">
        <f>VLOOKUP(E368,Valida!$A$2:$K$271,4,FALSE)</f>
        <v>Trade and other payables</v>
      </c>
      <c r="W368" s="185" t="s">
        <v>1853</v>
      </c>
      <c r="X368" s="185" t="s">
        <v>1854</v>
      </c>
      <c r="Y368" s="185" t="s">
        <v>1789</v>
      </c>
      <c r="Z368"/>
    </row>
    <row r="369" spans="1:26">
      <c r="A369" s="185" t="s">
        <v>2079</v>
      </c>
      <c r="B369" s="185" t="s">
        <v>2084</v>
      </c>
      <c r="C369" s="185" t="s">
        <v>1792</v>
      </c>
      <c r="D369" s="185" t="s">
        <v>2085</v>
      </c>
      <c r="E369" s="185">
        <v>51201001</v>
      </c>
      <c r="F369" s="185" t="s">
        <v>1189</v>
      </c>
      <c r="G369" s="185" t="s">
        <v>2086</v>
      </c>
      <c r="H369" s="185" t="s">
        <v>1515</v>
      </c>
      <c r="I369" s="258" t="str">
        <f t="shared" si="16"/>
        <v>5</v>
      </c>
      <c r="J369" s="221">
        <f t="shared" si="17"/>
        <v>22918350</v>
      </c>
      <c r="K369" s="258">
        <f t="shared" si="18"/>
        <v>2</v>
      </c>
      <c r="L369" s="188">
        <v>22918350</v>
      </c>
      <c r="M369" s="188">
        <v>0</v>
      </c>
      <c r="N369" s="189">
        <v>900471482</v>
      </c>
      <c r="O369" t="s">
        <v>2087</v>
      </c>
      <c r="P369" s="187">
        <v>44980.884456018503</v>
      </c>
      <c r="Q369" s="186">
        <v>7171</v>
      </c>
      <c r="R369" s="185" t="s">
        <v>6</v>
      </c>
      <c r="S369" s="185" t="s">
        <v>1600</v>
      </c>
      <c r="T369"/>
      <c r="U369" t="str">
        <f>IF($L369&gt;0,VLOOKUP($E369,Valida!$A$1:$G$270,6,FALSE),IF($M369&gt;=0,VLOOKUP($E369,Valida!$A$1:$G$270,7,FALSE)))</f>
        <v>(+/-) Ganancia (pérdida)</v>
      </c>
      <c r="V369" s="190" t="str">
        <f>VLOOKUP(E369,Valida!$A$2:$K$271,4,FALSE)</f>
        <v>P&amp;L</v>
      </c>
      <c r="W369" s="185" t="s">
        <v>1853</v>
      </c>
      <c r="X369" s="185" t="s">
        <v>1854</v>
      </c>
      <c r="Y369" s="185" t="s">
        <v>1789</v>
      </c>
      <c r="Z369"/>
    </row>
    <row r="370" spans="1:26">
      <c r="A370" s="185" t="s">
        <v>2079</v>
      </c>
      <c r="B370" s="185" t="s">
        <v>2084</v>
      </c>
      <c r="C370" s="185" t="s">
        <v>1792</v>
      </c>
      <c r="D370" s="185" t="s">
        <v>2085</v>
      </c>
      <c r="E370" s="185">
        <v>24081002</v>
      </c>
      <c r="F370" s="185" t="s">
        <v>1687</v>
      </c>
      <c r="G370" s="185" t="s">
        <v>2086</v>
      </c>
      <c r="H370" s="185" t="s">
        <v>1515</v>
      </c>
      <c r="I370" s="258" t="str">
        <f t="shared" si="16"/>
        <v>2</v>
      </c>
      <c r="J370" s="221">
        <f t="shared" si="17"/>
        <v>4354486</v>
      </c>
      <c r="K370" s="258">
        <f t="shared" si="18"/>
        <v>2</v>
      </c>
      <c r="L370" s="188">
        <v>4354486</v>
      </c>
      <c r="M370" s="188">
        <v>0</v>
      </c>
      <c r="N370" s="189">
        <v>900471482</v>
      </c>
      <c r="O370" t="s">
        <v>2087</v>
      </c>
      <c r="P370" s="187">
        <v>44980.884456018503</v>
      </c>
      <c r="Q370" s="186">
        <v>7172</v>
      </c>
      <c r="R370" s="185" t="s">
        <v>6</v>
      </c>
      <c r="S370" s="185" t="s">
        <v>1600</v>
      </c>
      <c r="T370"/>
      <c r="U370" t="str">
        <f>IF($L370&gt;0,VLOOKUP($E370,Valida!$A$1:$G$270,6,FALSE),IF($M370&gt;=0,VLOOKUP($E370,Valida!$A$1:$G$270,7,FALSE)))</f>
        <v>(+/-) Ajustes por el incremento (disminución) de cuentas por pagar de origen comercial</v>
      </c>
      <c r="V370" s="190" t="str">
        <f>VLOOKUP(E370,Valida!$A$2:$K$271,4,FALSE)</f>
        <v>Trade and other payables</v>
      </c>
      <c r="W370" s="185" t="s">
        <v>1853</v>
      </c>
      <c r="X370" s="185" t="s">
        <v>1854</v>
      </c>
      <c r="Y370" s="185" t="s">
        <v>1789</v>
      </c>
      <c r="Z370"/>
    </row>
    <row r="371" spans="1:26">
      <c r="A371" s="185" t="s">
        <v>2079</v>
      </c>
      <c r="B371" s="185" t="s">
        <v>2084</v>
      </c>
      <c r="C371" s="185" t="s">
        <v>1792</v>
      </c>
      <c r="D371" s="185" t="s">
        <v>2085</v>
      </c>
      <c r="E371" s="185">
        <v>23653001</v>
      </c>
      <c r="F371" s="185" t="s">
        <v>611</v>
      </c>
      <c r="G371" s="185" t="s">
        <v>2086</v>
      </c>
      <c r="H371" s="185" t="s">
        <v>1628</v>
      </c>
      <c r="I371" s="258" t="str">
        <f t="shared" si="16"/>
        <v>2</v>
      </c>
      <c r="J371" s="221">
        <f t="shared" si="17"/>
        <v>-802142</v>
      </c>
      <c r="K371" s="258">
        <f t="shared" si="18"/>
        <v>2</v>
      </c>
      <c r="L371" s="188">
        <v>0</v>
      </c>
      <c r="M371" s="188">
        <v>802142</v>
      </c>
      <c r="N371" s="189">
        <v>900471482</v>
      </c>
      <c r="O371" t="s">
        <v>2087</v>
      </c>
      <c r="P371" s="187">
        <v>44980.884456018503</v>
      </c>
      <c r="Q371" s="186">
        <v>7173</v>
      </c>
      <c r="R371" s="185" t="s">
        <v>6</v>
      </c>
      <c r="S371" s="185" t="s">
        <v>1600</v>
      </c>
      <c r="T371"/>
      <c r="U371" t="str">
        <f>IF($L371&gt;0,VLOOKUP($E371,Valida!$A$1:$G$270,6,FALSE),IF($M371&gt;=0,VLOOKUP($E371,Valida!$A$1:$G$270,7,FALSE)))</f>
        <v>(+/-) Ajustes por el incremento (disminución) de cuentas por pagar de origen comercial</v>
      </c>
      <c r="V371" s="190" t="str">
        <f>VLOOKUP(E371,Valida!$A$2:$K$271,4,FALSE)</f>
        <v>Trade and other payables</v>
      </c>
      <c r="W371" s="185" t="s">
        <v>1853</v>
      </c>
      <c r="X371" s="185" t="s">
        <v>1854</v>
      </c>
      <c r="Y371" s="185" t="s">
        <v>1789</v>
      </c>
      <c r="Z371"/>
    </row>
    <row r="372" spans="1:26">
      <c r="A372" s="185" t="s">
        <v>2079</v>
      </c>
      <c r="B372" s="185" t="s">
        <v>2084</v>
      </c>
      <c r="C372" s="185" t="s">
        <v>1792</v>
      </c>
      <c r="D372" s="185" t="s">
        <v>2085</v>
      </c>
      <c r="E372" s="185">
        <v>23680503</v>
      </c>
      <c r="F372" s="185" t="s">
        <v>665</v>
      </c>
      <c r="G372" s="185" t="s">
        <v>2086</v>
      </c>
      <c r="H372" s="185" t="s">
        <v>1628</v>
      </c>
      <c r="I372" s="258" t="str">
        <f t="shared" si="16"/>
        <v>2</v>
      </c>
      <c r="J372" s="221">
        <f t="shared" si="17"/>
        <v>-221391</v>
      </c>
      <c r="K372" s="258">
        <f t="shared" si="18"/>
        <v>2</v>
      </c>
      <c r="L372" s="188">
        <v>0</v>
      </c>
      <c r="M372" s="188">
        <v>221391</v>
      </c>
      <c r="N372" s="189">
        <v>900471482</v>
      </c>
      <c r="O372" t="s">
        <v>2087</v>
      </c>
      <c r="P372" s="187">
        <v>44980.884456018503</v>
      </c>
      <c r="Q372" s="186">
        <v>7174</v>
      </c>
      <c r="R372" s="185" t="s">
        <v>6</v>
      </c>
      <c r="S372" s="185" t="s">
        <v>1600</v>
      </c>
      <c r="T372"/>
      <c r="U372" t="str">
        <f>IF($L372&gt;0,VLOOKUP($E372,Valida!$A$1:$G$270,6,FALSE),IF($M372&gt;=0,VLOOKUP($E372,Valida!$A$1:$G$270,7,FALSE)))</f>
        <v>(+/-) Ajustes por el incremento (disminución) de cuentas por pagar de origen comercial</v>
      </c>
      <c r="V372" s="190" t="str">
        <f>VLOOKUP(E372,Valida!$A$2:$K$271,4,FALSE)</f>
        <v>Trade and other payables</v>
      </c>
      <c r="W372" s="185" t="s">
        <v>1853</v>
      </c>
      <c r="X372" s="185" t="s">
        <v>1854</v>
      </c>
      <c r="Y372" s="185" t="s">
        <v>1789</v>
      </c>
      <c r="Z372"/>
    </row>
    <row r="373" spans="1:26">
      <c r="A373" s="185" t="s">
        <v>2079</v>
      </c>
      <c r="B373" s="185" t="s">
        <v>2084</v>
      </c>
      <c r="C373" s="185" t="s">
        <v>1792</v>
      </c>
      <c r="D373" s="185" t="s">
        <v>2085</v>
      </c>
      <c r="E373" s="185">
        <v>23354001</v>
      </c>
      <c r="F373" s="185" t="s">
        <v>484</v>
      </c>
      <c r="G373" s="185" t="s">
        <v>2086</v>
      </c>
      <c r="H373" s="185" t="s">
        <v>1628</v>
      </c>
      <c r="I373" s="258" t="str">
        <f t="shared" si="16"/>
        <v>2</v>
      </c>
      <c r="J373" s="221">
        <f t="shared" si="17"/>
        <v>-26249303</v>
      </c>
      <c r="K373" s="258">
        <f t="shared" si="18"/>
        <v>2</v>
      </c>
      <c r="L373" s="188">
        <v>0</v>
      </c>
      <c r="M373" s="188">
        <v>26249303</v>
      </c>
      <c r="N373" s="189">
        <v>900471482</v>
      </c>
      <c r="O373" t="s">
        <v>2087</v>
      </c>
      <c r="P373" s="187">
        <v>44980.884456018503</v>
      </c>
      <c r="Q373" s="186">
        <v>7175</v>
      </c>
      <c r="R373" s="185" t="s">
        <v>6</v>
      </c>
      <c r="S373" s="185" t="s">
        <v>1600</v>
      </c>
      <c r="T373"/>
      <c r="U373" t="str">
        <f>IF($L373&gt;0,VLOOKUP($E373,Valida!$A$1:$G$270,6,FALSE),IF($M373&gt;=0,VLOOKUP($E373,Valida!$A$1:$G$270,7,FALSE)))</f>
        <v>(+/-) Ajustes por el incremento (disminución) de cuentas por pagar de origen comercial</v>
      </c>
      <c r="V373" s="190" t="str">
        <f>VLOOKUP(E373,Valida!$A$2:$K$271,4,FALSE)</f>
        <v>Trade and other payables</v>
      </c>
      <c r="W373" s="185" t="s">
        <v>1853</v>
      </c>
      <c r="X373" s="185" t="s">
        <v>1854</v>
      </c>
      <c r="Y373" s="185" t="s">
        <v>1789</v>
      </c>
      <c r="Z373"/>
    </row>
    <row r="374" spans="1:26">
      <c r="A374" s="185" t="s">
        <v>2088</v>
      </c>
      <c r="B374" s="185" t="s">
        <v>2089</v>
      </c>
      <c r="C374" s="185" t="s">
        <v>1792</v>
      </c>
      <c r="D374" s="185" t="s">
        <v>2090</v>
      </c>
      <c r="E374" s="185">
        <v>51952502</v>
      </c>
      <c r="F374" s="185" t="s">
        <v>1414</v>
      </c>
      <c r="G374" s="185" t="s">
        <v>2091</v>
      </c>
      <c r="H374" s="185" t="s">
        <v>1515</v>
      </c>
      <c r="I374" s="258" t="str">
        <f t="shared" si="16"/>
        <v>5</v>
      </c>
      <c r="J374" s="221">
        <f t="shared" si="17"/>
        <v>170520</v>
      </c>
      <c r="K374" s="258">
        <f t="shared" si="18"/>
        <v>2</v>
      </c>
      <c r="L374" s="188">
        <v>170520</v>
      </c>
      <c r="M374" s="188">
        <v>0</v>
      </c>
      <c r="N374" s="189">
        <v>830062853</v>
      </c>
      <c r="O374" t="s">
        <v>2092</v>
      </c>
      <c r="P374" s="187">
        <v>44980.897974537002</v>
      </c>
      <c r="Q374" s="186">
        <v>7176</v>
      </c>
      <c r="R374" s="185" t="s">
        <v>433</v>
      </c>
      <c r="S374" s="185" t="s">
        <v>1564</v>
      </c>
      <c r="T374"/>
      <c r="U374" t="str">
        <f>IF($L374&gt;0,VLOOKUP($E374,Valida!$A$1:$G$270,6,FALSE),IF($M374&gt;=0,VLOOKUP($E374,Valida!$A$1:$G$270,7,FALSE)))</f>
        <v>(+/-) Ganancia (pérdida)</v>
      </c>
      <c r="V374" s="190" t="str">
        <f>VLOOKUP(E374,Valida!$A$2:$K$271,4,FALSE)</f>
        <v>P&amp;L</v>
      </c>
      <c r="W374" s="185" t="s">
        <v>2024</v>
      </c>
      <c r="X374" s="185" t="s">
        <v>2025</v>
      </c>
      <c r="Y374" s="185" t="s">
        <v>1789</v>
      </c>
      <c r="Z374"/>
    </row>
    <row r="375" spans="1:26">
      <c r="A375" s="185" t="s">
        <v>2088</v>
      </c>
      <c r="B375" s="185" t="s">
        <v>2089</v>
      </c>
      <c r="C375" s="185" t="s">
        <v>1792</v>
      </c>
      <c r="D375" s="185" t="s">
        <v>2090</v>
      </c>
      <c r="E375" s="185">
        <v>24081005</v>
      </c>
      <c r="F375" s="185" t="s">
        <v>1688</v>
      </c>
      <c r="G375" s="185" t="s">
        <v>2091</v>
      </c>
      <c r="H375" s="185" t="s">
        <v>1515</v>
      </c>
      <c r="I375" s="258" t="str">
        <f t="shared" si="16"/>
        <v>2</v>
      </c>
      <c r="J375" s="221">
        <f t="shared" si="17"/>
        <v>8526</v>
      </c>
      <c r="K375" s="258">
        <f t="shared" si="18"/>
        <v>2</v>
      </c>
      <c r="L375" s="188">
        <v>8526</v>
      </c>
      <c r="M375" s="188">
        <v>0</v>
      </c>
      <c r="N375" s="189">
        <v>830062853</v>
      </c>
      <c r="O375" t="s">
        <v>2092</v>
      </c>
      <c r="P375" s="187">
        <v>44980.8979861111</v>
      </c>
      <c r="Q375" s="186">
        <v>7177</v>
      </c>
      <c r="R375" s="185" t="s">
        <v>433</v>
      </c>
      <c r="S375" s="185" t="s">
        <v>1564</v>
      </c>
      <c r="T375"/>
      <c r="U375" t="str">
        <f>IF($L375&gt;0,VLOOKUP($E375,Valida!$A$1:$G$270,6,FALSE),IF($M375&gt;=0,VLOOKUP($E375,Valida!$A$1:$G$270,7,FALSE)))</f>
        <v>(+/-) Ajustes por el incremento (disminución) de cuentas por pagar de origen comercial</v>
      </c>
      <c r="V375" s="190" t="str">
        <f>VLOOKUP(E375,Valida!$A$2:$K$271,4,FALSE)</f>
        <v>Trade and other payables</v>
      </c>
      <c r="W375" s="185" t="s">
        <v>2024</v>
      </c>
      <c r="X375" s="185" t="s">
        <v>2025</v>
      </c>
      <c r="Y375" s="185" t="s">
        <v>1789</v>
      </c>
      <c r="Z375"/>
    </row>
    <row r="376" spans="1:26">
      <c r="A376" s="185" t="s">
        <v>2088</v>
      </c>
      <c r="B376" s="185" t="s">
        <v>2089</v>
      </c>
      <c r="C376" s="185" t="s">
        <v>1792</v>
      </c>
      <c r="D376" s="185" t="s">
        <v>2090</v>
      </c>
      <c r="E376" s="185">
        <v>51952502</v>
      </c>
      <c r="F376" s="185" t="s">
        <v>1414</v>
      </c>
      <c r="G376" s="185" t="s">
        <v>2093</v>
      </c>
      <c r="H376" s="185" t="s">
        <v>1515</v>
      </c>
      <c r="I376" s="258" t="str">
        <f t="shared" si="16"/>
        <v>5</v>
      </c>
      <c r="J376" s="221">
        <f t="shared" si="17"/>
        <v>15400</v>
      </c>
      <c r="K376" s="258">
        <f t="shared" si="18"/>
        <v>2</v>
      </c>
      <c r="L376" s="188">
        <v>15400</v>
      </c>
      <c r="M376" s="188">
        <v>0</v>
      </c>
      <c r="N376" s="189">
        <v>830062853</v>
      </c>
      <c r="O376" t="s">
        <v>2092</v>
      </c>
      <c r="P376" s="187">
        <v>44980.8979861111</v>
      </c>
      <c r="Q376" s="186">
        <v>7178</v>
      </c>
      <c r="R376" s="185" t="s">
        <v>433</v>
      </c>
      <c r="S376" s="185" t="s">
        <v>1564</v>
      </c>
      <c r="T376"/>
      <c r="U376" t="str">
        <f>IF($L376&gt;0,VLOOKUP($E376,Valida!$A$1:$G$270,6,FALSE),IF($M376&gt;=0,VLOOKUP($E376,Valida!$A$1:$G$270,7,FALSE)))</f>
        <v>(+/-) Ganancia (pérdida)</v>
      </c>
      <c r="V376" s="190" t="str">
        <f>VLOOKUP(E376,Valida!$A$2:$K$271,4,FALSE)</f>
        <v>P&amp;L</v>
      </c>
      <c r="W376" s="185" t="s">
        <v>2024</v>
      </c>
      <c r="X376" s="185" t="s">
        <v>2025</v>
      </c>
      <c r="Y376" s="185" t="s">
        <v>1789</v>
      </c>
      <c r="Z376"/>
    </row>
    <row r="377" spans="1:26">
      <c r="A377" s="185" t="s">
        <v>2088</v>
      </c>
      <c r="B377" s="185" t="s">
        <v>2089</v>
      </c>
      <c r="C377" s="185" t="s">
        <v>1792</v>
      </c>
      <c r="D377" s="185" t="s">
        <v>2090</v>
      </c>
      <c r="E377" s="185">
        <v>23359502</v>
      </c>
      <c r="F377" s="185" t="s">
        <v>547</v>
      </c>
      <c r="G377" s="185" t="s">
        <v>2093</v>
      </c>
      <c r="H377" s="185" t="s">
        <v>1628</v>
      </c>
      <c r="I377" s="258" t="str">
        <f t="shared" si="16"/>
        <v>2</v>
      </c>
      <c r="J377" s="221">
        <f t="shared" si="17"/>
        <v>-194446</v>
      </c>
      <c r="K377" s="258">
        <f t="shared" si="18"/>
        <v>2</v>
      </c>
      <c r="L377" s="188">
        <v>0</v>
      </c>
      <c r="M377" s="188">
        <v>194446</v>
      </c>
      <c r="N377" s="189">
        <v>830062853</v>
      </c>
      <c r="O377" t="s">
        <v>2092</v>
      </c>
      <c r="P377" s="187">
        <v>44980.8979861111</v>
      </c>
      <c r="Q377" s="186">
        <v>7179</v>
      </c>
      <c r="R377" s="185" t="s">
        <v>433</v>
      </c>
      <c r="S377" s="185" t="s">
        <v>1564</v>
      </c>
      <c r="T377"/>
      <c r="U377" t="str">
        <f>IF($L377&gt;0,VLOOKUP($E377,Valida!$A$1:$G$270,6,FALSE),IF($M377&gt;=0,VLOOKUP($E377,Valida!$A$1:$G$270,7,FALSE)))</f>
        <v>(+/-) Ajustes por el incremento (disminución) de cuentas por pagar de origen comercial</v>
      </c>
      <c r="V377" s="190" t="str">
        <f>VLOOKUP(E377,Valida!$A$2:$K$271,4,FALSE)</f>
        <v>Trade and other payables</v>
      </c>
      <c r="W377" s="185" t="s">
        <v>2024</v>
      </c>
      <c r="X377" s="185" t="s">
        <v>2025</v>
      </c>
      <c r="Y377" s="185" t="s">
        <v>1789</v>
      </c>
      <c r="Z377"/>
    </row>
    <row r="378" spans="1:26">
      <c r="A378" s="185" t="s">
        <v>2094</v>
      </c>
      <c r="B378" s="185" t="s">
        <v>2095</v>
      </c>
      <c r="C378" s="185" t="s">
        <v>1792</v>
      </c>
      <c r="D378" s="185" t="s">
        <v>2096</v>
      </c>
      <c r="E378" s="185">
        <v>51350504</v>
      </c>
      <c r="F378" s="185" t="s">
        <v>1638</v>
      </c>
      <c r="G378" s="185" t="s">
        <v>2097</v>
      </c>
      <c r="H378" s="185" t="s">
        <v>1515</v>
      </c>
      <c r="I378" s="258" t="str">
        <f t="shared" si="16"/>
        <v>5</v>
      </c>
      <c r="J378" s="221">
        <f t="shared" si="17"/>
        <v>221061.69</v>
      </c>
      <c r="K378" s="258">
        <f t="shared" si="18"/>
        <v>2</v>
      </c>
      <c r="L378" s="188">
        <v>221061.69</v>
      </c>
      <c r="M378" s="188">
        <v>0</v>
      </c>
      <c r="N378" s="189">
        <v>444444001</v>
      </c>
      <c r="O378" t="s">
        <v>2013</v>
      </c>
      <c r="P378" s="187">
        <v>44980.900844907403</v>
      </c>
      <c r="Q378" s="186">
        <v>7180</v>
      </c>
      <c r="R378" s="185"/>
      <c r="S378" s="185" t="s">
        <v>1548</v>
      </c>
      <c r="T378"/>
      <c r="U378" t="str">
        <f>IF($L378&gt;0,VLOOKUP($E378,Valida!$A$1:$G$270,6,FALSE),IF($M378&gt;=0,VLOOKUP($E378,Valida!$A$1:$G$270,7,FALSE)))</f>
        <v>(+/-) Ganancia (pérdida)</v>
      </c>
      <c r="V378" s="190" t="str">
        <f>VLOOKUP(E378,Valida!$A$2:$K$271,4,FALSE)</f>
        <v>P&amp;L</v>
      </c>
      <c r="W378" s="185"/>
      <c r="X378" s="185"/>
      <c r="Y378" s="185"/>
      <c r="Z378"/>
    </row>
    <row r="379" spans="1:26">
      <c r="A379" s="185" t="s">
        <v>2094</v>
      </c>
      <c r="B379" s="185" t="s">
        <v>2095</v>
      </c>
      <c r="C379" s="185" t="s">
        <v>1792</v>
      </c>
      <c r="D379" s="185" t="s">
        <v>2096</v>
      </c>
      <c r="E379" s="185">
        <v>23355007</v>
      </c>
      <c r="F379" s="185" t="s">
        <v>1638</v>
      </c>
      <c r="G379" s="185" t="s">
        <v>2097</v>
      </c>
      <c r="H379" s="185" t="s">
        <v>1628</v>
      </c>
      <c r="I379" s="258" t="str">
        <f t="shared" si="16"/>
        <v>2</v>
      </c>
      <c r="J379" s="221">
        <f t="shared" si="17"/>
        <v>-221061.69</v>
      </c>
      <c r="K379" s="258">
        <f t="shared" si="18"/>
        <v>2</v>
      </c>
      <c r="L379" s="188">
        <v>0</v>
      </c>
      <c r="M379" s="188">
        <v>221061.69</v>
      </c>
      <c r="N379" s="189">
        <v>444444001</v>
      </c>
      <c r="O379" t="s">
        <v>2013</v>
      </c>
      <c r="P379" s="187">
        <v>44980.900844907403</v>
      </c>
      <c r="Q379" s="186">
        <v>7181</v>
      </c>
      <c r="R379" s="185"/>
      <c r="S379" s="185" t="s">
        <v>1548</v>
      </c>
      <c r="T379"/>
      <c r="U379" t="str">
        <f>IF($L379&gt;0,VLOOKUP($E379,Valida!$A$1:$G$270,6,FALSE),IF($M379&gt;=0,VLOOKUP($E379,Valida!$A$1:$G$270,7,FALSE)))</f>
        <v>(+/-) Ajustes por el incremento (disminución) de cuentas por pagar de origen comercial</v>
      </c>
      <c r="V379" s="190" t="str">
        <f>VLOOKUP(E379,Valida!$A$2:$K$271,4,FALSE)</f>
        <v>Trade and other payables</v>
      </c>
      <c r="W379" s="185"/>
      <c r="X379" s="185"/>
      <c r="Y379" s="185"/>
      <c r="Z379"/>
    </row>
    <row r="380" spans="1:26">
      <c r="A380" s="185" t="s">
        <v>2098</v>
      </c>
      <c r="B380" s="185" t="s">
        <v>2099</v>
      </c>
      <c r="C380" s="185" t="s">
        <v>1792</v>
      </c>
      <c r="D380" s="185" t="s">
        <v>2100</v>
      </c>
      <c r="E380" s="185">
        <v>51353001</v>
      </c>
      <c r="F380" s="185" t="s">
        <v>516</v>
      </c>
      <c r="G380" s="185" t="s">
        <v>1833</v>
      </c>
      <c r="H380" s="185" t="s">
        <v>1515</v>
      </c>
      <c r="I380" s="258" t="str">
        <f t="shared" si="16"/>
        <v>5</v>
      </c>
      <c r="J380" s="221">
        <f t="shared" si="17"/>
        <v>3773680</v>
      </c>
      <c r="K380" s="258">
        <f t="shared" si="18"/>
        <v>2</v>
      </c>
      <c r="L380" s="188">
        <v>3773680</v>
      </c>
      <c r="M380" s="188">
        <v>0</v>
      </c>
      <c r="N380" s="189">
        <v>860063875</v>
      </c>
      <c r="O380" t="s">
        <v>2099</v>
      </c>
      <c r="P380" s="187">
        <v>44980.901921296303</v>
      </c>
      <c r="Q380" s="186">
        <v>7182</v>
      </c>
      <c r="R380" s="185" t="s">
        <v>1827</v>
      </c>
      <c r="S380" s="185" t="s">
        <v>1572</v>
      </c>
      <c r="T380"/>
      <c r="U380" t="str">
        <f>IF($L380&gt;0,VLOOKUP($E380,Valida!$A$1:$G$270,6,FALSE),IF($M380&gt;=0,VLOOKUP($E380,Valida!$A$1:$G$270,7,FALSE)))</f>
        <v>(+/-) Ganancia (pérdida)</v>
      </c>
      <c r="V380" s="190" t="str">
        <f>VLOOKUP(E380,Valida!$A$2:$K$271,4,FALSE)</f>
        <v>P&amp;L</v>
      </c>
      <c r="W380" s="185" t="s">
        <v>1835</v>
      </c>
      <c r="X380" s="185"/>
      <c r="Y380" s="185" t="s">
        <v>1789</v>
      </c>
      <c r="Z380"/>
    </row>
    <row r="381" spans="1:26">
      <c r="A381" s="185" t="s">
        <v>2098</v>
      </c>
      <c r="B381" s="185" t="s">
        <v>2099</v>
      </c>
      <c r="C381" s="185" t="s">
        <v>1792</v>
      </c>
      <c r="D381" s="185" t="s">
        <v>2100</v>
      </c>
      <c r="E381" s="185">
        <v>51350502</v>
      </c>
      <c r="F381" s="185" t="s">
        <v>1738</v>
      </c>
      <c r="G381" s="185" t="s">
        <v>1833</v>
      </c>
      <c r="H381" s="185" t="s">
        <v>1515</v>
      </c>
      <c r="I381" s="258" t="str">
        <f t="shared" si="16"/>
        <v>5</v>
      </c>
      <c r="J381" s="221">
        <f t="shared" si="17"/>
        <v>52890</v>
      </c>
      <c r="K381" s="258">
        <f t="shared" si="18"/>
        <v>2</v>
      </c>
      <c r="L381" s="188">
        <v>52890</v>
      </c>
      <c r="M381" s="188">
        <v>0</v>
      </c>
      <c r="N381" s="189">
        <v>901145808</v>
      </c>
      <c r="O381" t="s">
        <v>2099</v>
      </c>
      <c r="P381" s="187">
        <v>44980.901921296303</v>
      </c>
      <c r="Q381" s="186">
        <v>7183</v>
      </c>
      <c r="R381" s="185" t="s">
        <v>1067</v>
      </c>
      <c r="S381" s="185" t="s">
        <v>1740</v>
      </c>
      <c r="T381"/>
      <c r="U381" t="str">
        <f>IF($L381&gt;0,VLOOKUP($E381,Valida!$A$1:$G$270,6,FALSE),IF($M381&gt;=0,VLOOKUP($E381,Valida!$A$1:$G$270,7,FALSE)))</f>
        <v>(+/-) Ganancia (pérdida)</v>
      </c>
      <c r="V381" s="190" t="str">
        <f>VLOOKUP(E381,Valida!$A$2:$K$271,4,FALSE)</f>
        <v>P&amp;L</v>
      </c>
      <c r="W381" s="185" t="s">
        <v>1836</v>
      </c>
      <c r="X381" s="185" t="s">
        <v>1837</v>
      </c>
      <c r="Y381" s="185" t="s">
        <v>1789</v>
      </c>
      <c r="Z381"/>
    </row>
    <row r="382" spans="1:26">
      <c r="A382" s="185" t="s">
        <v>2098</v>
      </c>
      <c r="B382" s="185" t="s">
        <v>2099</v>
      </c>
      <c r="C382" s="185" t="s">
        <v>1792</v>
      </c>
      <c r="D382" s="185" t="s">
        <v>2100</v>
      </c>
      <c r="E382" s="185">
        <v>23355005</v>
      </c>
      <c r="F382" s="185" t="s">
        <v>516</v>
      </c>
      <c r="G382" s="185" t="s">
        <v>1833</v>
      </c>
      <c r="H382" s="185" t="s">
        <v>1628</v>
      </c>
      <c r="I382" s="258" t="str">
        <f t="shared" si="16"/>
        <v>2</v>
      </c>
      <c r="J382" s="221">
        <f t="shared" si="17"/>
        <v>-3826570</v>
      </c>
      <c r="K382" s="258">
        <f t="shared" si="18"/>
        <v>2</v>
      </c>
      <c r="L382" s="188">
        <v>0</v>
      </c>
      <c r="M382" s="188">
        <v>3826570</v>
      </c>
      <c r="N382" s="189">
        <v>860063875</v>
      </c>
      <c r="O382" t="s">
        <v>2099</v>
      </c>
      <c r="P382" s="187">
        <v>44980.901921296303</v>
      </c>
      <c r="Q382" s="186">
        <v>7184</v>
      </c>
      <c r="R382" s="185" t="s">
        <v>1827</v>
      </c>
      <c r="S382" s="185" t="s">
        <v>1572</v>
      </c>
      <c r="T382"/>
      <c r="U382" t="str">
        <f>IF($L382&gt;0,VLOOKUP($E382,Valida!$A$1:$G$270,6,FALSE),IF($M382&gt;=0,VLOOKUP($E382,Valida!$A$1:$G$270,7,FALSE)))</f>
        <v>(+/-) Ajustes por el incremento (disminución) de cuentas por pagar de origen comercial</v>
      </c>
      <c r="V382" s="190" t="str">
        <f>VLOOKUP(E382,Valida!$A$2:$K$271,4,FALSE)</f>
        <v>Trade and other payables</v>
      </c>
      <c r="W382" s="185" t="s">
        <v>1835</v>
      </c>
      <c r="X382" s="185"/>
      <c r="Y382" s="185" t="s">
        <v>1789</v>
      </c>
      <c r="Z382"/>
    </row>
    <row r="383" spans="1:26">
      <c r="A383" s="185" t="s">
        <v>1895</v>
      </c>
      <c r="B383" s="185" t="s">
        <v>2070</v>
      </c>
      <c r="C383" s="185" t="s">
        <v>1897</v>
      </c>
      <c r="D383" s="185" t="s">
        <v>2071</v>
      </c>
      <c r="E383" s="185">
        <v>252505</v>
      </c>
      <c r="F383" s="185" t="s">
        <v>787</v>
      </c>
      <c r="G383" s="185" t="s">
        <v>1966</v>
      </c>
      <c r="H383" s="185" t="s">
        <v>1628</v>
      </c>
      <c r="I383" s="258" t="str">
        <f t="shared" si="16"/>
        <v>2</v>
      </c>
      <c r="J383" s="221">
        <f t="shared" si="17"/>
        <v>-68145</v>
      </c>
      <c r="K383" s="258">
        <f t="shared" si="18"/>
        <v>2</v>
      </c>
      <c r="L383" s="188">
        <v>0</v>
      </c>
      <c r="M383" s="188">
        <v>68145</v>
      </c>
      <c r="N383" s="189">
        <v>1010101811</v>
      </c>
      <c r="O383" t="s">
        <v>2070</v>
      </c>
      <c r="P383" s="187">
        <v>44985.313101851898</v>
      </c>
      <c r="Q383" s="186">
        <v>7952</v>
      </c>
      <c r="R383" s="185"/>
      <c r="S383" s="185" t="s">
        <v>1528</v>
      </c>
      <c r="T383"/>
      <c r="U383" t="str">
        <f>IF($L383&gt;0,VLOOKUP($E383,Valida!$A$1:$G$270,6,FALSE),IF($M383&gt;=0,VLOOKUP($E383,Valida!$A$1:$G$270,7,FALSE)))</f>
        <v>(+/-) Ajustes por el incremento (disminución) de cuentas por pagar de origen comercial</v>
      </c>
      <c r="V383" s="190" t="str">
        <f>VLOOKUP(E383,Valida!$A$2:$K$271,4,FALSE)</f>
        <v>Trade and other payables</v>
      </c>
      <c r="W383" s="185" t="s">
        <v>1967</v>
      </c>
      <c r="X383" s="185"/>
      <c r="Y383" s="185" t="s">
        <v>1789</v>
      </c>
      <c r="Z383"/>
    </row>
    <row r="384" spans="1:26">
      <c r="A384" s="185" t="s">
        <v>1895</v>
      </c>
      <c r="B384" s="185" t="s">
        <v>2070</v>
      </c>
      <c r="C384" s="185" t="s">
        <v>1897</v>
      </c>
      <c r="D384" s="185" t="s">
        <v>2071</v>
      </c>
      <c r="E384" s="185">
        <v>510570</v>
      </c>
      <c r="F384" s="185" t="s">
        <v>1116</v>
      </c>
      <c r="G384" s="185" t="s">
        <v>1966</v>
      </c>
      <c r="H384" s="185" t="s">
        <v>1515</v>
      </c>
      <c r="I384" s="258" t="str">
        <f t="shared" si="16"/>
        <v>5</v>
      </c>
      <c r="J384" s="221">
        <f t="shared" si="17"/>
        <v>196300</v>
      </c>
      <c r="K384" s="258">
        <f t="shared" si="18"/>
        <v>2</v>
      </c>
      <c r="L384" s="188">
        <v>196300</v>
      </c>
      <c r="M384" s="188">
        <v>0</v>
      </c>
      <c r="N384" s="189">
        <v>800144331</v>
      </c>
      <c r="O384" t="s">
        <v>2070</v>
      </c>
      <c r="P384" s="187">
        <v>44985.313101851898</v>
      </c>
      <c r="Q384" s="186">
        <v>7953</v>
      </c>
      <c r="R384" s="185" t="s">
        <v>844</v>
      </c>
      <c r="S384" s="185" t="s">
        <v>1658</v>
      </c>
      <c r="T384"/>
      <c r="U384" t="str">
        <f>IF($L384&gt;0,VLOOKUP($E384,Valida!$A$1:$G$270,6,FALSE),IF($M384&gt;=0,VLOOKUP($E384,Valida!$A$1:$G$270,7,FALSE)))</f>
        <v>(+/-) Ganancia (pérdida)</v>
      </c>
      <c r="V384" s="190" t="str">
        <f>VLOOKUP(E384,Valida!$A$2:$K$271,4,FALSE)</f>
        <v>P&amp;L</v>
      </c>
      <c r="W384" s="185" t="s">
        <v>1904</v>
      </c>
      <c r="X384" s="185" t="s">
        <v>1905</v>
      </c>
      <c r="Y384" s="185" t="s">
        <v>1789</v>
      </c>
      <c r="Z384"/>
    </row>
    <row r="385" spans="1:26">
      <c r="A385" s="185" t="s">
        <v>1895</v>
      </c>
      <c r="B385" s="185" t="s">
        <v>2070</v>
      </c>
      <c r="C385" s="185" t="s">
        <v>1897</v>
      </c>
      <c r="D385" s="185" t="s">
        <v>2071</v>
      </c>
      <c r="E385" s="185">
        <v>238030</v>
      </c>
      <c r="F385" s="185" t="s">
        <v>721</v>
      </c>
      <c r="G385" s="185" t="s">
        <v>1966</v>
      </c>
      <c r="H385" s="185" t="s">
        <v>1628</v>
      </c>
      <c r="I385" s="258" t="str">
        <f t="shared" si="16"/>
        <v>2</v>
      </c>
      <c r="J385" s="221">
        <f t="shared" si="17"/>
        <v>-196300</v>
      </c>
      <c r="K385" s="258">
        <f t="shared" si="18"/>
        <v>2</v>
      </c>
      <c r="L385" s="188">
        <v>0</v>
      </c>
      <c r="M385" s="188">
        <v>196300</v>
      </c>
      <c r="N385" s="189">
        <v>800144331</v>
      </c>
      <c r="O385" t="s">
        <v>2070</v>
      </c>
      <c r="P385" s="187">
        <v>44985.313101851898</v>
      </c>
      <c r="Q385" s="186">
        <v>7954</v>
      </c>
      <c r="R385" s="185" t="s">
        <v>844</v>
      </c>
      <c r="S385" s="185" t="s">
        <v>1658</v>
      </c>
      <c r="T385"/>
      <c r="U385" t="str">
        <f>IF($L385&gt;0,VLOOKUP($E385,Valida!$A$1:$G$270,6,FALSE),IF($M385&gt;=0,VLOOKUP($E385,Valida!$A$1:$G$270,7,FALSE)))</f>
        <v>(+/-) Ajustes por el incremento (disminución) de cuentas por pagar de origen comercial</v>
      </c>
      <c r="V385" s="190" t="str">
        <f>VLOOKUP(E385,Valida!$A$2:$K$271,4,FALSE)</f>
        <v>Trade and other payables</v>
      </c>
      <c r="W385" s="185" t="s">
        <v>1904</v>
      </c>
      <c r="X385" s="185" t="s">
        <v>1905</v>
      </c>
      <c r="Y385" s="185" t="s">
        <v>1789</v>
      </c>
      <c r="Z385"/>
    </row>
    <row r="386" spans="1:26">
      <c r="A386" s="185" t="s">
        <v>1895</v>
      </c>
      <c r="B386" s="185" t="s">
        <v>2070</v>
      </c>
      <c r="C386" s="185" t="s">
        <v>1897</v>
      </c>
      <c r="D386" s="185" t="s">
        <v>2071</v>
      </c>
      <c r="E386" s="185">
        <v>510568</v>
      </c>
      <c r="F386" s="185" t="s">
        <v>680</v>
      </c>
      <c r="G386" s="185" t="s">
        <v>1966</v>
      </c>
      <c r="H386" s="185" t="s">
        <v>1515</v>
      </c>
      <c r="I386" s="258" t="str">
        <f t="shared" si="16"/>
        <v>5</v>
      </c>
      <c r="J386" s="221">
        <f t="shared" si="17"/>
        <v>8500</v>
      </c>
      <c r="K386" s="258">
        <f t="shared" si="18"/>
        <v>2</v>
      </c>
      <c r="L386" s="188">
        <v>8500</v>
      </c>
      <c r="M386" s="188">
        <v>0</v>
      </c>
      <c r="N386" s="189">
        <v>860002503</v>
      </c>
      <c r="O386" t="s">
        <v>2070</v>
      </c>
      <c r="P386" s="187">
        <v>44985.313101851898</v>
      </c>
      <c r="Q386" s="186">
        <v>7955</v>
      </c>
      <c r="R386" s="185" t="s">
        <v>433</v>
      </c>
      <c r="S386" s="185" t="s">
        <v>1656</v>
      </c>
      <c r="T386"/>
      <c r="U386" t="str">
        <f>IF($L386&gt;0,VLOOKUP($E386,Valida!$A$1:$G$270,6,FALSE),IF($M386&gt;=0,VLOOKUP($E386,Valida!$A$1:$G$270,7,FALSE)))</f>
        <v>(+/-) Ganancia (pérdida)</v>
      </c>
      <c r="V386" s="190" t="str">
        <f>VLOOKUP(E386,Valida!$A$2:$K$271,4,FALSE)</f>
        <v>P&amp;L</v>
      </c>
      <c r="W386" s="185" t="s">
        <v>1912</v>
      </c>
      <c r="X386" s="185" t="s">
        <v>1913</v>
      </c>
      <c r="Y386" s="185" t="s">
        <v>1789</v>
      </c>
      <c r="Z386"/>
    </row>
    <row r="387" spans="1:26">
      <c r="A387" s="185" t="s">
        <v>1895</v>
      </c>
      <c r="B387" s="185" t="s">
        <v>2070</v>
      </c>
      <c r="C387" s="185" t="s">
        <v>1897</v>
      </c>
      <c r="D387" s="185" t="s">
        <v>2071</v>
      </c>
      <c r="E387" s="185">
        <v>237006</v>
      </c>
      <c r="F387" s="185" t="s">
        <v>680</v>
      </c>
      <c r="G387" s="185" t="s">
        <v>1966</v>
      </c>
      <c r="H387" s="185" t="s">
        <v>1628</v>
      </c>
      <c r="I387" s="258" t="str">
        <f t="shared" ref="I387:I450" si="19">LEFT(E387,1)</f>
        <v>2</v>
      </c>
      <c r="J387" s="221">
        <f t="shared" ref="J387:J450" si="20">L387-M387</f>
        <v>-8500</v>
      </c>
      <c r="K387" s="258">
        <f t="shared" ref="K387:K450" si="21">MONTH(A387)</f>
        <v>2</v>
      </c>
      <c r="L387" s="188">
        <v>0</v>
      </c>
      <c r="M387" s="188">
        <v>8500</v>
      </c>
      <c r="N387" s="189">
        <v>860002503</v>
      </c>
      <c r="O387" t="s">
        <v>2070</v>
      </c>
      <c r="P387" s="187">
        <v>44985.313113425902</v>
      </c>
      <c r="Q387" s="186">
        <v>7956</v>
      </c>
      <c r="R387" s="185" t="s">
        <v>433</v>
      </c>
      <c r="S387" s="185" t="s">
        <v>1656</v>
      </c>
      <c r="T387"/>
      <c r="U387" t="str">
        <f>IF($L387&gt;0,VLOOKUP($E387,Valida!$A$1:$G$270,6,FALSE),IF($M387&gt;=0,VLOOKUP($E387,Valida!$A$1:$G$270,7,FALSE)))</f>
        <v>(+/-) Ajustes por el incremento (disminución) de cuentas por pagar de origen comercial</v>
      </c>
      <c r="V387" s="190" t="str">
        <f>VLOOKUP(E387,Valida!$A$2:$K$271,4,FALSE)</f>
        <v>Trade and other payables</v>
      </c>
      <c r="W387" s="185" t="s">
        <v>1912</v>
      </c>
      <c r="X387" s="185" t="s">
        <v>1913</v>
      </c>
      <c r="Y387" s="185" t="s">
        <v>1789</v>
      </c>
      <c r="Z387"/>
    </row>
    <row r="388" spans="1:26">
      <c r="A388" s="185" t="s">
        <v>2098</v>
      </c>
      <c r="B388" s="185" t="s">
        <v>2099</v>
      </c>
      <c r="C388" s="185" t="s">
        <v>1792</v>
      </c>
      <c r="D388" s="185" t="s">
        <v>2100</v>
      </c>
      <c r="E388" s="185">
        <v>53059510</v>
      </c>
      <c r="F388" s="185" t="s">
        <v>1065</v>
      </c>
      <c r="G388" s="185" t="s">
        <v>1833</v>
      </c>
      <c r="H388" s="185" t="s">
        <v>1628</v>
      </c>
      <c r="I388" s="258" t="str">
        <f t="shared" si="19"/>
        <v>5</v>
      </c>
      <c r="J388" s="221">
        <f t="shared" si="20"/>
        <v>0</v>
      </c>
      <c r="K388" s="258">
        <f t="shared" si="21"/>
        <v>2</v>
      </c>
      <c r="L388" s="188">
        <v>0</v>
      </c>
      <c r="M388" s="188">
        <v>0</v>
      </c>
      <c r="N388" s="189">
        <v>860063875</v>
      </c>
      <c r="O388" t="s">
        <v>2099</v>
      </c>
      <c r="P388" s="187">
        <v>44980.901921296303</v>
      </c>
      <c r="Q388" s="186">
        <v>7185</v>
      </c>
      <c r="R388" s="185" t="s">
        <v>1827</v>
      </c>
      <c r="S388" s="185" t="s">
        <v>1572</v>
      </c>
      <c r="T388"/>
      <c r="U388" t="str">
        <f>IF($L388&gt;0,VLOOKUP($E388,Valida!$A$1:$G$270,6,FALSE),IF($M388&gt;=0,VLOOKUP($E388,Valida!$A$1:$G$270,7,FALSE)))</f>
        <v>(+/-) Ganancia (pérdida)</v>
      </c>
      <c r="V388" s="190" t="str">
        <f>VLOOKUP(E388,Valida!$A$2:$K$271,4,FALSE)</f>
        <v>P&amp;L</v>
      </c>
      <c r="W388" s="185" t="s">
        <v>1835</v>
      </c>
      <c r="X388" s="185"/>
      <c r="Y388" s="185" t="s">
        <v>1789</v>
      </c>
      <c r="Z388"/>
    </row>
    <row r="389" spans="1:26">
      <c r="A389" s="185" t="s">
        <v>2101</v>
      </c>
      <c r="B389" s="185" t="s">
        <v>2102</v>
      </c>
      <c r="C389" s="185" t="s">
        <v>1792</v>
      </c>
      <c r="D389" s="185" t="s">
        <v>2103</v>
      </c>
      <c r="E389" s="185">
        <v>51952502</v>
      </c>
      <c r="F389" s="185" t="s">
        <v>1414</v>
      </c>
      <c r="G389" s="185" t="s">
        <v>1862</v>
      </c>
      <c r="H389" s="185" t="s">
        <v>1515</v>
      </c>
      <c r="I389" s="258" t="str">
        <f t="shared" si="19"/>
        <v>5</v>
      </c>
      <c r="J389" s="221">
        <f t="shared" si="20"/>
        <v>107000</v>
      </c>
      <c r="K389" s="258">
        <f t="shared" si="21"/>
        <v>2</v>
      </c>
      <c r="L389" s="188">
        <v>107000</v>
      </c>
      <c r="M389" s="188">
        <v>0</v>
      </c>
      <c r="N389" s="189">
        <v>900424409</v>
      </c>
      <c r="O389" t="s">
        <v>2104</v>
      </c>
      <c r="P389" s="187">
        <v>44980.904861111099</v>
      </c>
      <c r="Q389" s="186">
        <v>7186</v>
      </c>
      <c r="R389" s="185" t="s">
        <v>844</v>
      </c>
      <c r="S389" s="185" t="s">
        <v>1598</v>
      </c>
      <c r="T389"/>
      <c r="U389" t="str">
        <f>IF($L389&gt;0,VLOOKUP($E389,Valida!$A$1:$G$270,6,FALSE),IF($M389&gt;=0,VLOOKUP($E389,Valida!$A$1:$G$270,7,FALSE)))</f>
        <v>(+/-) Ganancia (pérdida)</v>
      </c>
      <c r="V389" s="190" t="str">
        <f>VLOOKUP(E389,Valida!$A$2:$K$271,4,FALSE)</f>
        <v>P&amp;L</v>
      </c>
      <c r="W389" s="185" t="s">
        <v>1864</v>
      </c>
      <c r="X389" s="185" t="s">
        <v>1865</v>
      </c>
      <c r="Y389" s="185" t="s">
        <v>1789</v>
      </c>
      <c r="Z389"/>
    </row>
    <row r="390" spans="1:26">
      <c r="A390" s="185" t="s">
        <v>2101</v>
      </c>
      <c r="B390" s="185" t="s">
        <v>2102</v>
      </c>
      <c r="C390" s="185" t="s">
        <v>1792</v>
      </c>
      <c r="D390" s="185" t="s">
        <v>2103</v>
      </c>
      <c r="E390" s="185">
        <v>24081002</v>
      </c>
      <c r="F390" s="185" t="s">
        <v>1687</v>
      </c>
      <c r="G390" s="185" t="s">
        <v>1866</v>
      </c>
      <c r="H390" s="185" t="s">
        <v>1515</v>
      </c>
      <c r="I390" s="258" t="str">
        <f t="shared" si="19"/>
        <v>2</v>
      </c>
      <c r="J390" s="221">
        <f t="shared" si="20"/>
        <v>20330</v>
      </c>
      <c r="K390" s="258">
        <f t="shared" si="21"/>
        <v>2</v>
      </c>
      <c r="L390" s="188">
        <v>20330</v>
      </c>
      <c r="M390" s="188">
        <v>0</v>
      </c>
      <c r="N390" s="189">
        <v>900424409</v>
      </c>
      <c r="O390" t="s">
        <v>2104</v>
      </c>
      <c r="P390" s="187">
        <v>44980.904861111099</v>
      </c>
      <c r="Q390" s="186">
        <v>7187</v>
      </c>
      <c r="R390" s="185" t="s">
        <v>844</v>
      </c>
      <c r="S390" s="185" t="s">
        <v>1598</v>
      </c>
      <c r="T390"/>
      <c r="U390" t="str">
        <f>IF($L390&gt;0,VLOOKUP($E390,Valida!$A$1:$G$270,6,FALSE),IF($M390&gt;=0,VLOOKUP($E390,Valida!$A$1:$G$270,7,FALSE)))</f>
        <v>(+/-) Ajustes por el incremento (disminución) de cuentas por pagar de origen comercial</v>
      </c>
      <c r="V390" s="190" t="str">
        <f>VLOOKUP(E390,Valida!$A$2:$K$271,4,FALSE)</f>
        <v>Trade and other payables</v>
      </c>
      <c r="W390" s="185" t="s">
        <v>1864</v>
      </c>
      <c r="X390" s="185" t="s">
        <v>1865</v>
      </c>
      <c r="Y390" s="185" t="s">
        <v>1789</v>
      </c>
      <c r="Z390"/>
    </row>
    <row r="391" spans="1:26">
      <c r="A391" s="185" t="s">
        <v>2101</v>
      </c>
      <c r="B391" s="185" t="s">
        <v>2102</v>
      </c>
      <c r="C391" s="185" t="s">
        <v>1792</v>
      </c>
      <c r="D391" s="185" t="s">
        <v>2103</v>
      </c>
      <c r="E391" s="185">
        <v>23359502</v>
      </c>
      <c r="F391" s="185" t="s">
        <v>547</v>
      </c>
      <c r="G391" s="185" t="s">
        <v>1862</v>
      </c>
      <c r="H391" s="185" t="s">
        <v>1628</v>
      </c>
      <c r="I391" s="258" t="str">
        <f t="shared" si="19"/>
        <v>2</v>
      </c>
      <c r="J391" s="221">
        <f t="shared" si="20"/>
        <v>-122016</v>
      </c>
      <c r="K391" s="258">
        <f t="shared" si="21"/>
        <v>2</v>
      </c>
      <c r="L391" s="188">
        <v>0</v>
      </c>
      <c r="M391" s="188">
        <v>122016</v>
      </c>
      <c r="N391" s="189">
        <v>900424409</v>
      </c>
      <c r="O391" t="s">
        <v>2104</v>
      </c>
      <c r="P391" s="187">
        <v>44980.904861111099</v>
      </c>
      <c r="Q391" s="186">
        <v>7188</v>
      </c>
      <c r="R391" s="185" t="s">
        <v>844</v>
      </c>
      <c r="S391" s="185" t="s">
        <v>1598</v>
      </c>
      <c r="T391"/>
      <c r="U391" t="str">
        <f>IF($L391&gt;0,VLOOKUP($E391,Valida!$A$1:$G$270,6,FALSE),IF($M391&gt;=0,VLOOKUP($E391,Valida!$A$1:$G$270,7,FALSE)))</f>
        <v>(+/-) Ajustes por el incremento (disminución) de cuentas por pagar de origen comercial</v>
      </c>
      <c r="V391" s="190" t="str">
        <f>VLOOKUP(E391,Valida!$A$2:$K$271,4,FALSE)</f>
        <v>Trade and other payables</v>
      </c>
      <c r="W391" s="185" t="s">
        <v>1864</v>
      </c>
      <c r="X391" s="185" t="s">
        <v>1865</v>
      </c>
      <c r="Y391" s="185" t="s">
        <v>1789</v>
      </c>
      <c r="Z391"/>
    </row>
    <row r="392" spans="1:26">
      <c r="A392" s="185" t="s">
        <v>2101</v>
      </c>
      <c r="B392" s="185" t="s">
        <v>2102</v>
      </c>
      <c r="C392" s="185" t="s">
        <v>1792</v>
      </c>
      <c r="D392" s="185" t="s">
        <v>2103</v>
      </c>
      <c r="E392" s="185">
        <v>23653002</v>
      </c>
      <c r="F392" s="185" t="s">
        <v>241</v>
      </c>
      <c r="G392" s="185" t="s">
        <v>1867</v>
      </c>
      <c r="H392" s="185" t="s">
        <v>1628</v>
      </c>
      <c r="I392" s="258" t="str">
        <f t="shared" si="19"/>
        <v>2</v>
      </c>
      <c r="J392" s="221">
        <f t="shared" si="20"/>
        <v>-4280</v>
      </c>
      <c r="K392" s="258">
        <f t="shared" si="21"/>
        <v>2</v>
      </c>
      <c r="L392" s="188">
        <v>0</v>
      </c>
      <c r="M392" s="188">
        <v>4280</v>
      </c>
      <c r="N392" s="189">
        <v>900424409</v>
      </c>
      <c r="O392" t="s">
        <v>2104</v>
      </c>
      <c r="P392" s="187">
        <v>44980.904861111099</v>
      </c>
      <c r="Q392" s="186">
        <v>7189</v>
      </c>
      <c r="R392" s="185" t="s">
        <v>844</v>
      </c>
      <c r="S392" s="185" t="s">
        <v>1598</v>
      </c>
      <c r="T392"/>
      <c r="U392" t="str">
        <f>IF($L392&gt;0,VLOOKUP($E392,Valida!$A$1:$G$270,6,FALSE),IF($M392&gt;=0,VLOOKUP($E392,Valida!$A$1:$G$270,7,FALSE)))</f>
        <v>(+/-) Ajustes por el incremento (disminución) de cuentas por pagar de origen comercial</v>
      </c>
      <c r="V392" s="190" t="str">
        <f>VLOOKUP(E392,Valida!$A$2:$K$271,4,FALSE)</f>
        <v>Trade and other payables</v>
      </c>
      <c r="W392" s="185" t="s">
        <v>1864</v>
      </c>
      <c r="X392" s="185" t="s">
        <v>1865</v>
      </c>
      <c r="Y392" s="185" t="s">
        <v>1789</v>
      </c>
      <c r="Z392"/>
    </row>
    <row r="393" spans="1:26">
      <c r="A393" s="185" t="s">
        <v>2101</v>
      </c>
      <c r="B393" s="185" t="s">
        <v>2102</v>
      </c>
      <c r="C393" s="185" t="s">
        <v>1792</v>
      </c>
      <c r="D393" s="185" t="s">
        <v>2103</v>
      </c>
      <c r="E393" s="185">
        <v>23680503</v>
      </c>
      <c r="F393" s="185" t="s">
        <v>665</v>
      </c>
      <c r="G393" s="185" t="s">
        <v>1868</v>
      </c>
      <c r="H393" s="185" t="s">
        <v>1628</v>
      </c>
      <c r="I393" s="258" t="str">
        <f t="shared" si="19"/>
        <v>2</v>
      </c>
      <c r="J393" s="221">
        <f t="shared" si="20"/>
        <v>-1034</v>
      </c>
      <c r="K393" s="258">
        <f t="shared" si="21"/>
        <v>2</v>
      </c>
      <c r="L393" s="188">
        <v>0</v>
      </c>
      <c r="M393" s="188">
        <v>1034</v>
      </c>
      <c r="N393" s="189">
        <v>900424409</v>
      </c>
      <c r="O393" t="s">
        <v>2104</v>
      </c>
      <c r="P393" s="187">
        <v>44980.904861111099</v>
      </c>
      <c r="Q393" s="186">
        <v>7190</v>
      </c>
      <c r="R393" s="185" t="s">
        <v>844</v>
      </c>
      <c r="S393" s="185" t="s">
        <v>1598</v>
      </c>
      <c r="T393"/>
      <c r="U393" t="str">
        <f>IF($L393&gt;0,VLOOKUP($E393,Valida!$A$1:$G$270,6,FALSE),IF($M393&gt;=0,VLOOKUP($E393,Valida!$A$1:$G$270,7,FALSE)))</f>
        <v>(+/-) Ajustes por el incremento (disminución) de cuentas por pagar de origen comercial</v>
      </c>
      <c r="V393" s="190" t="str">
        <f>VLOOKUP(E393,Valida!$A$2:$K$271,4,FALSE)</f>
        <v>Trade and other payables</v>
      </c>
      <c r="W393" s="185" t="s">
        <v>1864</v>
      </c>
      <c r="X393" s="185" t="s">
        <v>1865</v>
      </c>
      <c r="Y393" s="185" t="s">
        <v>1789</v>
      </c>
      <c r="Z393"/>
    </row>
    <row r="394" spans="1:26">
      <c r="A394" s="185" t="s">
        <v>2101</v>
      </c>
      <c r="B394" s="185" t="s">
        <v>2105</v>
      </c>
      <c r="C394" s="185" t="s">
        <v>1792</v>
      </c>
      <c r="D394" s="185" t="s">
        <v>2106</v>
      </c>
      <c r="E394" s="185">
        <v>51700503</v>
      </c>
      <c r="F394" s="185" t="s">
        <v>1397</v>
      </c>
      <c r="G394" s="185" t="s">
        <v>1818</v>
      </c>
      <c r="H394" s="185" t="s">
        <v>1515</v>
      </c>
      <c r="I394" s="258" t="str">
        <f t="shared" si="19"/>
        <v>5</v>
      </c>
      <c r="J394" s="221">
        <f t="shared" si="20"/>
        <v>330000</v>
      </c>
      <c r="K394" s="258">
        <f t="shared" si="21"/>
        <v>2</v>
      </c>
      <c r="L394" s="188">
        <v>330000</v>
      </c>
      <c r="M394" s="188">
        <v>0</v>
      </c>
      <c r="N394" s="189">
        <v>800042928</v>
      </c>
      <c r="O394" t="s">
        <v>2107</v>
      </c>
      <c r="P394" s="187">
        <v>44980.9058912037</v>
      </c>
      <c r="Q394" s="186">
        <v>7191</v>
      </c>
      <c r="R394" s="185" t="s">
        <v>6</v>
      </c>
      <c r="S394" s="185" t="s">
        <v>1554</v>
      </c>
      <c r="T394"/>
      <c r="U394" t="str">
        <f>IF($L394&gt;0,VLOOKUP($E394,Valida!$A$1:$G$270,6,FALSE),IF($M394&gt;=0,VLOOKUP($E394,Valida!$A$1:$G$270,7,FALSE)))</f>
        <v>(+/-) Ganancia (pérdida)</v>
      </c>
      <c r="V394" s="190" t="str">
        <f>VLOOKUP(E394,Valida!$A$2:$K$271,4,FALSE)</f>
        <v>P&amp;L</v>
      </c>
      <c r="W394" s="185" t="s">
        <v>1820</v>
      </c>
      <c r="X394" s="185" t="s">
        <v>1821</v>
      </c>
      <c r="Y394" s="185" t="s">
        <v>1789</v>
      </c>
      <c r="Z394"/>
    </row>
    <row r="395" spans="1:26">
      <c r="A395" s="185" t="s">
        <v>2101</v>
      </c>
      <c r="B395" s="185" t="s">
        <v>2105</v>
      </c>
      <c r="C395" s="185" t="s">
        <v>1792</v>
      </c>
      <c r="D395" s="185" t="s">
        <v>2106</v>
      </c>
      <c r="E395" s="185">
        <v>23359504</v>
      </c>
      <c r="F395" s="185" t="s">
        <v>553</v>
      </c>
      <c r="G395" s="185" t="s">
        <v>1818</v>
      </c>
      <c r="H395" s="185" t="s">
        <v>1628</v>
      </c>
      <c r="I395" s="258" t="str">
        <f t="shared" si="19"/>
        <v>2</v>
      </c>
      <c r="J395" s="221">
        <f t="shared" si="20"/>
        <v>-330000</v>
      </c>
      <c r="K395" s="258">
        <f t="shared" si="21"/>
        <v>2</v>
      </c>
      <c r="L395" s="188">
        <v>0</v>
      </c>
      <c r="M395" s="188">
        <v>330000</v>
      </c>
      <c r="N395" s="189">
        <v>800042928</v>
      </c>
      <c r="O395" t="s">
        <v>2107</v>
      </c>
      <c r="P395" s="187">
        <v>44980.9058912037</v>
      </c>
      <c r="Q395" s="186">
        <v>7192</v>
      </c>
      <c r="R395" s="185" t="s">
        <v>6</v>
      </c>
      <c r="S395" s="185" t="s">
        <v>1554</v>
      </c>
      <c r="T395"/>
      <c r="U395" t="str">
        <f>IF($L395&gt;0,VLOOKUP($E395,Valida!$A$1:$G$270,6,FALSE),IF($M395&gt;=0,VLOOKUP($E395,Valida!$A$1:$G$270,7,FALSE)))</f>
        <v>(+/-) Ajustes por el incremento (disminución) de cuentas por pagar de origen comercial</v>
      </c>
      <c r="V395" s="190" t="str">
        <f>VLOOKUP(E395,Valida!$A$2:$K$271,4,FALSE)</f>
        <v>Trade and other payables</v>
      </c>
      <c r="W395" s="185" t="s">
        <v>1820</v>
      </c>
      <c r="X395" s="185" t="s">
        <v>1821</v>
      </c>
      <c r="Y395" s="185" t="s">
        <v>1789</v>
      </c>
      <c r="Z395"/>
    </row>
    <row r="396" spans="1:26">
      <c r="A396" s="185" t="s">
        <v>2101</v>
      </c>
      <c r="B396" s="185" t="s">
        <v>2108</v>
      </c>
      <c r="C396" s="185" t="s">
        <v>1792</v>
      </c>
      <c r="D396" s="185" t="s">
        <v>2109</v>
      </c>
      <c r="E396" s="185">
        <v>51353501</v>
      </c>
      <c r="F396" s="185" t="s">
        <v>502</v>
      </c>
      <c r="G396" s="185" t="s">
        <v>1812</v>
      </c>
      <c r="H396" s="185" t="s">
        <v>1515</v>
      </c>
      <c r="I396" s="258" t="str">
        <f t="shared" si="19"/>
        <v>5</v>
      </c>
      <c r="J396" s="221">
        <f t="shared" si="20"/>
        <v>33749.39</v>
      </c>
      <c r="K396" s="258">
        <f t="shared" si="21"/>
        <v>2</v>
      </c>
      <c r="L396" s="188">
        <v>33749.39</v>
      </c>
      <c r="M396" s="188">
        <v>0</v>
      </c>
      <c r="N396" s="189">
        <v>800153993</v>
      </c>
      <c r="O396" t="s">
        <v>2110</v>
      </c>
      <c r="P396" s="187">
        <v>44980.908460648097</v>
      </c>
      <c r="Q396" s="186">
        <v>7193</v>
      </c>
      <c r="R396" s="185" t="s">
        <v>1814</v>
      </c>
      <c r="S396" s="185" t="s">
        <v>1556</v>
      </c>
      <c r="T396"/>
      <c r="U396" t="str">
        <f>IF($L396&gt;0,VLOOKUP($E396,Valida!$A$1:$G$270,6,FALSE),IF($M396&gt;=0,VLOOKUP($E396,Valida!$A$1:$G$270,7,FALSE)))</f>
        <v>(+/-) Ganancia (pérdida)</v>
      </c>
      <c r="V396" s="190" t="str">
        <f>VLOOKUP(E396,Valida!$A$2:$K$271,4,FALSE)</f>
        <v>P&amp;L</v>
      </c>
      <c r="W396" s="185" t="s">
        <v>1815</v>
      </c>
      <c r="X396" s="185"/>
      <c r="Y396" s="185" t="s">
        <v>1789</v>
      </c>
      <c r="Z396"/>
    </row>
    <row r="397" spans="1:26">
      <c r="A397" s="185" t="s">
        <v>2101</v>
      </c>
      <c r="B397" s="185" t="s">
        <v>2108</v>
      </c>
      <c r="C397" s="185" t="s">
        <v>1792</v>
      </c>
      <c r="D397" s="185" t="s">
        <v>2109</v>
      </c>
      <c r="E397" s="185">
        <v>23355001</v>
      </c>
      <c r="F397" s="185" t="s">
        <v>502</v>
      </c>
      <c r="G397" s="185" t="s">
        <v>1812</v>
      </c>
      <c r="H397" s="185" t="s">
        <v>1628</v>
      </c>
      <c r="I397" s="258" t="str">
        <f t="shared" si="19"/>
        <v>2</v>
      </c>
      <c r="J397" s="221">
        <f t="shared" si="20"/>
        <v>-48664.17</v>
      </c>
      <c r="K397" s="258">
        <f t="shared" si="21"/>
        <v>2</v>
      </c>
      <c r="L397" s="188">
        <v>0</v>
      </c>
      <c r="M397" s="188">
        <v>48664.17</v>
      </c>
      <c r="N397" s="189">
        <v>800153993</v>
      </c>
      <c r="O397" t="s">
        <v>2110</v>
      </c>
      <c r="P397" s="187">
        <v>44980.908460648097</v>
      </c>
      <c r="Q397" s="186">
        <v>7194</v>
      </c>
      <c r="R397" s="185" t="s">
        <v>1814</v>
      </c>
      <c r="S397" s="185" t="s">
        <v>1556</v>
      </c>
      <c r="T397"/>
      <c r="U397" t="str">
        <f>IF($L397&gt;0,VLOOKUP($E397,Valida!$A$1:$G$270,6,FALSE),IF($M397&gt;=0,VLOOKUP($E397,Valida!$A$1:$G$270,7,FALSE)))</f>
        <v>(+/-) Ajustes por el incremento (disminución) de cuentas por pagar de origen comercial</v>
      </c>
      <c r="V397" s="190" t="str">
        <f>VLOOKUP(E397,Valida!$A$2:$K$271,4,FALSE)</f>
        <v>Trade and other payables</v>
      </c>
      <c r="W397" s="185" t="s">
        <v>1815</v>
      </c>
      <c r="X397" s="185"/>
      <c r="Y397" s="185" t="s">
        <v>1789</v>
      </c>
      <c r="Z397"/>
    </row>
    <row r="398" spans="1:26">
      <c r="A398" s="185" t="s">
        <v>2101</v>
      </c>
      <c r="B398" s="185" t="s">
        <v>2108</v>
      </c>
      <c r="C398" s="185" t="s">
        <v>1792</v>
      </c>
      <c r="D398" s="185" t="s">
        <v>2109</v>
      </c>
      <c r="E398" s="185">
        <v>51353501</v>
      </c>
      <c r="F398" s="185" t="s">
        <v>502</v>
      </c>
      <c r="G398" s="185" t="s">
        <v>1812</v>
      </c>
      <c r="H398" s="185" t="s">
        <v>1515</v>
      </c>
      <c r="I398" s="258" t="str">
        <f t="shared" si="19"/>
        <v>5</v>
      </c>
      <c r="J398" s="221">
        <f t="shared" si="20"/>
        <v>6912.52</v>
      </c>
      <c r="K398" s="258">
        <f t="shared" si="21"/>
        <v>2</v>
      </c>
      <c r="L398" s="188">
        <v>6912.52</v>
      </c>
      <c r="M398" s="188">
        <v>0</v>
      </c>
      <c r="N398" s="189">
        <v>800153993</v>
      </c>
      <c r="O398" t="s">
        <v>2110</v>
      </c>
      <c r="P398" s="187">
        <v>44980.908472222203</v>
      </c>
      <c r="Q398" s="186">
        <v>7195</v>
      </c>
      <c r="R398" s="185" t="s">
        <v>1814</v>
      </c>
      <c r="S398" s="185" t="s">
        <v>1556</v>
      </c>
      <c r="T398"/>
      <c r="U398" t="str">
        <f>IF($L398&gt;0,VLOOKUP($E398,Valida!$A$1:$G$270,6,FALSE),IF($M398&gt;=0,VLOOKUP($E398,Valida!$A$1:$G$270,7,FALSE)))</f>
        <v>(+/-) Ganancia (pérdida)</v>
      </c>
      <c r="V398" s="190" t="str">
        <f>VLOOKUP(E398,Valida!$A$2:$K$271,4,FALSE)</f>
        <v>P&amp;L</v>
      </c>
      <c r="W398" s="185" t="s">
        <v>1815</v>
      </c>
      <c r="X398" s="185"/>
      <c r="Y398" s="185" t="s">
        <v>1789</v>
      </c>
      <c r="Z398"/>
    </row>
    <row r="399" spans="1:26">
      <c r="A399" s="185" t="s">
        <v>2101</v>
      </c>
      <c r="B399" s="185" t="s">
        <v>2108</v>
      </c>
      <c r="C399" s="185" t="s">
        <v>1792</v>
      </c>
      <c r="D399" s="185" t="s">
        <v>2109</v>
      </c>
      <c r="E399" s="185">
        <v>24081002</v>
      </c>
      <c r="F399" s="185" t="s">
        <v>1687</v>
      </c>
      <c r="G399" s="185" t="s">
        <v>1812</v>
      </c>
      <c r="H399" s="185" t="s">
        <v>1515</v>
      </c>
      <c r="I399" s="258" t="str">
        <f t="shared" si="19"/>
        <v>2</v>
      </c>
      <c r="J399" s="221">
        <f t="shared" si="20"/>
        <v>8002.26</v>
      </c>
      <c r="K399" s="258">
        <f t="shared" si="21"/>
        <v>2</v>
      </c>
      <c r="L399" s="188">
        <v>8002.26</v>
      </c>
      <c r="M399" s="188">
        <v>0</v>
      </c>
      <c r="N399" s="189">
        <v>800153993</v>
      </c>
      <c r="O399" t="s">
        <v>2110</v>
      </c>
      <c r="P399" s="187">
        <v>44980.908472222203</v>
      </c>
      <c r="Q399" s="186">
        <v>7196</v>
      </c>
      <c r="R399" s="185" t="s">
        <v>1814</v>
      </c>
      <c r="S399" s="185" t="s">
        <v>1556</v>
      </c>
      <c r="T399"/>
      <c r="U399" t="str">
        <f>IF($L399&gt;0,VLOOKUP($E399,Valida!$A$1:$G$270,6,FALSE),IF($M399&gt;=0,VLOOKUP($E399,Valida!$A$1:$G$270,7,FALSE)))</f>
        <v>(+/-) Ajustes por el incremento (disminución) de cuentas por pagar de origen comercial</v>
      </c>
      <c r="V399" s="190" t="str">
        <f>VLOOKUP(E399,Valida!$A$2:$K$271,4,FALSE)</f>
        <v>Trade and other payables</v>
      </c>
      <c r="W399" s="185" t="s">
        <v>1815</v>
      </c>
      <c r="X399" s="185"/>
      <c r="Y399" s="185" t="s">
        <v>1789</v>
      </c>
      <c r="Z399"/>
    </row>
    <row r="400" spans="1:26">
      <c r="A400" s="185" t="s">
        <v>2101</v>
      </c>
      <c r="B400" s="185" t="s">
        <v>2108</v>
      </c>
      <c r="C400" s="185" t="s">
        <v>1792</v>
      </c>
      <c r="D400" s="185" t="s">
        <v>2109</v>
      </c>
      <c r="E400" s="185">
        <v>51353501</v>
      </c>
      <c r="F400" s="185" t="s">
        <v>502</v>
      </c>
      <c r="G400" s="185" t="s">
        <v>1812</v>
      </c>
      <c r="H400" s="185" t="s">
        <v>1628</v>
      </c>
      <c r="I400" s="258" t="str">
        <f t="shared" si="19"/>
        <v>5</v>
      </c>
      <c r="J400" s="221">
        <f t="shared" si="20"/>
        <v>0</v>
      </c>
      <c r="K400" s="258">
        <f t="shared" si="21"/>
        <v>2</v>
      </c>
      <c r="L400" s="188">
        <v>0</v>
      </c>
      <c r="M400" s="188">
        <v>0</v>
      </c>
      <c r="N400" s="189">
        <v>800153993</v>
      </c>
      <c r="O400" t="s">
        <v>2110</v>
      </c>
      <c r="P400" s="187">
        <v>44980.908472222203</v>
      </c>
      <c r="Q400" s="186">
        <v>7197</v>
      </c>
      <c r="R400" s="185" t="s">
        <v>1814</v>
      </c>
      <c r="S400" s="185" t="s">
        <v>1556</v>
      </c>
      <c r="T400"/>
      <c r="U400" t="str">
        <f>IF($L400&gt;0,VLOOKUP($E400,Valida!$A$1:$G$270,6,FALSE),IF($M400&gt;=0,VLOOKUP($E400,Valida!$A$1:$G$270,7,FALSE)))</f>
        <v>(+/-) Ganancia (pérdida)</v>
      </c>
      <c r="V400" s="190" t="str">
        <f>VLOOKUP(E400,Valida!$A$2:$K$271,4,FALSE)</f>
        <v>P&amp;L</v>
      </c>
      <c r="W400" s="185" t="s">
        <v>1815</v>
      </c>
      <c r="X400" s="185"/>
      <c r="Y400" s="185" t="s">
        <v>1789</v>
      </c>
      <c r="Z400"/>
    </row>
    <row r="401" spans="1:26">
      <c r="A401" s="185" t="s">
        <v>1994</v>
      </c>
      <c r="B401" s="185" t="s">
        <v>2111</v>
      </c>
      <c r="C401" s="185" t="s">
        <v>1792</v>
      </c>
      <c r="D401" s="185" t="s">
        <v>2112</v>
      </c>
      <c r="E401" s="185">
        <v>51352002</v>
      </c>
      <c r="F401" s="185" t="s">
        <v>1270</v>
      </c>
      <c r="G401" s="185" t="s">
        <v>1825</v>
      </c>
      <c r="H401" s="185" t="s">
        <v>1515</v>
      </c>
      <c r="I401" s="258" t="str">
        <f t="shared" si="19"/>
        <v>5</v>
      </c>
      <c r="J401" s="221">
        <f t="shared" si="20"/>
        <v>3214000</v>
      </c>
      <c r="K401" s="258">
        <f t="shared" si="21"/>
        <v>2</v>
      </c>
      <c r="L401" s="188">
        <v>3214000</v>
      </c>
      <c r="M401" s="188">
        <v>0</v>
      </c>
      <c r="N401" s="189">
        <v>800153993</v>
      </c>
      <c r="O401" t="s">
        <v>2113</v>
      </c>
      <c r="P401" s="187">
        <v>44980.909351851798</v>
      </c>
      <c r="Q401" s="186">
        <v>7198</v>
      </c>
      <c r="R401" s="185" t="s">
        <v>1814</v>
      </c>
      <c r="S401" s="185" t="s">
        <v>1556</v>
      </c>
      <c r="T401"/>
      <c r="U401" t="str">
        <f>IF($L401&gt;0,VLOOKUP($E401,Valida!$A$1:$G$270,6,FALSE),IF($M401&gt;=0,VLOOKUP($E401,Valida!$A$1:$G$270,7,FALSE)))</f>
        <v>(+/-) Ganancia (pérdida)</v>
      </c>
      <c r="V401" s="190" t="str">
        <f>VLOOKUP(E401,Valida!$A$2:$K$271,4,FALSE)</f>
        <v>P&amp;L</v>
      </c>
      <c r="W401" s="185" t="s">
        <v>1815</v>
      </c>
      <c r="X401" s="185"/>
      <c r="Y401" s="185" t="s">
        <v>1789</v>
      </c>
      <c r="Z401"/>
    </row>
    <row r="402" spans="1:26">
      <c r="A402" s="185" t="s">
        <v>1994</v>
      </c>
      <c r="B402" s="185" t="s">
        <v>2111</v>
      </c>
      <c r="C402" s="185" t="s">
        <v>1792</v>
      </c>
      <c r="D402" s="185" t="s">
        <v>2112</v>
      </c>
      <c r="E402" s="185">
        <v>24081002</v>
      </c>
      <c r="F402" s="185" t="s">
        <v>1687</v>
      </c>
      <c r="G402" s="185" t="s">
        <v>1830</v>
      </c>
      <c r="H402" s="185" t="s">
        <v>1515</v>
      </c>
      <c r="I402" s="258" t="str">
        <f t="shared" si="19"/>
        <v>2</v>
      </c>
      <c r="J402" s="221">
        <f t="shared" si="20"/>
        <v>610660</v>
      </c>
      <c r="K402" s="258">
        <f t="shared" si="21"/>
        <v>2</v>
      </c>
      <c r="L402" s="188">
        <v>610660</v>
      </c>
      <c r="M402" s="188">
        <v>0</v>
      </c>
      <c r="N402" s="189">
        <v>800153993</v>
      </c>
      <c r="O402" t="s">
        <v>2113</v>
      </c>
      <c r="P402" s="187">
        <v>44980.909351851798</v>
      </c>
      <c r="Q402" s="186">
        <v>7199</v>
      </c>
      <c r="R402" s="185" t="s">
        <v>1814</v>
      </c>
      <c r="S402" s="185" t="s">
        <v>1556</v>
      </c>
      <c r="T402"/>
      <c r="U402" t="str">
        <f>IF($L402&gt;0,VLOOKUP($E402,Valida!$A$1:$G$270,6,FALSE),IF($M402&gt;=0,VLOOKUP($E402,Valida!$A$1:$G$270,7,FALSE)))</f>
        <v>(+/-) Ajustes por el incremento (disminución) de cuentas por pagar de origen comercial</v>
      </c>
      <c r="V402" s="190" t="str">
        <f>VLOOKUP(E402,Valida!$A$2:$K$271,4,FALSE)</f>
        <v>Trade and other payables</v>
      </c>
      <c r="W402" s="185" t="s">
        <v>1815</v>
      </c>
      <c r="X402" s="185"/>
      <c r="Y402" s="185" t="s">
        <v>1789</v>
      </c>
      <c r="Z402"/>
    </row>
    <row r="403" spans="1:26">
      <c r="A403" s="185" t="s">
        <v>1994</v>
      </c>
      <c r="B403" s="185" t="s">
        <v>2111</v>
      </c>
      <c r="C403" s="185" t="s">
        <v>1792</v>
      </c>
      <c r="D403" s="185" t="s">
        <v>2112</v>
      </c>
      <c r="E403" s="185">
        <v>23355006</v>
      </c>
      <c r="F403" s="185" t="s">
        <v>519</v>
      </c>
      <c r="G403" s="185" t="s">
        <v>1825</v>
      </c>
      <c r="H403" s="185" t="s">
        <v>1628</v>
      </c>
      <c r="I403" s="258" t="str">
        <f t="shared" si="19"/>
        <v>2</v>
      </c>
      <c r="J403" s="221">
        <f t="shared" si="20"/>
        <v>-3824660</v>
      </c>
      <c r="K403" s="258">
        <f t="shared" si="21"/>
        <v>2</v>
      </c>
      <c r="L403" s="188">
        <v>0</v>
      </c>
      <c r="M403" s="188">
        <v>3824660</v>
      </c>
      <c r="N403" s="189">
        <v>800153993</v>
      </c>
      <c r="O403" t="s">
        <v>2113</v>
      </c>
      <c r="P403" s="187">
        <v>44980.909351851798</v>
      </c>
      <c r="Q403" s="186">
        <v>7200</v>
      </c>
      <c r="R403" s="185" t="s">
        <v>1814</v>
      </c>
      <c r="S403" s="185" t="s">
        <v>1556</v>
      </c>
      <c r="T403"/>
      <c r="U403" t="str">
        <f>IF($L403&gt;0,VLOOKUP($E403,Valida!$A$1:$G$270,6,FALSE),IF($M403&gt;=0,VLOOKUP($E403,Valida!$A$1:$G$270,7,FALSE)))</f>
        <v>(+/-) Ajustes por el incremento (disminución) de cuentas por pagar de origen comercial</v>
      </c>
      <c r="V403" s="190" t="str">
        <f>VLOOKUP(E403,Valida!$A$2:$K$271,4,FALSE)</f>
        <v>Trade and other payables</v>
      </c>
      <c r="W403" s="185" t="s">
        <v>1815</v>
      </c>
      <c r="X403" s="185"/>
      <c r="Y403" s="185" t="s">
        <v>1789</v>
      </c>
      <c r="Z403"/>
    </row>
    <row r="404" spans="1:26">
      <c r="A404" s="185" t="s">
        <v>1994</v>
      </c>
      <c r="B404" s="185" t="s">
        <v>2114</v>
      </c>
      <c r="C404" s="185" t="s">
        <v>1792</v>
      </c>
      <c r="D404" s="185" t="s">
        <v>2115</v>
      </c>
      <c r="E404" s="185">
        <v>51352002</v>
      </c>
      <c r="F404" s="185" t="s">
        <v>1270</v>
      </c>
      <c r="G404" s="185" t="s">
        <v>1825</v>
      </c>
      <c r="H404" s="185" t="s">
        <v>1515</v>
      </c>
      <c r="I404" s="258" t="str">
        <f t="shared" si="19"/>
        <v>5</v>
      </c>
      <c r="J404" s="221">
        <f t="shared" si="20"/>
        <v>1224400</v>
      </c>
      <c r="K404" s="258">
        <f t="shared" si="21"/>
        <v>2</v>
      </c>
      <c r="L404" s="188">
        <v>1224400</v>
      </c>
      <c r="M404" s="188">
        <v>0</v>
      </c>
      <c r="N404" s="189">
        <v>899999115</v>
      </c>
      <c r="O404" t="s">
        <v>2116</v>
      </c>
      <c r="P404" s="187">
        <v>44980.910601851901</v>
      </c>
      <c r="Q404" s="186">
        <v>7201</v>
      </c>
      <c r="R404" s="185" t="s">
        <v>1827</v>
      </c>
      <c r="S404" s="185" t="s">
        <v>1586</v>
      </c>
      <c r="T404"/>
      <c r="U404" t="str">
        <f>IF($L404&gt;0,VLOOKUP($E404,Valida!$A$1:$G$270,6,FALSE),IF($M404&gt;=0,VLOOKUP($E404,Valida!$A$1:$G$270,7,FALSE)))</f>
        <v>(+/-) Ganancia (pérdida)</v>
      </c>
      <c r="V404" s="190" t="str">
        <f>VLOOKUP(E404,Valida!$A$2:$K$271,4,FALSE)</f>
        <v>P&amp;L</v>
      </c>
      <c r="W404" s="185" t="s">
        <v>1828</v>
      </c>
      <c r="X404" s="185" t="s">
        <v>1829</v>
      </c>
      <c r="Y404" s="185" t="s">
        <v>1789</v>
      </c>
      <c r="Z404"/>
    </row>
    <row r="405" spans="1:26">
      <c r="A405" s="185" t="s">
        <v>1994</v>
      </c>
      <c r="B405" s="185" t="s">
        <v>2114</v>
      </c>
      <c r="C405" s="185" t="s">
        <v>1792</v>
      </c>
      <c r="D405" s="185" t="s">
        <v>2115</v>
      </c>
      <c r="E405" s="185">
        <v>24081002</v>
      </c>
      <c r="F405" s="185" t="s">
        <v>1687</v>
      </c>
      <c r="G405" s="185" t="s">
        <v>1830</v>
      </c>
      <c r="H405" s="185" t="s">
        <v>1515</v>
      </c>
      <c r="I405" s="258" t="str">
        <f t="shared" si="19"/>
        <v>2</v>
      </c>
      <c r="J405" s="221">
        <f t="shared" si="20"/>
        <v>232636</v>
      </c>
      <c r="K405" s="258">
        <f t="shared" si="21"/>
        <v>2</v>
      </c>
      <c r="L405" s="188">
        <v>232636</v>
      </c>
      <c r="M405" s="188">
        <v>0</v>
      </c>
      <c r="N405" s="189">
        <v>899999115</v>
      </c>
      <c r="O405" t="s">
        <v>2116</v>
      </c>
      <c r="P405" s="187">
        <v>44980.910601851901</v>
      </c>
      <c r="Q405" s="186">
        <v>7202</v>
      </c>
      <c r="R405" s="185" t="s">
        <v>1827</v>
      </c>
      <c r="S405" s="185" t="s">
        <v>1586</v>
      </c>
      <c r="T405"/>
      <c r="U405" t="str">
        <f>IF($L405&gt;0,VLOOKUP($E405,Valida!$A$1:$G$270,6,FALSE),IF($M405&gt;=0,VLOOKUP($E405,Valida!$A$1:$G$270,7,FALSE)))</f>
        <v>(+/-) Ajustes por el incremento (disminución) de cuentas por pagar de origen comercial</v>
      </c>
      <c r="V405" s="190" t="str">
        <f>VLOOKUP(E405,Valida!$A$2:$K$271,4,FALSE)</f>
        <v>Trade and other payables</v>
      </c>
      <c r="W405" s="185" t="s">
        <v>1828</v>
      </c>
      <c r="X405" s="185" t="s">
        <v>1829</v>
      </c>
      <c r="Y405" s="185" t="s">
        <v>1789</v>
      </c>
      <c r="Z405"/>
    </row>
    <row r="406" spans="1:26">
      <c r="A406" s="185" t="s">
        <v>1994</v>
      </c>
      <c r="B406" s="185" t="s">
        <v>2114</v>
      </c>
      <c r="C406" s="185" t="s">
        <v>1792</v>
      </c>
      <c r="D406" s="185" t="s">
        <v>2115</v>
      </c>
      <c r="E406" s="185">
        <v>23355006</v>
      </c>
      <c r="F406" s="185" t="s">
        <v>519</v>
      </c>
      <c r="G406" s="185" t="s">
        <v>1825</v>
      </c>
      <c r="H406" s="185" t="s">
        <v>1628</v>
      </c>
      <c r="I406" s="258" t="str">
        <f t="shared" si="19"/>
        <v>2</v>
      </c>
      <c r="J406" s="221">
        <f t="shared" si="20"/>
        <v>-1457040</v>
      </c>
      <c r="K406" s="258">
        <f t="shared" si="21"/>
        <v>2</v>
      </c>
      <c r="L406" s="188">
        <v>0</v>
      </c>
      <c r="M406" s="188">
        <v>1457040</v>
      </c>
      <c r="N406" s="189">
        <v>899999115</v>
      </c>
      <c r="O406" t="s">
        <v>2116</v>
      </c>
      <c r="P406" s="187">
        <v>44980.910601851901</v>
      </c>
      <c r="Q406" s="186">
        <v>7203</v>
      </c>
      <c r="R406" s="185" t="s">
        <v>1827</v>
      </c>
      <c r="S406" s="185" t="s">
        <v>1586</v>
      </c>
      <c r="T406"/>
      <c r="U406" t="str">
        <f>IF($L406&gt;0,VLOOKUP($E406,Valida!$A$1:$G$270,6,FALSE),IF($M406&gt;=0,VLOOKUP($E406,Valida!$A$1:$G$270,7,FALSE)))</f>
        <v>(+/-) Ajustes por el incremento (disminución) de cuentas por pagar de origen comercial</v>
      </c>
      <c r="V406" s="190" t="str">
        <f>VLOOKUP(E406,Valida!$A$2:$K$271,4,FALSE)</f>
        <v>Trade and other payables</v>
      </c>
      <c r="W406" s="185" t="s">
        <v>1828</v>
      </c>
      <c r="X406" s="185" t="s">
        <v>1829</v>
      </c>
      <c r="Y406" s="185" t="s">
        <v>1789</v>
      </c>
      <c r="Z406"/>
    </row>
    <row r="407" spans="1:26">
      <c r="A407" s="185" t="s">
        <v>1994</v>
      </c>
      <c r="B407" s="185" t="s">
        <v>2114</v>
      </c>
      <c r="C407" s="185" t="s">
        <v>1792</v>
      </c>
      <c r="D407" s="185" t="s">
        <v>2115</v>
      </c>
      <c r="E407" s="185">
        <v>53059510</v>
      </c>
      <c r="F407" s="185" t="s">
        <v>1065</v>
      </c>
      <c r="G407" s="185" t="s">
        <v>1825</v>
      </c>
      <c r="H407" s="185" t="s">
        <v>1515</v>
      </c>
      <c r="I407" s="258" t="str">
        <f t="shared" si="19"/>
        <v>5</v>
      </c>
      <c r="J407" s="221">
        <f t="shared" si="20"/>
        <v>4</v>
      </c>
      <c r="K407" s="258">
        <f t="shared" si="21"/>
        <v>2</v>
      </c>
      <c r="L407" s="188">
        <v>4</v>
      </c>
      <c r="M407" s="188">
        <v>0</v>
      </c>
      <c r="N407" s="189">
        <v>899999115</v>
      </c>
      <c r="O407" t="s">
        <v>2116</v>
      </c>
      <c r="P407" s="187">
        <v>44980.910601851901</v>
      </c>
      <c r="Q407" s="186">
        <v>7204</v>
      </c>
      <c r="R407" s="185" t="s">
        <v>1827</v>
      </c>
      <c r="S407" s="185" t="s">
        <v>1586</v>
      </c>
      <c r="T407"/>
      <c r="U407" t="str">
        <f>IF($L407&gt;0,VLOOKUP($E407,Valida!$A$1:$G$270,6,FALSE),IF($M407&gt;=0,VLOOKUP($E407,Valida!$A$1:$G$270,7,FALSE)))</f>
        <v>(+/-) Ganancia (pérdida)</v>
      </c>
      <c r="V407" s="190" t="str">
        <f>VLOOKUP(E407,Valida!$A$2:$K$271,4,FALSE)</f>
        <v>P&amp;L</v>
      </c>
      <c r="W407" s="185" t="s">
        <v>1828</v>
      </c>
      <c r="X407" s="185" t="s">
        <v>1829</v>
      </c>
      <c r="Y407" s="185" t="s">
        <v>1789</v>
      </c>
      <c r="Z407"/>
    </row>
    <row r="408" spans="1:26">
      <c r="A408" s="185" t="s">
        <v>1994</v>
      </c>
      <c r="B408" s="185" t="s">
        <v>2117</v>
      </c>
      <c r="C408" s="185" t="s">
        <v>1792</v>
      </c>
      <c r="D408" s="185" t="s">
        <v>2118</v>
      </c>
      <c r="E408" s="185">
        <v>51059501</v>
      </c>
      <c r="F408" s="185" t="s">
        <v>1129</v>
      </c>
      <c r="G408" s="185" t="s">
        <v>2119</v>
      </c>
      <c r="H408" s="185" t="s">
        <v>1515</v>
      </c>
      <c r="I408" s="258" t="str">
        <f t="shared" si="19"/>
        <v>5</v>
      </c>
      <c r="J408" s="221">
        <f t="shared" si="20"/>
        <v>175500</v>
      </c>
      <c r="K408" s="258">
        <f t="shared" si="21"/>
        <v>2</v>
      </c>
      <c r="L408" s="188">
        <v>175500</v>
      </c>
      <c r="M408" s="188">
        <v>0</v>
      </c>
      <c r="N408" s="189">
        <v>900170994</v>
      </c>
      <c r="O408" t="s">
        <v>2120</v>
      </c>
      <c r="P408" s="187">
        <v>44980.912673611099</v>
      </c>
      <c r="Q408" s="186">
        <v>7205</v>
      </c>
      <c r="R408" s="185" t="s">
        <v>1841</v>
      </c>
      <c r="S408" s="185" t="s">
        <v>1592</v>
      </c>
      <c r="T408"/>
      <c r="U408" t="str">
        <f>IF($L408&gt;0,VLOOKUP($E408,Valida!$A$1:$G$270,6,FALSE),IF($M408&gt;=0,VLOOKUP($E408,Valida!$A$1:$G$270,7,FALSE)))</f>
        <v>(+/-) Ganancia (pérdida)</v>
      </c>
      <c r="V408" s="190" t="str">
        <f>VLOOKUP(E408,Valida!$A$2:$K$271,4,FALSE)</f>
        <v>P&amp;L</v>
      </c>
      <c r="W408" s="185" t="s">
        <v>2030</v>
      </c>
      <c r="X408" s="185" t="s">
        <v>2031</v>
      </c>
      <c r="Y408" s="185" t="s">
        <v>1789</v>
      </c>
      <c r="Z408"/>
    </row>
    <row r="409" spans="1:26">
      <c r="A409" s="185" t="s">
        <v>1994</v>
      </c>
      <c r="B409" s="185" t="s">
        <v>2117</v>
      </c>
      <c r="C409" s="185" t="s">
        <v>1792</v>
      </c>
      <c r="D409" s="185" t="s">
        <v>2118</v>
      </c>
      <c r="E409" s="185">
        <v>23352503</v>
      </c>
      <c r="F409" s="185" t="s">
        <v>470</v>
      </c>
      <c r="G409" s="185" t="s">
        <v>2119</v>
      </c>
      <c r="H409" s="185" t="s">
        <v>1628</v>
      </c>
      <c r="I409" s="258" t="str">
        <f t="shared" si="19"/>
        <v>2</v>
      </c>
      <c r="J409" s="221">
        <f t="shared" si="20"/>
        <v>-175500</v>
      </c>
      <c r="K409" s="258">
        <f t="shared" si="21"/>
        <v>2</v>
      </c>
      <c r="L409" s="188">
        <v>0</v>
      </c>
      <c r="M409" s="188">
        <v>175500</v>
      </c>
      <c r="N409" s="189">
        <v>900170994</v>
      </c>
      <c r="O409" t="s">
        <v>2120</v>
      </c>
      <c r="P409" s="187">
        <v>44980.912673611099</v>
      </c>
      <c r="Q409" s="186">
        <v>7206</v>
      </c>
      <c r="R409" s="185" t="s">
        <v>1841</v>
      </c>
      <c r="S409" s="185" t="s">
        <v>1592</v>
      </c>
      <c r="T409"/>
      <c r="U409" t="str">
        <f>IF($L409&gt;0,VLOOKUP($E409,Valida!$A$1:$G$270,6,FALSE),IF($M409&gt;=0,VLOOKUP($E409,Valida!$A$1:$G$270,7,FALSE)))</f>
        <v>(+/-) Ajustes por el incremento (disminución) de cuentas por pagar de origen comercial</v>
      </c>
      <c r="V409" s="190" t="str">
        <f>VLOOKUP(E409,Valida!$A$2:$K$271,4,FALSE)</f>
        <v>Trade and other payables</v>
      </c>
      <c r="W409" s="185" t="s">
        <v>2030</v>
      </c>
      <c r="X409" s="185" t="s">
        <v>2031</v>
      </c>
      <c r="Y409" s="185" t="s">
        <v>1789</v>
      </c>
      <c r="Z409"/>
    </row>
    <row r="410" spans="1:26">
      <c r="A410" s="185" t="s">
        <v>2121</v>
      </c>
      <c r="B410" s="185" t="s">
        <v>2122</v>
      </c>
      <c r="C410" s="185" t="s">
        <v>1792</v>
      </c>
      <c r="D410" s="185" t="s">
        <v>2123</v>
      </c>
      <c r="E410" s="185">
        <v>51350501</v>
      </c>
      <c r="F410" s="185" t="s">
        <v>1256</v>
      </c>
      <c r="G410" s="185" t="s">
        <v>1794</v>
      </c>
      <c r="H410" s="185" t="s">
        <v>1515</v>
      </c>
      <c r="I410" s="258" t="str">
        <f t="shared" si="19"/>
        <v>5</v>
      </c>
      <c r="J410" s="221">
        <f t="shared" si="20"/>
        <v>1936551</v>
      </c>
      <c r="K410" s="258">
        <f t="shared" si="21"/>
        <v>2</v>
      </c>
      <c r="L410" s="188">
        <v>1936551</v>
      </c>
      <c r="M410" s="188">
        <v>0</v>
      </c>
      <c r="N410" s="189">
        <v>900994552</v>
      </c>
      <c r="O410" t="s">
        <v>2124</v>
      </c>
      <c r="P410" s="187">
        <v>44980.916909722197</v>
      </c>
      <c r="Q410" s="186">
        <v>7207</v>
      </c>
      <c r="R410" s="185" t="s">
        <v>844</v>
      </c>
      <c r="S410" s="185" t="s">
        <v>1606</v>
      </c>
      <c r="T410"/>
      <c r="U410" t="str">
        <f>IF($L410&gt;0,VLOOKUP($E410,Valida!$A$1:$G$270,6,FALSE),IF($M410&gt;=0,VLOOKUP($E410,Valida!$A$1:$G$270,7,FALSE)))</f>
        <v>(+/-) Ganancia (pérdida)</v>
      </c>
      <c r="V410" s="190" t="str">
        <f>VLOOKUP(E410,Valida!$A$2:$K$271,4,FALSE)</f>
        <v>P&amp;L</v>
      </c>
      <c r="W410" s="185" t="s">
        <v>1796</v>
      </c>
      <c r="X410" s="185" t="s">
        <v>1797</v>
      </c>
      <c r="Y410" s="185" t="s">
        <v>1789</v>
      </c>
      <c r="Z410"/>
    </row>
    <row r="411" spans="1:26">
      <c r="A411" s="185" t="s">
        <v>2121</v>
      </c>
      <c r="B411" s="185" t="s">
        <v>2122</v>
      </c>
      <c r="C411" s="185" t="s">
        <v>1792</v>
      </c>
      <c r="D411" s="185" t="s">
        <v>2123</v>
      </c>
      <c r="E411" s="185">
        <v>51350501</v>
      </c>
      <c r="F411" s="185" t="s">
        <v>1256</v>
      </c>
      <c r="G411" s="185" t="s">
        <v>1794</v>
      </c>
      <c r="H411" s="185" t="s">
        <v>1515</v>
      </c>
      <c r="I411" s="258" t="str">
        <f t="shared" si="19"/>
        <v>5</v>
      </c>
      <c r="J411" s="221">
        <f t="shared" si="20"/>
        <v>193655</v>
      </c>
      <c r="K411" s="258">
        <f t="shared" si="21"/>
        <v>2</v>
      </c>
      <c r="L411" s="188">
        <v>193655</v>
      </c>
      <c r="M411" s="188">
        <v>0</v>
      </c>
      <c r="N411" s="189">
        <v>900994552</v>
      </c>
      <c r="O411" t="s">
        <v>2124</v>
      </c>
      <c r="P411" s="187">
        <v>44980.916909722197</v>
      </c>
      <c r="Q411" s="186">
        <v>7208</v>
      </c>
      <c r="R411" s="185" t="s">
        <v>844</v>
      </c>
      <c r="S411" s="185" t="s">
        <v>1606</v>
      </c>
      <c r="T411"/>
      <c r="U411" t="str">
        <f>IF($L411&gt;0,VLOOKUP($E411,Valida!$A$1:$G$270,6,FALSE),IF($M411&gt;=0,VLOOKUP($E411,Valida!$A$1:$G$270,7,FALSE)))</f>
        <v>(+/-) Ganancia (pérdida)</v>
      </c>
      <c r="V411" s="190" t="str">
        <f>VLOOKUP(E411,Valida!$A$2:$K$271,4,FALSE)</f>
        <v>P&amp;L</v>
      </c>
      <c r="W411" s="185" t="s">
        <v>1796</v>
      </c>
      <c r="X411" s="185" t="s">
        <v>1797</v>
      </c>
      <c r="Y411" s="185" t="s">
        <v>1789</v>
      </c>
      <c r="Z411"/>
    </row>
    <row r="412" spans="1:26">
      <c r="A412" s="185" t="s">
        <v>2121</v>
      </c>
      <c r="B412" s="185" t="s">
        <v>2122</v>
      </c>
      <c r="C412" s="185" t="s">
        <v>1792</v>
      </c>
      <c r="D412" s="185" t="s">
        <v>2123</v>
      </c>
      <c r="E412" s="185">
        <v>24081002</v>
      </c>
      <c r="F412" s="185" t="s">
        <v>1687</v>
      </c>
      <c r="G412" s="185" t="s">
        <v>1794</v>
      </c>
      <c r="H412" s="185" t="s">
        <v>1515</v>
      </c>
      <c r="I412" s="258" t="str">
        <f t="shared" si="19"/>
        <v>2</v>
      </c>
      <c r="J412" s="221">
        <f t="shared" si="20"/>
        <v>36794</v>
      </c>
      <c r="K412" s="258">
        <f t="shared" si="21"/>
        <v>2</v>
      </c>
      <c r="L412" s="188">
        <v>36794</v>
      </c>
      <c r="M412" s="188">
        <v>0</v>
      </c>
      <c r="N412" s="189">
        <v>900994552</v>
      </c>
      <c r="O412" t="s">
        <v>2124</v>
      </c>
      <c r="P412" s="187">
        <v>44980.916909722197</v>
      </c>
      <c r="Q412" s="186">
        <v>7209</v>
      </c>
      <c r="R412" s="185" t="s">
        <v>844</v>
      </c>
      <c r="S412" s="185" t="s">
        <v>1606</v>
      </c>
      <c r="T412"/>
      <c r="U412" t="str">
        <f>IF($L412&gt;0,VLOOKUP($E412,Valida!$A$1:$G$270,6,FALSE),IF($M412&gt;=0,VLOOKUP($E412,Valida!$A$1:$G$270,7,FALSE)))</f>
        <v>(+/-) Ajustes por el incremento (disminución) de cuentas por pagar de origen comercial</v>
      </c>
      <c r="V412" s="190" t="str">
        <f>VLOOKUP(E412,Valida!$A$2:$K$271,4,FALSE)</f>
        <v>Trade and other payables</v>
      </c>
      <c r="W412" s="185" t="s">
        <v>1796</v>
      </c>
      <c r="X412" s="185" t="s">
        <v>1797</v>
      </c>
      <c r="Y412" s="185" t="s">
        <v>1789</v>
      </c>
      <c r="Z412"/>
    </row>
    <row r="413" spans="1:26">
      <c r="A413" s="185" t="s">
        <v>2121</v>
      </c>
      <c r="B413" s="185" t="s">
        <v>2122</v>
      </c>
      <c r="C413" s="185" t="s">
        <v>1792</v>
      </c>
      <c r="D413" s="185" t="s">
        <v>2123</v>
      </c>
      <c r="E413" s="185">
        <v>23355004</v>
      </c>
      <c r="F413" s="185" t="s">
        <v>513</v>
      </c>
      <c r="G413" s="185" t="s">
        <v>1794</v>
      </c>
      <c r="H413" s="185" t="s">
        <v>1628</v>
      </c>
      <c r="I413" s="258" t="str">
        <f t="shared" si="19"/>
        <v>2</v>
      </c>
      <c r="J413" s="221">
        <f t="shared" si="20"/>
        <v>-2167000</v>
      </c>
      <c r="K413" s="258">
        <f t="shared" si="21"/>
        <v>2</v>
      </c>
      <c r="L413" s="188">
        <v>0</v>
      </c>
      <c r="M413" s="188">
        <v>2167000</v>
      </c>
      <c r="N413" s="189">
        <v>900994552</v>
      </c>
      <c r="O413" t="s">
        <v>2124</v>
      </c>
      <c r="P413" s="187">
        <v>44980.916909722197</v>
      </c>
      <c r="Q413" s="186">
        <v>7210</v>
      </c>
      <c r="R413" s="185" t="s">
        <v>844</v>
      </c>
      <c r="S413" s="185" t="s">
        <v>1606</v>
      </c>
      <c r="T413"/>
      <c r="U413" t="str">
        <f>IF($L413&gt;0,VLOOKUP($E413,Valida!$A$1:$G$270,6,FALSE),IF($M413&gt;=0,VLOOKUP($E413,Valida!$A$1:$G$270,7,FALSE)))</f>
        <v>(+/-) Ajustes por el incremento (disminución) de cuentas por pagar de origen comercial</v>
      </c>
      <c r="V413" s="190" t="str">
        <f>VLOOKUP(E413,Valida!$A$2:$K$271,4,FALSE)</f>
        <v>Trade and other payables</v>
      </c>
      <c r="W413" s="185" t="s">
        <v>1796</v>
      </c>
      <c r="X413" s="185" t="s">
        <v>1797</v>
      </c>
      <c r="Y413" s="185" t="s">
        <v>1789</v>
      </c>
      <c r="Z413"/>
    </row>
    <row r="414" spans="1:26">
      <c r="A414" s="185" t="s">
        <v>2121</v>
      </c>
      <c r="B414" s="185" t="s">
        <v>2125</v>
      </c>
      <c r="C414" s="185" t="s">
        <v>1792</v>
      </c>
      <c r="D414" s="185" t="s">
        <v>2126</v>
      </c>
      <c r="E414" s="185">
        <v>51952501</v>
      </c>
      <c r="F414" s="185" t="s">
        <v>1412</v>
      </c>
      <c r="G414" s="185" t="s">
        <v>2127</v>
      </c>
      <c r="H414" s="185" t="s">
        <v>1515</v>
      </c>
      <c r="I414" s="258" t="str">
        <f t="shared" si="19"/>
        <v>5</v>
      </c>
      <c r="J414" s="221">
        <f t="shared" si="20"/>
        <v>1678935</v>
      </c>
      <c r="K414" s="258">
        <f t="shared" si="21"/>
        <v>2</v>
      </c>
      <c r="L414" s="188">
        <v>1678935</v>
      </c>
      <c r="M414" s="188">
        <v>0</v>
      </c>
      <c r="N414" s="189">
        <v>830062853</v>
      </c>
      <c r="O414" t="s">
        <v>2128</v>
      </c>
      <c r="P414" s="187">
        <v>44980.925636574102</v>
      </c>
      <c r="Q414" s="186">
        <v>7211</v>
      </c>
      <c r="R414" s="185" t="s">
        <v>433</v>
      </c>
      <c r="S414" s="185" t="s">
        <v>1564</v>
      </c>
      <c r="T414"/>
      <c r="U414" t="str">
        <f>IF($L414&gt;0,VLOOKUP($E414,Valida!$A$1:$G$270,6,FALSE),IF($M414&gt;=0,VLOOKUP($E414,Valida!$A$1:$G$270,7,FALSE)))</f>
        <v>(+/-) Ganancia (pérdida)</v>
      </c>
      <c r="V414" s="190" t="str">
        <f>VLOOKUP(E414,Valida!$A$2:$K$271,4,FALSE)</f>
        <v>P&amp;L</v>
      </c>
      <c r="W414" s="185" t="s">
        <v>2024</v>
      </c>
      <c r="X414" s="185" t="s">
        <v>2025</v>
      </c>
      <c r="Y414" s="185" t="s">
        <v>1789</v>
      </c>
      <c r="Z414"/>
    </row>
    <row r="415" spans="1:26">
      <c r="A415" s="185" t="s">
        <v>2121</v>
      </c>
      <c r="B415" s="185" t="s">
        <v>2125</v>
      </c>
      <c r="C415" s="185" t="s">
        <v>1792</v>
      </c>
      <c r="D415" s="185" t="s">
        <v>2126</v>
      </c>
      <c r="E415" s="185">
        <v>24081001</v>
      </c>
      <c r="F415" s="185" t="s">
        <v>1670</v>
      </c>
      <c r="G415" s="185" t="s">
        <v>2127</v>
      </c>
      <c r="H415" s="185" t="s">
        <v>1515</v>
      </c>
      <c r="I415" s="258" t="str">
        <f t="shared" si="19"/>
        <v>2</v>
      </c>
      <c r="J415" s="221">
        <f t="shared" si="20"/>
        <v>318997</v>
      </c>
      <c r="K415" s="258">
        <f t="shared" si="21"/>
        <v>2</v>
      </c>
      <c r="L415" s="188">
        <v>318997</v>
      </c>
      <c r="M415" s="188">
        <v>0</v>
      </c>
      <c r="N415" s="189">
        <v>830062853</v>
      </c>
      <c r="O415" t="s">
        <v>2128</v>
      </c>
      <c r="P415" s="187">
        <v>44980.925636574102</v>
      </c>
      <c r="Q415" s="186">
        <v>7212</v>
      </c>
      <c r="R415" s="185" t="s">
        <v>433</v>
      </c>
      <c r="S415" s="185" t="s">
        <v>1564</v>
      </c>
      <c r="T415"/>
      <c r="U415" t="str">
        <f>IF($L415&gt;0,VLOOKUP($E415,Valida!$A$1:$G$270,6,FALSE),IF($M415&gt;=0,VLOOKUP($E415,Valida!$A$1:$G$270,7,FALSE)))</f>
        <v>(+/-) Ajustes por el incremento (disminución) de cuentas por pagar de origen comercial</v>
      </c>
      <c r="V415" s="190" t="str">
        <f>VLOOKUP(E415,Valida!$A$2:$K$271,4,FALSE)</f>
        <v>Trade and other payables</v>
      </c>
      <c r="W415" s="185" t="s">
        <v>2024</v>
      </c>
      <c r="X415" s="185" t="s">
        <v>2025</v>
      </c>
      <c r="Y415" s="185" t="s">
        <v>1789</v>
      </c>
      <c r="Z415"/>
    </row>
    <row r="416" spans="1:26">
      <c r="A416" s="185" t="s">
        <v>2121</v>
      </c>
      <c r="B416" s="185" t="s">
        <v>2125</v>
      </c>
      <c r="C416" s="185" t="s">
        <v>1792</v>
      </c>
      <c r="D416" s="185" t="s">
        <v>2126</v>
      </c>
      <c r="E416" s="185">
        <v>51952502</v>
      </c>
      <c r="F416" s="185" t="s">
        <v>1414</v>
      </c>
      <c r="G416" s="185" t="s">
        <v>2129</v>
      </c>
      <c r="H416" s="185" t="s">
        <v>1515</v>
      </c>
      <c r="I416" s="258" t="str">
        <f t="shared" si="19"/>
        <v>5</v>
      </c>
      <c r="J416" s="221">
        <f t="shared" si="20"/>
        <v>1830805</v>
      </c>
      <c r="K416" s="258">
        <f t="shared" si="21"/>
        <v>2</v>
      </c>
      <c r="L416" s="188">
        <v>1830805</v>
      </c>
      <c r="M416" s="188">
        <v>0</v>
      </c>
      <c r="N416" s="189">
        <v>830062853</v>
      </c>
      <c r="O416" t="s">
        <v>2128</v>
      </c>
      <c r="P416" s="187">
        <v>44980.925636574102</v>
      </c>
      <c r="Q416" s="186">
        <v>7213</v>
      </c>
      <c r="R416" s="185" t="s">
        <v>433</v>
      </c>
      <c r="S416" s="185" t="s">
        <v>1564</v>
      </c>
      <c r="T416"/>
      <c r="U416" t="str">
        <f>IF($L416&gt;0,VLOOKUP($E416,Valida!$A$1:$G$270,6,FALSE),IF($M416&gt;=0,VLOOKUP($E416,Valida!$A$1:$G$270,7,FALSE)))</f>
        <v>(+/-) Ganancia (pérdida)</v>
      </c>
      <c r="V416" s="190" t="str">
        <f>VLOOKUP(E416,Valida!$A$2:$K$271,4,FALSE)</f>
        <v>P&amp;L</v>
      </c>
      <c r="W416" s="185" t="s">
        <v>2024</v>
      </c>
      <c r="X416" s="185" t="s">
        <v>2025</v>
      </c>
      <c r="Y416" s="185" t="s">
        <v>1789</v>
      </c>
      <c r="Z416"/>
    </row>
    <row r="417" spans="1:26">
      <c r="A417" s="185" t="s">
        <v>2121</v>
      </c>
      <c r="B417" s="185" t="s">
        <v>2125</v>
      </c>
      <c r="C417" s="185" t="s">
        <v>1792</v>
      </c>
      <c r="D417" s="185" t="s">
        <v>2126</v>
      </c>
      <c r="E417" s="185">
        <v>24081005</v>
      </c>
      <c r="F417" s="185" t="s">
        <v>1688</v>
      </c>
      <c r="G417" s="185" t="s">
        <v>2129</v>
      </c>
      <c r="H417" s="185" t="s">
        <v>1515</v>
      </c>
      <c r="I417" s="258" t="str">
        <f t="shared" si="19"/>
        <v>2</v>
      </c>
      <c r="J417" s="221">
        <f t="shared" si="20"/>
        <v>91540</v>
      </c>
      <c r="K417" s="258">
        <f t="shared" si="21"/>
        <v>2</v>
      </c>
      <c r="L417" s="188">
        <v>91540</v>
      </c>
      <c r="M417" s="188">
        <v>0</v>
      </c>
      <c r="N417" s="189">
        <v>830062853</v>
      </c>
      <c r="O417" t="s">
        <v>2128</v>
      </c>
      <c r="P417" s="187">
        <v>44980.925636574102</v>
      </c>
      <c r="Q417" s="186">
        <v>7214</v>
      </c>
      <c r="R417" s="185" t="s">
        <v>433</v>
      </c>
      <c r="S417" s="185" t="s">
        <v>1564</v>
      </c>
      <c r="T417"/>
      <c r="U417" t="str">
        <f>IF($L417&gt;0,VLOOKUP($E417,Valida!$A$1:$G$270,6,FALSE),IF($M417&gt;=0,VLOOKUP($E417,Valida!$A$1:$G$270,7,FALSE)))</f>
        <v>(+/-) Ajustes por el incremento (disminución) de cuentas por pagar de origen comercial</v>
      </c>
      <c r="V417" s="190" t="str">
        <f>VLOOKUP(E417,Valida!$A$2:$K$271,4,FALSE)</f>
        <v>Trade and other payables</v>
      </c>
      <c r="W417" s="185" t="s">
        <v>2024</v>
      </c>
      <c r="X417" s="185" t="s">
        <v>2025</v>
      </c>
      <c r="Y417" s="185" t="s">
        <v>1789</v>
      </c>
      <c r="Z417"/>
    </row>
    <row r="418" spans="1:26">
      <c r="A418" s="185" t="s">
        <v>2121</v>
      </c>
      <c r="B418" s="185" t="s">
        <v>2125</v>
      </c>
      <c r="C418" s="185" t="s">
        <v>1792</v>
      </c>
      <c r="D418" s="185" t="s">
        <v>2126</v>
      </c>
      <c r="E418" s="185">
        <v>51952502</v>
      </c>
      <c r="F418" s="185" t="s">
        <v>1414</v>
      </c>
      <c r="G418" s="185" t="s">
        <v>2129</v>
      </c>
      <c r="H418" s="185" t="s">
        <v>1515</v>
      </c>
      <c r="I418" s="258" t="str">
        <f t="shared" si="19"/>
        <v>5</v>
      </c>
      <c r="J418" s="221">
        <f t="shared" si="20"/>
        <v>446820</v>
      </c>
      <c r="K418" s="258">
        <f t="shared" si="21"/>
        <v>2</v>
      </c>
      <c r="L418" s="188">
        <v>446820</v>
      </c>
      <c r="M418" s="188">
        <v>0</v>
      </c>
      <c r="N418" s="189">
        <v>830062853</v>
      </c>
      <c r="O418" t="s">
        <v>2128</v>
      </c>
      <c r="P418" s="187">
        <v>44980.925636574102</v>
      </c>
      <c r="Q418" s="186">
        <v>7215</v>
      </c>
      <c r="R418" s="185" t="s">
        <v>433</v>
      </c>
      <c r="S418" s="185" t="s">
        <v>1564</v>
      </c>
      <c r="T418"/>
      <c r="U418" t="str">
        <f>IF($L418&gt;0,VLOOKUP($E418,Valida!$A$1:$G$270,6,FALSE),IF($M418&gt;=0,VLOOKUP($E418,Valida!$A$1:$G$270,7,FALSE)))</f>
        <v>(+/-) Ganancia (pérdida)</v>
      </c>
      <c r="V418" s="190" t="str">
        <f>VLOOKUP(E418,Valida!$A$2:$K$271,4,FALSE)</f>
        <v>P&amp;L</v>
      </c>
      <c r="W418" s="185" t="s">
        <v>2024</v>
      </c>
      <c r="X418" s="185" t="s">
        <v>2025</v>
      </c>
      <c r="Y418" s="185" t="s">
        <v>1789</v>
      </c>
      <c r="Z418"/>
    </row>
    <row r="419" spans="1:26">
      <c r="A419" s="185" t="s">
        <v>2121</v>
      </c>
      <c r="B419" s="185" t="s">
        <v>2125</v>
      </c>
      <c r="C419" s="185" t="s">
        <v>1792</v>
      </c>
      <c r="D419" s="185" t="s">
        <v>2126</v>
      </c>
      <c r="E419" s="185">
        <v>24081001</v>
      </c>
      <c r="F419" s="185" t="s">
        <v>1670</v>
      </c>
      <c r="G419" s="185" t="s">
        <v>2129</v>
      </c>
      <c r="H419" s="185" t="s">
        <v>1515</v>
      </c>
      <c r="I419" s="258" t="str">
        <f t="shared" si="19"/>
        <v>2</v>
      </c>
      <c r="J419" s="221">
        <f t="shared" si="20"/>
        <v>84896</v>
      </c>
      <c r="K419" s="258">
        <f t="shared" si="21"/>
        <v>2</v>
      </c>
      <c r="L419" s="188">
        <v>84896</v>
      </c>
      <c r="M419" s="188">
        <v>0</v>
      </c>
      <c r="N419" s="189">
        <v>830062853</v>
      </c>
      <c r="O419" t="s">
        <v>2128</v>
      </c>
      <c r="P419" s="187">
        <v>44980.925636574102</v>
      </c>
      <c r="Q419" s="186">
        <v>7216</v>
      </c>
      <c r="R419" s="185" t="s">
        <v>433</v>
      </c>
      <c r="S419" s="185" t="s">
        <v>1564</v>
      </c>
      <c r="T419"/>
      <c r="U419" t="str">
        <f>IF($L419&gt;0,VLOOKUP($E419,Valida!$A$1:$G$270,6,FALSE),IF($M419&gt;=0,VLOOKUP($E419,Valida!$A$1:$G$270,7,FALSE)))</f>
        <v>(+/-) Ajustes por el incremento (disminución) de cuentas por pagar de origen comercial</v>
      </c>
      <c r="V419" s="190" t="str">
        <f>VLOOKUP(E419,Valida!$A$2:$K$271,4,FALSE)</f>
        <v>Trade and other payables</v>
      </c>
      <c r="W419" s="185" t="s">
        <v>2024</v>
      </c>
      <c r="X419" s="185" t="s">
        <v>2025</v>
      </c>
      <c r="Y419" s="185" t="s">
        <v>1789</v>
      </c>
      <c r="Z419"/>
    </row>
    <row r="420" spans="1:26">
      <c r="A420" s="185" t="s">
        <v>2121</v>
      </c>
      <c r="B420" s="185" t="s">
        <v>2125</v>
      </c>
      <c r="C420" s="185" t="s">
        <v>1792</v>
      </c>
      <c r="D420" s="185" t="s">
        <v>2126</v>
      </c>
      <c r="E420" s="185">
        <v>23654001</v>
      </c>
      <c r="F420" s="185" t="s">
        <v>622</v>
      </c>
      <c r="G420" s="185" t="s">
        <v>2130</v>
      </c>
      <c r="H420" s="185" t="s">
        <v>1628</v>
      </c>
      <c r="I420" s="258" t="str">
        <f t="shared" si="19"/>
        <v>2</v>
      </c>
      <c r="J420" s="221">
        <f t="shared" si="20"/>
        <v>-98914</v>
      </c>
      <c r="K420" s="258">
        <f t="shared" si="21"/>
        <v>2</v>
      </c>
      <c r="L420" s="188">
        <v>0</v>
      </c>
      <c r="M420" s="188">
        <v>98914</v>
      </c>
      <c r="N420" s="189">
        <v>830062853</v>
      </c>
      <c r="O420" t="s">
        <v>2128</v>
      </c>
      <c r="P420" s="187">
        <v>44980.925636574102</v>
      </c>
      <c r="Q420" s="186">
        <v>7217</v>
      </c>
      <c r="R420" s="185" t="s">
        <v>433</v>
      </c>
      <c r="S420" s="185" t="s">
        <v>1564</v>
      </c>
      <c r="T420"/>
      <c r="U420" t="str">
        <f>IF($L420&gt;0,VLOOKUP($E420,Valida!$A$1:$G$270,6,FALSE),IF($M420&gt;=0,VLOOKUP($E420,Valida!$A$1:$G$270,7,FALSE)))</f>
        <v>(+/-) Ajustes por el incremento (disminución) de cuentas por pagar de origen comercial</v>
      </c>
      <c r="V420" s="190" t="str">
        <f>VLOOKUP(E420,Valida!$A$2:$K$271,4,FALSE)</f>
        <v>Trade and other payables</v>
      </c>
      <c r="W420" s="185" t="s">
        <v>2024</v>
      </c>
      <c r="X420" s="185" t="s">
        <v>2025</v>
      </c>
      <c r="Y420" s="185" t="s">
        <v>1789</v>
      </c>
      <c r="Z420"/>
    </row>
    <row r="421" spans="1:26">
      <c r="A421" s="185" t="s">
        <v>2121</v>
      </c>
      <c r="B421" s="185" t="s">
        <v>2125</v>
      </c>
      <c r="C421" s="185" t="s">
        <v>1792</v>
      </c>
      <c r="D421" s="185" t="s">
        <v>2126</v>
      </c>
      <c r="E421" s="185">
        <v>23680504</v>
      </c>
      <c r="F421" s="185" t="s">
        <v>668</v>
      </c>
      <c r="G421" s="185" t="s">
        <v>2130</v>
      </c>
      <c r="H421" s="185" t="s">
        <v>1628</v>
      </c>
      <c r="I421" s="258" t="str">
        <f t="shared" si="19"/>
        <v>2</v>
      </c>
      <c r="J421" s="221">
        <f t="shared" si="20"/>
        <v>-43680</v>
      </c>
      <c r="K421" s="258">
        <f t="shared" si="21"/>
        <v>2</v>
      </c>
      <c r="L421" s="188">
        <v>0</v>
      </c>
      <c r="M421" s="188">
        <v>43680</v>
      </c>
      <c r="N421" s="189">
        <v>830062853</v>
      </c>
      <c r="O421" t="s">
        <v>2128</v>
      </c>
      <c r="P421" s="187">
        <v>44980.925636574102</v>
      </c>
      <c r="Q421" s="186">
        <v>7218</v>
      </c>
      <c r="R421" s="185" t="s">
        <v>433</v>
      </c>
      <c r="S421" s="185" t="s">
        <v>1564</v>
      </c>
      <c r="T421"/>
      <c r="U421" t="str">
        <f>IF($L421&gt;0,VLOOKUP($E421,Valida!$A$1:$G$270,6,FALSE),IF($M421&gt;=0,VLOOKUP($E421,Valida!$A$1:$G$270,7,FALSE)))</f>
        <v>(+/-) Ajustes por el incremento (disminución) de cuentas por pagar de origen comercial</v>
      </c>
      <c r="V421" s="190" t="str">
        <f>VLOOKUP(E421,Valida!$A$2:$K$271,4,FALSE)</f>
        <v>Trade and other payables</v>
      </c>
      <c r="W421" s="185" t="s">
        <v>2024</v>
      </c>
      <c r="X421" s="185" t="s">
        <v>2025</v>
      </c>
      <c r="Y421" s="185" t="s">
        <v>1789</v>
      </c>
      <c r="Z421"/>
    </row>
    <row r="422" spans="1:26">
      <c r="A422" s="185" t="s">
        <v>2121</v>
      </c>
      <c r="B422" s="185" t="s">
        <v>2125</v>
      </c>
      <c r="C422" s="185" t="s">
        <v>1792</v>
      </c>
      <c r="D422" s="185" t="s">
        <v>2126</v>
      </c>
      <c r="E422" s="185">
        <v>23359502</v>
      </c>
      <c r="F422" s="185" t="s">
        <v>547</v>
      </c>
      <c r="G422" s="185" t="s">
        <v>2130</v>
      </c>
      <c r="H422" s="185" t="s">
        <v>1628</v>
      </c>
      <c r="I422" s="258" t="str">
        <f t="shared" si="19"/>
        <v>2</v>
      </c>
      <c r="J422" s="221">
        <f t="shared" si="20"/>
        <v>-4309399</v>
      </c>
      <c r="K422" s="258">
        <f t="shared" si="21"/>
        <v>2</v>
      </c>
      <c r="L422" s="188">
        <v>0</v>
      </c>
      <c r="M422" s="188">
        <v>4309399</v>
      </c>
      <c r="N422" s="189">
        <v>830062853</v>
      </c>
      <c r="O422" t="s">
        <v>2128</v>
      </c>
      <c r="P422" s="187">
        <v>44980.925648148099</v>
      </c>
      <c r="Q422" s="186">
        <v>7219</v>
      </c>
      <c r="R422" s="185" t="s">
        <v>433</v>
      </c>
      <c r="S422" s="185" t="s">
        <v>1564</v>
      </c>
      <c r="T422"/>
      <c r="U422" t="str">
        <f>IF($L422&gt;0,VLOOKUP($E422,Valida!$A$1:$G$270,6,FALSE),IF($M422&gt;=0,VLOOKUP($E422,Valida!$A$1:$G$270,7,FALSE)))</f>
        <v>(+/-) Ajustes por el incremento (disminución) de cuentas por pagar de origen comercial</v>
      </c>
      <c r="V422" s="190" t="str">
        <f>VLOOKUP(E422,Valida!$A$2:$K$271,4,FALSE)</f>
        <v>Trade and other payables</v>
      </c>
      <c r="W422" s="185" t="s">
        <v>2024</v>
      </c>
      <c r="X422" s="185" t="s">
        <v>2025</v>
      </c>
      <c r="Y422" s="185" t="s">
        <v>1789</v>
      </c>
      <c r="Z422"/>
    </row>
    <row r="423" spans="1:26">
      <c r="A423" s="185" t="s">
        <v>2121</v>
      </c>
      <c r="B423" s="185" t="s">
        <v>2131</v>
      </c>
      <c r="C423" s="185" t="s">
        <v>1792</v>
      </c>
      <c r="D423" s="185" t="s">
        <v>2132</v>
      </c>
      <c r="E423" s="185">
        <v>51059501</v>
      </c>
      <c r="F423" s="185" t="s">
        <v>1129</v>
      </c>
      <c r="G423" s="185" t="s">
        <v>2119</v>
      </c>
      <c r="H423" s="185" t="s">
        <v>1515</v>
      </c>
      <c r="I423" s="258" t="str">
        <f t="shared" si="19"/>
        <v>5</v>
      </c>
      <c r="J423" s="221">
        <f t="shared" si="20"/>
        <v>117000</v>
      </c>
      <c r="K423" s="258">
        <f t="shared" si="21"/>
        <v>2</v>
      </c>
      <c r="L423" s="188">
        <v>117000</v>
      </c>
      <c r="M423" s="188">
        <v>0</v>
      </c>
      <c r="N423" s="189">
        <v>900170994</v>
      </c>
      <c r="O423" t="s">
        <v>2133</v>
      </c>
      <c r="P423" s="187">
        <v>44980.926655092597</v>
      </c>
      <c r="Q423" s="186">
        <v>7220</v>
      </c>
      <c r="R423" s="185" t="s">
        <v>1841</v>
      </c>
      <c r="S423" s="185" t="s">
        <v>1592</v>
      </c>
      <c r="T423"/>
      <c r="U423" t="str">
        <f>IF($L423&gt;0,VLOOKUP($E423,Valida!$A$1:$G$270,6,FALSE),IF($M423&gt;=0,VLOOKUP($E423,Valida!$A$1:$G$270,7,FALSE)))</f>
        <v>(+/-) Ganancia (pérdida)</v>
      </c>
      <c r="V423" s="190" t="str">
        <f>VLOOKUP(E423,Valida!$A$2:$K$271,4,FALSE)</f>
        <v>P&amp;L</v>
      </c>
      <c r="W423" s="185" t="s">
        <v>2030</v>
      </c>
      <c r="X423" s="185" t="s">
        <v>2031</v>
      </c>
      <c r="Y423" s="185" t="s">
        <v>1789</v>
      </c>
      <c r="Z423"/>
    </row>
    <row r="424" spans="1:26">
      <c r="A424" s="185" t="s">
        <v>2121</v>
      </c>
      <c r="B424" s="185" t="s">
        <v>2131</v>
      </c>
      <c r="C424" s="185" t="s">
        <v>1792</v>
      </c>
      <c r="D424" s="185" t="s">
        <v>2132</v>
      </c>
      <c r="E424" s="185">
        <v>23352503</v>
      </c>
      <c r="F424" s="185" t="s">
        <v>470</v>
      </c>
      <c r="G424" s="185" t="s">
        <v>2119</v>
      </c>
      <c r="H424" s="185" t="s">
        <v>1628</v>
      </c>
      <c r="I424" s="258" t="str">
        <f t="shared" si="19"/>
        <v>2</v>
      </c>
      <c r="J424" s="221">
        <f t="shared" si="20"/>
        <v>-117000</v>
      </c>
      <c r="K424" s="258">
        <f t="shared" si="21"/>
        <v>2</v>
      </c>
      <c r="L424" s="188">
        <v>0</v>
      </c>
      <c r="M424" s="188">
        <v>117000</v>
      </c>
      <c r="N424" s="189">
        <v>900170994</v>
      </c>
      <c r="O424" t="s">
        <v>2133</v>
      </c>
      <c r="P424" s="187">
        <v>44980.926655092597</v>
      </c>
      <c r="Q424" s="186">
        <v>7221</v>
      </c>
      <c r="R424" s="185" t="s">
        <v>1841</v>
      </c>
      <c r="S424" s="185" t="s">
        <v>1592</v>
      </c>
      <c r="T424"/>
      <c r="U424" t="str">
        <f>IF($L424&gt;0,VLOOKUP($E424,Valida!$A$1:$G$270,6,FALSE),IF($M424&gt;=0,VLOOKUP($E424,Valida!$A$1:$G$270,7,FALSE)))</f>
        <v>(+/-) Ajustes por el incremento (disminución) de cuentas por pagar de origen comercial</v>
      </c>
      <c r="V424" s="190" t="str">
        <f>VLOOKUP(E424,Valida!$A$2:$K$271,4,FALSE)</f>
        <v>Trade and other payables</v>
      </c>
      <c r="W424" s="185" t="s">
        <v>2030</v>
      </c>
      <c r="X424" s="185" t="s">
        <v>2031</v>
      </c>
      <c r="Y424" s="185" t="s">
        <v>1789</v>
      </c>
      <c r="Z424"/>
    </row>
    <row r="425" spans="1:26">
      <c r="A425" s="185" t="s">
        <v>1998</v>
      </c>
      <c r="B425" s="185" t="s">
        <v>2134</v>
      </c>
      <c r="C425" s="185" t="s">
        <v>1949</v>
      </c>
      <c r="D425" s="185" t="s">
        <v>2135</v>
      </c>
      <c r="E425" s="185">
        <v>112005</v>
      </c>
      <c r="F425" s="185" t="s">
        <v>24</v>
      </c>
      <c r="G425" s="185" t="s">
        <v>1921</v>
      </c>
      <c r="H425" s="185" t="s">
        <v>1515</v>
      </c>
      <c r="I425" s="258" t="str">
        <f t="shared" si="19"/>
        <v>1</v>
      </c>
      <c r="J425" s="221">
        <f t="shared" si="20"/>
        <v>45085363</v>
      </c>
      <c r="K425" s="258">
        <f t="shared" si="21"/>
        <v>2</v>
      </c>
      <c r="L425" s="188">
        <v>45085363</v>
      </c>
      <c r="M425" s="188">
        <v>0</v>
      </c>
      <c r="N425" s="189">
        <v>374795</v>
      </c>
      <c r="O425" t="s">
        <v>2134</v>
      </c>
      <c r="P425" s="187">
        <v>44980.9298263889</v>
      </c>
      <c r="Q425" s="186">
        <v>7222</v>
      </c>
      <c r="R425" s="185"/>
      <c r="S425" s="185" t="s">
        <v>1544</v>
      </c>
      <c r="T425" t="s">
        <v>1894</v>
      </c>
      <c r="U425" t="str">
        <f>IF($L425&gt;0,VLOOKUP($E425,Valida!$A$1:$G$270,6,FALSE),IF($M425&gt;=0,VLOOKUP($E425,Valida!$A$1:$G$270,7,FALSE)))</f>
        <v>Disponible</v>
      </c>
      <c r="V425" s="190" t="str">
        <f>VLOOKUP(E425,Valida!$A$2:$K$271,4,FALSE)</f>
        <v>Cash and equivalents</v>
      </c>
      <c r="W425" s="185" t="s">
        <v>1803</v>
      </c>
      <c r="X425" s="185"/>
      <c r="Y425" s="185"/>
      <c r="Z425"/>
    </row>
    <row r="426" spans="1:26">
      <c r="A426" s="185" t="s">
        <v>1998</v>
      </c>
      <c r="B426" s="185" t="s">
        <v>2134</v>
      </c>
      <c r="C426" s="185" t="s">
        <v>1949</v>
      </c>
      <c r="D426" s="185" t="s">
        <v>2135</v>
      </c>
      <c r="E426" s="185">
        <v>130510</v>
      </c>
      <c r="F426" s="185" t="s">
        <v>64</v>
      </c>
      <c r="G426" s="185" t="s">
        <v>1921</v>
      </c>
      <c r="H426" s="185" t="s">
        <v>1628</v>
      </c>
      <c r="I426" s="258" t="str">
        <f t="shared" si="19"/>
        <v>1</v>
      </c>
      <c r="J426" s="221">
        <f t="shared" si="20"/>
        <v>-45531065.799999997</v>
      </c>
      <c r="K426" s="258">
        <f t="shared" si="21"/>
        <v>2</v>
      </c>
      <c r="L426" s="188">
        <v>0</v>
      </c>
      <c r="M426" s="188">
        <v>45531065.799999997</v>
      </c>
      <c r="N426" s="189">
        <v>374795</v>
      </c>
      <c r="O426" t="s">
        <v>2134</v>
      </c>
      <c r="P426" s="187">
        <v>44980.9298263889</v>
      </c>
      <c r="Q426" s="186">
        <v>7223</v>
      </c>
      <c r="R426" s="185"/>
      <c r="S426" s="185" t="s">
        <v>1544</v>
      </c>
      <c r="T426"/>
      <c r="U426" t="str">
        <f>IF($L426&gt;0,VLOOKUP($E426,Valida!$A$1:$G$270,6,FALSE),IF($M426&gt;=0,VLOOKUP($E426,Valida!$A$1:$G$270,7,FALSE)))</f>
        <v>(+/-) Ajustes por la disminución (incremento) de cuentas por cobrar de origen comercial</v>
      </c>
      <c r="V426" s="190" t="str">
        <f>VLOOKUP(E426,Valida!$A$2:$K$271,4,FALSE)</f>
        <v>Trade and other receivables</v>
      </c>
      <c r="W426" s="185" t="s">
        <v>1803</v>
      </c>
      <c r="X426" s="185"/>
      <c r="Y426" s="185"/>
      <c r="Z426"/>
    </row>
    <row r="427" spans="1:26">
      <c r="A427" s="185" t="s">
        <v>1998</v>
      </c>
      <c r="B427" s="185" t="s">
        <v>2134</v>
      </c>
      <c r="C427" s="185" t="s">
        <v>1949</v>
      </c>
      <c r="D427" s="185" t="s">
        <v>2135</v>
      </c>
      <c r="E427" s="185">
        <v>42102001</v>
      </c>
      <c r="F427" s="185" t="s">
        <v>1712</v>
      </c>
      <c r="G427" s="185" t="s">
        <v>1921</v>
      </c>
      <c r="H427" s="185" t="s">
        <v>1515</v>
      </c>
      <c r="I427" s="258" t="str">
        <f t="shared" si="19"/>
        <v>4</v>
      </c>
      <c r="J427" s="221">
        <f t="shared" si="20"/>
        <v>445702.8</v>
      </c>
      <c r="K427" s="258">
        <f t="shared" si="21"/>
        <v>2</v>
      </c>
      <c r="L427" s="188">
        <v>445702.8</v>
      </c>
      <c r="M427" s="188">
        <v>0</v>
      </c>
      <c r="N427" s="189">
        <v>374795</v>
      </c>
      <c r="O427" t="s">
        <v>2134</v>
      </c>
      <c r="P427" s="187">
        <v>44980.9298263889</v>
      </c>
      <c r="Q427" s="186">
        <v>7224</v>
      </c>
      <c r="R427" s="185"/>
      <c r="S427" s="185" t="s">
        <v>1544</v>
      </c>
      <c r="T427"/>
      <c r="U427" t="str">
        <f>IF($L427&gt;0,VLOOKUP($E427,Valida!$A$1:$G$270,6,FALSE),IF($M427&gt;=0,VLOOKUP($E427,Valida!$A$1:$G$270,7,FALSE)))</f>
        <v>(+/-) Ganancia (pérdida)</v>
      </c>
      <c r="V427" s="190" t="str">
        <f>VLOOKUP(E427,Valida!$A$2:$K$271,4,FALSE)</f>
        <v>P&amp;L</v>
      </c>
      <c r="W427" s="185" t="s">
        <v>1803</v>
      </c>
      <c r="X427" s="185"/>
      <c r="Y427" s="185"/>
      <c r="Z427"/>
    </row>
    <row r="428" spans="1:26">
      <c r="A428" s="185" t="s">
        <v>2136</v>
      </c>
      <c r="B428" s="185" t="s">
        <v>2137</v>
      </c>
      <c r="C428" s="185" t="s">
        <v>1890</v>
      </c>
      <c r="D428" s="185" t="s">
        <v>2138</v>
      </c>
      <c r="E428" s="185">
        <v>250505</v>
      </c>
      <c r="F428" s="185" t="s">
        <v>767</v>
      </c>
      <c r="G428" s="185" t="s">
        <v>2139</v>
      </c>
      <c r="H428" s="185" t="s">
        <v>1515</v>
      </c>
      <c r="I428" s="258" t="str">
        <f t="shared" si="19"/>
        <v>2</v>
      </c>
      <c r="J428" s="221">
        <f t="shared" si="20"/>
        <v>1231080</v>
      </c>
      <c r="K428" s="258">
        <f t="shared" si="21"/>
        <v>1</v>
      </c>
      <c r="L428" s="188">
        <v>1231080</v>
      </c>
      <c r="M428" s="188">
        <v>0</v>
      </c>
      <c r="N428" s="189">
        <v>1130744136</v>
      </c>
      <c r="O428" t="s">
        <v>2137</v>
      </c>
      <c r="P428" s="187">
        <v>44980.936712962997</v>
      </c>
      <c r="Q428" s="186">
        <v>7227</v>
      </c>
      <c r="R428" s="185"/>
      <c r="S428" s="185" t="s">
        <v>1538</v>
      </c>
      <c r="T428"/>
      <c r="U428" t="str">
        <f>IF($L428&gt;0,VLOOKUP($E428,Valida!$A$1:$G$270,6,FALSE),IF($M428&gt;=0,VLOOKUP($E428,Valida!$A$1:$G$270,7,FALSE)))</f>
        <v>(+/-) Ajustes por el incremento (disminución) de cuentas por pagar de origen comercial</v>
      </c>
      <c r="V428" s="190" t="str">
        <f>VLOOKUP(E428,Valida!$A$2:$K$271,4,FALSE)</f>
        <v>Trade and other payables</v>
      </c>
      <c r="W428" s="185" t="s">
        <v>1909</v>
      </c>
      <c r="X428" s="185" t="s">
        <v>1910</v>
      </c>
      <c r="Y428" s="185" t="s">
        <v>1789</v>
      </c>
      <c r="Z428"/>
    </row>
    <row r="429" spans="1:26">
      <c r="A429" s="185" t="s">
        <v>2136</v>
      </c>
      <c r="B429" s="185" t="s">
        <v>2137</v>
      </c>
      <c r="C429" s="185" t="s">
        <v>1890</v>
      </c>
      <c r="D429" s="185" t="s">
        <v>2138</v>
      </c>
      <c r="E429" s="185">
        <v>112005</v>
      </c>
      <c r="F429" s="185" t="s">
        <v>24</v>
      </c>
      <c r="G429" s="185" t="s">
        <v>2139</v>
      </c>
      <c r="H429" s="185" t="s">
        <v>1628</v>
      </c>
      <c r="I429" s="258" t="str">
        <f t="shared" si="19"/>
        <v>1</v>
      </c>
      <c r="J429" s="221">
        <f t="shared" si="20"/>
        <v>-1231080</v>
      </c>
      <c r="K429" s="258">
        <f t="shared" si="21"/>
        <v>1</v>
      </c>
      <c r="L429" s="188">
        <v>0</v>
      </c>
      <c r="M429" s="188">
        <v>1231080</v>
      </c>
      <c r="N429" s="189">
        <v>1130744136</v>
      </c>
      <c r="O429" t="s">
        <v>2137</v>
      </c>
      <c r="P429" s="187">
        <v>44980.936712962997</v>
      </c>
      <c r="Q429" s="186">
        <v>7228</v>
      </c>
      <c r="R429" s="185"/>
      <c r="S429" s="185" t="s">
        <v>1538</v>
      </c>
      <c r="T429" t="s">
        <v>1894</v>
      </c>
      <c r="U429" t="str">
        <f>IF($L429&gt;0,VLOOKUP($E429,Valida!$A$1:$G$270,6,FALSE),IF($M429&gt;=0,VLOOKUP($E429,Valida!$A$1:$G$270,7,FALSE)))</f>
        <v>Disponible</v>
      </c>
      <c r="V429" s="190" t="str">
        <f>VLOOKUP(E429,Valida!$A$2:$K$271,4,FALSE)</f>
        <v>Cash and equivalents</v>
      </c>
      <c r="W429" s="185" t="s">
        <v>1909</v>
      </c>
      <c r="X429" s="185" t="s">
        <v>1910</v>
      </c>
      <c r="Y429" s="185" t="s">
        <v>1789</v>
      </c>
      <c r="Z429"/>
    </row>
    <row r="430" spans="1:26">
      <c r="A430" s="185" t="s">
        <v>2136</v>
      </c>
      <c r="B430" s="185" t="s">
        <v>2140</v>
      </c>
      <c r="C430" s="185" t="s">
        <v>1890</v>
      </c>
      <c r="D430" s="185" t="s">
        <v>2141</v>
      </c>
      <c r="E430" s="185">
        <v>250505</v>
      </c>
      <c r="F430" s="185" t="s">
        <v>767</v>
      </c>
      <c r="G430" s="185" t="s">
        <v>2139</v>
      </c>
      <c r="H430" s="185" t="s">
        <v>1515</v>
      </c>
      <c r="I430" s="258" t="str">
        <f t="shared" si="19"/>
        <v>2</v>
      </c>
      <c r="J430" s="221">
        <f t="shared" si="20"/>
        <v>1425262</v>
      </c>
      <c r="K430" s="258">
        <f t="shared" si="21"/>
        <v>1</v>
      </c>
      <c r="L430" s="188">
        <v>1425262</v>
      </c>
      <c r="M430" s="188">
        <v>0</v>
      </c>
      <c r="N430" s="189">
        <v>1023976635</v>
      </c>
      <c r="O430" t="s">
        <v>2140</v>
      </c>
      <c r="P430" s="187">
        <v>44980.9370486111</v>
      </c>
      <c r="Q430" s="186">
        <v>7229</v>
      </c>
      <c r="R430" s="185"/>
      <c r="S430" s="185" t="s">
        <v>1534</v>
      </c>
      <c r="T430"/>
      <c r="U430" t="str">
        <f>IF($L430&gt;0,VLOOKUP($E430,Valida!$A$1:$G$270,6,FALSE),IF($M430&gt;=0,VLOOKUP($E430,Valida!$A$1:$G$270,7,FALSE)))</f>
        <v>(+/-) Ajustes por el incremento (disminución) de cuentas por pagar de origen comercial</v>
      </c>
      <c r="V430" s="190" t="str">
        <f>VLOOKUP(E430,Valida!$A$2:$K$271,4,FALSE)</f>
        <v>Trade and other payables</v>
      </c>
      <c r="W430" s="185" t="s">
        <v>1971</v>
      </c>
      <c r="X430" s="185"/>
      <c r="Y430" s="185" t="s">
        <v>1972</v>
      </c>
      <c r="Z430"/>
    </row>
    <row r="431" spans="1:26">
      <c r="A431" s="185" t="s">
        <v>2136</v>
      </c>
      <c r="B431" s="185" t="s">
        <v>2140</v>
      </c>
      <c r="C431" s="185" t="s">
        <v>1890</v>
      </c>
      <c r="D431" s="185" t="s">
        <v>2141</v>
      </c>
      <c r="E431" s="185">
        <v>112005</v>
      </c>
      <c r="F431" s="185" t="s">
        <v>24</v>
      </c>
      <c r="G431" s="185" t="s">
        <v>2139</v>
      </c>
      <c r="H431" s="185" t="s">
        <v>1628</v>
      </c>
      <c r="I431" s="258" t="str">
        <f t="shared" si="19"/>
        <v>1</v>
      </c>
      <c r="J431" s="221">
        <f t="shared" si="20"/>
        <v>-1425262</v>
      </c>
      <c r="K431" s="258">
        <f t="shared" si="21"/>
        <v>1</v>
      </c>
      <c r="L431" s="188">
        <v>0</v>
      </c>
      <c r="M431" s="188">
        <v>1425262</v>
      </c>
      <c r="N431" s="189">
        <v>1023976635</v>
      </c>
      <c r="O431" t="s">
        <v>2140</v>
      </c>
      <c r="P431" s="187">
        <v>44980.9370486111</v>
      </c>
      <c r="Q431" s="186">
        <v>7230</v>
      </c>
      <c r="R431" s="185"/>
      <c r="S431" s="185" t="s">
        <v>1534</v>
      </c>
      <c r="T431" t="s">
        <v>1894</v>
      </c>
      <c r="U431" t="str">
        <f>IF($L431&gt;0,VLOOKUP($E431,Valida!$A$1:$G$270,6,FALSE),IF($M431&gt;=0,VLOOKUP($E431,Valida!$A$1:$G$270,7,FALSE)))</f>
        <v>Disponible</v>
      </c>
      <c r="V431" s="190" t="str">
        <f>VLOOKUP(E431,Valida!$A$2:$K$271,4,FALSE)</f>
        <v>Cash and equivalents</v>
      </c>
      <c r="W431" s="185" t="s">
        <v>1971</v>
      </c>
      <c r="X431" s="185"/>
      <c r="Y431" s="185" t="s">
        <v>1972</v>
      </c>
      <c r="Z431"/>
    </row>
    <row r="432" spans="1:26">
      <c r="A432" s="185" t="s">
        <v>2136</v>
      </c>
      <c r="B432" s="185" t="s">
        <v>2142</v>
      </c>
      <c r="C432" s="185" t="s">
        <v>1890</v>
      </c>
      <c r="D432" s="185" t="s">
        <v>2143</v>
      </c>
      <c r="E432" s="185">
        <v>250505</v>
      </c>
      <c r="F432" s="185" t="s">
        <v>767</v>
      </c>
      <c r="G432" s="185" t="s">
        <v>2139</v>
      </c>
      <c r="H432" s="185" t="s">
        <v>1515</v>
      </c>
      <c r="I432" s="258" t="str">
        <f t="shared" si="19"/>
        <v>2</v>
      </c>
      <c r="J432" s="221">
        <f t="shared" si="20"/>
        <v>1535860</v>
      </c>
      <c r="K432" s="258">
        <f t="shared" si="21"/>
        <v>1</v>
      </c>
      <c r="L432" s="188">
        <v>1535860</v>
      </c>
      <c r="M432" s="188">
        <v>0</v>
      </c>
      <c r="N432" s="189">
        <v>1010101811</v>
      </c>
      <c r="O432" t="s">
        <v>2142</v>
      </c>
      <c r="P432" s="187">
        <v>44980.937523148103</v>
      </c>
      <c r="Q432" s="186">
        <v>7231</v>
      </c>
      <c r="R432" s="185"/>
      <c r="S432" s="185" t="s">
        <v>1528</v>
      </c>
      <c r="T432"/>
      <c r="U432" t="str">
        <f>IF($L432&gt;0,VLOOKUP($E432,Valida!$A$1:$G$270,6,FALSE),IF($M432&gt;=0,VLOOKUP($E432,Valida!$A$1:$G$270,7,FALSE)))</f>
        <v>(+/-) Ajustes por el incremento (disminución) de cuentas por pagar de origen comercial</v>
      </c>
      <c r="V432" s="190" t="str">
        <f>VLOOKUP(E432,Valida!$A$2:$K$271,4,FALSE)</f>
        <v>Trade and other payables</v>
      </c>
      <c r="W432" s="185" t="s">
        <v>1967</v>
      </c>
      <c r="X432" s="185"/>
      <c r="Y432" s="185" t="s">
        <v>1789</v>
      </c>
      <c r="Z432"/>
    </row>
    <row r="433" spans="1:26">
      <c r="A433" s="185" t="s">
        <v>2136</v>
      </c>
      <c r="B433" s="185" t="s">
        <v>2142</v>
      </c>
      <c r="C433" s="185" t="s">
        <v>1890</v>
      </c>
      <c r="D433" s="185" t="s">
        <v>2143</v>
      </c>
      <c r="E433" s="185">
        <v>112005</v>
      </c>
      <c r="F433" s="185" t="s">
        <v>24</v>
      </c>
      <c r="G433" s="185" t="s">
        <v>2139</v>
      </c>
      <c r="H433" s="185" t="s">
        <v>1628</v>
      </c>
      <c r="I433" s="258" t="str">
        <f t="shared" si="19"/>
        <v>1</v>
      </c>
      <c r="J433" s="221">
        <f t="shared" si="20"/>
        <v>-1535860</v>
      </c>
      <c r="K433" s="258">
        <f t="shared" si="21"/>
        <v>1</v>
      </c>
      <c r="L433" s="188">
        <v>0</v>
      </c>
      <c r="M433" s="188">
        <v>1535860</v>
      </c>
      <c r="N433" s="189">
        <v>1010101811</v>
      </c>
      <c r="O433" t="s">
        <v>2142</v>
      </c>
      <c r="P433" s="187">
        <v>44980.937523148103</v>
      </c>
      <c r="Q433" s="186">
        <v>7232</v>
      </c>
      <c r="R433" s="185"/>
      <c r="S433" s="185" t="s">
        <v>1528</v>
      </c>
      <c r="T433" t="s">
        <v>1894</v>
      </c>
      <c r="U433" t="str">
        <f>IF($L433&gt;0,VLOOKUP($E433,Valida!$A$1:$G$270,6,FALSE),IF($M433&gt;=0,VLOOKUP($E433,Valida!$A$1:$G$270,7,FALSE)))</f>
        <v>Disponible</v>
      </c>
      <c r="V433" s="190" t="str">
        <f>VLOOKUP(E433,Valida!$A$2:$K$271,4,FALSE)</f>
        <v>Cash and equivalents</v>
      </c>
      <c r="W433" s="185" t="s">
        <v>1967</v>
      </c>
      <c r="X433" s="185"/>
      <c r="Y433" s="185" t="s">
        <v>1789</v>
      </c>
      <c r="Z433"/>
    </row>
    <row r="434" spans="1:26">
      <c r="A434" s="185" t="s">
        <v>2136</v>
      </c>
      <c r="B434" s="185" t="s">
        <v>2144</v>
      </c>
      <c r="C434" s="185" t="s">
        <v>1890</v>
      </c>
      <c r="D434" s="185" t="s">
        <v>2145</v>
      </c>
      <c r="E434" s="185">
        <v>250505</v>
      </c>
      <c r="F434" s="185" t="s">
        <v>767</v>
      </c>
      <c r="G434" s="185" t="s">
        <v>2139</v>
      </c>
      <c r="H434" s="185" t="s">
        <v>1515</v>
      </c>
      <c r="I434" s="258" t="str">
        <f t="shared" si="19"/>
        <v>2</v>
      </c>
      <c r="J434" s="221">
        <f t="shared" si="20"/>
        <v>1295644</v>
      </c>
      <c r="K434" s="258">
        <f t="shared" si="21"/>
        <v>1</v>
      </c>
      <c r="L434" s="188">
        <v>1295644</v>
      </c>
      <c r="M434" s="188">
        <v>0</v>
      </c>
      <c r="N434" s="189">
        <v>1000018061</v>
      </c>
      <c r="O434" t="s">
        <v>2144</v>
      </c>
      <c r="P434" s="187">
        <v>44980.942789351902</v>
      </c>
      <c r="Q434" s="186">
        <v>7233</v>
      </c>
      <c r="R434" s="185"/>
      <c r="S434" s="185" t="s">
        <v>1522</v>
      </c>
      <c r="T434"/>
      <c r="U434" t="str">
        <f>IF($L434&gt;0,VLOOKUP($E434,Valida!$A$1:$G$270,6,FALSE),IF($M434&gt;=0,VLOOKUP($E434,Valida!$A$1:$G$270,7,FALSE)))</f>
        <v>(+/-) Ajustes por el incremento (disminución) de cuentas por pagar de origen comercial</v>
      </c>
      <c r="V434" s="190" t="str">
        <f>VLOOKUP(E434,Valida!$A$2:$K$271,4,FALSE)</f>
        <v>Trade and other payables</v>
      </c>
      <c r="W434" s="185" t="s">
        <v>1978</v>
      </c>
      <c r="X434" s="185"/>
      <c r="Y434" s="185" t="s">
        <v>1789</v>
      </c>
      <c r="Z434"/>
    </row>
    <row r="435" spans="1:26">
      <c r="A435" s="185" t="s">
        <v>2136</v>
      </c>
      <c r="B435" s="185" t="s">
        <v>2144</v>
      </c>
      <c r="C435" s="185" t="s">
        <v>1890</v>
      </c>
      <c r="D435" s="185" t="s">
        <v>2145</v>
      </c>
      <c r="E435" s="185">
        <v>112005</v>
      </c>
      <c r="F435" s="185" t="s">
        <v>24</v>
      </c>
      <c r="G435" s="185" t="s">
        <v>2139</v>
      </c>
      <c r="H435" s="185" t="s">
        <v>1628</v>
      </c>
      <c r="I435" s="258" t="str">
        <f t="shared" si="19"/>
        <v>1</v>
      </c>
      <c r="J435" s="221">
        <f t="shared" si="20"/>
        <v>-1295644</v>
      </c>
      <c r="K435" s="258">
        <f t="shared" si="21"/>
        <v>1</v>
      </c>
      <c r="L435" s="188">
        <v>0</v>
      </c>
      <c r="M435" s="188">
        <v>1295644</v>
      </c>
      <c r="N435" s="189">
        <v>1000018061</v>
      </c>
      <c r="O435" t="s">
        <v>2144</v>
      </c>
      <c r="P435" s="187">
        <v>44980.942789351902</v>
      </c>
      <c r="Q435" s="186">
        <v>7234</v>
      </c>
      <c r="R435" s="185"/>
      <c r="S435" s="185" t="s">
        <v>1522</v>
      </c>
      <c r="T435" t="s">
        <v>1894</v>
      </c>
      <c r="U435" t="str">
        <f>IF($L435&gt;0,VLOOKUP($E435,Valida!$A$1:$G$270,6,FALSE),IF($M435&gt;=0,VLOOKUP($E435,Valida!$A$1:$G$270,7,FALSE)))</f>
        <v>Disponible</v>
      </c>
      <c r="V435" s="190" t="str">
        <f>VLOOKUP(E435,Valida!$A$2:$K$271,4,FALSE)</f>
        <v>Cash and equivalents</v>
      </c>
      <c r="W435" s="185" t="s">
        <v>1978</v>
      </c>
      <c r="X435" s="185"/>
      <c r="Y435" s="185" t="s">
        <v>1789</v>
      </c>
      <c r="Z435"/>
    </row>
    <row r="436" spans="1:26">
      <c r="A436" s="185" t="s">
        <v>2136</v>
      </c>
      <c r="B436" s="185" t="s">
        <v>2146</v>
      </c>
      <c r="C436" s="185" t="s">
        <v>1890</v>
      </c>
      <c r="D436" s="185" t="s">
        <v>2147</v>
      </c>
      <c r="E436" s="185">
        <v>250505</v>
      </c>
      <c r="F436" s="185" t="s">
        <v>767</v>
      </c>
      <c r="G436" s="185" t="s">
        <v>2139</v>
      </c>
      <c r="H436" s="185" t="s">
        <v>1515</v>
      </c>
      <c r="I436" s="258" t="str">
        <f t="shared" si="19"/>
        <v>2</v>
      </c>
      <c r="J436" s="221">
        <f t="shared" si="20"/>
        <v>1617451</v>
      </c>
      <c r="K436" s="258">
        <f t="shared" si="21"/>
        <v>1</v>
      </c>
      <c r="L436" s="188">
        <v>1617451</v>
      </c>
      <c r="M436" s="188">
        <v>0</v>
      </c>
      <c r="N436" s="189">
        <v>1000036375</v>
      </c>
      <c r="O436" t="s">
        <v>2146</v>
      </c>
      <c r="P436" s="187">
        <v>44980.943923611099</v>
      </c>
      <c r="Q436" s="186">
        <v>7235</v>
      </c>
      <c r="R436" s="185"/>
      <c r="S436" s="185" t="s">
        <v>1524</v>
      </c>
      <c r="T436"/>
      <c r="U436" t="str">
        <f>IF($L436&gt;0,VLOOKUP($E436,Valida!$A$1:$G$270,6,FALSE),IF($M436&gt;=0,VLOOKUP($E436,Valida!$A$1:$G$270,7,FALSE)))</f>
        <v>(+/-) Ajustes por el incremento (disminución) de cuentas por pagar de origen comercial</v>
      </c>
      <c r="V436" s="190" t="str">
        <f>VLOOKUP(E436,Valida!$A$2:$K$271,4,FALSE)</f>
        <v>Trade and other payables</v>
      </c>
      <c r="W436" s="185" t="s">
        <v>1983</v>
      </c>
      <c r="X436" s="185"/>
      <c r="Y436" s="185" t="s">
        <v>1789</v>
      </c>
      <c r="Z436"/>
    </row>
    <row r="437" spans="1:26">
      <c r="A437" s="185" t="s">
        <v>2136</v>
      </c>
      <c r="B437" s="185" t="s">
        <v>2146</v>
      </c>
      <c r="C437" s="185" t="s">
        <v>1890</v>
      </c>
      <c r="D437" s="185" t="s">
        <v>2147</v>
      </c>
      <c r="E437" s="185">
        <v>112005</v>
      </c>
      <c r="F437" s="185" t="s">
        <v>24</v>
      </c>
      <c r="G437" s="185" t="s">
        <v>2139</v>
      </c>
      <c r="H437" s="185" t="s">
        <v>1628</v>
      </c>
      <c r="I437" s="258" t="str">
        <f t="shared" si="19"/>
        <v>1</v>
      </c>
      <c r="J437" s="221">
        <f t="shared" si="20"/>
        <v>-1617451</v>
      </c>
      <c r="K437" s="258">
        <f t="shared" si="21"/>
        <v>1</v>
      </c>
      <c r="L437" s="188">
        <v>0</v>
      </c>
      <c r="M437" s="188">
        <v>1617451</v>
      </c>
      <c r="N437" s="189">
        <v>1000036375</v>
      </c>
      <c r="O437" t="s">
        <v>2146</v>
      </c>
      <c r="P437" s="187">
        <v>44980.943935185198</v>
      </c>
      <c r="Q437" s="186">
        <v>7236</v>
      </c>
      <c r="R437" s="185"/>
      <c r="S437" s="185" t="s">
        <v>1524</v>
      </c>
      <c r="T437" t="s">
        <v>1894</v>
      </c>
      <c r="U437" t="str">
        <f>IF($L437&gt;0,VLOOKUP($E437,Valida!$A$1:$G$270,6,FALSE),IF($M437&gt;=0,VLOOKUP($E437,Valida!$A$1:$G$270,7,FALSE)))</f>
        <v>Disponible</v>
      </c>
      <c r="V437" s="190" t="str">
        <f>VLOOKUP(E437,Valida!$A$2:$K$271,4,FALSE)</f>
        <v>Cash and equivalents</v>
      </c>
      <c r="W437" s="185" t="s">
        <v>1983</v>
      </c>
      <c r="X437" s="185"/>
      <c r="Y437" s="185" t="s">
        <v>1789</v>
      </c>
      <c r="Z437"/>
    </row>
    <row r="438" spans="1:26">
      <c r="A438" s="185" t="s">
        <v>2136</v>
      </c>
      <c r="B438" s="185" t="s">
        <v>2148</v>
      </c>
      <c r="C438" s="185" t="s">
        <v>1890</v>
      </c>
      <c r="D438" s="185" t="s">
        <v>2149</v>
      </c>
      <c r="E438" s="185">
        <v>236890</v>
      </c>
      <c r="F438" s="185" t="s">
        <v>1648</v>
      </c>
      <c r="G438" s="185" t="s">
        <v>2150</v>
      </c>
      <c r="H438" s="185" t="s">
        <v>1515</v>
      </c>
      <c r="I438" s="258" t="str">
        <f t="shared" si="19"/>
        <v>2</v>
      </c>
      <c r="J438" s="221">
        <f t="shared" si="20"/>
        <v>2712000</v>
      </c>
      <c r="K438" s="258">
        <f t="shared" si="21"/>
        <v>1</v>
      </c>
      <c r="L438" s="188">
        <v>2712000</v>
      </c>
      <c r="M438" s="188">
        <v>0</v>
      </c>
      <c r="N438" s="189">
        <v>901513634</v>
      </c>
      <c r="O438" t="s">
        <v>2148</v>
      </c>
      <c r="P438" s="187">
        <v>44980.944583333301</v>
      </c>
      <c r="Q438" s="186">
        <v>7237</v>
      </c>
      <c r="R438" s="185" t="s">
        <v>6</v>
      </c>
      <c r="S438" s="185" t="s">
        <v>1518</v>
      </c>
      <c r="T438"/>
      <c r="U438" t="str">
        <f>IF($L438&gt;0,VLOOKUP($E438,Valida!$A$1:$G$270,6,FALSE),IF($M438&gt;=0,VLOOKUP($E438,Valida!$A$1:$G$270,7,FALSE)))</f>
        <v>(+/-) Ajustes por el incremento (disminución) de cuentas por pagar de origen comercial</v>
      </c>
      <c r="V438" s="190" t="str">
        <f>VLOOKUP(E438,Valida!$A$2:$K$271,4,FALSE)</f>
        <v>Trade and other payables</v>
      </c>
      <c r="W438" s="185" t="s">
        <v>1787</v>
      </c>
      <c r="X438" s="185" t="s">
        <v>1788</v>
      </c>
      <c r="Y438" s="185" t="s">
        <v>1789</v>
      </c>
      <c r="Z438"/>
    </row>
    <row r="439" spans="1:26">
      <c r="A439" s="185" t="s">
        <v>2136</v>
      </c>
      <c r="B439" s="185" t="s">
        <v>2148</v>
      </c>
      <c r="C439" s="185" t="s">
        <v>1890</v>
      </c>
      <c r="D439" s="185" t="s">
        <v>2149</v>
      </c>
      <c r="E439" s="185">
        <v>112005</v>
      </c>
      <c r="F439" s="185" t="s">
        <v>24</v>
      </c>
      <c r="G439" s="185" t="s">
        <v>2150</v>
      </c>
      <c r="H439" s="185" t="s">
        <v>1628</v>
      </c>
      <c r="I439" s="258" t="str">
        <f t="shared" si="19"/>
        <v>1</v>
      </c>
      <c r="J439" s="221">
        <f t="shared" si="20"/>
        <v>-2712000</v>
      </c>
      <c r="K439" s="258">
        <f t="shared" si="21"/>
        <v>1</v>
      </c>
      <c r="L439" s="188">
        <v>0</v>
      </c>
      <c r="M439" s="188">
        <v>2712000</v>
      </c>
      <c r="N439" s="189">
        <v>899999061</v>
      </c>
      <c r="O439" t="s">
        <v>2148</v>
      </c>
      <c r="P439" s="187">
        <v>44980.944583333301</v>
      </c>
      <c r="Q439" s="186">
        <v>7238</v>
      </c>
      <c r="R439" s="185"/>
      <c r="S439" s="185" t="s">
        <v>1584</v>
      </c>
      <c r="T439" t="s">
        <v>1894</v>
      </c>
      <c r="U439" t="str">
        <f>IF($L439&gt;0,VLOOKUP($E439,Valida!$A$1:$G$270,6,FALSE),IF($M439&gt;=0,VLOOKUP($E439,Valida!$A$1:$G$270,7,FALSE)))</f>
        <v>Disponible</v>
      </c>
      <c r="V439" s="190" t="str">
        <f>VLOOKUP(E439,Valida!$A$2:$K$271,4,FALSE)</f>
        <v>Cash and equivalents</v>
      </c>
      <c r="W439" s="185" t="s">
        <v>1893</v>
      </c>
      <c r="X439" s="185"/>
      <c r="Y439" s="185" t="s">
        <v>1789</v>
      </c>
      <c r="Z439"/>
    </row>
    <row r="440" spans="1:26">
      <c r="A440" s="185" t="s">
        <v>2151</v>
      </c>
      <c r="B440" s="185" t="s">
        <v>2152</v>
      </c>
      <c r="C440" s="185" t="s">
        <v>1890</v>
      </c>
      <c r="D440" s="185" t="s">
        <v>2153</v>
      </c>
      <c r="E440" s="185">
        <v>23355007</v>
      </c>
      <c r="F440" s="185" t="s">
        <v>1638</v>
      </c>
      <c r="G440" s="185" t="s">
        <v>1921</v>
      </c>
      <c r="H440" s="185" t="s">
        <v>1515</v>
      </c>
      <c r="I440" s="258" t="str">
        <f t="shared" si="19"/>
        <v>2</v>
      </c>
      <c r="J440" s="221">
        <f t="shared" si="20"/>
        <v>164126.98000000001</v>
      </c>
      <c r="K440" s="258">
        <f t="shared" si="21"/>
        <v>1</v>
      </c>
      <c r="L440" s="188">
        <v>164126.98000000001</v>
      </c>
      <c r="M440" s="188">
        <v>0</v>
      </c>
      <c r="N440" s="189">
        <v>444444001</v>
      </c>
      <c r="O440" t="s">
        <v>2152</v>
      </c>
      <c r="P440" s="187">
        <v>44980.945659722202</v>
      </c>
      <c r="Q440" s="186">
        <v>7239</v>
      </c>
      <c r="R440" s="185"/>
      <c r="S440" s="185" t="s">
        <v>1548</v>
      </c>
      <c r="T440"/>
      <c r="U440" t="str">
        <f>IF($L440&gt;0,VLOOKUP($E440,Valida!$A$1:$G$270,6,FALSE),IF($M440&gt;=0,VLOOKUP($E440,Valida!$A$1:$G$270,7,FALSE)))</f>
        <v>(+/-) Ajustes por el incremento (disminución) de cuentas por pagar de origen comercial</v>
      </c>
      <c r="V440" s="190" t="str">
        <f>VLOOKUP(E440,Valida!$A$2:$K$271,4,FALSE)</f>
        <v>Trade and other payables</v>
      </c>
      <c r="W440" s="185"/>
      <c r="X440" s="185"/>
      <c r="Y440" s="185"/>
      <c r="Z440"/>
    </row>
    <row r="441" spans="1:26">
      <c r="A441" s="185" t="s">
        <v>2151</v>
      </c>
      <c r="B441" s="185" t="s">
        <v>2152</v>
      </c>
      <c r="C441" s="185" t="s">
        <v>1890</v>
      </c>
      <c r="D441" s="185" t="s">
        <v>2153</v>
      </c>
      <c r="E441" s="185">
        <v>112005</v>
      </c>
      <c r="F441" s="185" t="s">
        <v>24</v>
      </c>
      <c r="G441" s="185" t="s">
        <v>1921</v>
      </c>
      <c r="H441" s="185" t="s">
        <v>1628</v>
      </c>
      <c r="I441" s="258" t="str">
        <f t="shared" si="19"/>
        <v>1</v>
      </c>
      <c r="J441" s="221">
        <f t="shared" si="20"/>
        <v>-164126.98000000001</v>
      </c>
      <c r="K441" s="258">
        <f t="shared" si="21"/>
        <v>1</v>
      </c>
      <c r="L441" s="188">
        <v>0</v>
      </c>
      <c r="M441" s="188">
        <v>164126.98000000001</v>
      </c>
      <c r="N441" s="189">
        <v>444444001</v>
      </c>
      <c r="O441" t="s">
        <v>2152</v>
      </c>
      <c r="P441" s="187">
        <v>44980.945659722202</v>
      </c>
      <c r="Q441" s="186">
        <v>7240</v>
      </c>
      <c r="R441" s="185"/>
      <c r="S441" s="185" t="s">
        <v>1548</v>
      </c>
      <c r="T441" t="s">
        <v>1894</v>
      </c>
      <c r="U441" t="str">
        <f>IF($L441&gt;0,VLOOKUP($E441,Valida!$A$1:$G$270,6,FALSE),IF($M441&gt;=0,VLOOKUP($E441,Valida!$A$1:$G$270,7,FALSE)))</f>
        <v>Disponible</v>
      </c>
      <c r="V441" s="190" t="str">
        <f>VLOOKUP(E441,Valida!$A$2:$K$271,4,FALSE)</f>
        <v>Cash and equivalents</v>
      </c>
      <c r="W441" s="185"/>
      <c r="X441" s="185"/>
      <c r="Y441" s="185"/>
      <c r="Z441"/>
    </row>
    <row r="442" spans="1:26">
      <c r="A442" s="185" t="s">
        <v>2151</v>
      </c>
      <c r="B442" s="185" t="s">
        <v>2154</v>
      </c>
      <c r="C442" s="185" t="s">
        <v>1792</v>
      </c>
      <c r="D442" s="185" t="s">
        <v>2155</v>
      </c>
      <c r="E442" s="185">
        <v>51350504</v>
      </c>
      <c r="F442" s="185" t="s">
        <v>1638</v>
      </c>
      <c r="G442" s="185" t="s">
        <v>2097</v>
      </c>
      <c r="H442" s="185" t="s">
        <v>1515</v>
      </c>
      <c r="I442" s="258" t="str">
        <f t="shared" si="19"/>
        <v>5</v>
      </c>
      <c r="J442" s="221">
        <f t="shared" si="20"/>
        <v>164126.98000000001</v>
      </c>
      <c r="K442" s="258">
        <f t="shared" si="21"/>
        <v>1</v>
      </c>
      <c r="L442" s="188">
        <v>164126.98000000001</v>
      </c>
      <c r="M442" s="188">
        <v>0</v>
      </c>
      <c r="N442" s="189">
        <v>444444001</v>
      </c>
      <c r="O442" t="s">
        <v>2154</v>
      </c>
      <c r="P442" s="187">
        <v>44980.946493055599</v>
      </c>
      <c r="Q442" s="186">
        <v>7241</v>
      </c>
      <c r="R442" s="185"/>
      <c r="S442" s="185" t="s">
        <v>1548</v>
      </c>
      <c r="T442"/>
      <c r="U442" t="str">
        <f>IF($L442&gt;0,VLOOKUP($E442,Valida!$A$1:$G$270,6,FALSE),IF($M442&gt;=0,VLOOKUP($E442,Valida!$A$1:$G$270,7,FALSE)))</f>
        <v>(+/-) Ganancia (pérdida)</v>
      </c>
      <c r="V442" s="190" t="str">
        <f>VLOOKUP(E442,Valida!$A$2:$K$271,4,FALSE)</f>
        <v>P&amp;L</v>
      </c>
      <c r="W442" s="185"/>
      <c r="X442" s="185"/>
      <c r="Y442" s="185"/>
      <c r="Z442"/>
    </row>
    <row r="443" spans="1:26">
      <c r="A443" s="185" t="s">
        <v>2151</v>
      </c>
      <c r="B443" s="185" t="s">
        <v>2154</v>
      </c>
      <c r="C443" s="185" t="s">
        <v>1792</v>
      </c>
      <c r="D443" s="185" t="s">
        <v>2155</v>
      </c>
      <c r="E443" s="185">
        <v>23355007</v>
      </c>
      <c r="F443" s="185" t="s">
        <v>1638</v>
      </c>
      <c r="G443" s="185" t="s">
        <v>2097</v>
      </c>
      <c r="H443" s="185" t="s">
        <v>1628</v>
      </c>
      <c r="I443" s="258" t="str">
        <f t="shared" si="19"/>
        <v>2</v>
      </c>
      <c r="J443" s="221">
        <f t="shared" si="20"/>
        <v>-164126.98000000001</v>
      </c>
      <c r="K443" s="258">
        <f t="shared" si="21"/>
        <v>1</v>
      </c>
      <c r="L443" s="188">
        <v>0</v>
      </c>
      <c r="M443" s="188">
        <v>164126.98000000001</v>
      </c>
      <c r="N443" s="189">
        <v>444444001</v>
      </c>
      <c r="O443" t="s">
        <v>2154</v>
      </c>
      <c r="P443" s="187">
        <v>44980.946493055599</v>
      </c>
      <c r="Q443" s="186">
        <v>7242</v>
      </c>
      <c r="R443" s="185"/>
      <c r="S443" s="185" t="s">
        <v>1548</v>
      </c>
      <c r="T443"/>
      <c r="U443" t="str">
        <f>IF($L443&gt;0,VLOOKUP($E443,Valida!$A$1:$G$270,6,FALSE),IF($M443&gt;=0,VLOOKUP($E443,Valida!$A$1:$G$270,7,FALSE)))</f>
        <v>(+/-) Ajustes por el incremento (disminución) de cuentas por pagar de origen comercial</v>
      </c>
      <c r="V443" s="190" t="str">
        <f>VLOOKUP(E443,Valida!$A$2:$K$271,4,FALSE)</f>
        <v>Trade and other payables</v>
      </c>
      <c r="W443" s="185"/>
      <c r="X443" s="185"/>
      <c r="Y443" s="185"/>
      <c r="Z443"/>
    </row>
    <row r="444" spans="1:26">
      <c r="A444" s="185" t="s">
        <v>1799</v>
      </c>
      <c r="B444" s="185" t="s">
        <v>2156</v>
      </c>
      <c r="C444" s="185" t="s">
        <v>1890</v>
      </c>
      <c r="D444" s="185" t="s">
        <v>2157</v>
      </c>
      <c r="E444" s="185">
        <v>23359505</v>
      </c>
      <c r="F444" s="185" t="s">
        <v>557</v>
      </c>
      <c r="G444" s="185" t="s">
        <v>1921</v>
      </c>
      <c r="H444" s="185" t="s">
        <v>1515</v>
      </c>
      <c r="I444" s="258" t="str">
        <f t="shared" si="19"/>
        <v>2</v>
      </c>
      <c r="J444" s="221">
        <f t="shared" si="20"/>
        <v>510629</v>
      </c>
      <c r="K444" s="258">
        <f t="shared" si="21"/>
        <v>1</v>
      </c>
      <c r="L444" s="188">
        <v>510629</v>
      </c>
      <c r="M444" s="188">
        <v>0</v>
      </c>
      <c r="N444" s="189">
        <v>901051438</v>
      </c>
      <c r="O444" t="s">
        <v>2156</v>
      </c>
      <c r="P444" s="187">
        <v>44980.949780092596</v>
      </c>
      <c r="Q444" s="186">
        <v>7243</v>
      </c>
      <c r="R444" s="185" t="s">
        <v>1841</v>
      </c>
      <c r="S444" s="185" t="s">
        <v>1608</v>
      </c>
      <c r="T444"/>
      <c r="U444" t="str">
        <f>IF($L444&gt;0,VLOOKUP($E444,Valida!$A$1:$G$270,6,FALSE),IF($M444&gt;=0,VLOOKUP($E444,Valida!$A$1:$G$270,7,FALSE)))</f>
        <v>(+/-) Ajustes por el incremento (disminución) de cuentas por pagar de origen comercial</v>
      </c>
      <c r="V444" s="190" t="str">
        <f>VLOOKUP(E444,Valida!$A$2:$K$271,4,FALSE)</f>
        <v>Trade and other payables</v>
      </c>
      <c r="W444" s="185" t="s">
        <v>1878</v>
      </c>
      <c r="X444" s="185" t="s">
        <v>1879</v>
      </c>
      <c r="Y444" s="185" t="s">
        <v>1789</v>
      </c>
      <c r="Z444"/>
    </row>
    <row r="445" spans="1:26">
      <c r="A445" s="185" t="s">
        <v>1799</v>
      </c>
      <c r="B445" s="185" t="s">
        <v>2156</v>
      </c>
      <c r="C445" s="185" t="s">
        <v>1890</v>
      </c>
      <c r="D445" s="185" t="s">
        <v>2157</v>
      </c>
      <c r="E445" s="185">
        <v>112005</v>
      </c>
      <c r="F445" s="185" t="s">
        <v>24</v>
      </c>
      <c r="G445" s="185" t="s">
        <v>1921</v>
      </c>
      <c r="H445" s="185" t="s">
        <v>1628</v>
      </c>
      <c r="I445" s="258" t="str">
        <f t="shared" si="19"/>
        <v>1</v>
      </c>
      <c r="J445" s="221">
        <f t="shared" si="20"/>
        <v>-495756</v>
      </c>
      <c r="K445" s="258">
        <f t="shared" si="21"/>
        <v>1</v>
      </c>
      <c r="L445" s="188">
        <v>0</v>
      </c>
      <c r="M445" s="188">
        <v>495756</v>
      </c>
      <c r="N445" s="189">
        <v>901051438</v>
      </c>
      <c r="O445" t="s">
        <v>2156</v>
      </c>
      <c r="P445" s="187">
        <v>44980.949780092596</v>
      </c>
      <c r="Q445" s="186">
        <v>7244</v>
      </c>
      <c r="R445" s="185" t="s">
        <v>1841</v>
      </c>
      <c r="S445" s="185" t="s">
        <v>1608</v>
      </c>
      <c r="T445" t="s">
        <v>1894</v>
      </c>
      <c r="U445" t="str">
        <f>IF($L445&gt;0,VLOOKUP($E445,Valida!$A$1:$G$270,6,FALSE),IF($M445&gt;=0,VLOOKUP($E445,Valida!$A$1:$G$270,7,FALSE)))</f>
        <v>Disponible</v>
      </c>
      <c r="V445" s="190" t="str">
        <f>VLOOKUP(E445,Valida!$A$2:$K$271,4,FALSE)</f>
        <v>Cash and equivalents</v>
      </c>
      <c r="W445" s="185" t="s">
        <v>1878</v>
      </c>
      <c r="X445" s="185" t="s">
        <v>1879</v>
      </c>
      <c r="Y445" s="185" t="s">
        <v>1789</v>
      </c>
      <c r="Z445"/>
    </row>
    <row r="446" spans="1:26">
      <c r="A446" s="185" t="s">
        <v>1799</v>
      </c>
      <c r="B446" s="185" t="s">
        <v>2156</v>
      </c>
      <c r="C446" s="185" t="s">
        <v>1890</v>
      </c>
      <c r="D446" s="185" t="s">
        <v>2157</v>
      </c>
      <c r="E446" s="185">
        <v>112005</v>
      </c>
      <c r="F446" s="185" t="s">
        <v>24</v>
      </c>
      <c r="G446" s="185" t="s">
        <v>1921</v>
      </c>
      <c r="H446" s="185" t="s">
        <v>1628</v>
      </c>
      <c r="I446" s="258" t="str">
        <f t="shared" si="19"/>
        <v>1</v>
      </c>
      <c r="J446" s="221">
        <f t="shared" si="20"/>
        <v>-14873</v>
      </c>
      <c r="K446" s="258">
        <f t="shared" si="21"/>
        <v>1</v>
      </c>
      <c r="L446" s="188">
        <v>0</v>
      </c>
      <c r="M446" s="188">
        <v>14873</v>
      </c>
      <c r="N446" s="189">
        <v>901051438</v>
      </c>
      <c r="O446" t="s">
        <v>2156</v>
      </c>
      <c r="P446" s="187">
        <v>44980.949780092596</v>
      </c>
      <c r="Q446" s="186">
        <v>7245</v>
      </c>
      <c r="R446" s="185" t="s">
        <v>1841</v>
      </c>
      <c r="S446" s="185" t="s">
        <v>1608</v>
      </c>
      <c r="T446" t="s">
        <v>1894</v>
      </c>
      <c r="U446" t="str">
        <f>IF($L446&gt;0,VLOOKUP($E446,Valida!$A$1:$G$270,6,FALSE),IF($M446&gt;=0,VLOOKUP($E446,Valida!$A$1:$G$270,7,FALSE)))</f>
        <v>Disponible</v>
      </c>
      <c r="V446" s="190" t="str">
        <f>VLOOKUP(E446,Valida!$A$2:$K$271,4,FALSE)</f>
        <v>Cash and equivalents</v>
      </c>
      <c r="W446" s="185" t="s">
        <v>1878</v>
      </c>
      <c r="X446" s="185" t="s">
        <v>1879</v>
      </c>
      <c r="Y446" s="185" t="s">
        <v>1789</v>
      </c>
      <c r="Z446"/>
    </row>
    <row r="447" spans="1:26">
      <c r="A447" s="185" t="s">
        <v>1799</v>
      </c>
      <c r="B447" s="185" t="s">
        <v>2158</v>
      </c>
      <c r="C447" s="185" t="s">
        <v>1890</v>
      </c>
      <c r="D447" s="185" t="s">
        <v>2159</v>
      </c>
      <c r="E447" s="185">
        <v>23355004</v>
      </c>
      <c r="F447" s="185" t="s">
        <v>513</v>
      </c>
      <c r="G447" s="185" t="s">
        <v>1921</v>
      </c>
      <c r="H447" s="185" t="s">
        <v>1515</v>
      </c>
      <c r="I447" s="258" t="str">
        <f t="shared" si="19"/>
        <v>2</v>
      </c>
      <c r="J447" s="221">
        <f t="shared" si="20"/>
        <v>2220953</v>
      </c>
      <c r="K447" s="258">
        <f t="shared" si="21"/>
        <v>1</v>
      </c>
      <c r="L447" s="188">
        <v>2220953</v>
      </c>
      <c r="M447" s="188">
        <v>0</v>
      </c>
      <c r="N447" s="189">
        <v>900994552</v>
      </c>
      <c r="O447" t="s">
        <v>2158</v>
      </c>
      <c r="P447" s="187">
        <v>44980.951620370397</v>
      </c>
      <c r="Q447" s="186">
        <v>7246</v>
      </c>
      <c r="R447" s="185" t="s">
        <v>844</v>
      </c>
      <c r="S447" s="185" t="s">
        <v>1606</v>
      </c>
      <c r="T447"/>
      <c r="U447" t="str">
        <f>IF($L447&gt;0,VLOOKUP($E447,Valida!$A$1:$G$270,6,FALSE),IF($M447&gt;=0,VLOOKUP($E447,Valida!$A$1:$G$270,7,FALSE)))</f>
        <v>(+/-) Ajustes por el incremento (disminución) de cuentas por pagar de origen comercial</v>
      </c>
      <c r="V447" s="190" t="str">
        <f>VLOOKUP(E447,Valida!$A$2:$K$271,4,FALSE)</f>
        <v>Trade and other payables</v>
      </c>
      <c r="W447" s="185" t="s">
        <v>1796</v>
      </c>
      <c r="X447" s="185" t="s">
        <v>1797</v>
      </c>
      <c r="Y447" s="185" t="s">
        <v>1789</v>
      </c>
      <c r="Z447"/>
    </row>
    <row r="448" spans="1:26">
      <c r="A448" s="185" t="s">
        <v>1799</v>
      </c>
      <c r="B448" s="185" t="s">
        <v>2158</v>
      </c>
      <c r="C448" s="185" t="s">
        <v>1890</v>
      </c>
      <c r="D448" s="185" t="s">
        <v>2159</v>
      </c>
      <c r="E448" s="185">
        <v>112005</v>
      </c>
      <c r="F448" s="185" t="s">
        <v>24</v>
      </c>
      <c r="G448" s="185" t="s">
        <v>1921</v>
      </c>
      <c r="H448" s="185" t="s">
        <v>1628</v>
      </c>
      <c r="I448" s="258" t="str">
        <f t="shared" si="19"/>
        <v>1</v>
      </c>
      <c r="J448" s="221">
        <f t="shared" si="20"/>
        <v>-2218968</v>
      </c>
      <c r="K448" s="258">
        <f t="shared" si="21"/>
        <v>1</v>
      </c>
      <c r="L448" s="188">
        <v>0</v>
      </c>
      <c r="M448" s="188">
        <v>2218968</v>
      </c>
      <c r="N448" s="189">
        <v>900994552</v>
      </c>
      <c r="O448" t="s">
        <v>2158</v>
      </c>
      <c r="P448" s="187">
        <v>44980.951620370397</v>
      </c>
      <c r="Q448" s="186">
        <v>7247</v>
      </c>
      <c r="R448" s="185" t="s">
        <v>844</v>
      </c>
      <c r="S448" s="185" t="s">
        <v>1606</v>
      </c>
      <c r="T448" t="s">
        <v>1894</v>
      </c>
      <c r="U448" t="str">
        <f>IF($L448&gt;0,VLOOKUP($E448,Valida!$A$1:$G$270,6,FALSE),IF($M448&gt;=0,VLOOKUP($E448,Valida!$A$1:$G$270,7,FALSE)))</f>
        <v>Disponible</v>
      </c>
      <c r="V448" s="190" t="str">
        <f>VLOOKUP(E448,Valida!$A$2:$K$271,4,FALSE)</f>
        <v>Cash and equivalents</v>
      </c>
      <c r="W448" s="185" t="s">
        <v>1796</v>
      </c>
      <c r="X448" s="185" t="s">
        <v>1797</v>
      </c>
      <c r="Y448" s="185" t="s">
        <v>1789</v>
      </c>
      <c r="Z448"/>
    </row>
    <row r="449" spans="1:26">
      <c r="A449" s="185" t="s">
        <v>1799</v>
      </c>
      <c r="B449" s="185" t="s">
        <v>2158</v>
      </c>
      <c r="C449" s="185" t="s">
        <v>1890</v>
      </c>
      <c r="D449" s="185" t="s">
        <v>2159</v>
      </c>
      <c r="E449" s="185">
        <v>421040</v>
      </c>
      <c r="F449" s="185" t="s">
        <v>1054</v>
      </c>
      <c r="G449" s="185" t="s">
        <v>1921</v>
      </c>
      <c r="H449" s="185" t="s">
        <v>1628</v>
      </c>
      <c r="I449" s="258" t="str">
        <f t="shared" si="19"/>
        <v>4</v>
      </c>
      <c r="J449" s="221">
        <f t="shared" si="20"/>
        <v>-1985</v>
      </c>
      <c r="K449" s="258">
        <f t="shared" si="21"/>
        <v>1</v>
      </c>
      <c r="L449" s="188">
        <v>0</v>
      </c>
      <c r="M449" s="188">
        <v>1985</v>
      </c>
      <c r="N449" s="189">
        <v>900994552</v>
      </c>
      <c r="O449" t="s">
        <v>2158</v>
      </c>
      <c r="P449" s="187">
        <v>44980.951620370397</v>
      </c>
      <c r="Q449" s="186">
        <v>7248</v>
      </c>
      <c r="R449" s="185" t="s">
        <v>844</v>
      </c>
      <c r="S449" s="185" t="s">
        <v>1606</v>
      </c>
      <c r="T449"/>
      <c r="U449" t="str">
        <f>IF($L449&gt;0,VLOOKUP($E449,Valida!$A$1:$G$270,6,FALSE),IF($M449&gt;=0,VLOOKUP($E449,Valida!$A$1:$G$270,7,FALSE)))</f>
        <v>(+/-) Ganancia (pérdida)</v>
      </c>
      <c r="V449" s="190" t="str">
        <f>VLOOKUP(E449,Valida!$A$2:$K$271,4,FALSE)</f>
        <v>P&amp;L</v>
      </c>
      <c r="W449" s="185" t="s">
        <v>1796</v>
      </c>
      <c r="X449" s="185" t="s">
        <v>1797</v>
      </c>
      <c r="Y449" s="185" t="s">
        <v>1789</v>
      </c>
      <c r="Z449"/>
    </row>
    <row r="450" spans="1:26">
      <c r="A450" s="185" t="s">
        <v>1799</v>
      </c>
      <c r="B450" s="185" t="s">
        <v>2160</v>
      </c>
      <c r="C450" s="185" t="s">
        <v>1890</v>
      </c>
      <c r="D450" s="185" t="s">
        <v>2161</v>
      </c>
      <c r="E450" s="185">
        <v>23355006</v>
      </c>
      <c r="F450" s="185" t="s">
        <v>519</v>
      </c>
      <c r="G450" s="185" t="s">
        <v>1921</v>
      </c>
      <c r="H450" s="185" t="s">
        <v>1515</v>
      </c>
      <c r="I450" s="258" t="str">
        <f t="shared" si="19"/>
        <v>2</v>
      </c>
      <c r="J450" s="221">
        <f t="shared" si="20"/>
        <v>1457040</v>
      </c>
      <c r="K450" s="258">
        <f t="shared" si="21"/>
        <v>1</v>
      </c>
      <c r="L450" s="188">
        <v>1457040</v>
      </c>
      <c r="M450" s="188">
        <v>0</v>
      </c>
      <c r="N450" s="189">
        <v>899999115</v>
      </c>
      <c r="O450" t="s">
        <v>2160</v>
      </c>
      <c r="P450" s="187">
        <v>44980.952476851897</v>
      </c>
      <c r="Q450" s="186">
        <v>7249</v>
      </c>
      <c r="R450" s="185" t="s">
        <v>1827</v>
      </c>
      <c r="S450" s="185" t="s">
        <v>1586</v>
      </c>
      <c r="T450"/>
      <c r="U450" t="str">
        <f>IF($L450&gt;0,VLOOKUP($E450,Valida!$A$1:$G$270,6,FALSE),IF($M450&gt;=0,VLOOKUP($E450,Valida!$A$1:$G$270,7,FALSE)))</f>
        <v>(+/-) Ajustes por el incremento (disminución) de cuentas por pagar de origen comercial</v>
      </c>
      <c r="V450" s="190" t="str">
        <f>VLOOKUP(E450,Valida!$A$2:$K$271,4,FALSE)</f>
        <v>Trade and other payables</v>
      </c>
      <c r="W450" s="185" t="s">
        <v>1828</v>
      </c>
      <c r="X450" s="185" t="s">
        <v>1829</v>
      </c>
      <c r="Y450" s="185" t="s">
        <v>1789</v>
      </c>
      <c r="Z450"/>
    </row>
    <row r="451" spans="1:26">
      <c r="A451" s="185" t="s">
        <v>1799</v>
      </c>
      <c r="B451" s="185" t="s">
        <v>2160</v>
      </c>
      <c r="C451" s="185" t="s">
        <v>1890</v>
      </c>
      <c r="D451" s="185" t="s">
        <v>2161</v>
      </c>
      <c r="E451" s="185">
        <v>112005</v>
      </c>
      <c r="F451" s="185" t="s">
        <v>24</v>
      </c>
      <c r="G451" s="185" t="s">
        <v>1921</v>
      </c>
      <c r="H451" s="185" t="s">
        <v>1628</v>
      </c>
      <c r="I451" s="258" t="str">
        <f t="shared" ref="I451:I514" si="22">LEFT(E451,1)</f>
        <v>1</v>
      </c>
      <c r="J451" s="221">
        <f t="shared" ref="J451:J514" si="23">L451-M451</f>
        <v>-1457040</v>
      </c>
      <c r="K451" s="258">
        <f t="shared" ref="K451:K514" si="24">MONTH(A451)</f>
        <v>1</v>
      </c>
      <c r="L451" s="188">
        <v>0</v>
      </c>
      <c r="M451" s="188">
        <v>1457040</v>
      </c>
      <c r="N451" s="189">
        <v>899999115</v>
      </c>
      <c r="O451" t="s">
        <v>2160</v>
      </c>
      <c r="P451" s="187">
        <v>44980.952476851897</v>
      </c>
      <c r="Q451" s="186">
        <v>7250</v>
      </c>
      <c r="R451" s="185" t="s">
        <v>1827</v>
      </c>
      <c r="S451" s="185" t="s">
        <v>1586</v>
      </c>
      <c r="T451" t="s">
        <v>1894</v>
      </c>
      <c r="U451" t="str">
        <f>IF($L451&gt;0,VLOOKUP($E451,Valida!$A$1:$G$270,6,FALSE),IF($M451&gt;=0,VLOOKUP($E451,Valida!$A$1:$G$270,7,FALSE)))</f>
        <v>Disponible</v>
      </c>
      <c r="V451" s="190" t="str">
        <f>VLOOKUP(E451,Valida!$A$2:$K$271,4,FALSE)</f>
        <v>Cash and equivalents</v>
      </c>
      <c r="W451" s="185" t="s">
        <v>1828</v>
      </c>
      <c r="X451" s="185" t="s">
        <v>1829</v>
      </c>
      <c r="Y451" s="185" t="s">
        <v>1789</v>
      </c>
      <c r="Z451"/>
    </row>
    <row r="452" spans="1:26">
      <c r="A452" s="185" t="s">
        <v>2162</v>
      </c>
      <c r="B452" s="185" t="s">
        <v>2163</v>
      </c>
      <c r="C452" s="185" t="s">
        <v>1890</v>
      </c>
      <c r="D452" s="185" t="s">
        <v>2164</v>
      </c>
      <c r="E452" s="185">
        <v>23355002</v>
      </c>
      <c r="F452" s="185" t="s">
        <v>506</v>
      </c>
      <c r="G452" s="185" t="s">
        <v>1921</v>
      </c>
      <c r="H452" s="185" t="s">
        <v>1515</v>
      </c>
      <c r="I452" s="258" t="str">
        <f t="shared" si="22"/>
        <v>2</v>
      </c>
      <c r="J452" s="221">
        <f t="shared" si="23"/>
        <v>112080.15</v>
      </c>
      <c r="K452" s="258">
        <f t="shared" si="24"/>
        <v>2</v>
      </c>
      <c r="L452" s="188">
        <v>112080.15</v>
      </c>
      <c r="M452" s="188">
        <v>0</v>
      </c>
      <c r="N452" s="189">
        <v>440493581</v>
      </c>
      <c r="O452" t="s">
        <v>2163</v>
      </c>
      <c r="P452" s="187">
        <v>44980.954618055599</v>
      </c>
      <c r="Q452" s="186">
        <v>7251</v>
      </c>
      <c r="R452" s="185"/>
      <c r="S452" s="185" t="s">
        <v>1546</v>
      </c>
      <c r="T452"/>
      <c r="U452" t="str">
        <f>IF($L452&gt;0,VLOOKUP($E452,Valida!$A$1:$G$270,6,FALSE),IF($M452&gt;=0,VLOOKUP($E452,Valida!$A$1:$G$270,7,FALSE)))</f>
        <v>(+/-) Ajustes por el incremento (disminución) de cuentas por pagar de origen comercial</v>
      </c>
      <c r="V452" s="190" t="str">
        <f>VLOOKUP(E452,Valida!$A$2:$K$271,4,FALSE)</f>
        <v>Trade and other payables</v>
      </c>
      <c r="W452" s="185" t="s">
        <v>1808</v>
      </c>
      <c r="X452" s="185"/>
      <c r="Y452" s="185"/>
      <c r="Z452"/>
    </row>
    <row r="453" spans="1:26">
      <c r="A453" s="185" t="s">
        <v>2162</v>
      </c>
      <c r="B453" s="185" t="s">
        <v>2163</v>
      </c>
      <c r="C453" s="185" t="s">
        <v>1890</v>
      </c>
      <c r="D453" s="185" t="s">
        <v>2164</v>
      </c>
      <c r="E453" s="185">
        <v>112005</v>
      </c>
      <c r="F453" s="185" t="s">
        <v>24</v>
      </c>
      <c r="G453" s="185" t="s">
        <v>1921</v>
      </c>
      <c r="H453" s="185" t="s">
        <v>1628</v>
      </c>
      <c r="I453" s="258" t="str">
        <f t="shared" si="22"/>
        <v>1</v>
      </c>
      <c r="J453" s="221">
        <f t="shared" si="23"/>
        <v>-112080.15</v>
      </c>
      <c r="K453" s="258">
        <f t="shared" si="24"/>
        <v>2</v>
      </c>
      <c r="L453" s="188">
        <v>0</v>
      </c>
      <c r="M453" s="188">
        <v>112080.15</v>
      </c>
      <c r="N453" s="189">
        <v>440493581</v>
      </c>
      <c r="O453" t="s">
        <v>2163</v>
      </c>
      <c r="P453" s="187">
        <v>44980.954618055599</v>
      </c>
      <c r="Q453" s="186">
        <v>7252</v>
      </c>
      <c r="R453" s="185"/>
      <c r="S453" s="185" t="s">
        <v>1546</v>
      </c>
      <c r="T453" t="s">
        <v>1894</v>
      </c>
      <c r="U453" t="str">
        <f>IF($L453&gt;0,VLOOKUP($E453,Valida!$A$1:$G$270,6,FALSE),IF($M453&gt;=0,VLOOKUP($E453,Valida!$A$1:$G$270,7,FALSE)))</f>
        <v>Disponible</v>
      </c>
      <c r="V453" s="190" t="str">
        <f>VLOOKUP(E453,Valida!$A$2:$K$271,4,FALSE)</f>
        <v>Cash and equivalents</v>
      </c>
      <c r="W453" s="185" t="s">
        <v>1808</v>
      </c>
      <c r="X453" s="185"/>
      <c r="Y453" s="185"/>
      <c r="Z453"/>
    </row>
    <row r="454" spans="1:26">
      <c r="A454" s="185" t="s">
        <v>2094</v>
      </c>
      <c r="B454" s="185" t="s">
        <v>2165</v>
      </c>
      <c r="C454" s="185" t="s">
        <v>1890</v>
      </c>
      <c r="D454" s="185" t="s">
        <v>2166</v>
      </c>
      <c r="E454" s="185">
        <v>23355007</v>
      </c>
      <c r="F454" s="185" t="s">
        <v>1638</v>
      </c>
      <c r="G454" s="185" t="s">
        <v>1921</v>
      </c>
      <c r="H454" s="185" t="s">
        <v>1515</v>
      </c>
      <c r="I454" s="258" t="str">
        <f t="shared" si="22"/>
        <v>2</v>
      </c>
      <c r="J454" s="221">
        <f t="shared" si="23"/>
        <v>221061.69</v>
      </c>
      <c r="K454" s="258">
        <f t="shared" si="24"/>
        <v>2</v>
      </c>
      <c r="L454" s="188">
        <v>221061.69</v>
      </c>
      <c r="M454" s="188">
        <v>0</v>
      </c>
      <c r="N454" s="189">
        <v>444444001</v>
      </c>
      <c r="O454" t="s">
        <v>2165</v>
      </c>
      <c r="P454" s="187">
        <v>44980.955208333296</v>
      </c>
      <c r="Q454" s="186">
        <v>7253</v>
      </c>
      <c r="R454" s="185"/>
      <c r="S454" s="185" t="s">
        <v>1548</v>
      </c>
      <c r="T454"/>
      <c r="U454" t="str">
        <f>IF($L454&gt;0,VLOOKUP($E454,Valida!$A$1:$G$270,6,FALSE),IF($M454&gt;=0,VLOOKUP($E454,Valida!$A$1:$G$270,7,FALSE)))</f>
        <v>(+/-) Ajustes por el incremento (disminución) de cuentas por pagar de origen comercial</v>
      </c>
      <c r="V454" s="190" t="str">
        <f>VLOOKUP(E454,Valida!$A$2:$K$271,4,FALSE)</f>
        <v>Trade and other payables</v>
      </c>
      <c r="W454" s="185"/>
      <c r="X454" s="185"/>
      <c r="Y454" s="185"/>
      <c r="Z454"/>
    </row>
    <row r="455" spans="1:26">
      <c r="A455" s="185" t="s">
        <v>2094</v>
      </c>
      <c r="B455" s="185" t="s">
        <v>2165</v>
      </c>
      <c r="C455" s="185" t="s">
        <v>1890</v>
      </c>
      <c r="D455" s="185" t="s">
        <v>2166</v>
      </c>
      <c r="E455" s="185">
        <v>112005</v>
      </c>
      <c r="F455" s="185" t="s">
        <v>24</v>
      </c>
      <c r="G455" s="185" t="s">
        <v>1921</v>
      </c>
      <c r="H455" s="185" t="s">
        <v>1628</v>
      </c>
      <c r="I455" s="258" t="str">
        <f t="shared" si="22"/>
        <v>1</v>
      </c>
      <c r="J455" s="221">
        <f t="shared" si="23"/>
        <v>-221061.69</v>
      </c>
      <c r="K455" s="258">
        <f t="shared" si="24"/>
        <v>2</v>
      </c>
      <c r="L455" s="188">
        <v>0</v>
      </c>
      <c r="M455" s="188">
        <v>221061.69</v>
      </c>
      <c r="N455" s="189">
        <v>444444001</v>
      </c>
      <c r="O455" t="s">
        <v>2165</v>
      </c>
      <c r="P455" s="187">
        <v>44980.955208333296</v>
      </c>
      <c r="Q455" s="186">
        <v>7254</v>
      </c>
      <c r="R455" s="185"/>
      <c r="S455" s="185" t="s">
        <v>1548</v>
      </c>
      <c r="T455" t="s">
        <v>1894</v>
      </c>
      <c r="U455" t="str">
        <f>IF($L455&gt;0,VLOOKUP($E455,Valida!$A$1:$G$270,6,FALSE),IF($M455&gt;=0,VLOOKUP($E455,Valida!$A$1:$G$270,7,FALSE)))</f>
        <v>Disponible</v>
      </c>
      <c r="V455" s="190" t="str">
        <f>VLOOKUP(E455,Valida!$A$2:$K$271,4,FALSE)</f>
        <v>Cash and equivalents</v>
      </c>
      <c r="W455" s="185"/>
      <c r="X455" s="185"/>
      <c r="Y455" s="185"/>
      <c r="Z455"/>
    </row>
    <row r="456" spans="1:26">
      <c r="A456" s="185" t="s">
        <v>2167</v>
      </c>
      <c r="B456" s="185" t="s">
        <v>2168</v>
      </c>
      <c r="C456" s="185" t="s">
        <v>1890</v>
      </c>
      <c r="D456" s="185" t="s">
        <v>2169</v>
      </c>
      <c r="E456" s="185">
        <v>23359502</v>
      </c>
      <c r="F456" s="185" t="s">
        <v>547</v>
      </c>
      <c r="G456" s="185" t="s">
        <v>1921</v>
      </c>
      <c r="H456" s="185" t="s">
        <v>1515</v>
      </c>
      <c r="I456" s="258" t="str">
        <f t="shared" si="22"/>
        <v>2</v>
      </c>
      <c r="J456" s="221">
        <f t="shared" si="23"/>
        <v>194446</v>
      </c>
      <c r="K456" s="258">
        <f t="shared" si="24"/>
        <v>2</v>
      </c>
      <c r="L456" s="188">
        <v>194446</v>
      </c>
      <c r="M456" s="188">
        <v>0</v>
      </c>
      <c r="N456" s="189">
        <v>830062853</v>
      </c>
      <c r="O456" t="s">
        <v>2168</v>
      </c>
      <c r="P456" s="187">
        <v>44980.955717592602</v>
      </c>
      <c r="Q456" s="186">
        <v>7255</v>
      </c>
      <c r="R456" s="185" t="s">
        <v>433</v>
      </c>
      <c r="S456" s="185" t="s">
        <v>1564</v>
      </c>
      <c r="T456"/>
      <c r="U456" t="str">
        <f>IF($L456&gt;0,VLOOKUP($E456,Valida!$A$1:$G$270,6,FALSE),IF($M456&gt;=0,VLOOKUP($E456,Valida!$A$1:$G$270,7,FALSE)))</f>
        <v>(+/-) Ajustes por el incremento (disminución) de cuentas por pagar de origen comercial</v>
      </c>
      <c r="V456" s="190" t="str">
        <f>VLOOKUP(E456,Valida!$A$2:$K$271,4,FALSE)</f>
        <v>Trade and other payables</v>
      </c>
      <c r="W456" s="185" t="s">
        <v>2024</v>
      </c>
      <c r="X456" s="185" t="s">
        <v>2025</v>
      </c>
      <c r="Y456" s="185" t="s">
        <v>1789</v>
      </c>
      <c r="Z456"/>
    </row>
    <row r="457" spans="1:26">
      <c r="A457" s="185" t="s">
        <v>2167</v>
      </c>
      <c r="B457" s="185" t="s">
        <v>2168</v>
      </c>
      <c r="C457" s="185" t="s">
        <v>1890</v>
      </c>
      <c r="D457" s="185" t="s">
        <v>2169</v>
      </c>
      <c r="E457" s="185">
        <v>112005</v>
      </c>
      <c r="F457" s="185" t="s">
        <v>24</v>
      </c>
      <c r="G457" s="185" t="s">
        <v>1921</v>
      </c>
      <c r="H457" s="185" t="s">
        <v>1628</v>
      </c>
      <c r="I457" s="258" t="str">
        <f t="shared" si="22"/>
        <v>1</v>
      </c>
      <c r="J457" s="221">
        <f t="shared" si="23"/>
        <v>-194496</v>
      </c>
      <c r="K457" s="258">
        <f t="shared" si="24"/>
        <v>2</v>
      </c>
      <c r="L457" s="188">
        <v>0</v>
      </c>
      <c r="M457" s="188">
        <v>194496</v>
      </c>
      <c r="N457" s="189">
        <v>830062853</v>
      </c>
      <c r="O457" t="s">
        <v>2168</v>
      </c>
      <c r="P457" s="187">
        <v>44980.955717592602</v>
      </c>
      <c r="Q457" s="186">
        <v>7256</v>
      </c>
      <c r="R457" s="185" t="s">
        <v>433</v>
      </c>
      <c r="S457" s="185" t="s">
        <v>1564</v>
      </c>
      <c r="T457" t="s">
        <v>1894</v>
      </c>
      <c r="U457" t="str">
        <f>IF($L457&gt;0,VLOOKUP($E457,Valida!$A$1:$G$270,6,FALSE),IF($M457&gt;=0,VLOOKUP($E457,Valida!$A$1:$G$270,7,FALSE)))</f>
        <v>Disponible</v>
      </c>
      <c r="V457" s="190" t="str">
        <f>VLOOKUP(E457,Valida!$A$2:$K$271,4,FALSE)</f>
        <v>Cash and equivalents</v>
      </c>
      <c r="W457" s="185" t="s">
        <v>2024</v>
      </c>
      <c r="X457" s="185" t="s">
        <v>2025</v>
      </c>
      <c r="Y457" s="185" t="s">
        <v>1789</v>
      </c>
      <c r="Z457"/>
    </row>
    <row r="458" spans="1:26">
      <c r="A458" s="185" t="s">
        <v>2098</v>
      </c>
      <c r="B458" s="185" t="s">
        <v>2170</v>
      </c>
      <c r="C458" s="185" t="s">
        <v>1890</v>
      </c>
      <c r="D458" s="185" t="s">
        <v>2171</v>
      </c>
      <c r="E458" s="185">
        <v>23355005</v>
      </c>
      <c r="F458" s="185" t="s">
        <v>516</v>
      </c>
      <c r="G458" s="185" t="s">
        <v>1921</v>
      </c>
      <c r="H458" s="185" t="s">
        <v>1515</v>
      </c>
      <c r="I458" s="258" t="str">
        <f t="shared" si="22"/>
        <v>2</v>
      </c>
      <c r="J458" s="221">
        <f t="shared" si="23"/>
        <v>3826570</v>
      </c>
      <c r="K458" s="258">
        <f t="shared" si="24"/>
        <v>2</v>
      </c>
      <c r="L458" s="188">
        <v>3826570</v>
      </c>
      <c r="M458" s="188">
        <v>0</v>
      </c>
      <c r="N458" s="189">
        <v>860063875</v>
      </c>
      <c r="O458" t="s">
        <v>2170</v>
      </c>
      <c r="P458" s="187">
        <v>44980.961909722202</v>
      </c>
      <c r="Q458" s="186">
        <v>7257</v>
      </c>
      <c r="R458" s="185" t="s">
        <v>1827</v>
      </c>
      <c r="S458" s="185" t="s">
        <v>1572</v>
      </c>
      <c r="T458"/>
      <c r="U458" t="str">
        <f>IF($L458&gt;0,VLOOKUP($E458,Valida!$A$1:$G$270,6,FALSE),IF($M458&gt;=0,VLOOKUP($E458,Valida!$A$1:$G$270,7,FALSE)))</f>
        <v>(+/-) Ajustes por el incremento (disminución) de cuentas por pagar de origen comercial</v>
      </c>
      <c r="V458" s="190" t="str">
        <f>VLOOKUP(E458,Valida!$A$2:$K$271,4,FALSE)</f>
        <v>Trade and other payables</v>
      </c>
      <c r="W458" s="185" t="s">
        <v>1835</v>
      </c>
      <c r="X458" s="185"/>
      <c r="Y458" s="185" t="s">
        <v>1789</v>
      </c>
      <c r="Z458"/>
    </row>
    <row r="459" spans="1:26">
      <c r="A459" s="185" t="s">
        <v>2098</v>
      </c>
      <c r="B459" s="185" t="s">
        <v>2170</v>
      </c>
      <c r="C459" s="185" t="s">
        <v>1890</v>
      </c>
      <c r="D459" s="185" t="s">
        <v>2171</v>
      </c>
      <c r="E459" s="185">
        <v>112005</v>
      </c>
      <c r="F459" s="185" t="s">
        <v>24</v>
      </c>
      <c r="G459" s="185" t="s">
        <v>1921</v>
      </c>
      <c r="H459" s="185" t="s">
        <v>1628</v>
      </c>
      <c r="I459" s="258" t="str">
        <f t="shared" si="22"/>
        <v>1</v>
      </c>
      <c r="J459" s="221">
        <f t="shared" si="23"/>
        <v>-3826570</v>
      </c>
      <c r="K459" s="258">
        <f t="shared" si="24"/>
        <v>2</v>
      </c>
      <c r="L459" s="188">
        <v>0</v>
      </c>
      <c r="M459" s="188">
        <v>3826570</v>
      </c>
      <c r="N459" s="189">
        <v>860063875</v>
      </c>
      <c r="O459" t="s">
        <v>2170</v>
      </c>
      <c r="P459" s="187">
        <v>44980.961909722202</v>
      </c>
      <c r="Q459" s="186">
        <v>7258</v>
      </c>
      <c r="R459" s="185" t="s">
        <v>1827</v>
      </c>
      <c r="S459" s="185" t="s">
        <v>1572</v>
      </c>
      <c r="T459" t="s">
        <v>1894</v>
      </c>
      <c r="U459" t="str">
        <f>IF($L459&gt;0,VLOOKUP($E459,Valida!$A$1:$G$270,6,FALSE),IF($M459&gt;=0,VLOOKUP($E459,Valida!$A$1:$G$270,7,FALSE)))</f>
        <v>Disponible</v>
      </c>
      <c r="V459" s="190" t="str">
        <f>VLOOKUP(E459,Valida!$A$2:$K$271,4,FALSE)</f>
        <v>Cash and equivalents</v>
      </c>
      <c r="W459" s="185" t="s">
        <v>1835</v>
      </c>
      <c r="X459" s="185"/>
      <c r="Y459" s="185" t="s">
        <v>1789</v>
      </c>
      <c r="Z459"/>
    </row>
    <row r="460" spans="1:26">
      <c r="A460" s="185" t="s">
        <v>1994</v>
      </c>
      <c r="B460" s="185" t="s">
        <v>2172</v>
      </c>
      <c r="C460" s="185" t="s">
        <v>1890</v>
      </c>
      <c r="D460" s="185" t="s">
        <v>2173</v>
      </c>
      <c r="E460" s="185">
        <v>236595</v>
      </c>
      <c r="F460" s="185" t="s">
        <v>648</v>
      </c>
      <c r="G460" s="185" t="s">
        <v>2174</v>
      </c>
      <c r="H460" s="185" t="s">
        <v>1515</v>
      </c>
      <c r="I460" s="258" t="str">
        <f t="shared" si="22"/>
        <v>2</v>
      </c>
      <c r="J460" s="221">
        <f t="shared" si="23"/>
        <v>1264000</v>
      </c>
      <c r="K460" s="258">
        <f t="shared" si="24"/>
        <v>2</v>
      </c>
      <c r="L460" s="188">
        <v>1264000</v>
      </c>
      <c r="M460" s="188">
        <v>0</v>
      </c>
      <c r="N460" s="189">
        <v>800197268</v>
      </c>
      <c r="O460" t="s">
        <v>2172</v>
      </c>
      <c r="P460" s="187">
        <v>44980.962488425903</v>
      </c>
      <c r="Q460" s="186">
        <v>7259</v>
      </c>
      <c r="R460" s="185" t="s">
        <v>983</v>
      </c>
      <c r="S460" s="185" t="s">
        <v>1558</v>
      </c>
      <c r="T460"/>
      <c r="U460" t="str">
        <f>IF($L460&gt;0,VLOOKUP($E460,Valida!$A$1:$G$270,6,FALSE),IF($M460&gt;=0,VLOOKUP($E460,Valida!$A$1:$G$270,7,FALSE)))</f>
        <v>(+/-) Ajustes por el incremento (disminución) de cuentas por pagar de origen comercial</v>
      </c>
      <c r="V460" s="190" t="str">
        <f>VLOOKUP(E460,Valida!$A$2:$K$271,4,FALSE)</f>
        <v>Trade and other payables</v>
      </c>
      <c r="W460" s="185" t="s">
        <v>1944</v>
      </c>
      <c r="X460" s="185"/>
      <c r="Y460" s="185" t="s">
        <v>1789</v>
      </c>
      <c r="Z460"/>
    </row>
    <row r="461" spans="1:26">
      <c r="A461" s="185" t="s">
        <v>1994</v>
      </c>
      <c r="B461" s="185" t="s">
        <v>2172</v>
      </c>
      <c r="C461" s="185" t="s">
        <v>1890</v>
      </c>
      <c r="D461" s="185" t="s">
        <v>2173</v>
      </c>
      <c r="E461" s="185">
        <v>112005</v>
      </c>
      <c r="F461" s="185" t="s">
        <v>24</v>
      </c>
      <c r="G461" s="185" t="s">
        <v>2174</v>
      </c>
      <c r="H461" s="185" t="s">
        <v>1628</v>
      </c>
      <c r="I461" s="258" t="str">
        <f t="shared" si="22"/>
        <v>1</v>
      </c>
      <c r="J461" s="221">
        <f t="shared" si="23"/>
        <v>-1264000</v>
      </c>
      <c r="K461" s="258">
        <f t="shared" si="24"/>
        <v>2</v>
      </c>
      <c r="L461" s="188">
        <v>0</v>
      </c>
      <c r="M461" s="188">
        <v>1264000</v>
      </c>
      <c r="N461" s="189">
        <v>800197268</v>
      </c>
      <c r="O461" t="s">
        <v>2172</v>
      </c>
      <c r="P461" s="187">
        <v>44980.962488425903</v>
      </c>
      <c r="Q461" s="186">
        <v>7260</v>
      </c>
      <c r="R461" s="185" t="s">
        <v>983</v>
      </c>
      <c r="S461" s="185" t="s">
        <v>1558</v>
      </c>
      <c r="T461" t="s">
        <v>1894</v>
      </c>
      <c r="U461" t="str">
        <f>IF($L461&gt;0,VLOOKUP($E461,Valida!$A$1:$G$270,6,FALSE),IF($M461&gt;=0,VLOOKUP($E461,Valida!$A$1:$G$270,7,FALSE)))</f>
        <v>Disponible</v>
      </c>
      <c r="V461" s="190" t="str">
        <f>VLOOKUP(E461,Valida!$A$2:$K$271,4,FALSE)</f>
        <v>Cash and equivalents</v>
      </c>
      <c r="W461" s="185" t="s">
        <v>1944</v>
      </c>
      <c r="X461" s="185"/>
      <c r="Y461" s="185" t="s">
        <v>1789</v>
      </c>
      <c r="Z461"/>
    </row>
    <row r="462" spans="1:26">
      <c r="A462" s="185" t="s">
        <v>1895</v>
      </c>
      <c r="B462" s="185" t="s">
        <v>2070</v>
      </c>
      <c r="C462" s="185" t="s">
        <v>1897</v>
      </c>
      <c r="D462" s="185" t="s">
        <v>2071</v>
      </c>
      <c r="E462" s="185">
        <v>510572</v>
      </c>
      <c r="F462" s="185" t="s">
        <v>1118</v>
      </c>
      <c r="G462" s="185" t="s">
        <v>1966</v>
      </c>
      <c r="H462" s="185" t="s">
        <v>1515</v>
      </c>
      <c r="I462" s="258" t="str">
        <f t="shared" si="22"/>
        <v>5</v>
      </c>
      <c r="J462" s="221">
        <f t="shared" si="23"/>
        <v>32700</v>
      </c>
      <c r="K462" s="258">
        <f t="shared" si="24"/>
        <v>2</v>
      </c>
      <c r="L462" s="188">
        <v>32700</v>
      </c>
      <c r="M462" s="188">
        <v>0</v>
      </c>
      <c r="N462" s="189">
        <v>860066942</v>
      </c>
      <c r="O462" t="s">
        <v>2070</v>
      </c>
      <c r="P462" s="187">
        <v>44985.313113425902</v>
      </c>
      <c r="Q462" s="186">
        <v>7957</v>
      </c>
      <c r="R462" s="185" t="s">
        <v>1814</v>
      </c>
      <c r="S462" s="185" t="s">
        <v>1574</v>
      </c>
      <c r="T462"/>
      <c r="U462" t="str">
        <f>IF($L462&gt;0,VLOOKUP($E462,Valida!$A$1:$G$270,6,FALSE),IF($M462&gt;=0,VLOOKUP($E462,Valida!$A$1:$G$270,7,FALSE)))</f>
        <v>(+/-) Ganancia (pérdida)</v>
      </c>
      <c r="V462" s="190" t="str">
        <f>VLOOKUP(E462,Valida!$A$2:$K$271,4,FALSE)</f>
        <v>P&amp;L</v>
      </c>
      <c r="W462" s="185" t="s">
        <v>1914</v>
      </c>
      <c r="X462" s="185" t="s">
        <v>1915</v>
      </c>
      <c r="Y462" s="185" t="s">
        <v>1789</v>
      </c>
      <c r="Z462"/>
    </row>
    <row r="463" spans="1:26">
      <c r="A463" s="185" t="s">
        <v>1895</v>
      </c>
      <c r="B463" s="185" t="s">
        <v>2070</v>
      </c>
      <c r="C463" s="185" t="s">
        <v>1897</v>
      </c>
      <c r="D463" s="185" t="s">
        <v>2071</v>
      </c>
      <c r="E463" s="185">
        <v>237010</v>
      </c>
      <c r="F463" s="185" t="s">
        <v>683</v>
      </c>
      <c r="G463" s="185" t="s">
        <v>1966</v>
      </c>
      <c r="H463" s="185" t="s">
        <v>1628</v>
      </c>
      <c r="I463" s="258" t="str">
        <f t="shared" si="22"/>
        <v>2</v>
      </c>
      <c r="J463" s="221">
        <f t="shared" si="23"/>
        <v>-32700</v>
      </c>
      <c r="K463" s="258">
        <f t="shared" si="24"/>
        <v>2</v>
      </c>
      <c r="L463" s="188">
        <v>0</v>
      </c>
      <c r="M463" s="188">
        <v>32700</v>
      </c>
      <c r="N463" s="189">
        <v>860066942</v>
      </c>
      <c r="O463" t="s">
        <v>2070</v>
      </c>
      <c r="P463" s="187">
        <v>44985.313113425902</v>
      </c>
      <c r="Q463" s="186">
        <v>7958</v>
      </c>
      <c r="R463" s="185" t="s">
        <v>1814</v>
      </c>
      <c r="S463" s="185" t="s">
        <v>1574</v>
      </c>
      <c r="T463"/>
      <c r="U463" t="str">
        <f>IF($L463&gt;0,VLOOKUP($E463,Valida!$A$1:$G$270,6,FALSE),IF($M463&gt;=0,VLOOKUP($E463,Valida!$A$1:$G$270,7,FALSE)))</f>
        <v>(+/-) Ajustes por el incremento (disminución) de cuentas por pagar de origen comercial</v>
      </c>
      <c r="V463" s="190" t="str">
        <f>VLOOKUP(E463,Valida!$A$2:$K$271,4,FALSE)</f>
        <v>Trade and other payables</v>
      </c>
      <c r="W463" s="185" t="s">
        <v>1914</v>
      </c>
      <c r="X463" s="185" t="s">
        <v>1915</v>
      </c>
      <c r="Y463" s="185" t="s">
        <v>1789</v>
      </c>
      <c r="Z463"/>
    </row>
    <row r="464" spans="1:26">
      <c r="A464" s="185" t="s">
        <v>1895</v>
      </c>
      <c r="B464" s="185" t="s">
        <v>2070</v>
      </c>
      <c r="C464" s="185" t="s">
        <v>1897</v>
      </c>
      <c r="D464" s="185" t="s">
        <v>2071</v>
      </c>
      <c r="E464" s="185">
        <v>510515</v>
      </c>
      <c r="F464" s="185" t="s">
        <v>1080</v>
      </c>
      <c r="G464" s="185" t="s">
        <v>1966</v>
      </c>
      <c r="H464" s="185" t="s">
        <v>1515</v>
      </c>
      <c r="I464" s="258" t="str">
        <f t="shared" si="22"/>
        <v>5</v>
      </c>
      <c r="J464" s="221">
        <f t="shared" si="23"/>
        <v>135469</v>
      </c>
      <c r="K464" s="258">
        <f t="shared" si="24"/>
        <v>2</v>
      </c>
      <c r="L464" s="188">
        <v>135469</v>
      </c>
      <c r="M464" s="188">
        <v>0</v>
      </c>
      <c r="N464" s="189">
        <v>1010101811</v>
      </c>
      <c r="O464" t="s">
        <v>2070</v>
      </c>
      <c r="P464" s="187">
        <v>44985.313113425902</v>
      </c>
      <c r="Q464" s="186">
        <v>7959</v>
      </c>
      <c r="R464" s="185"/>
      <c r="S464" s="185" t="s">
        <v>1528</v>
      </c>
      <c r="T464"/>
      <c r="U464" t="str">
        <f>IF($L464&gt;0,VLOOKUP($E464,Valida!$A$1:$G$270,6,FALSE),IF($M464&gt;=0,VLOOKUP($E464,Valida!$A$1:$G$270,7,FALSE)))</f>
        <v>(+/-) Ganancia (pérdida)</v>
      </c>
      <c r="V464" s="190" t="str">
        <f>VLOOKUP(E464,Valida!$A$2:$K$271,4,FALSE)</f>
        <v>P&amp;L</v>
      </c>
      <c r="W464" s="185" t="s">
        <v>1967</v>
      </c>
      <c r="X464" s="185"/>
      <c r="Y464" s="185" t="s">
        <v>1789</v>
      </c>
      <c r="Z464"/>
    </row>
    <row r="465" spans="1:26">
      <c r="A465" s="185" t="s">
        <v>1895</v>
      </c>
      <c r="B465" s="185" t="s">
        <v>2175</v>
      </c>
      <c r="C465" s="185" t="s">
        <v>1897</v>
      </c>
      <c r="D465" s="185" t="s">
        <v>2176</v>
      </c>
      <c r="E465" s="185">
        <v>510506</v>
      </c>
      <c r="F465" s="185" t="s">
        <v>1076</v>
      </c>
      <c r="G465" s="185" t="s">
        <v>1977</v>
      </c>
      <c r="H465" s="185" t="s">
        <v>1515</v>
      </c>
      <c r="I465" s="258" t="str">
        <f t="shared" si="22"/>
        <v>5</v>
      </c>
      <c r="J465" s="221">
        <f t="shared" si="23"/>
        <v>723067</v>
      </c>
      <c r="K465" s="258">
        <f t="shared" si="24"/>
        <v>2</v>
      </c>
      <c r="L465" s="188">
        <v>723067</v>
      </c>
      <c r="M465" s="188">
        <v>0</v>
      </c>
      <c r="N465" s="189">
        <v>1000018061</v>
      </c>
      <c r="O465" t="s">
        <v>2175</v>
      </c>
      <c r="P465" s="187">
        <v>44985.318182870396</v>
      </c>
      <c r="Q465" s="186">
        <v>7960</v>
      </c>
      <c r="R465" s="185"/>
      <c r="S465" s="185" t="s">
        <v>1522</v>
      </c>
      <c r="T465"/>
      <c r="U465" t="str">
        <f>IF($L465&gt;0,VLOOKUP($E465,Valida!$A$1:$G$270,6,FALSE),IF($M465&gt;=0,VLOOKUP($E465,Valida!$A$1:$G$270,7,FALSE)))</f>
        <v>(+/-) Ganancia (pérdida)</v>
      </c>
      <c r="V465" s="190" t="str">
        <f>VLOOKUP(E465,Valida!$A$2:$K$271,4,FALSE)</f>
        <v>P&amp;L</v>
      </c>
      <c r="W465" s="185" t="s">
        <v>1978</v>
      </c>
      <c r="X465" s="185"/>
      <c r="Y465" s="185" t="s">
        <v>1789</v>
      </c>
      <c r="Z465"/>
    </row>
    <row r="466" spans="1:26">
      <c r="A466" s="185" t="s">
        <v>1895</v>
      </c>
      <c r="B466" s="185" t="s">
        <v>2175</v>
      </c>
      <c r="C466" s="185" t="s">
        <v>1897</v>
      </c>
      <c r="D466" s="185" t="s">
        <v>2176</v>
      </c>
      <c r="E466" s="185">
        <v>510527</v>
      </c>
      <c r="F466" s="185" t="s">
        <v>1089</v>
      </c>
      <c r="G466" s="185" t="s">
        <v>1977</v>
      </c>
      <c r="H466" s="185" t="s">
        <v>1515</v>
      </c>
      <c r="I466" s="258" t="str">
        <f t="shared" si="22"/>
        <v>5</v>
      </c>
      <c r="J466" s="221">
        <f t="shared" si="23"/>
        <v>79677</v>
      </c>
      <c r="K466" s="258">
        <f t="shared" si="24"/>
        <v>2</v>
      </c>
      <c r="L466" s="188">
        <v>79677</v>
      </c>
      <c r="M466" s="188">
        <v>0</v>
      </c>
      <c r="N466" s="189">
        <v>1000018061</v>
      </c>
      <c r="O466" t="s">
        <v>2175</v>
      </c>
      <c r="P466" s="187">
        <v>44985.318182870396</v>
      </c>
      <c r="Q466" s="186">
        <v>7961</v>
      </c>
      <c r="R466" s="185"/>
      <c r="S466" s="185" t="s">
        <v>1522</v>
      </c>
      <c r="T466"/>
      <c r="U466" t="str">
        <f>IF($L466&gt;0,VLOOKUP($E466,Valida!$A$1:$G$270,6,FALSE),IF($M466&gt;=0,VLOOKUP($E466,Valida!$A$1:$G$270,7,FALSE)))</f>
        <v>(+/-) Ganancia (pérdida)</v>
      </c>
      <c r="V466" s="190" t="str">
        <f>VLOOKUP(E466,Valida!$A$2:$K$271,4,FALSE)</f>
        <v>P&amp;L</v>
      </c>
      <c r="W466" s="185" t="s">
        <v>1978</v>
      </c>
      <c r="X466" s="185"/>
      <c r="Y466" s="185" t="s">
        <v>1789</v>
      </c>
      <c r="Z466"/>
    </row>
    <row r="467" spans="1:26">
      <c r="A467" s="185" t="s">
        <v>1895</v>
      </c>
      <c r="B467" s="185" t="s">
        <v>2175</v>
      </c>
      <c r="C467" s="185" t="s">
        <v>1897</v>
      </c>
      <c r="D467" s="185" t="s">
        <v>2176</v>
      </c>
      <c r="E467" s="185">
        <v>237005</v>
      </c>
      <c r="F467" s="185" t="s">
        <v>676</v>
      </c>
      <c r="G467" s="185" t="s">
        <v>1977</v>
      </c>
      <c r="H467" s="185" t="s">
        <v>1628</v>
      </c>
      <c r="I467" s="258" t="str">
        <f t="shared" si="22"/>
        <v>2</v>
      </c>
      <c r="J467" s="221">
        <f t="shared" si="23"/>
        <v>-29787</v>
      </c>
      <c r="K467" s="258">
        <f t="shared" si="24"/>
        <v>2</v>
      </c>
      <c r="L467" s="188">
        <v>0</v>
      </c>
      <c r="M467" s="188">
        <v>29787</v>
      </c>
      <c r="N467" s="189">
        <v>830003564</v>
      </c>
      <c r="O467" t="s">
        <v>2175</v>
      </c>
      <c r="P467" s="187">
        <v>44985.318182870396</v>
      </c>
      <c r="Q467" s="186">
        <v>7962</v>
      </c>
      <c r="R467" s="185" t="s">
        <v>1814</v>
      </c>
      <c r="S467" s="185" t="s">
        <v>1652</v>
      </c>
      <c r="T467"/>
      <c r="U467" t="str">
        <f>IF($L467&gt;0,VLOOKUP($E467,Valida!$A$1:$G$270,6,FALSE),IF($M467&gt;=0,VLOOKUP($E467,Valida!$A$1:$G$270,7,FALSE)))</f>
        <v>(+/-) Ajustes por el incremento (disminución) de cuentas por pagar de origen comercial</v>
      </c>
      <c r="V467" s="190" t="str">
        <f>VLOOKUP(E467,Valida!$A$2:$K$271,4,FALSE)</f>
        <v>Trade and other payables</v>
      </c>
      <c r="W467" s="185" t="s">
        <v>1973</v>
      </c>
      <c r="X467" s="185" t="s">
        <v>1974</v>
      </c>
      <c r="Y467" s="185" t="s">
        <v>1789</v>
      </c>
      <c r="Z467"/>
    </row>
    <row r="468" spans="1:26">
      <c r="A468" s="185" t="s">
        <v>1895</v>
      </c>
      <c r="B468" s="185" t="s">
        <v>2175</v>
      </c>
      <c r="C468" s="185" t="s">
        <v>1897</v>
      </c>
      <c r="D468" s="185" t="s">
        <v>2176</v>
      </c>
      <c r="E468" s="185">
        <v>238030</v>
      </c>
      <c r="F468" s="185" t="s">
        <v>721</v>
      </c>
      <c r="G468" s="185" t="s">
        <v>1977</v>
      </c>
      <c r="H468" s="185" t="s">
        <v>1628</v>
      </c>
      <c r="I468" s="258" t="str">
        <f t="shared" si="22"/>
        <v>2</v>
      </c>
      <c r="J468" s="221">
        <f t="shared" si="23"/>
        <v>-29787</v>
      </c>
      <c r="K468" s="258">
        <f t="shared" si="24"/>
        <v>2</v>
      </c>
      <c r="L468" s="188">
        <v>0</v>
      </c>
      <c r="M468" s="188">
        <v>29787</v>
      </c>
      <c r="N468" s="189">
        <v>800149496</v>
      </c>
      <c r="O468" t="s">
        <v>2175</v>
      </c>
      <c r="P468" s="187">
        <v>44985.318182870396</v>
      </c>
      <c r="Q468" s="186">
        <v>7963</v>
      </c>
      <c r="R468" s="185" t="s">
        <v>433</v>
      </c>
      <c r="S468" s="185" t="s">
        <v>1660</v>
      </c>
      <c r="T468"/>
      <c r="U468" t="str">
        <f>IF($L468&gt;0,VLOOKUP($E468,Valida!$A$1:$G$270,6,FALSE),IF($M468&gt;=0,VLOOKUP($E468,Valida!$A$1:$G$270,7,FALSE)))</f>
        <v>(+/-) Ajustes por el incremento (disminución) de cuentas por pagar de origen comercial</v>
      </c>
      <c r="V468" s="190" t="str">
        <f>VLOOKUP(E468,Valida!$A$2:$K$271,4,FALSE)</f>
        <v>Trade and other payables</v>
      </c>
      <c r="W468" s="185" t="s">
        <v>1979</v>
      </c>
      <c r="X468" s="185"/>
      <c r="Y468" s="185" t="s">
        <v>1789</v>
      </c>
      <c r="Z468"/>
    </row>
    <row r="469" spans="1:26">
      <c r="A469" s="185" t="s">
        <v>1895</v>
      </c>
      <c r="B469" s="185" t="s">
        <v>2175</v>
      </c>
      <c r="C469" s="185" t="s">
        <v>1897</v>
      </c>
      <c r="D469" s="185" t="s">
        <v>2176</v>
      </c>
      <c r="E469" s="185">
        <v>250505</v>
      </c>
      <c r="F469" s="185" t="s">
        <v>767</v>
      </c>
      <c r="G469" s="185" t="s">
        <v>1977</v>
      </c>
      <c r="H469" s="185" t="s">
        <v>1628</v>
      </c>
      <c r="I469" s="258" t="str">
        <f t="shared" si="22"/>
        <v>2</v>
      </c>
      <c r="J469" s="221">
        <f t="shared" si="23"/>
        <v>-732869</v>
      </c>
      <c r="K469" s="258">
        <f t="shared" si="24"/>
        <v>2</v>
      </c>
      <c r="L469" s="188">
        <v>0</v>
      </c>
      <c r="M469" s="188">
        <v>732869</v>
      </c>
      <c r="N469" s="189">
        <v>1000018061</v>
      </c>
      <c r="O469" t="s">
        <v>2175</v>
      </c>
      <c r="P469" s="187">
        <v>44985.318182870396</v>
      </c>
      <c r="Q469" s="186">
        <v>7964</v>
      </c>
      <c r="R469" s="185"/>
      <c r="S469" s="185" t="s">
        <v>1522</v>
      </c>
      <c r="T469"/>
      <c r="U469" t="str">
        <f>IF($L469&gt;0,VLOOKUP($E469,Valida!$A$1:$G$270,6,FALSE),IF($M469&gt;=0,VLOOKUP($E469,Valida!$A$1:$G$270,7,FALSE)))</f>
        <v>(+/-) Ajustes por el incremento (disminución) de cuentas por pagar de origen comercial</v>
      </c>
      <c r="V469" s="190" t="str">
        <f>VLOOKUP(E469,Valida!$A$2:$K$271,4,FALSE)</f>
        <v>Trade and other payables</v>
      </c>
      <c r="W469" s="185" t="s">
        <v>1978</v>
      </c>
      <c r="X469" s="185"/>
      <c r="Y469" s="185" t="s">
        <v>1789</v>
      </c>
      <c r="Z469"/>
    </row>
    <row r="470" spans="1:26">
      <c r="A470" s="185" t="s">
        <v>1895</v>
      </c>
      <c r="B470" s="185" t="s">
        <v>2175</v>
      </c>
      <c r="C470" s="185" t="s">
        <v>1897</v>
      </c>
      <c r="D470" s="185" t="s">
        <v>2176</v>
      </c>
      <c r="E470" s="185">
        <v>510530</v>
      </c>
      <c r="F470" s="185" t="s">
        <v>813</v>
      </c>
      <c r="G470" s="185" t="s">
        <v>1977</v>
      </c>
      <c r="H470" s="185" t="s">
        <v>1515</v>
      </c>
      <c r="I470" s="258" t="str">
        <f t="shared" si="22"/>
        <v>5</v>
      </c>
      <c r="J470" s="221">
        <f t="shared" si="23"/>
        <v>68695</v>
      </c>
      <c r="K470" s="258">
        <f t="shared" si="24"/>
        <v>2</v>
      </c>
      <c r="L470" s="188">
        <v>68695</v>
      </c>
      <c r="M470" s="188">
        <v>0</v>
      </c>
      <c r="N470" s="189">
        <v>1000018061</v>
      </c>
      <c r="O470" t="s">
        <v>2175</v>
      </c>
      <c r="P470" s="187">
        <v>44985.318182870396</v>
      </c>
      <c r="Q470" s="186">
        <v>7965</v>
      </c>
      <c r="R470" s="185"/>
      <c r="S470" s="185" t="s">
        <v>1522</v>
      </c>
      <c r="T470"/>
      <c r="U470" t="str">
        <f>IF($L470&gt;0,VLOOKUP($E470,Valida!$A$1:$G$270,6,FALSE),IF($M470&gt;=0,VLOOKUP($E470,Valida!$A$1:$G$270,7,FALSE)))</f>
        <v>(+/-) Ganancia (pérdida)</v>
      </c>
      <c r="V470" s="190" t="str">
        <f>VLOOKUP(E470,Valida!$A$2:$K$271,4,FALSE)</f>
        <v>P&amp;L</v>
      </c>
      <c r="W470" s="185" t="s">
        <v>1978</v>
      </c>
      <c r="X470" s="185"/>
      <c r="Y470" s="185" t="s">
        <v>1789</v>
      </c>
      <c r="Z470"/>
    </row>
    <row r="471" spans="1:26">
      <c r="A471" s="185" t="s">
        <v>1895</v>
      </c>
      <c r="B471" s="185" t="s">
        <v>2175</v>
      </c>
      <c r="C471" s="185" t="s">
        <v>1897</v>
      </c>
      <c r="D471" s="185" t="s">
        <v>2176</v>
      </c>
      <c r="E471" s="185">
        <v>510533</v>
      </c>
      <c r="F471" s="185" t="s">
        <v>779</v>
      </c>
      <c r="G471" s="185" t="s">
        <v>1977</v>
      </c>
      <c r="H471" s="185" t="s">
        <v>1515</v>
      </c>
      <c r="I471" s="258" t="str">
        <f t="shared" si="22"/>
        <v>5</v>
      </c>
      <c r="J471" s="221">
        <f t="shared" si="23"/>
        <v>8243</v>
      </c>
      <c r="K471" s="258">
        <f t="shared" si="24"/>
        <v>2</v>
      </c>
      <c r="L471" s="188">
        <v>8243</v>
      </c>
      <c r="M471" s="188">
        <v>0</v>
      </c>
      <c r="N471" s="189">
        <v>1000018061</v>
      </c>
      <c r="O471" t="s">
        <v>2175</v>
      </c>
      <c r="P471" s="187">
        <v>44985.318182870396</v>
      </c>
      <c r="Q471" s="186">
        <v>7966</v>
      </c>
      <c r="R471" s="185"/>
      <c r="S471" s="185" t="s">
        <v>1522</v>
      </c>
      <c r="T471"/>
      <c r="U471" t="str">
        <f>IF($L471&gt;0,VLOOKUP($E471,Valida!$A$1:$G$270,6,FALSE),IF($M471&gt;=0,VLOOKUP($E471,Valida!$A$1:$G$270,7,FALSE)))</f>
        <v>(+/-) Ganancia (pérdida)</v>
      </c>
      <c r="V471" s="190" t="str">
        <f>VLOOKUP(E471,Valida!$A$2:$K$271,4,FALSE)</f>
        <v>P&amp;L</v>
      </c>
      <c r="W471" s="185" t="s">
        <v>1978</v>
      </c>
      <c r="X471" s="185"/>
      <c r="Y471" s="185" t="s">
        <v>1789</v>
      </c>
      <c r="Z471"/>
    </row>
    <row r="472" spans="1:26">
      <c r="A472" s="185" t="s">
        <v>1895</v>
      </c>
      <c r="B472" s="185" t="s">
        <v>2175</v>
      </c>
      <c r="C472" s="185" t="s">
        <v>1897</v>
      </c>
      <c r="D472" s="185" t="s">
        <v>2176</v>
      </c>
      <c r="E472" s="185">
        <v>510536</v>
      </c>
      <c r="F472" s="185" t="s">
        <v>783</v>
      </c>
      <c r="G472" s="185" t="s">
        <v>1977</v>
      </c>
      <c r="H472" s="185" t="s">
        <v>1515</v>
      </c>
      <c r="I472" s="258" t="str">
        <f t="shared" si="22"/>
        <v>5</v>
      </c>
      <c r="J472" s="221">
        <f t="shared" si="23"/>
        <v>68695</v>
      </c>
      <c r="K472" s="258">
        <f t="shared" si="24"/>
        <v>2</v>
      </c>
      <c r="L472" s="188">
        <v>68695</v>
      </c>
      <c r="M472" s="188">
        <v>0</v>
      </c>
      <c r="N472" s="189">
        <v>1000018061</v>
      </c>
      <c r="O472" t="s">
        <v>2175</v>
      </c>
      <c r="P472" s="187">
        <v>44985.318182870396</v>
      </c>
      <c r="Q472" s="186">
        <v>7967</v>
      </c>
      <c r="R472" s="185"/>
      <c r="S472" s="185" t="s">
        <v>1522</v>
      </c>
      <c r="T472"/>
      <c r="U472" t="str">
        <f>IF($L472&gt;0,VLOOKUP($E472,Valida!$A$1:$G$270,6,FALSE),IF($M472&gt;=0,VLOOKUP($E472,Valida!$A$1:$G$270,7,FALSE)))</f>
        <v>(+/-) Ganancia (pérdida)</v>
      </c>
      <c r="V472" s="190" t="str">
        <f>VLOOKUP(E472,Valida!$A$2:$K$271,4,FALSE)</f>
        <v>P&amp;L</v>
      </c>
      <c r="W472" s="185" t="s">
        <v>1978</v>
      </c>
      <c r="X472" s="185"/>
      <c r="Y472" s="185" t="s">
        <v>1789</v>
      </c>
      <c r="Z472"/>
    </row>
    <row r="473" spans="1:26">
      <c r="A473" s="185" t="s">
        <v>1895</v>
      </c>
      <c r="B473" s="185" t="s">
        <v>2175</v>
      </c>
      <c r="C473" s="185" t="s">
        <v>1897</v>
      </c>
      <c r="D473" s="185" t="s">
        <v>2176</v>
      </c>
      <c r="E473" s="185">
        <v>510539</v>
      </c>
      <c r="F473" s="185" t="s">
        <v>818</v>
      </c>
      <c r="G473" s="185" t="s">
        <v>1977</v>
      </c>
      <c r="H473" s="185" t="s">
        <v>1515</v>
      </c>
      <c r="I473" s="258" t="str">
        <f t="shared" si="22"/>
        <v>5</v>
      </c>
      <c r="J473" s="221">
        <f t="shared" si="23"/>
        <v>31028</v>
      </c>
      <c r="K473" s="258">
        <f t="shared" si="24"/>
        <v>2</v>
      </c>
      <c r="L473" s="188">
        <v>31028</v>
      </c>
      <c r="M473" s="188">
        <v>0</v>
      </c>
      <c r="N473" s="189">
        <v>1000018061</v>
      </c>
      <c r="O473" t="s">
        <v>2175</v>
      </c>
      <c r="P473" s="187">
        <v>44985.318182870396</v>
      </c>
      <c r="Q473" s="186">
        <v>7968</v>
      </c>
      <c r="R473" s="185"/>
      <c r="S473" s="185" t="s">
        <v>1522</v>
      </c>
      <c r="T473"/>
      <c r="U473" t="str">
        <f>IF($L473&gt;0,VLOOKUP($E473,Valida!$A$1:$G$270,6,FALSE),IF($M473&gt;=0,VLOOKUP($E473,Valida!$A$1:$G$270,7,FALSE)))</f>
        <v>(+/-) Ganancia (pérdida)</v>
      </c>
      <c r="V473" s="190" t="str">
        <f>VLOOKUP(E473,Valida!$A$2:$K$271,4,FALSE)</f>
        <v>P&amp;L</v>
      </c>
      <c r="W473" s="185" t="s">
        <v>1978</v>
      </c>
      <c r="X473" s="185"/>
      <c r="Y473" s="185" t="s">
        <v>1789</v>
      </c>
      <c r="Z473"/>
    </row>
    <row r="474" spans="1:26">
      <c r="A474" s="185" t="s">
        <v>1895</v>
      </c>
      <c r="B474" s="185" t="s">
        <v>2175</v>
      </c>
      <c r="C474" s="185" t="s">
        <v>1897</v>
      </c>
      <c r="D474" s="185" t="s">
        <v>2176</v>
      </c>
      <c r="E474" s="185">
        <v>251010</v>
      </c>
      <c r="F474" s="185" t="s">
        <v>776</v>
      </c>
      <c r="G474" s="185" t="s">
        <v>1977</v>
      </c>
      <c r="H474" s="185" t="s">
        <v>1628</v>
      </c>
      <c r="I474" s="258" t="str">
        <f t="shared" si="22"/>
        <v>2</v>
      </c>
      <c r="J474" s="221">
        <f t="shared" si="23"/>
        <v>-68695</v>
      </c>
      <c r="K474" s="258">
        <f t="shared" si="24"/>
        <v>2</v>
      </c>
      <c r="L474" s="188">
        <v>0</v>
      </c>
      <c r="M474" s="188">
        <v>68695</v>
      </c>
      <c r="N474" s="189">
        <v>1000018061</v>
      </c>
      <c r="O474" t="s">
        <v>2175</v>
      </c>
      <c r="P474" s="187">
        <v>44985.318182870396</v>
      </c>
      <c r="Q474" s="186">
        <v>7969</v>
      </c>
      <c r="R474" s="185"/>
      <c r="S474" s="185" t="s">
        <v>1522</v>
      </c>
      <c r="T474"/>
      <c r="U474" t="str">
        <f>IF($L474&gt;0,VLOOKUP($E474,Valida!$A$1:$G$270,6,FALSE),IF($M474&gt;=0,VLOOKUP($E474,Valida!$A$1:$G$270,7,FALSE)))</f>
        <v>(+/-) Ajustes por el incremento (disminución) de cuentas por pagar de origen comercial</v>
      </c>
      <c r="V474" s="190" t="str">
        <f>VLOOKUP(E474,Valida!$A$2:$K$271,4,FALSE)</f>
        <v>Trade and other payables</v>
      </c>
      <c r="W474" s="185" t="s">
        <v>1978</v>
      </c>
      <c r="X474" s="185"/>
      <c r="Y474" s="185" t="s">
        <v>1789</v>
      </c>
      <c r="Z474"/>
    </row>
    <row r="475" spans="1:26">
      <c r="A475" s="185" t="s">
        <v>1895</v>
      </c>
      <c r="B475" s="185" t="s">
        <v>2175</v>
      </c>
      <c r="C475" s="185" t="s">
        <v>1897</v>
      </c>
      <c r="D475" s="185" t="s">
        <v>2176</v>
      </c>
      <c r="E475" s="185">
        <v>251505</v>
      </c>
      <c r="F475" s="185" t="s">
        <v>779</v>
      </c>
      <c r="G475" s="185" t="s">
        <v>1977</v>
      </c>
      <c r="H475" s="185" t="s">
        <v>1628</v>
      </c>
      <c r="I475" s="258" t="str">
        <f t="shared" si="22"/>
        <v>2</v>
      </c>
      <c r="J475" s="221">
        <f t="shared" si="23"/>
        <v>-8243</v>
      </c>
      <c r="K475" s="258">
        <f t="shared" si="24"/>
        <v>2</v>
      </c>
      <c r="L475" s="188">
        <v>0</v>
      </c>
      <c r="M475" s="188">
        <v>8243</v>
      </c>
      <c r="N475" s="189">
        <v>1000018061</v>
      </c>
      <c r="O475" t="s">
        <v>2175</v>
      </c>
      <c r="P475" s="187">
        <v>44985.318182870396</v>
      </c>
      <c r="Q475" s="186">
        <v>7970</v>
      </c>
      <c r="R475" s="185"/>
      <c r="S475" s="185" t="s">
        <v>1522</v>
      </c>
      <c r="T475"/>
      <c r="U475" t="str">
        <f>IF($L475&gt;0,VLOOKUP($E475,Valida!$A$1:$G$270,6,FALSE),IF($M475&gt;=0,VLOOKUP($E475,Valida!$A$1:$G$270,7,FALSE)))</f>
        <v>(+/-) Ajustes por el incremento (disminución) de cuentas por pagar de origen comercial</v>
      </c>
      <c r="V475" s="190" t="str">
        <f>VLOOKUP(E475,Valida!$A$2:$K$271,4,FALSE)</f>
        <v>Trade and other payables</v>
      </c>
      <c r="W475" s="185" t="s">
        <v>1978</v>
      </c>
      <c r="X475" s="185"/>
      <c r="Y475" s="185" t="s">
        <v>1789</v>
      </c>
      <c r="Z475"/>
    </row>
    <row r="476" spans="1:26">
      <c r="A476" s="185" t="s">
        <v>1895</v>
      </c>
      <c r="B476" s="185" t="s">
        <v>2175</v>
      </c>
      <c r="C476" s="185" t="s">
        <v>1897</v>
      </c>
      <c r="D476" s="185" t="s">
        <v>2176</v>
      </c>
      <c r="E476" s="185">
        <v>252005</v>
      </c>
      <c r="F476" s="185" t="s">
        <v>783</v>
      </c>
      <c r="G476" s="185" t="s">
        <v>1977</v>
      </c>
      <c r="H476" s="185" t="s">
        <v>1628</v>
      </c>
      <c r="I476" s="258" t="str">
        <f t="shared" si="22"/>
        <v>2</v>
      </c>
      <c r="J476" s="221">
        <f t="shared" si="23"/>
        <v>-68695</v>
      </c>
      <c r="K476" s="258">
        <f t="shared" si="24"/>
        <v>2</v>
      </c>
      <c r="L476" s="188">
        <v>0</v>
      </c>
      <c r="M476" s="188">
        <v>68695</v>
      </c>
      <c r="N476" s="189">
        <v>1000018061</v>
      </c>
      <c r="O476" t="s">
        <v>2175</v>
      </c>
      <c r="P476" s="187">
        <v>44985.318182870396</v>
      </c>
      <c r="Q476" s="186">
        <v>7971</v>
      </c>
      <c r="R476" s="185"/>
      <c r="S476" s="185" t="s">
        <v>1522</v>
      </c>
      <c r="T476"/>
      <c r="U476" t="str">
        <f>IF($L476&gt;0,VLOOKUP($E476,Valida!$A$1:$G$270,6,FALSE),IF($M476&gt;=0,VLOOKUP($E476,Valida!$A$1:$G$270,7,FALSE)))</f>
        <v>(+/-) Ajustes por el incremento (disminución) de cuentas por pagar de origen comercial</v>
      </c>
      <c r="V476" s="190" t="str">
        <f>VLOOKUP(E476,Valida!$A$2:$K$271,4,FALSE)</f>
        <v>Trade and other payables</v>
      </c>
      <c r="W476" s="185" t="s">
        <v>1978</v>
      </c>
      <c r="X476" s="185"/>
      <c r="Y476" s="185" t="s">
        <v>1789</v>
      </c>
      <c r="Z476"/>
    </row>
    <row r="477" spans="1:26">
      <c r="A477" s="185" t="s">
        <v>1895</v>
      </c>
      <c r="B477" s="185" t="s">
        <v>2175</v>
      </c>
      <c r="C477" s="185" t="s">
        <v>1897</v>
      </c>
      <c r="D477" s="185" t="s">
        <v>2176</v>
      </c>
      <c r="E477" s="185">
        <v>252505</v>
      </c>
      <c r="F477" s="185" t="s">
        <v>787</v>
      </c>
      <c r="G477" s="185" t="s">
        <v>1977</v>
      </c>
      <c r="H477" s="185" t="s">
        <v>1628</v>
      </c>
      <c r="I477" s="258" t="str">
        <f t="shared" si="22"/>
        <v>2</v>
      </c>
      <c r="J477" s="221">
        <f t="shared" si="23"/>
        <v>-31028</v>
      </c>
      <c r="K477" s="258">
        <f t="shared" si="24"/>
        <v>2</v>
      </c>
      <c r="L477" s="188">
        <v>0</v>
      </c>
      <c r="M477" s="188">
        <v>31028</v>
      </c>
      <c r="N477" s="189">
        <v>1000018061</v>
      </c>
      <c r="O477" t="s">
        <v>2175</v>
      </c>
      <c r="P477" s="187">
        <v>44985.318182870396</v>
      </c>
      <c r="Q477" s="186">
        <v>7972</v>
      </c>
      <c r="R477" s="185"/>
      <c r="S477" s="185" t="s">
        <v>1522</v>
      </c>
      <c r="T477"/>
      <c r="U477" t="str">
        <f>IF($L477&gt;0,VLOOKUP($E477,Valida!$A$1:$G$270,6,FALSE),IF($M477&gt;=0,VLOOKUP($E477,Valida!$A$1:$G$270,7,FALSE)))</f>
        <v>(+/-) Ajustes por el incremento (disminución) de cuentas por pagar de origen comercial</v>
      </c>
      <c r="V477" s="190" t="str">
        <f>VLOOKUP(E477,Valida!$A$2:$K$271,4,FALSE)</f>
        <v>Trade and other payables</v>
      </c>
      <c r="W477" s="185" t="s">
        <v>1978</v>
      </c>
      <c r="X477" s="185"/>
      <c r="Y477" s="185" t="s">
        <v>1789</v>
      </c>
      <c r="Z477"/>
    </row>
    <row r="478" spans="1:26">
      <c r="A478" s="185" t="s">
        <v>1895</v>
      </c>
      <c r="B478" s="185" t="s">
        <v>2175</v>
      </c>
      <c r="C478" s="185" t="s">
        <v>1897</v>
      </c>
      <c r="D478" s="185" t="s">
        <v>2176</v>
      </c>
      <c r="E478" s="185">
        <v>510570</v>
      </c>
      <c r="F478" s="185" t="s">
        <v>1116</v>
      </c>
      <c r="G478" s="185" t="s">
        <v>1977</v>
      </c>
      <c r="H478" s="185" t="s">
        <v>1515</v>
      </c>
      <c r="I478" s="258" t="str">
        <f t="shared" si="22"/>
        <v>5</v>
      </c>
      <c r="J478" s="221">
        <f t="shared" si="23"/>
        <v>89400</v>
      </c>
      <c r="K478" s="258">
        <f t="shared" si="24"/>
        <v>2</v>
      </c>
      <c r="L478" s="188">
        <v>89400</v>
      </c>
      <c r="M478" s="188">
        <v>0</v>
      </c>
      <c r="N478" s="189">
        <v>800149496</v>
      </c>
      <c r="O478" t="s">
        <v>2175</v>
      </c>
      <c r="P478" s="187">
        <v>44985.318182870396</v>
      </c>
      <c r="Q478" s="186">
        <v>7973</v>
      </c>
      <c r="R478" s="185" t="s">
        <v>433</v>
      </c>
      <c r="S478" s="185" t="s">
        <v>1660</v>
      </c>
      <c r="T478"/>
      <c r="U478" t="str">
        <f>IF($L478&gt;0,VLOOKUP($E478,Valida!$A$1:$G$270,6,FALSE),IF($M478&gt;=0,VLOOKUP($E478,Valida!$A$1:$G$270,7,FALSE)))</f>
        <v>(+/-) Ganancia (pérdida)</v>
      </c>
      <c r="V478" s="190" t="str">
        <f>VLOOKUP(E478,Valida!$A$2:$K$271,4,FALSE)</f>
        <v>P&amp;L</v>
      </c>
      <c r="W478" s="185" t="s">
        <v>1979</v>
      </c>
      <c r="X478" s="185"/>
      <c r="Y478" s="185" t="s">
        <v>1789</v>
      </c>
      <c r="Z478"/>
    </row>
    <row r="479" spans="1:26">
      <c r="A479" s="185" t="s">
        <v>1895</v>
      </c>
      <c r="B479" s="185" t="s">
        <v>2175</v>
      </c>
      <c r="C479" s="185" t="s">
        <v>1897</v>
      </c>
      <c r="D479" s="185" t="s">
        <v>2176</v>
      </c>
      <c r="E479" s="185">
        <v>238030</v>
      </c>
      <c r="F479" s="185" t="s">
        <v>721</v>
      </c>
      <c r="G479" s="185" t="s">
        <v>1977</v>
      </c>
      <c r="H479" s="185" t="s">
        <v>1628</v>
      </c>
      <c r="I479" s="258" t="str">
        <f t="shared" si="22"/>
        <v>2</v>
      </c>
      <c r="J479" s="221">
        <f t="shared" si="23"/>
        <v>-89400</v>
      </c>
      <c r="K479" s="258">
        <f t="shared" si="24"/>
        <v>2</v>
      </c>
      <c r="L479" s="188">
        <v>0</v>
      </c>
      <c r="M479" s="188">
        <v>89400</v>
      </c>
      <c r="N479" s="189">
        <v>800149496</v>
      </c>
      <c r="O479" t="s">
        <v>2175</v>
      </c>
      <c r="P479" s="187">
        <v>44985.318182870396</v>
      </c>
      <c r="Q479" s="186">
        <v>7974</v>
      </c>
      <c r="R479" s="185" t="s">
        <v>433</v>
      </c>
      <c r="S479" s="185" t="s">
        <v>1660</v>
      </c>
      <c r="T479"/>
      <c r="U479" t="str">
        <f>IF($L479&gt;0,VLOOKUP($E479,Valida!$A$1:$G$270,6,FALSE),IF($M479&gt;=0,VLOOKUP($E479,Valida!$A$1:$G$270,7,FALSE)))</f>
        <v>(+/-) Ajustes por el incremento (disminución) de cuentas por pagar de origen comercial</v>
      </c>
      <c r="V479" s="190" t="str">
        <f>VLOOKUP(E479,Valida!$A$2:$K$271,4,FALSE)</f>
        <v>Trade and other payables</v>
      </c>
      <c r="W479" s="185" t="s">
        <v>1979</v>
      </c>
      <c r="X479" s="185"/>
      <c r="Y479" s="185" t="s">
        <v>1789</v>
      </c>
      <c r="Z479"/>
    </row>
    <row r="480" spans="1:26">
      <c r="A480" s="185" t="s">
        <v>1895</v>
      </c>
      <c r="B480" s="185" t="s">
        <v>2175</v>
      </c>
      <c r="C480" s="185" t="s">
        <v>1897</v>
      </c>
      <c r="D480" s="185" t="s">
        <v>2176</v>
      </c>
      <c r="E480" s="185">
        <v>510568</v>
      </c>
      <c r="F480" s="185" t="s">
        <v>680</v>
      </c>
      <c r="G480" s="185" t="s">
        <v>1977</v>
      </c>
      <c r="H480" s="185" t="s">
        <v>1515</v>
      </c>
      <c r="I480" s="258" t="str">
        <f t="shared" si="22"/>
        <v>5</v>
      </c>
      <c r="J480" s="221">
        <f t="shared" si="23"/>
        <v>3900</v>
      </c>
      <c r="K480" s="258">
        <f t="shared" si="24"/>
        <v>2</v>
      </c>
      <c r="L480" s="188">
        <v>3900</v>
      </c>
      <c r="M480" s="188">
        <v>0</v>
      </c>
      <c r="N480" s="189">
        <v>860002503</v>
      </c>
      <c r="O480" t="s">
        <v>2175</v>
      </c>
      <c r="P480" s="187">
        <v>44985.318182870396</v>
      </c>
      <c r="Q480" s="186">
        <v>7975</v>
      </c>
      <c r="R480" s="185" t="s">
        <v>433</v>
      </c>
      <c r="S480" s="185" t="s">
        <v>1656</v>
      </c>
      <c r="T480"/>
      <c r="U480" t="str">
        <f>IF($L480&gt;0,VLOOKUP($E480,Valida!$A$1:$G$270,6,FALSE),IF($M480&gt;=0,VLOOKUP($E480,Valida!$A$1:$G$270,7,FALSE)))</f>
        <v>(+/-) Ganancia (pérdida)</v>
      </c>
      <c r="V480" s="190" t="str">
        <f>VLOOKUP(E480,Valida!$A$2:$K$271,4,FALSE)</f>
        <v>P&amp;L</v>
      </c>
      <c r="W480" s="185" t="s">
        <v>1912</v>
      </c>
      <c r="X480" s="185" t="s">
        <v>1913</v>
      </c>
      <c r="Y480" s="185" t="s">
        <v>1789</v>
      </c>
      <c r="Z480"/>
    </row>
    <row r="481" spans="1:26">
      <c r="A481" s="185" t="s">
        <v>1895</v>
      </c>
      <c r="B481" s="185" t="s">
        <v>2175</v>
      </c>
      <c r="C481" s="185" t="s">
        <v>1897</v>
      </c>
      <c r="D481" s="185" t="s">
        <v>2176</v>
      </c>
      <c r="E481" s="185">
        <v>237006</v>
      </c>
      <c r="F481" s="185" t="s">
        <v>680</v>
      </c>
      <c r="G481" s="185" t="s">
        <v>1977</v>
      </c>
      <c r="H481" s="185" t="s">
        <v>1628</v>
      </c>
      <c r="I481" s="258" t="str">
        <f t="shared" si="22"/>
        <v>2</v>
      </c>
      <c r="J481" s="221">
        <f t="shared" si="23"/>
        <v>-3900</v>
      </c>
      <c r="K481" s="258">
        <f t="shared" si="24"/>
        <v>2</v>
      </c>
      <c r="L481" s="188">
        <v>0</v>
      </c>
      <c r="M481" s="188">
        <v>3900</v>
      </c>
      <c r="N481" s="189">
        <v>860002503</v>
      </c>
      <c r="O481" t="s">
        <v>2175</v>
      </c>
      <c r="P481" s="187">
        <v>44985.318182870396</v>
      </c>
      <c r="Q481" s="186">
        <v>7976</v>
      </c>
      <c r="R481" s="185" t="s">
        <v>433</v>
      </c>
      <c r="S481" s="185" t="s">
        <v>1656</v>
      </c>
      <c r="T481"/>
      <c r="U481" t="str">
        <f>IF($L481&gt;0,VLOOKUP($E481,Valida!$A$1:$G$270,6,FALSE),IF($M481&gt;=0,VLOOKUP($E481,Valida!$A$1:$G$270,7,FALSE)))</f>
        <v>(+/-) Ajustes por el incremento (disminución) de cuentas por pagar de origen comercial</v>
      </c>
      <c r="V481" s="190" t="str">
        <f>VLOOKUP(E481,Valida!$A$2:$K$271,4,FALSE)</f>
        <v>Trade and other payables</v>
      </c>
      <c r="W481" s="185" t="s">
        <v>1912</v>
      </c>
      <c r="X481" s="185" t="s">
        <v>1913</v>
      </c>
      <c r="Y481" s="185" t="s">
        <v>1789</v>
      </c>
      <c r="Z481"/>
    </row>
    <row r="482" spans="1:26">
      <c r="A482" s="185" t="s">
        <v>1895</v>
      </c>
      <c r="B482" s="185" t="s">
        <v>2175</v>
      </c>
      <c r="C482" s="185" t="s">
        <v>1897</v>
      </c>
      <c r="D482" s="185" t="s">
        <v>2176</v>
      </c>
      <c r="E482" s="185">
        <v>510572</v>
      </c>
      <c r="F482" s="185" t="s">
        <v>1118</v>
      </c>
      <c r="G482" s="185" t="s">
        <v>1977</v>
      </c>
      <c r="H482" s="185" t="s">
        <v>1515</v>
      </c>
      <c r="I482" s="258" t="str">
        <f t="shared" si="22"/>
        <v>5</v>
      </c>
      <c r="J482" s="221">
        <f t="shared" si="23"/>
        <v>14900</v>
      </c>
      <c r="K482" s="258">
        <f t="shared" si="24"/>
        <v>2</v>
      </c>
      <c r="L482" s="188">
        <v>14900</v>
      </c>
      <c r="M482" s="188">
        <v>0</v>
      </c>
      <c r="N482" s="189">
        <v>860066942</v>
      </c>
      <c r="O482" t="s">
        <v>2175</v>
      </c>
      <c r="P482" s="187">
        <v>44985.318182870396</v>
      </c>
      <c r="Q482" s="186">
        <v>7977</v>
      </c>
      <c r="R482" s="185" t="s">
        <v>1814</v>
      </c>
      <c r="S482" s="185" t="s">
        <v>1574</v>
      </c>
      <c r="T482"/>
      <c r="U482" t="str">
        <f>IF($L482&gt;0,VLOOKUP($E482,Valida!$A$1:$G$270,6,FALSE),IF($M482&gt;=0,VLOOKUP($E482,Valida!$A$1:$G$270,7,FALSE)))</f>
        <v>(+/-) Ganancia (pérdida)</v>
      </c>
      <c r="V482" s="190" t="str">
        <f>VLOOKUP(E482,Valida!$A$2:$K$271,4,FALSE)</f>
        <v>P&amp;L</v>
      </c>
      <c r="W482" s="185" t="s">
        <v>1914</v>
      </c>
      <c r="X482" s="185" t="s">
        <v>1915</v>
      </c>
      <c r="Y482" s="185" t="s">
        <v>1789</v>
      </c>
      <c r="Z482"/>
    </row>
    <row r="483" spans="1:26">
      <c r="A483" s="185" t="s">
        <v>1895</v>
      </c>
      <c r="B483" s="185" t="s">
        <v>2175</v>
      </c>
      <c r="C483" s="185" t="s">
        <v>1897</v>
      </c>
      <c r="D483" s="185" t="s">
        <v>2176</v>
      </c>
      <c r="E483" s="185">
        <v>237010</v>
      </c>
      <c r="F483" s="185" t="s">
        <v>683</v>
      </c>
      <c r="G483" s="185" t="s">
        <v>1977</v>
      </c>
      <c r="H483" s="185" t="s">
        <v>1628</v>
      </c>
      <c r="I483" s="258" t="str">
        <f t="shared" si="22"/>
        <v>2</v>
      </c>
      <c r="J483" s="221">
        <f t="shared" si="23"/>
        <v>-14900</v>
      </c>
      <c r="K483" s="258">
        <f t="shared" si="24"/>
        <v>2</v>
      </c>
      <c r="L483" s="188">
        <v>0</v>
      </c>
      <c r="M483" s="188">
        <v>14900</v>
      </c>
      <c r="N483" s="189">
        <v>860066942</v>
      </c>
      <c r="O483" t="s">
        <v>2175</v>
      </c>
      <c r="P483" s="187">
        <v>44985.3181944444</v>
      </c>
      <c r="Q483" s="186">
        <v>7978</v>
      </c>
      <c r="R483" s="185" t="s">
        <v>1814</v>
      </c>
      <c r="S483" s="185" t="s">
        <v>1574</v>
      </c>
      <c r="T483"/>
      <c r="U483" t="str">
        <f>IF($L483&gt;0,VLOOKUP($E483,Valida!$A$1:$G$270,6,FALSE),IF($M483&gt;=0,VLOOKUP($E483,Valida!$A$1:$G$270,7,FALSE)))</f>
        <v>(+/-) Ajustes por el incremento (disminución) de cuentas por pagar de origen comercial</v>
      </c>
      <c r="V483" s="190" t="str">
        <f>VLOOKUP(E483,Valida!$A$2:$K$271,4,FALSE)</f>
        <v>Trade and other payables</v>
      </c>
      <c r="W483" s="185" t="s">
        <v>1914</v>
      </c>
      <c r="X483" s="185" t="s">
        <v>1915</v>
      </c>
      <c r="Y483" s="185" t="s">
        <v>1789</v>
      </c>
      <c r="Z483"/>
    </row>
    <row r="484" spans="1:26">
      <c r="A484" s="185" t="s">
        <v>1895</v>
      </c>
      <c r="B484" s="185" t="s">
        <v>2175</v>
      </c>
      <c r="C484" s="185" t="s">
        <v>1897</v>
      </c>
      <c r="D484" s="185" t="s">
        <v>2176</v>
      </c>
      <c r="E484" s="185">
        <v>510515</v>
      </c>
      <c r="F484" s="185" t="s">
        <v>1080</v>
      </c>
      <c r="G484" s="185" t="s">
        <v>1977</v>
      </c>
      <c r="H484" s="185" t="s">
        <v>1515</v>
      </c>
      <c r="I484" s="258" t="str">
        <f t="shared" si="22"/>
        <v>5</v>
      </c>
      <c r="J484" s="221">
        <f t="shared" si="23"/>
        <v>21599</v>
      </c>
      <c r="K484" s="258">
        <f t="shared" si="24"/>
        <v>2</v>
      </c>
      <c r="L484" s="188">
        <v>21599</v>
      </c>
      <c r="M484" s="188">
        <v>0</v>
      </c>
      <c r="N484" s="189">
        <v>1000018061</v>
      </c>
      <c r="O484" t="s">
        <v>2175</v>
      </c>
      <c r="P484" s="187">
        <v>44985.3181944444</v>
      </c>
      <c r="Q484" s="186">
        <v>7979</v>
      </c>
      <c r="R484" s="185"/>
      <c r="S484" s="185" t="s">
        <v>1522</v>
      </c>
      <c r="T484"/>
      <c r="U484" t="str">
        <f>IF($L484&gt;0,VLOOKUP($E484,Valida!$A$1:$G$270,6,FALSE),IF($M484&gt;=0,VLOOKUP($E484,Valida!$A$1:$G$270,7,FALSE)))</f>
        <v>(+/-) Ganancia (pérdida)</v>
      </c>
      <c r="V484" s="190" t="str">
        <f>VLOOKUP(E484,Valida!$A$2:$K$271,4,FALSE)</f>
        <v>P&amp;L</v>
      </c>
      <c r="W484" s="185" t="s">
        <v>1978</v>
      </c>
      <c r="X484" s="185"/>
      <c r="Y484" s="185" t="s">
        <v>1789</v>
      </c>
      <c r="Z484"/>
    </row>
    <row r="485" spans="1:26">
      <c r="A485" s="185" t="s">
        <v>1895</v>
      </c>
      <c r="B485" s="185" t="s">
        <v>2175</v>
      </c>
      <c r="C485" s="185" t="s">
        <v>1897</v>
      </c>
      <c r="D485" s="185" t="s">
        <v>2176</v>
      </c>
      <c r="E485" s="185">
        <v>510506</v>
      </c>
      <c r="F485" s="185" t="s">
        <v>1076</v>
      </c>
      <c r="G485" s="185" t="s">
        <v>1977</v>
      </c>
      <c r="H485" s="185" t="s">
        <v>1628</v>
      </c>
      <c r="I485" s="258" t="str">
        <f t="shared" si="22"/>
        <v>5</v>
      </c>
      <c r="J485" s="221">
        <f t="shared" si="23"/>
        <v>-31900</v>
      </c>
      <c r="K485" s="258">
        <f t="shared" si="24"/>
        <v>2</v>
      </c>
      <c r="L485" s="188">
        <v>0</v>
      </c>
      <c r="M485" s="188">
        <v>31900</v>
      </c>
      <c r="N485" s="189">
        <v>1000018061</v>
      </c>
      <c r="O485" t="s">
        <v>2175</v>
      </c>
      <c r="P485" s="187">
        <v>44985.3181944444</v>
      </c>
      <c r="Q485" s="186">
        <v>7980</v>
      </c>
      <c r="R485" s="185"/>
      <c r="S485" s="185" t="s">
        <v>1522</v>
      </c>
      <c r="T485"/>
      <c r="U485" t="str">
        <f>IF($L485&gt;0,VLOOKUP($E485,Valida!$A$1:$G$270,6,FALSE),IF($M485&gt;=0,VLOOKUP($E485,Valida!$A$1:$G$270,7,FALSE)))</f>
        <v>(+/-) Ganancia (pérdida)</v>
      </c>
      <c r="V485" s="190" t="str">
        <f>VLOOKUP(E485,Valida!$A$2:$K$271,4,FALSE)</f>
        <v>P&amp;L</v>
      </c>
      <c r="W485" s="185" t="s">
        <v>1978</v>
      </c>
      <c r="X485" s="185"/>
      <c r="Y485" s="185" t="s">
        <v>1789</v>
      </c>
      <c r="Z485"/>
    </row>
    <row r="486" spans="1:26">
      <c r="A486" s="185" t="s">
        <v>1895</v>
      </c>
      <c r="B486" s="185" t="s">
        <v>2177</v>
      </c>
      <c r="C486" s="185" t="s">
        <v>1897</v>
      </c>
      <c r="D486" s="185" t="s">
        <v>2178</v>
      </c>
      <c r="E486" s="185">
        <v>510506</v>
      </c>
      <c r="F486" s="185" t="s">
        <v>1076</v>
      </c>
      <c r="G486" s="185" t="s">
        <v>1982</v>
      </c>
      <c r="H486" s="185" t="s">
        <v>1515</v>
      </c>
      <c r="I486" s="258" t="str">
        <f t="shared" si="22"/>
        <v>5</v>
      </c>
      <c r="J486" s="221">
        <f t="shared" si="23"/>
        <v>1500000</v>
      </c>
      <c r="K486" s="258">
        <f t="shared" si="24"/>
        <v>2</v>
      </c>
      <c r="L486" s="188">
        <v>1500000</v>
      </c>
      <c r="M486" s="188">
        <v>0</v>
      </c>
      <c r="N486" s="189">
        <v>1000036375</v>
      </c>
      <c r="O486" t="s">
        <v>2177</v>
      </c>
      <c r="P486" s="187">
        <v>44985.323113425897</v>
      </c>
      <c r="Q486" s="186">
        <v>7981</v>
      </c>
      <c r="R486" s="185"/>
      <c r="S486" s="185" t="s">
        <v>1524</v>
      </c>
      <c r="T486"/>
      <c r="U486" t="str">
        <f>IF($L486&gt;0,VLOOKUP($E486,Valida!$A$1:$G$270,6,FALSE),IF($M486&gt;=0,VLOOKUP($E486,Valida!$A$1:$G$270,7,FALSE)))</f>
        <v>(+/-) Ganancia (pérdida)</v>
      </c>
      <c r="V486" s="190" t="str">
        <f>VLOOKUP(E486,Valida!$A$2:$K$271,4,FALSE)</f>
        <v>P&amp;L</v>
      </c>
      <c r="W486" s="185" t="s">
        <v>1983</v>
      </c>
      <c r="X486" s="185"/>
      <c r="Y486" s="185" t="s">
        <v>1789</v>
      </c>
      <c r="Z486"/>
    </row>
    <row r="487" spans="1:26">
      <c r="A487" s="185" t="s">
        <v>1895</v>
      </c>
      <c r="B487" s="185" t="s">
        <v>2177</v>
      </c>
      <c r="C487" s="185" t="s">
        <v>1897</v>
      </c>
      <c r="D487" s="185" t="s">
        <v>2178</v>
      </c>
      <c r="E487" s="185">
        <v>510527</v>
      </c>
      <c r="F487" s="185" t="s">
        <v>1089</v>
      </c>
      <c r="G487" s="185" t="s">
        <v>1982</v>
      </c>
      <c r="H487" s="185" t="s">
        <v>1515</v>
      </c>
      <c r="I487" s="258" t="str">
        <f t="shared" si="22"/>
        <v>5</v>
      </c>
      <c r="J487" s="221">
        <f t="shared" si="23"/>
        <v>140606</v>
      </c>
      <c r="K487" s="258">
        <f t="shared" si="24"/>
        <v>2</v>
      </c>
      <c r="L487" s="188">
        <v>140606</v>
      </c>
      <c r="M487" s="188">
        <v>0</v>
      </c>
      <c r="N487" s="189">
        <v>1000036375</v>
      </c>
      <c r="O487" t="s">
        <v>2177</v>
      </c>
      <c r="P487" s="187">
        <v>44985.323113425897</v>
      </c>
      <c r="Q487" s="186">
        <v>7982</v>
      </c>
      <c r="R487" s="185"/>
      <c r="S487" s="185" t="s">
        <v>1524</v>
      </c>
      <c r="T487"/>
      <c r="U487" t="str">
        <f>IF($L487&gt;0,VLOOKUP($E487,Valida!$A$1:$G$270,6,FALSE),IF($M487&gt;=0,VLOOKUP($E487,Valida!$A$1:$G$270,7,FALSE)))</f>
        <v>(+/-) Ganancia (pérdida)</v>
      </c>
      <c r="V487" s="190" t="str">
        <f>VLOOKUP(E487,Valida!$A$2:$K$271,4,FALSE)</f>
        <v>P&amp;L</v>
      </c>
      <c r="W487" s="185" t="s">
        <v>1983</v>
      </c>
      <c r="X487" s="185"/>
      <c r="Y487" s="185" t="s">
        <v>1789</v>
      </c>
      <c r="Z487"/>
    </row>
    <row r="488" spans="1:26">
      <c r="A488" s="185" t="s">
        <v>1895</v>
      </c>
      <c r="B488" s="185" t="s">
        <v>2177</v>
      </c>
      <c r="C488" s="185" t="s">
        <v>1897</v>
      </c>
      <c r="D488" s="185" t="s">
        <v>2178</v>
      </c>
      <c r="E488" s="185">
        <v>237005</v>
      </c>
      <c r="F488" s="185" t="s">
        <v>676</v>
      </c>
      <c r="G488" s="185" t="s">
        <v>1982</v>
      </c>
      <c r="H488" s="185" t="s">
        <v>1628</v>
      </c>
      <c r="I488" s="258" t="str">
        <f t="shared" si="22"/>
        <v>2</v>
      </c>
      <c r="J488" s="221">
        <f t="shared" si="23"/>
        <v>-76625</v>
      </c>
      <c r="K488" s="258">
        <f t="shared" si="24"/>
        <v>2</v>
      </c>
      <c r="L488" s="188">
        <v>0</v>
      </c>
      <c r="M488" s="188">
        <v>76625</v>
      </c>
      <c r="N488" s="189">
        <v>900156264</v>
      </c>
      <c r="O488" t="s">
        <v>2177</v>
      </c>
      <c r="P488" s="187">
        <v>44985.323113425897</v>
      </c>
      <c r="Q488" s="186">
        <v>7983</v>
      </c>
      <c r="R488" s="185" t="s">
        <v>433</v>
      </c>
      <c r="S488" s="185" t="s">
        <v>1654</v>
      </c>
      <c r="T488"/>
      <c r="U488" t="str">
        <f>IF($L488&gt;0,VLOOKUP($E488,Valida!$A$1:$G$270,6,FALSE),IF($M488&gt;=0,VLOOKUP($E488,Valida!$A$1:$G$270,7,FALSE)))</f>
        <v>(+/-) Ajustes por el incremento (disminución) de cuentas por pagar de origen comercial</v>
      </c>
      <c r="V488" s="190" t="str">
        <f>VLOOKUP(E488,Valida!$A$2:$K$271,4,FALSE)</f>
        <v>Trade and other payables</v>
      </c>
      <c r="W488" s="185" t="s">
        <v>1926</v>
      </c>
      <c r="X488" s="185" t="s">
        <v>1927</v>
      </c>
      <c r="Y488" s="185" t="s">
        <v>1789</v>
      </c>
      <c r="Z488"/>
    </row>
    <row r="489" spans="1:26">
      <c r="A489" s="185" t="s">
        <v>1895</v>
      </c>
      <c r="B489" s="185" t="s">
        <v>2177</v>
      </c>
      <c r="C489" s="185" t="s">
        <v>1897</v>
      </c>
      <c r="D489" s="185" t="s">
        <v>2178</v>
      </c>
      <c r="E489" s="185">
        <v>238030</v>
      </c>
      <c r="F489" s="185" t="s">
        <v>721</v>
      </c>
      <c r="G489" s="185" t="s">
        <v>1982</v>
      </c>
      <c r="H489" s="185" t="s">
        <v>1628</v>
      </c>
      <c r="I489" s="258" t="str">
        <f t="shared" si="22"/>
        <v>2</v>
      </c>
      <c r="J489" s="221">
        <f t="shared" si="23"/>
        <v>-76625</v>
      </c>
      <c r="K489" s="258">
        <f t="shared" si="24"/>
        <v>2</v>
      </c>
      <c r="L489" s="188">
        <v>0</v>
      </c>
      <c r="M489" s="188">
        <v>76625</v>
      </c>
      <c r="N489" s="189">
        <v>800224808</v>
      </c>
      <c r="O489" t="s">
        <v>2177</v>
      </c>
      <c r="P489" s="187">
        <v>44985.323113425897</v>
      </c>
      <c r="Q489" s="186">
        <v>7984</v>
      </c>
      <c r="R489" s="185" t="s">
        <v>1827</v>
      </c>
      <c r="S489" s="185" t="s">
        <v>1662</v>
      </c>
      <c r="T489"/>
      <c r="U489" t="str">
        <f>IF($L489&gt;0,VLOOKUP($E489,Valida!$A$1:$G$270,6,FALSE),IF($M489&gt;=0,VLOOKUP($E489,Valida!$A$1:$G$270,7,FALSE)))</f>
        <v>(+/-) Ajustes por el incremento (disminución) de cuentas por pagar de origen comercial</v>
      </c>
      <c r="V489" s="190" t="str">
        <f>VLOOKUP(E489,Valida!$A$2:$K$271,4,FALSE)</f>
        <v>Trade and other payables</v>
      </c>
      <c r="W489" s="185" t="s">
        <v>1911</v>
      </c>
      <c r="X489" s="185"/>
      <c r="Y489" s="185" t="s">
        <v>1789</v>
      </c>
      <c r="Z489"/>
    </row>
    <row r="490" spans="1:26">
      <c r="A490" s="185" t="s">
        <v>1895</v>
      </c>
      <c r="B490" s="185" t="s">
        <v>2177</v>
      </c>
      <c r="C490" s="185" t="s">
        <v>1897</v>
      </c>
      <c r="D490" s="185" t="s">
        <v>2178</v>
      </c>
      <c r="E490" s="185">
        <v>250505</v>
      </c>
      <c r="F490" s="185" t="s">
        <v>767</v>
      </c>
      <c r="G490" s="185" t="s">
        <v>1982</v>
      </c>
      <c r="H490" s="185" t="s">
        <v>1628</v>
      </c>
      <c r="I490" s="258" t="str">
        <f t="shared" si="22"/>
        <v>2</v>
      </c>
      <c r="J490" s="221">
        <f t="shared" si="23"/>
        <v>-1902981</v>
      </c>
      <c r="K490" s="258">
        <f t="shared" si="24"/>
        <v>2</v>
      </c>
      <c r="L490" s="188">
        <v>0</v>
      </c>
      <c r="M490" s="188">
        <v>1902981</v>
      </c>
      <c r="N490" s="189">
        <v>1000036375</v>
      </c>
      <c r="O490" t="s">
        <v>2177</v>
      </c>
      <c r="P490" s="187">
        <v>44985.323113425897</v>
      </c>
      <c r="Q490" s="186">
        <v>7985</v>
      </c>
      <c r="R490" s="185"/>
      <c r="S490" s="185" t="s">
        <v>1524</v>
      </c>
      <c r="T490"/>
      <c r="U490" t="str">
        <f>IF($L490&gt;0,VLOOKUP($E490,Valida!$A$1:$G$270,6,FALSE),IF($M490&gt;=0,VLOOKUP($E490,Valida!$A$1:$G$270,7,FALSE)))</f>
        <v>(+/-) Ajustes por el incremento (disminución) de cuentas por pagar de origen comercial</v>
      </c>
      <c r="V490" s="190" t="str">
        <f>VLOOKUP(E490,Valida!$A$2:$K$271,4,FALSE)</f>
        <v>Trade and other payables</v>
      </c>
      <c r="W490" s="185" t="s">
        <v>1983</v>
      </c>
      <c r="X490" s="185"/>
      <c r="Y490" s="185" t="s">
        <v>1789</v>
      </c>
      <c r="Z490"/>
    </row>
    <row r="491" spans="1:26">
      <c r="A491" s="185" t="s">
        <v>1895</v>
      </c>
      <c r="B491" s="185" t="s">
        <v>2177</v>
      </c>
      <c r="C491" s="185" t="s">
        <v>1897</v>
      </c>
      <c r="D491" s="185" t="s">
        <v>2178</v>
      </c>
      <c r="E491" s="185">
        <v>510530</v>
      </c>
      <c r="F491" s="185" t="s">
        <v>813</v>
      </c>
      <c r="G491" s="185" t="s">
        <v>1982</v>
      </c>
      <c r="H491" s="185" t="s">
        <v>1515</v>
      </c>
      <c r="I491" s="258" t="str">
        <f t="shared" si="22"/>
        <v>5</v>
      </c>
      <c r="J491" s="221">
        <f t="shared" si="23"/>
        <v>171353</v>
      </c>
      <c r="K491" s="258">
        <f t="shared" si="24"/>
        <v>2</v>
      </c>
      <c r="L491" s="188">
        <v>171353</v>
      </c>
      <c r="M491" s="188">
        <v>0</v>
      </c>
      <c r="N491" s="189">
        <v>1000036375</v>
      </c>
      <c r="O491" t="s">
        <v>2177</v>
      </c>
      <c r="P491" s="187">
        <v>44985.323113425897</v>
      </c>
      <c r="Q491" s="186">
        <v>7986</v>
      </c>
      <c r="R491" s="185"/>
      <c r="S491" s="185" t="s">
        <v>1524</v>
      </c>
      <c r="T491"/>
      <c r="U491" t="str">
        <f>IF($L491&gt;0,VLOOKUP($E491,Valida!$A$1:$G$270,6,FALSE),IF($M491&gt;=0,VLOOKUP($E491,Valida!$A$1:$G$270,7,FALSE)))</f>
        <v>(+/-) Ganancia (pérdida)</v>
      </c>
      <c r="V491" s="190" t="str">
        <f>VLOOKUP(E491,Valida!$A$2:$K$271,4,FALSE)</f>
        <v>P&amp;L</v>
      </c>
      <c r="W491" s="185" t="s">
        <v>1983</v>
      </c>
      <c r="X491" s="185"/>
      <c r="Y491" s="185" t="s">
        <v>1789</v>
      </c>
      <c r="Z491"/>
    </row>
    <row r="492" spans="1:26">
      <c r="A492" s="185" t="s">
        <v>1895</v>
      </c>
      <c r="B492" s="185" t="s">
        <v>2177</v>
      </c>
      <c r="C492" s="185" t="s">
        <v>1897</v>
      </c>
      <c r="D492" s="185" t="s">
        <v>2178</v>
      </c>
      <c r="E492" s="185">
        <v>510533</v>
      </c>
      <c r="F492" s="185" t="s">
        <v>779</v>
      </c>
      <c r="G492" s="185" t="s">
        <v>1982</v>
      </c>
      <c r="H492" s="185" t="s">
        <v>1515</v>
      </c>
      <c r="I492" s="258" t="str">
        <f t="shared" si="22"/>
        <v>5</v>
      </c>
      <c r="J492" s="221">
        <f t="shared" si="23"/>
        <v>20562</v>
      </c>
      <c r="K492" s="258">
        <f t="shared" si="24"/>
        <v>2</v>
      </c>
      <c r="L492" s="188">
        <v>20562</v>
      </c>
      <c r="M492" s="188">
        <v>0</v>
      </c>
      <c r="N492" s="189">
        <v>1000036375</v>
      </c>
      <c r="O492" t="s">
        <v>2177</v>
      </c>
      <c r="P492" s="187">
        <v>44985.323113425897</v>
      </c>
      <c r="Q492" s="186">
        <v>7987</v>
      </c>
      <c r="R492" s="185"/>
      <c r="S492" s="185" t="s">
        <v>1524</v>
      </c>
      <c r="T492"/>
      <c r="U492" t="str">
        <f>IF($L492&gt;0,VLOOKUP($E492,Valida!$A$1:$G$270,6,FALSE),IF($M492&gt;=0,VLOOKUP($E492,Valida!$A$1:$G$270,7,FALSE)))</f>
        <v>(+/-) Ganancia (pérdida)</v>
      </c>
      <c r="V492" s="190" t="str">
        <f>VLOOKUP(E492,Valida!$A$2:$K$271,4,FALSE)</f>
        <v>P&amp;L</v>
      </c>
      <c r="W492" s="185" t="s">
        <v>1983</v>
      </c>
      <c r="X492" s="185"/>
      <c r="Y492" s="185" t="s">
        <v>1789</v>
      </c>
      <c r="Z492"/>
    </row>
    <row r="493" spans="1:26">
      <c r="A493" s="185" t="s">
        <v>1895</v>
      </c>
      <c r="B493" s="185" t="s">
        <v>2177</v>
      </c>
      <c r="C493" s="185" t="s">
        <v>1897</v>
      </c>
      <c r="D493" s="185" t="s">
        <v>2178</v>
      </c>
      <c r="E493" s="185">
        <v>510536</v>
      </c>
      <c r="F493" s="185" t="s">
        <v>783</v>
      </c>
      <c r="G493" s="185" t="s">
        <v>1982</v>
      </c>
      <c r="H493" s="185" t="s">
        <v>1515</v>
      </c>
      <c r="I493" s="258" t="str">
        <f t="shared" si="22"/>
        <v>5</v>
      </c>
      <c r="J493" s="221">
        <f t="shared" si="23"/>
        <v>171353</v>
      </c>
      <c r="K493" s="258">
        <f t="shared" si="24"/>
        <v>2</v>
      </c>
      <c r="L493" s="188">
        <v>171353</v>
      </c>
      <c r="M493" s="188">
        <v>0</v>
      </c>
      <c r="N493" s="189">
        <v>1000036375</v>
      </c>
      <c r="O493" t="s">
        <v>2177</v>
      </c>
      <c r="P493" s="187">
        <v>44985.323113425897</v>
      </c>
      <c r="Q493" s="186">
        <v>7988</v>
      </c>
      <c r="R493" s="185"/>
      <c r="S493" s="185" t="s">
        <v>1524</v>
      </c>
      <c r="T493"/>
      <c r="U493" t="str">
        <f>IF($L493&gt;0,VLOOKUP($E493,Valida!$A$1:$G$270,6,FALSE),IF($M493&gt;=0,VLOOKUP($E493,Valida!$A$1:$G$270,7,FALSE)))</f>
        <v>(+/-) Ganancia (pérdida)</v>
      </c>
      <c r="V493" s="190" t="str">
        <f>VLOOKUP(E493,Valida!$A$2:$K$271,4,FALSE)</f>
        <v>P&amp;L</v>
      </c>
      <c r="W493" s="185" t="s">
        <v>1983</v>
      </c>
      <c r="X493" s="185"/>
      <c r="Y493" s="185" t="s">
        <v>1789</v>
      </c>
      <c r="Z493"/>
    </row>
    <row r="494" spans="1:26">
      <c r="A494" s="185" t="s">
        <v>1895</v>
      </c>
      <c r="B494" s="185" t="s">
        <v>2177</v>
      </c>
      <c r="C494" s="185" t="s">
        <v>1897</v>
      </c>
      <c r="D494" s="185" t="s">
        <v>2178</v>
      </c>
      <c r="E494" s="185">
        <v>510539</v>
      </c>
      <c r="F494" s="185" t="s">
        <v>818</v>
      </c>
      <c r="G494" s="185" t="s">
        <v>1982</v>
      </c>
      <c r="H494" s="185" t="s">
        <v>1515</v>
      </c>
      <c r="I494" s="258" t="str">
        <f t="shared" si="22"/>
        <v>5</v>
      </c>
      <c r="J494" s="221">
        <f t="shared" si="23"/>
        <v>79818</v>
      </c>
      <c r="K494" s="258">
        <f t="shared" si="24"/>
        <v>2</v>
      </c>
      <c r="L494" s="188">
        <v>79818</v>
      </c>
      <c r="M494" s="188">
        <v>0</v>
      </c>
      <c r="N494" s="189">
        <v>1000036375</v>
      </c>
      <c r="O494" t="s">
        <v>2177</v>
      </c>
      <c r="P494" s="187">
        <v>44985.323113425897</v>
      </c>
      <c r="Q494" s="186">
        <v>7989</v>
      </c>
      <c r="R494" s="185"/>
      <c r="S494" s="185" t="s">
        <v>1524</v>
      </c>
      <c r="T494"/>
      <c r="U494" t="str">
        <f>IF($L494&gt;0,VLOOKUP($E494,Valida!$A$1:$G$270,6,FALSE),IF($M494&gt;=0,VLOOKUP($E494,Valida!$A$1:$G$270,7,FALSE)))</f>
        <v>(+/-) Ganancia (pérdida)</v>
      </c>
      <c r="V494" s="190" t="str">
        <f>VLOOKUP(E494,Valida!$A$2:$K$271,4,FALSE)</f>
        <v>P&amp;L</v>
      </c>
      <c r="W494" s="185" t="s">
        <v>1983</v>
      </c>
      <c r="X494" s="185"/>
      <c r="Y494" s="185" t="s">
        <v>1789</v>
      </c>
      <c r="Z494"/>
    </row>
    <row r="495" spans="1:26">
      <c r="A495" s="185" t="s">
        <v>1895</v>
      </c>
      <c r="B495" s="185" t="s">
        <v>2177</v>
      </c>
      <c r="C495" s="185" t="s">
        <v>1897</v>
      </c>
      <c r="D495" s="185" t="s">
        <v>2178</v>
      </c>
      <c r="E495" s="185">
        <v>251010</v>
      </c>
      <c r="F495" s="185" t="s">
        <v>776</v>
      </c>
      <c r="G495" s="185" t="s">
        <v>1982</v>
      </c>
      <c r="H495" s="185" t="s">
        <v>1628</v>
      </c>
      <c r="I495" s="258" t="str">
        <f t="shared" si="22"/>
        <v>2</v>
      </c>
      <c r="J495" s="221">
        <f t="shared" si="23"/>
        <v>-171353</v>
      </c>
      <c r="K495" s="258">
        <f t="shared" si="24"/>
        <v>2</v>
      </c>
      <c r="L495" s="188">
        <v>0</v>
      </c>
      <c r="M495" s="188">
        <v>171353</v>
      </c>
      <c r="N495" s="189">
        <v>1000036375</v>
      </c>
      <c r="O495" t="s">
        <v>2177</v>
      </c>
      <c r="P495" s="187">
        <v>44985.323113425897</v>
      </c>
      <c r="Q495" s="186">
        <v>7990</v>
      </c>
      <c r="R495" s="185"/>
      <c r="S495" s="185" t="s">
        <v>1524</v>
      </c>
      <c r="T495"/>
      <c r="U495" t="str">
        <f>IF($L495&gt;0,VLOOKUP($E495,Valida!$A$1:$G$270,6,FALSE),IF($M495&gt;=0,VLOOKUP($E495,Valida!$A$1:$G$270,7,FALSE)))</f>
        <v>(+/-) Ajustes por el incremento (disminución) de cuentas por pagar de origen comercial</v>
      </c>
      <c r="V495" s="190" t="str">
        <f>VLOOKUP(E495,Valida!$A$2:$K$271,4,FALSE)</f>
        <v>Trade and other payables</v>
      </c>
      <c r="W495" s="185" t="s">
        <v>1983</v>
      </c>
      <c r="X495" s="185"/>
      <c r="Y495" s="185" t="s">
        <v>1789</v>
      </c>
      <c r="Z495"/>
    </row>
    <row r="496" spans="1:26">
      <c r="A496" s="185" t="s">
        <v>1895</v>
      </c>
      <c r="B496" s="185" t="s">
        <v>2177</v>
      </c>
      <c r="C496" s="185" t="s">
        <v>1897</v>
      </c>
      <c r="D496" s="185" t="s">
        <v>2178</v>
      </c>
      <c r="E496" s="185">
        <v>251505</v>
      </c>
      <c r="F496" s="185" t="s">
        <v>779</v>
      </c>
      <c r="G496" s="185" t="s">
        <v>1982</v>
      </c>
      <c r="H496" s="185" t="s">
        <v>1628</v>
      </c>
      <c r="I496" s="258" t="str">
        <f t="shared" si="22"/>
        <v>2</v>
      </c>
      <c r="J496" s="221">
        <f t="shared" si="23"/>
        <v>-20562</v>
      </c>
      <c r="K496" s="258">
        <f t="shared" si="24"/>
        <v>2</v>
      </c>
      <c r="L496" s="188">
        <v>0</v>
      </c>
      <c r="M496" s="188">
        <v>20562</v>
      </c>
      <c r="N496" s="189">
        <v>1000036375</v>
      </c>
      <c r="O496" t="s">
        <v>2177</v>
      </c>
      <c r="P496" s="187">
        <v>44985.323113425897</v>
      </c>
      <c r="Q496" s="186">
        <v>7991</v>
      </c>
      <c r="R496" s="185"/>
      <c r="S496" s="185" t="s">
        <v>1524</v>
      </c>
      <c r="T496"/>
      <c r="U496" t="str">
        <f>IF($L496&gt;0,VLOOKUP($E496,Valida!$A$1:$G$270,6,FALSE),IF($M496&gt;=0,VLOOKUP($E496,Valida!$A$1:$G$270,7,FALSE)))</f>
        <v>(+/-) Ajustes por el incremento (disminución) de cuentas por pagar de origen comercial</v>
      </c>
      <c r="V496" s="190" t="str">
        <f>VLOOKUP(E496,Valida!$A$2:$K$271,4,FALSE)</f>
        <v>Trade and other payables</v>
      </c>
      <c r="W496" s="185" t="s">
        <v>1983</v>
      </c>
      <c r="X496" s="185"/>
      <c r="Y496" s="185" t="s">
        <v>1789</v>
      </c>
      <c r="Z496"/>
    </row>
    <row r="497" spans="1:26">
      <c r="A497" s="185" t="s">
        <v>1895</v>
      </c>
      <c r="B497" s="185" t="s">
        <v>2177</v>
      </c>
      <c r="C497" s="185" t="s">
        <v>1897</v>
      </c>
      <c r="D497" s="185" t="s">
        <v>2178</v>
      </c>
      <c r="E497" s="185">
        <v>252005</v>
      </c>
      <c r="F497" s="185" t="s">
        <v>783</v>
      </c>
      <c r="G497" s="185" t="s">
        <v>1982</v>
      </c>
      <c r="H497" s="185" t="s">
        <v>1628</v>
      </c>
      <c r="I497" s="258" t="str">
        <f t="shared" si="22"/>
        <v>2</v>
      </c>
      <c r="J497" s="221">
        <f t="shared" si="23"/>
        <v>-171353</v>
      </c>
      <c r="K497" s="258">
        <f t="shared" si="24"/>
        <v>2</v>
      </c>
      <c r="L497" s="188">
        <v>0</v>
      </c>
      <c r="M497" s="188">
        <v>171353</v>
      </c>
      <c r="N497" s="189">
        <v>1000036375</v>
      </c>
      <c r="O497" t="s">
        <v>2177</v>
      </c>
      <c r="P497" s="187">
        <v>44985.323113425897</v>
      </c>
      <c r="Q497" s="186">
        <v>7992</v>
      </c>
      <c r="R497" s="185"/>
      <c r="S497" s="185" t="s">
        <v>1524</v>
      </c>
      <c r="T497"/>
      <c r="U497" t="str">
        <f>IF($L497&gt;0,VLOOKUP($E497,Valida!$A$1:$G$270,6,FALSE),IF($M497&gt;=0,VLOOKUP($E497,Valida!$A$1:$G$270,7,FALSE)))</f>
        <v>(+/-) Ajustes por el incremento (disminución) de cuentas por pagar de origen comercial</v>
      </c>
      <c r="V497" s="190" t="str">
        <f>VLOOKUP(E497,Valida!$A$2:$K$271,4,FALSE)</f>
        <v>Trade and other payables</v>
      </c>
      <c r="W497" s="185" t="s">
        <v>1983</v>
      </c>
      <c r="X497" s="185"/>
      <c r="Y497" s="185" t="s">
        <v>1789</v>
      </c>
      <c r="Z497"/>
    </row>
    <row r="498" spans="1:26">
      <c r="A498" s="185" t="s">
        <v>1895</v>
      </c>
      <c r="B498" s="185" t="s">
        <v>2177</v>
      </c>
      <c r="C498" s="185" t="s">
        <v>1897</v>
      </c>
      <c r="D498" s="185" t="s">
        <v>2178</v>
      </c>
      <c r="E498" s="185">
        <v>252505</v>
      </c>
      <c r="F498" s="185" t="s">
        <v>787</v>
      </c>
      <c r="G498" s="185" t="s">
        <v>1982</v>
      </c>
      <c r="H498" s="185" t="s">
        <v>1628</v>
      </c>
      <c r="I498" s="258" t="str">
        <f t="shared" si="22"/>
        <v>2</v>
      </c>
      <c r="J498" s="221">
        <f t="shared" si="23"/>
        <v>-79818</v>
      </c>
      <c r="K498" s="258">
        <f t="shared" si="24"/>
        <v>2</v>
      </c>
      <c r="L498" s="188">
        <v>0</v>
      </c>
      <c r="M498" s="188">
        <v>79818</v>
      </c>
      <c r="N498" s="189">
        <v>1000036375</v>
      </c>
      <c r="O498" t="s">
        <v>2177</v>
      </c>
      <c r="P498" s="187">
        <v>44985.323113425897</v>
      </c>
      <c r="Q498" s="186">
        <v>7993</v>
      </c>
      <c r="R498" s="185"/>
      <c r="S498" s="185" t="s">
        <v>1524</v>
      </c>
      <c r="T498"/>
      <c r="U498" t="str">
        <f>IF($L498&gt;0,VLOOKUP($E498,Valida!$A$1:$G$270,6,FALSE),IF($M498&gt;=0,VLOOKUP($E498,Valida!$A$1:$G$270,7,FALSE)))</f>
        <v>(+/-) Ajustes por el incremento (disminución) de cuentas por pagar de origen comercial</v>
      </c>
      <c r="V498" s="190" t="str">
        <f>VLOOKUP(E498,Valida!$A$2:$K$271,4,FALSE)</f>
        <v>Trade and other payables</v>
      </c>
      <c r="W498" s="185" t="s">
        <v>1983</v>
      </c>
      <c r="X498" s="185"/>
      <c r="Y498" s="185" t="s">
        <v>1789</v>
      </c>
      <c r="Z498"/>
    </row>
    <row r="499" spans="1:26">
      <c r="A499" s="185" t="s">
        <v>1895</v>
      </c>
      <c r="B499" s="185" t="s">
        <v>2177</v>
      </c>
      <c r="C499" s="185" t="s">
        <v>1897</v>
      </c>
      <c r="D499" s="185" t="s">
        <v>2178</v>
      </c>
      <c r="E499" s="185">
        <v>510570</v>
      </c>
      <c r="F499" s="185" t="s">
        <v>1116</v>
      </c>
      <c r="G499" s="185" t="s">
        <v>1982</v>
      </c>
      <c r="H499" s="185" t="s">
        <v>1515</v>
      </c>
      <c r="I499" s="258" t="str">
        <f t="shared" si="22"/>
        <v>5</v>
      </c>
      <c r="J499" s="221">
        <f t="shared" si="23"/>
        <v>229900</v>
      </c>
      <c r="K499" s="258">
        <f t="shared" si="24"/>
        <v>2</v>
      </c>
      <c r="L499" s="188">
        <v>229900</v>
      </c>
      <c r="M499" s="188">
        <v>0</v>
      </c>
      <c r="N499" s="189">
        <v>800224808</v>
      </c>
      <c r="O499" t="s">
        <v>2177</v>
      </c>
      <c r="P499" s="187">
        <v>44985.323113425897</v>
      </c>
      <c r="Q499" s="186">
        <v>7994</v>
      </c>
      <c r="R499" s="185" t="s">
        <v>1827</v>
      </c>
      <c r="S499" s="185" t="s">
        <v>1662</v>
      </c>
      <c r="T499"/>
      <c r="U499" t="str">
        <f>IF($L499&gt;0,VLOOKUP($E499,Valida!$A$1:$G$270,6,FALSE),IF($M499&gt;=0,VLOOKUP($E499,Valida!$A$1:$G$270,7,FALSE)))</f>
        <v>(+/-) Ganancia (pérdida)</v>
      </c>
      <c r="V499" s="190" t="str">
        <f>VLOOKUP(E499,Valida!$A$2:$K$271,4,FALSE)</f>
        <v>P&amp;L</v>
      </c>
      <c r="W499" s="185" t="s">
        <v>1911</v>
      </c>
      <c r="X499" s="185"/>
      <c r="Y499" s="185" t="s">
        <v>1789</v>
      </c>
      <c r="Z499"/>
    </row>
    <row r="500" spans="1:26">
      <c r="A500" s="185" t="s">
        <v>1895</v>
      </c>
      <c r="B500" s="185" t="s">
        <v>2177</v>
      </c>
      <c r="C500" s="185" t="s">
        <v>1897</v>
      </c>
      <c r="D500" s="185" t="s">
        <v>2178</v>
      </c>
      <c r="E500" s="185">
        <v>238030</v>
      </c>
      <c r="F500" s="185" t="s">
        <v>721</v>
      </c>
      <c r="G500" s="185" t="s">
        <v>1982</v>
      </c>
      <c r="H500" s="185" t="s">
        <v>1628</v>
      </c>
      <c r="I500" s="258" t="str">
        <f t="shared" si="22"/>
        <v>2</v>
      </c>
      <c r="J500" s="221">
        <f t="shared" si="23"/>
        <v>-229900</v>
      </c>
      <c r="K500" s="258">
        <f t="shared" si="24"/>
        <v>2</v>
      </c>
      <c r="L500" s="188">
        <v>0</v>
      </c>
      <c r="M500" s="188">
        <v>229900</v>
      </c>
      <c r="N500" s="189">
        <v>800224808</v>
      </c>
      <c r="O500" t="s">
        <v>2177</v>
      </c>
      <c r="P500" s="187">
        <v>44985.323125000003</v>
      </c>
      <c r="Q500" s="186">
        <v>7995</v>
      </c>
      <c r="R500" s="185" t="s">
        <v>1827</v>
      </c>
      <c r="S500" s="185" t="s">
        <v>1662</v>
      </c>
      <c r="T500"/>
      <c r="U500" t="str">
        <f>IF($L500&gt;0,VLOOKUP($E500,Valida!$A$1:$G$270,6,FALSE),IF($M500&gt;=0,VLOOKUP($E500,Valida!$A$1:$G$270,7,FALSE)))</f>
        <v>(+/-) Ajustes por el incremento (disminución) de cuentas por pagar de origen comercial</v>
      </c>
      <c r="V500" s="190" t="str">
        <f>VLOOKUP(E500,Valida!$A$2:$K$271,4,FALSE)</f>
        <v>Trade and other payables</v>
      </c>
      <c r="W500" s="185" t="s">
        <v>1911</v>
      </c>
      <c r="X500" s="185"/>
      <c r="Y500" s="185" t="s">
        <v>1789</v>
      </c>
      <c r="Z500"/>
    </row>
    <row r="501" spans="1:26">
      <c r="A501" s="185" t="s">
        <v>1895</v>
      </c>
      <c r="B501" s="185" t="s">
        <v>2177</v>
      </c>
      <c r="C501" s="185" t="s">
        <v>1897</v>
      </c>
      <c r="D501" s="185" t="s">
        <v>2178</v>
      </c>
      <c r="E501" s="185">
        <v>510568</v>
      </c>
      <c r="F501" s="185" t="s">
        <v>680</v>
      </c>
      <c r="G501" s="185" t="s">
        <v>1982</v>
      </c>
      <c r="H501" s="185" t="s">
        <v>1515</v>
      </c>
      <c r="I501" s="258" t="str">
        <f t="shared" si="22"/>
        <v>5</v>
      </c>
      <c r="J501" s="221">
        <f t="shared" si="23"/>
        <v>10000</v>
      </c>
      <c r="K501" s="258">
        <f t="shared" si="24"/>
        <v>2</v>
      </c>
      <c r="L501" s="188">
        <v>10000</v>
      </c>
      <c r="M501" s="188">
        <v>0</v>
      </c>
      <c r="N501" s="189">
        <v>860002503</v>
      </c>
      <c r="O501" t="s">
        <v>2177</v>
      </c>
      <c r="P501" s="187">
        <v>44985.323125000003</v>
      </c>
      <c r="Q501" s="186">
        <v>7996</v>
      </c>
      <c r="R501" s="185" t="s">
        <v>433</v>
      </c>
      <c r="S501" s="185" t="s">
        <v>1656</v>
      </c>
      <c r="T501"/>
      <c r="U501" t="str">
        <f>IF($L501&gt;0,VLOOKUP($E501,Valida!$A$1:$G$270,6,FALSE),IF($M501&gt;=0,VLOOKUP($E501,Valida!$A$1:$G$270,7,FALSE)))</f>
        <v>(+/-) Ganancia (pérdida)</v>
      </c>
      <c r="V501" s="190" t="str">
        <f>VLOOKUP(E501,Valida!$A$2:$K$271,4,FALSE)</f>
        <v>P&amp;L</v>
      </c>
      <c r="W501" s="185" t="s">
        <v>1912</v>
      </c>
      <c r="X501" s="185" t="s">
        <v>1913</v>
      </c>
      <c r="Y501" s="185" t="s">
        <v>1789</v>
      </c>
      <c r="Z501"/>
    </row>
    <row r="502" spans="1:26">
      <c r="A502" s="185" t="s">
        <v>1895</v>
      </c>
      <c r="B502" s="185" t="s">
        <v>2177</v>
      </c>
      <c r="C502" s="185" t="s">
        <v>1897</v>
      </c>
      <c r="D502" s="185" t="s">
        <v>2178</v>
      </c>
      <c r="E502" s="185">
        <v>237006</v>
      </c>
      <c r="F502" s="185" t="s">
        <v>680</v>
      </c>
      <c r="G502" s="185" t="s">
        <v>1982</v>
      </c>
      <c r="H502" s="185" t="s">
        <v>1628</v>
      </c>
      <c r="I502" s="258" t="str">
        <f t="shared" si="22"/>
        <v>2</v>
      </c>
      <c r="J502" s="221">
        <f t="shared" si="23"/>
        <v>-10000</v>
      </c>
      <c r="K502" s="258">
        <f t="shared" si="24"/>
        <v>2</v>
      </c>
      <c r="L502" s="188">
        <v>0</v>
      </c>
      <c r="M502" s="188">
        <v>10000</v>
      </c>
      <c r="N502" s="189">
        <v>860002503</v>
      </c>
      <c r="O502" t="s">
        <v>2177</v>
      </c>
      <c r="P502" s="187">
        <v>44985.323125000003</v>
      </c>
      <c r="Q502" s="186">
        <v>7997</v>
      </c>
      <c r="R502" s="185" t="s">
        <v>433</v>
      </c>
      <c r="S502" s="185" t="s">
        <v>1656</v>
      </c>
      <c r="T502"/>
      <c r="U502" t="str">
        <f>IF($L502&gt;0,VLOOKUP($E502,Valida!$A$1:$G$270,6,FALSE),IF($M502&gt;=0,VLOOKUP($E502,Valida!$A$1:$G$270,7,FALSE)))</f>
        <v>(+/-) Ajustes por el incremento (disminución) de cuentas por pagar de origen comercial</v>
      </c>
      <c r="V502" s="190" t="str">
        <f>VLOOKUP(E502,Valida!$A$2:$K$271,4,FALSE)</f>
        <v>Trade and other payables</v>
      </c>
      <c r="W502" s="185" t="s">
        <v>1912</v>
      </c>
      <c r="X502" s="185" t="s">
        <v>1913</v>
      </c>
      <c r="Y502" s="185" t="s">
        <v>1789</v>
      </c>
      <c r="Z502"/>
    </row>
    <row r="503" spans="1:26">
      <c r="A503" s="185" t="s">
        <v>1895</v>
      </c>
      <c r="B503" s="185" t="s">
        <v>2177</v>
      </c>
      <c r="C503" s="185" t="s">
        <v>1897</v>
      </c>
      <c r="D503" s="185" t="s">
        <v>2178</v>
      </c>
      <c r="E503" s="185">
        <v>510572</v>
      </c>
      <c r="F503" s="185" t="s">
        <v>1118</v>
      </c>
      <c r="G503" s="185" t="s">
        <v>1982</v>
      </c>
      <c r="H503" s="185" t="s">
        <v>1515</v>
      </c>
      <c r="I503" s="258" t="str">
        <f t="shared" si="22"/>
        <v>5</v>
      </c>
      <c r="J503" s="221">
        <f t="shared" si="23"/>
        <v>38300</v>
      </c>
      <c r="K503" s="258">
        <f t="shared" si="24"/>
        <v>2</v>
      </c>
      <c r="L503" s="188">
        <v>38300</v>
      </c>
      <c r="M503" s="188">
        <v>0</v>
      </c>
      <c r="N503" s="189">
        <v>860066942</v>
      </c>
      <c r="O503" t="s">
        <v>2177</v>
      </c>
      <c r="P503" s="187">
        <v>44985.323125000003</v>
      </c>
      <c r="Q503" s="186">
        <v>7998</v>
      </c>
      <c r="R503" s="185" t="s">
        <v>1814</v>
      </c>
      <c r="S503" s="185" t="s">
        <v>1574</v>
      </c>
      <c r="T503"/>
      <c r="U503" t="str">
        <f>IF($L503&gt;0,VLOOKUP($E503,Valida!$A$1:$G$270,6,FALSE),IF($M503&gt;=0,VLOOKUP($E503,Valida!$A$1:$G$270,7,FALSE)))</f>
        <v>(+/-) Ganancia (pérdida)</v>
      </c>
      <c r="V503" s="190" t="str">
        <f>VLOOKUP(E503,Valida!$A$2:$K$271,4,FALSE)</f>
        <v>P&amp;L</v>
      </c>
      <c r="W503" s="185" t="s">
        <v>1914</v>
      </c>
      <c r="X503" s="185" t="s">
        <v>1915</v>
      </c>
      <c r="Y503" s="185" t="s">
        <v>1789</v>
      </c>
      <c r="Z503"/>
    </row>
    <row r="504" spans="1:26">
      <c r="A504" s="185" t="s">
        <v>1895</v>
      </c>
      <c r="B504" s="185" t="s">
        <v>2177</v>
      </c>
      <c r="C504" s="185" t="s">
        <v>1897</v>
      </c>
      <c r="D504" s="185" t="s">
        <v>2178</v>
      </c>
      <c r="E504" s="185">
        <v>237010</v>
      </c>
      <c r="F504" s="185" t="s">
        <v>683</v>
      </c>
      <c r="G504" s="185" t="s">
        <v>1982</v>
      </c>
      <c r="H504" s="185" t="s">
        <v>1628</v>
      </c>
      <c r="I504" s="258" t="str">
        <f t="shared" si="22"/>
        <v>2</v>
      </c>
      <c r="J504" s="221">
        <f t="shared" si="23"/>
        <v>-38300</v>
      </c>
      <c r="K504" s="258">
        <f t="shared" si="24"/>
        <v>2</v>
      </c>
      <c r="L504" s="188">
        <v>0</v>
      </c>
      <c r="M504" s="188">
        <v>38300</v>
      </c>
      <c r="N504" s="189">
        <v>860066942</v>
      </c>
      <c r="O504" t="s">
        <v>2177</v>
      </c>
      <c r="P504" s="187">
        <v>44985.323125000003</v>
      </c>
      <c r="Q504" s="186">
        <v>7999</v>
      </c>
      <c r="R504" s="185" t="s">
        <v>1814</v>
      </c>
      <c r="S504" s="185" t="s">
        <v>1574</v>
      </c>
      <c r="T504"/>
      <c r="U504" t="str">
        <f>IF($L504&gt;0,VLOOKUP($E504,Valida!$A$1:$G$270,6,FALSE),IF($M504&gt;=0,VLOOKUP($E504,Valida!$A$1:$G$270,7,FALSE)))</f>
        <v>(+/-) Ajustes por el incremento (disminución) de cuentas por pagar de origen comercial</v>
      </c>
      <c r="V504" s="190" t="str">
        <f>VLOOKUP(E504,Valida!$A$2:$K$271,4,FALSE)</f>
        <v>Trade and other payables</v>
      </c>
      <c r="W504" s="185" t="s">
        <v>1914</v>
      </c>
      <c r="X504" s="185" t="s">
        <v>1915</v>
      </c>
      <c r="Y504" s="185" t="s">
        <v>1789</v>
      </c>
      <c r="Z504"/>
    </row>
    <row r="505" spans="1:26">
      <c r="A505" s="185" t="s">
        <v>1895</v>
      </c>
      <c r="B505" s="185" t="s">
        <v>2177</v>
      </c>
      <c r="C505" s="185" t="s">
        <v>1897</v>
      </c>
      <c r="D505" s="185" t="s">
        <v>2178</v>
      </c>
      <c r="E505" s="185">
        <v>510515</v>
      </c>
      <c r="F505" s="185" t="s">
        <v>1080</v>
      </c>
      <c r="G505" s="185" t="s">
        <v>1982</v>
      </c>
      <c r="H505" s="185" t="s">
        <v>1515</v>
      </c>
      <c r="I505" s="258" t="str">
        <f t="shared" si="22"/>
        <v>5</v>
      </c>
      <c r="J505" s="221">
        <f t="shared" si="23"/>
        <v>415625</v>
      </c>
      <c r="K505" s="258">
        <f t="shared" si="24"/>
        <v>2</v>
      </c>
      <c r="L505" s="188">
        <v>415625</v>
      </c>
      <c r="M505" s="188">
        <v>0</v>
      </c>
      <c r="N505" s="189">
        <v>1000036375</v>
      </c>
      <c r="O505" t="s">
        <v>2177</v>
      </c>
      <c r="P505" s="187">
        <v>44985.323125000003</v>
      </c>
      <c r="Q505" s="186">
        <v>8000</v>
      </c>
      <c r="R505" s="185"/>
      <c r="S505" s="185" t="s">
        <v>1524</v>
      </c>
      <c r="T505"/>
      <c r="U505" t="str">
        <f>IF($L505&gt;0,VLOOKUP($E505,Valida!$A$1:$G$270,6,FALSE),IF($M505&gt;=0,VLOOKUP($E505,Valida!$A$1:$G$270,7,FALSE)))</f>
        <v>(+/-) Ganancia (pérdida)</v>
      </c>
      <c r="V505" s="190" t="str">
        <f>VLOOKUP(E505,Valida!$A$2:$K$271,4,FALSE)</f>
        <v>P&amp;L</v>
      </c>
      <c r="W505" s="185" t="s">
        <v>1983</v>
      </c>
      <c r="X505" s="185"/>
      <c r="Y505" s="185" t="s">
        <v>1789</v>
      </c>
      <c r="Z505"/>
    </row>
    <row r="506" spans="1:26">
      <c r="A506" s="185" t="s">
        <v>1895</v>
      </c>
      <c r="B506" s="185" t="s">
        <v>2179</v>
      </c>
      <c r="C506" s="185" t="s">
        <v>1897</v>
      </c>
      <c r="D506" s="185" t="s">
        <v>2180</v>
      </c>
      <c r="E506" s="185">
        <v>510506</v>
      </c>
      <c r="F506" s="185" t="s">
        <v>1076</v>
      </c>
      <c r="G506" s="185" t="s">
        <v>1977</v>
      </c>
      <c r="H506" s="185" t="s">
        <v>1515</v>
      </c>
      <c r="I506" s="258" t="str">
        <f t="shared" si="22"/>
        <v>5</v>
      </c>
      <c r="J506" s="221">
        <f t="shared" si="23"/>
        <v>552933</v>
      </c>
      <c r="K506" s="258">
        <f t="shared" si="24"/>
        <v>2</v>
      </c>
      <c r="L506" s="188">
        <v>552933</v>
      </c>
      <c r="M506" s="188">
        <v>0</v>
      </c>
      <c r="N506" s="189">
        <v>1000018061</v>
      </c>
      <c r="O506" t="s">
        <v>2179</v>
      </c>
      <c r="P506" s="187">
        <v>44985.329861111102</v>
      </c>
      <c r="Q506" s="186">
        <v>8001</v>
      </c>
      <c r="R506" s="185"/>
      <c r="S506" s="185" t="s">
        <v>1522</v>
      </c>
      <c r="T506"/>
      <c r="U506" t="str">
        <f>IF($L506&gt;0,VLOOKUP($E506,Valida!$A$1:$G$270,6,FALSE),IF($M506&gt;=0,VLOOKUP($E506,Valida!$A$1:$G$270,7,FALSE)))</f>
        <v>(+/-) Ganancia (pérdida)</v>
      </c>
      <c r="V506" s="190" t="str">
        <f>VLOOKUP(E506,Valida!$A$2:$K$271,4,FALSE)</f>
        <v>P&amp;L</v>
      </c>
      <c r="W506" s="185" t="s">
        <v>1978</v>
      </c>
      <c r="X506" s="185"/>
      <c r="Y506" s="185" t="s">
        <v>1789</v>
      </c>
      <c r="Z506"/>
    </row>
    <row r="507" spans="1:26">
      <c r="A507" s="185" t="s">
        <v>1895</v>
      </c>
      <c r="B507" s="185" t="s">
        <v>2179</v>
      </c>
      <c r="C507" s="185" t="s">
        <v>1897</v>
      </c>
      <c r="D507" s="185" t="s">
        <v>2180</v>
      </c>
      <c r="E507" s="185">
        <v>510527</v>
      </c>
      <c r="F507" s="185" t="s">
        <v>1089</v>
      </c>
      <c r="G507" s="185" t="s">
        <v>1977</v>
      </c>
      <c r="H507" s="185" t="s">
        <v>1515</v>
      </c>
      <c r="I507" s="258" t="str">
        <f t="shared" si="22"/>
        <v>5</v>
      </c>
      <c r="J507" s="221">
        <f t="shared" si="23"/>
        <v>60929</v>
      </c>
      <c r="K507" s="258">
        <f t="shared" si="24"/>
        <v>2</v>
      </c>
      <c r="L507" s="188">
        <v>60929</v>
      </c>
      <c r="M507" s="188">
        <v>0</v>
      </c>
      <c r="N507" s="189">
        <v>1000018061</v>
      </c>
      <c r="O507" t="s">
        <v>2179</v>
      </c>
      <c r="P507" s="187">
        <v>44985.329861111102</v>
      </c>
      <c r="Q507" s="186">
        <v>8002</v>
      </c>
      <c r="R507" s="185"/>
      <c r="S507" s="185" t="s">
        <v>1522</v>
      </c>
      <c r="T507"/>
      <c r="U507" t="str">
        <f>IF($L507&gt;0,VLOOKUP($E507,Valida!$A$1:$G$270,6,FALSE),IF($M507&gt;=0,VLOOKUP($E507,Valida!$A$1:$G$270,7,FALSE)))</f>
        <v>(+/-) Ganancia (pérdida)</v>
      </c>
      <c r="V507" s="190" t="str">
        <f>VLOOKUP(E507,Valida!$A$2:$K$271,4,FALSE)</f>
        <v>P&amp;L</v>
      </c>
      <c r="W507" s="185" t="s">
        <v>1978</v>
      </c>
      <c r="X507" s="185"/>
      <c r="Y507" s="185" t="s">
        <v>1789</v>
      </c>
      <c r="Z507"/>
    </row>
    <row r="508" spans="1:26">
      <c r="A508" s="185" t="s">
        <v>1895</v>
      </c>
      <c r="B508" s="185" t="s">
        <v>2179</v>
      </c>
      <c r="C508" s="185" t="s">
        <v>1897</v>
      </c>
      <c r="D508" s="185" t="s">
        <v>2180</v>
      </c>
      <c r="E508" s="185">
        <v>237005</v>
      </c>
      <c r="F508" s="185" t="s">
        <v>676</v>
      </c>
      <c r="G508" s="185" t="s">
        <v>1977</v>
      </c>
      <c r="H508" s="185" t="s">
        <v>1628</v>
      </c>
      <c r="I508" s="258" t="str">
        <f t="shared" si="22"/>
        <v>2</v>
      </c>
      <c r="J508" s="221">
        <f t="shared" si="23"/>
        <v>-22117</v>
      </c>
      <c r="K508" s="258">
        <f t="shared" si="24"/>
        <v>2</v>
      </c>
      <c r="L508" s="188">
        <v>0</v>
      </c>
      <c r="M508" s="188">
        <v>22117</v>
      </c>
      <c r="N508" s="189">
        <v>830003564</v>
      </c>
      <c r="O508" t="s">
        <v>2179</v>
      </c>
      <c r="P508" s="187">
        <v>44985.329861111102</v>
      </c>
      <c r="Q508" s="186">
        <v>8003</v>
      </c>
      <c r="R508" s="185" t="s">
        <v>1814</v>
      </c>
      <c r="S508" s="185" t="s">
        <v>1652</v>
      </c>
      <c r="T508"/>
      <c r="U508" t="str">
        <f>IF($L508&gt;0,VLOOKUP($E508,Valida!$A$1:$G$270,6,FALSE),IF($M508&gt;=0,VLOOKUP($E508,Valida!$A$1:$G$270,7,FALSE)))</f>
        <v>(+/-) Ajustes por el incremento (disminución) de cuentas por pagar de origen comercial</v>
      </c>
      <c r="V508" s="190" t="str">
        <f>VLOOKUP(E508,Valida!$A$2:$K$271,4,FALSE)</f>
        <v>Trade and other payables</v>
      </c>
      <c r="W508" s="185" t="s">
        <v>1973</v>
      </c>
      <c r="X508" s="185" t="s">
        <v>1974</v>
      </c>
      <c r="Y508" s="185" t="s">
        <v>1789</v>
      </c>
      <c r="Z508"/>
    </row>
    <row r="509" spans="1:26">
      <c r="A509" s="185" t="s">
        <v>1895</v>
      </c>
      <c r="B509" s="185" t="s">
        <v>2179</v>
      </c>
      <c r="C509" s="185" t="s">
        <v>1897</v>
      </c>
      <c r="D509" s="185" t="s">
        <v>2180</v>
      </c>
      <c r="E509" s="185">
        <v>238030</v>
      </c>
      <c r="F509" s="185" t="s">
        <v>721</v>
      </c>
      <c r="G509" s="185" t="s">
        <v>1977</v>
      </c>
      <c r="H509" s="185" t="s">
        <v>1628</v>
      </c>
      <c r="I509" s="258" t="str">
        <f t="shared" si="22"/>
        <v>2</v>
      </c>
      <c r="J509" s="221">
        <f t="shared" si="23"/>
        <v>-22117</v>
      </c>
      <c r="K509" s="258">
        <f t="shared" si="24"/>
        <v>2</v>
      </c>
      <c r="L509" s="188">
        <v>0</v>
      </c>
      <c r="M509" s="188">
        <v>22117</v>
      </c>
      <c r="N509" s="189">
        <v>800149496</v>
      </c>
      <c r="O509" t="s">
        <v>2179</v>
      </c>
      <c r="P509" s="187">
        <v>44985.329861111102</v>
      </c>
      <c r="Q509" s="186">
        <v>8004</v>
      </c>
      <c r="R509" s="185" t="s">
        <v>433</v>
      </c>
      <c r="S509" s="185" t="s">
        <v>1660</v>
      </c>
      <c r="T509"/>
      <c r="U509" t="str">
        <f>IF($L509&gt;0,VLOOKUP($E509,Valida!$A$1:$G$270,6,FALSE),IF($M509&gt;=0,VLOOKUP($E509,Valida!$A$1:$G$270,7,FALSE)))</f>
        <v>(+/-) Ajustes por el incremento (disminución) de cuentas por pagar de origen comercial</v>
      </c>
      <c r="V509" s="190" t="str">
        <f>VLOOKUP(E509,Valida!$A$2:$K$271,4,FALSE)</f>
        <v>Trade and other payables</v>
      </c>
      <c r="W509" s="185" t="s">
        <v>1979</v>
      </c>
      <c r="X509" s="185"/>
      <c r="Y509" s="185" t="s">
        <v>1789</v>
      </c>
      <c r="Z509"/>
    </row>
    <row r="510" spans="1:26">
      <c r="A510" s="185" t="s">
        <v>1895</v>
      </c>
      <c r="B510" s="185" t="s">
        <v>2179</v>
      </c>
      <c r="C510" s="185" t="s">
        <v>1897</v>
      </c>
      <c r="D510" s="185" t="s">
        <v>2180</v>
      </c>
      <c r="E510" s="185">
        <v>250505</v>
      </c>
      <c r="F510" s="185" t="s">
        <v>767</v>
      </c>
      <c r="G510" s="185" t="s">
        <v>1977</v>
      </c>
      <c r="H510" s="185" t="s">
        <v>1628</v>
      </c>
      <c r="I510" s="258" t="str">
        <f t="shared" si="22"/>
        <v>2</v>
      </c>
      <c r="J510" s="221">
        <f t="shared" si="23"/>
        <v>-1056948</v>
      </c>
      <c r="K510" s="258">
        <f t="shared" si="24"/>
        <v>2</v>
      </c>
      <c r="L510" s="188">
        <v>0</v>
      </c>
      <c r="M510" s="188">
        <v>1056948</v>
      </c>
      <c r="N510" s="189">
        <v>1000018061</v>
      </c>
      <c r="O510" t="s">
        <v>2179</v>
      </c>
      <c r="P510" s="187">
        <v>44985.329872685201</v>
      </c>
      <c r="Q510" s="186">
        <v>8005</v>
      </c>
      <c r="R510" s="185"/>
      <c r="S510" s="185" t="s">
        <v>1522</v>
      </c>
      <c r="T510"/>
      <c r="U510" t="str">
        <f>IF($L510&gt;0,VLOOKUP($E510,Valida!$A$1:$G$270,6,FALSE),IF($M510&gt;=0,VLOOKUP($E510,Valida!$A$1:$G$270,7,FALSE)))</f>
        <v>(+/-) Ajustes por el incremento (disminución) de cuentas por pagar de origen comercial</v>
      </c>
      <c r="V510" s="190" t="str">
        <f>VLOOKUP(E510,Valida!$A$2:$K$271,4,FALSE)</f>
        <v>Trade and other payables</v>
      </c>
      <c r="W510" s="185" t="s">
        <v>1978</v>
      </c>
      <c r="X510" s="185"/>
      <c r="Y510" s="185" t="s">
        <v>1789</v>
      </c>
      <c r="Z510"/>
    </row>
    <row r="511" spans="1:26">
      <c r="A511" s="185" t="s">
        <v>1895</v>
      </c>
      <c r="B511" s="185" t="s">
        <v>2179</v>
      </c>
      <c r="C511" s="185" t="s">
        <v>1897</v>
      </c>
      <c r="D511" s="185" t="s">
        <v>2180</v>
      </c>
      <c r="E511" s="185">
        <v>510530</v>
      </c>
      <c r="F511" s="185" t="s">
        <v>813</v>
      </c>
      <c r="G511" s="185" t="s">
        <v>1977</v>
      </c>
      <c r="H511" s="185" t="s">
        <v>1515</v>
      </c>
      <c r="I511" s="258" t="str">
        <f t="shared" si="22"/>
        <v>5</v>
      </c>
      <c r="J511" s="221">
        <f t="shared" si="23"/>
        <v>51155</v>
      </c>
      <c r="K511" s="258">
        <f t="shared" si="24"/>
        <v>2</v>
      </c>
      <c r="L511" s="188">
        <v>51155</v>
      </c>
      <c r="M511" s="188">
        <v>0</v>
      </c>
      <c r="N511" s="189">
        <v>1000018061</v>
      </c>
      <c r="O511" t="s">
        <v>2179</v>
      </c>
      <c r="P511" s="187">
        <v>44985.329872685201</v>
      </c>
      <c r="Q511" s="186">
        <v>8006</v>
      </c>
      <c r="R511" s="185"/>
      <c r="S511" s="185" t="s">
        <v>1522</v>
      </c>
      <c r="T511"/>
      <c r="U511" t="str">
        <f>IF($L511&gt;0,VLOOKUP($E511,Valida!$A$1:$G$270,6,FALSE),IF($M511&gt;=0,VLOOKUP($E511,Valida!$A$1:$G$270,7,FALSE)))</f>
        <v>(+/-) Ganancia (pérdida)</v>
      </c>
      <c r="V511" s="190" t="str">
        <f>VLOOKUP(E511,Valida!$A$2:$K$271,4,FALSE)</f>
        <v>P&amp;L</v>
      </c>
      <c r="W511" s="185" t="s">
        <v>1978</v>
      </c>
      <c r="X511" s="185"/>
      <c r="Y511" s="185" t="s">
        <v>1789</v>
      </c>
      <c r="Z511"/>
    </row>
    <row r="512" spans="1:26">
      <c r="A512" s="185" t="s">
        <v>1895</v>
      </c>
      <c r="B512" s="185" t="s">
        <v>2179</v>
      </c>
      <c r="C512" s="185" t="s">
        <v>1897</v>
      </c>
      <c r="D512" s="185" t="s">
        <v>2180</v>
      </c>
      <c r="E512" s="185">
        <v>510533</v>
      </c>
      <c r="F512" s="185" t="s">
        <v>779</v>
      </c>
      <c r="G512" s="185" t="s">
        <v>1977</v>
      </c>
      <c r="H512" s="185" t="s">
        <v>1515</v>
      </c>
      <c r="I512" s="258" t="str">
        <f t="shared" si="22"/>
        <v>5</v>
      </c>
      <c r="J512" s="221">
        <f t="shared" si="23"/>
        <v>6139</v>
      </c>
      <c r="K512" s="258">
        <f t="shared" si="24"/>
        <v>2</v>
      </c>
      <c r="L512" s="188">
        <v>6139</v>
      </c>
      <c r="M512" s="188">
        <v>0</v>
      </c>
      <c r="N512" s="189">
        <v>1000018061</v>
      </c>
      <c r="O512" t="s">
        <v>2179</v>
      </c>
      <c r="P512" s="187">
        <v>44985.329872685201</v>
      </c>
      <c r="Q512" s="186">
        <v>8007</v>
      </c>
      <c r="R512" s="185"/>
      <c r="S512" s="185" t="s">
        <v>1522</v>
      </c>
      <c r="T512"/>
      <c r="U512" t="str">
        <f>IF($L512&gt;0,VLOOKUP($E512,Valida!$A$1:$G$270,6,FALSE),IF($M512&gt;=0,VLOOKUP($E512,Valida!$A$1:$G$270,7,FALSE)))</f>
        <v>(+/-) Ganancia (pérdida)</v>
      </c>
      <c r="V512" s="190" t="str">
        <f>VLOOKUP(E512,Valida!$A$2:$K$271,4,FALSE)</f>
        <v>P&amp;L</v>
      </c>
      <c r="W512" s="185" t="s">
        <v>1978</v>
      </c>
      <c r="X512" s="185"/>
      <c r="Y512" s="185" t="s">
        <v>1789</v>
      </c>
      <c r="Z512"/>
    </row>
    <row r="513" spans="1:26">
      <c r="A513" s="185" t="s">
        <v>1895</v>
      </c>
      <c r="B513" s="185" t="s">
        <v>2179</v>
      </c>
      <c r="C513" s="185" t="s">
        <v>1897</v>
      </c>
      <c r="D513" s="185" t="s">
        <v>2180</v>
      </c>
      <c r="E513" s="185">
        <v>510536</v>
      </c>
      <c r="F513" s="185" t="s">
        <v>783</v>
      </c>
      <c r="G513" s="185" t="s">
        <v>1977</v>
      </c>
      <c r="H513" s="185" t="s">
        <v>1515</v>
      </c>
      <c r="I513" s="258" t="str">
        <f t="shared" si="22"/>
        <v>5</v>
      </c>
      <c r="J513" s="221">
        <f t="shared" si="23"/>
        <v>51155</v>
      </c>
      <c r="K513" s="258">
        <f t="shared" si="24"/>
        <v>2</v>
      </c>
      <c r="L513" s="188">
        <v>51155</v>
      </c>
      <c r="M513" s="188">
        <v>0</v>
      </c>
      <c r="N513" s="189">
        <v>1000018061</v>
      </c>
      <c r="O513" t="s">
        <v>2179</v>
      </c>
      <c r="P513" s="187">
        <v>44985.329872685201</v>
      </c>
      <c r="Q513" s="186">
        <v>8008</v>
      </c>
      <c r="R513" s="185"/>
      <c r="S513" s="185" t="s">
        <v>1522</v>
      </c>
      <c r="T513"/>
      <c r="U513" t="str">
        <f>IF($L513&gt;0,VLOOKUP($E513,Valida!$A$1:$G$270,6,FALSE),IF($M513&gt;=0,VLOOKUP($E513,Valida!$A$1:$G$270,7,FALSE)))</f>
        <v>(+/-) Ganancia (pérdida)</v>
      </c>
      <c r="V513" s="190" t="str">
        <f>VLOOKUP(E513,Valida!$A$2:$K$271,4,FALSE)</f>
        <v>P&amp;L</v>
      </c>
      <c r="W513" s="185" t="s">
        <v>1978</v>
      </c>
      <c r="X513" s="185"/>
      <c r="Y513" s="185" t="s">
        <v>1789</v>
      </c>
      <c r="Z513"/>
    </row>
    <row r="514" spans="1:26">
      <c r="A514" s="185" t="s">
        <v>1895</v>
      </c>
      <c r="B514" s="185" t="s">
        <v>2179</v>
      </c>
      <c r="C514" s="185" t="s">
        <v>1897</v>
      </c>
      <c r="D514" s="185" t="s">
        <v>2180</v>
      </c>
      <c r="E514" s="185">
        <v>510539</v>
      </c>
      <c r="F514" s="185" t="s">
        <v>818</v>
      </c>
      <c r="G514" s="185" t="s">
        <v>1977</v>
      </c>
      <c r="H514" s="185" t="s">
        <v>1515</v>
      </c>
      <c r="I514" s="258" t="str">
        <f t="shared" si="22"/>
        <v>5</v>
      </c>
      <c r="J514" s="221">
        <f t="shared" si="23"/>
        <v>23039</v>
      </c>
      <c r="K514" s="258">
        <f t="shared" si="24"/>
        <v>2</v>
      </c>
      <c r="L514" s="188">
        <v>23039</v>
      </c>
      <c r="M514" s="188">
        <v>0</v>
      </c>
      <c r="N514" s="189">
        <v>1000018061</v>
      </c>
      <c r="O514" t="s">
        <v>2179</v>
      </c>
      <c r="P514" s="187">
        <v>44985.329872685201</v>
      </c>
      <c r="Q514" s="186">
        <v>8009</v>
      </c>
      <c r="R514" s="185"/>
      <c r="S514" s="185" t="s">
        <v>1522</v>
      </c>
      <c r="T514"/>
      <c r="U514" t="str">
        <f>IF($L514&gt;0,VLOOKUP($E514,Valida!$A$1:$G$270,6,FALSE),IF($M514&gt;=0,VLOOKUP($E514,Valida!$A$1:$G$270,7,FALSE)))</f>
        <v>(+/-) Ganancia (pérdida)</v>
      </c>
      <c r="V514" s="190" t="str">
        <f>VLOOKUP(E514,Valida!$A$2:$K$271,4,FALSE)</f>
        <v>P&amp;L</v>
      </c>
      <c r="W514" s="185" t="s">
        <v>1978</v>
      </c>
      <c r="X514" s="185"/>
      <c r="Y514" s="185" t="s">
        <v>1789</v>
      </c>
      <c r="Z514"/>
    </row>
    <row r="515" spans="1:26">
      <c r="A515" s="185" t="s">
        <v>1895</v>
      </c>
      <c r="B515" s="185" t="s">
        <v>2179</v>
      </c>
      <c r="C515" s="185" t="s">
        <v>1897</v>
      </c>
      <c r="D515" s="185" t="s">
        <v>2180</v>
      </c>
      <c r="E515" s="185">
        <v>251010</v>
      </c>
      <c r="F515" s="185" t="s">
        <v>776</v>
      </c>
      <c r="G515" s="185" t="s">
        <v>1977</v>
      </c>
      <c r="H515" s="185" t="s">
        <v>1628</v>
      </c>
      <c r="I515" s="258" t="str">
        <f t="shared" ref="I515:I578" si="25">LEFT(E515,1)</f>
        <v>2</v>
      </c>
      <c r="J515" s="221">
        <f t="shared" ref="J515:J578" si="26">L515-M515</f>
        <v>-51155</v>
      </c>
      <c r="K515" s="258">
        <f t="shared" ref="K515:K578" si="27">MONTH(A515)</f>
        <v>2</v>
      </c>
      <c r="L515" s="188">
        <v>0</v>
      </c>
      <c r="M515" s="188">
        <v>51155</v>
      </c>
      <c r="N515" s="189">
        <v>1000018061</v>
      </c>
      <c r="O515" t="s">
        <v>2179</v>
      </c>
      <c r="P515" s="187">
        <v>44985.329872685201</v>
      </c>
      <c r="Q515" s="186">
        <v>8010</v>
      </c>
      <c r="R515" s="185"/>
      <c r="S515" s="185" t="s">
        <v>1522</v>
      </c>
      <c r="T515"/>
      <c r="U515" t="str">
        <f>IF($L515&gt;0,VLOOKUP($E515,Valida!$A$1:$G$270,6,FALSE),IF($M515&gt;=0,VLOOKUP($E515,Valida!$A$1:$G$270,7,FALSE)))</f>
        <v>(+/-) Ajustes por el incremento (disminución) de cuentas por pagar de origen comercial</v>
      </c>
      <c r="V515" s="190" t="str">
        <f>VLOOKUP(E515,Valida!$A$2:$K$271,4,FALSE)</f>
        <v>Trade and other payables</v>
      </c>
      <c r="W515" s="185" t="s">
        <v>1978</v>
      </c>
      <c r="X515" s="185"/>
      <c r="Y515" s="185" t="s">
        <v>1789</v>
      </c>
      <c r="Z515"/>
    </row>
    <row r="516" spans="1:26">
      <c r="A516" s="185" t="s">
        <v>1895</v>
      </c>
      <c r="B516" s="185" t="s">
        <v>2179</v>
      </c>
      <c r="C516" s="185" t="s">
        <v>1897</v>
      </c>
      <c r="D516" s="185" t="s">
        <v>2180</v>
      </c>
      <c r="E516" s="185">
        <v>251505</v>
      </c>
      <c r="F516" s="185" t="s">
        <v>779</v>
      </c>
      <c r="G516" s="185" t="s">
        <v>1977</v>
      </c>
      <c r="H516" s="185" t="s">
        <v>1628</v>
      </c>
      <c r="I516" s="258" t="str">
        <f t="shared" si="25"/>
        <v>2</v>
      </c>
      <c r="J516" s="221">
        <f t="shared" si="26"/>
        <v>-6139</v>
      </c>
      <c r="K516" s="258">
        <f t="shared" si="27"/>
        <v>2</v>
      </c>
      <c r="L516" s="188">
        <v>0</v>
      </c>
      <c r="M516" s="188">
        <v>6139</v>
      </c>
      <c r="N516" s="189">
        <v>1000018061</v>
      </c>
      <c r="O516" t="s">
        <v>2179</v>
      </c>
      <c r="P516" s="187">
        <v>44985.329872685201</v>
      </c>
      <c r="Q516" s="186">
        <v>8011</v>
      </c>
      <c r="R516" s="185"/>
      <c r="S516" s="185" t="s">
        <v>1522</v>
      </c>
      <c r="T516"/>
      <c r="U516" t="str">
        <f>IF($L516&gt;0,VLOOKUP($E516,Valida!$A$1:$G$270,6,FALSE),IF($M516&gt;=0,VLOOKUP($E516,Valida!$A$1:$G$270,7,FALSE)))</f>
        <v>(+/-) Ajustes por el incremento (disminución) de cuentas por pagar de origen comercial</v>
      </c>
      <c r="V516" s="190" t="str">
        <f>VLOOKUP(E516,Valida!$A$2:$K$271,4,FALSE)</f>
        <v>Trade and other payables</v>
      </c>
      <c r="W516" s="185" t="s">
        <v>1978</v>
      </c>
      <c r="X516" s="185"/>
      <c r="Y516" s="185" t="s">
        <v>1789</v>
      </c>
      <c r="Z516"/>
    </row>
    <row r="517" spans="1:26">
      <c r="A517" s="185" t="s">
        <v>1895</v>
      </c>
      <c r="B517" s="185" t="s">
        <v>2179</v>
      </c>
      <c r="C517" s="185" t="s">
        <v>1897</v>
      </c>
      <c r="D517" s="185" t="s">
        <v>2180</v>
      </c>
      <c r="E517" s="185">
        <v>252005</v>
      </c>
      <c r="F517" s="185" t="s">
        <v>783</v>
      </c>
      <c r="G517" s="185" t="s">
        <v>1977</v>
      </c>
      <c r="H517" s="185" t="s">
        <v>1628</v>
      </c>
      <c r="I517" s="258" t="str">
        <f t="shared" si="25"/>
        <v>2</v>
      </c>
      <c r="J517" s="221">
        <f t="shared" si="26"/>
        <v>-51155</v>
      </c>
      <c r="K517" s="258">
        <f t="shared" si="27"/>
        <v>2</v>
      </c>
      <c r="L517" s="188">
        <v>0</v>
      </c>
      <c r="M517" s="188">
        <v>51155</v>
      </c>
      <c r="N517" s="189">
        <v>1000018061</v>
      </c>
      <c r="O517" t="s">
        <v>2179</v>
      </c>
      <c r="P517" s="187">
        <v>44985.329872685201</v>
      </c>
      <c r="Q517" s="186">
        <v>8012</v>
      </c>
      <c r="R517" s="185"/>
      <c r="S517" s="185" t="s">
        <v>1522</v>
      </c>
      <c r="T517"/>
      <c r="U517" t="str">
        <f>IF($L517&gt;0,VLOOKUP($E517,Valida!$A$1:$G$270,6,FALSE),IF($M517&gt;=0,VLOOKUP($E517,Valida!$A$1:$G$270,7,FALSE)))</f>
        <v>(+/-) Ajustes por el incremento (disminución) de cuentas por pagar de origen comercial</v>
      </c>
      <c r="V517" s="190" t="str">
        <f>VLOOKUP(E517,Valida!$A$2:$K$271,4,FALSE)</f>
        <v>Trade and other payables</v>
      </c>
      <c r="W517" s="185" t="s">
        <v>1978</v>
      </c>
      <c r="X517" s="185"/>
      <c r="Y517" s="185" t="s">
        <v>1789</v>
      </c>
      <c r="Z517"/>
    </row>
    <row r="518" spans="1:26">
      <c r="A518" s="185" t="s">
        <v>1895</v>
      </c>
      <c r="B518" s="185" t="s">
        <v>2179</v>
      </c>
      <c r="C518" s="185" t="s">
        <v>1897</v>
      </c>
      <c r="D518" s="185" t="s">
        <v>2180</v>
      </c>
      <c r="E518" s="185">
        <v>252505</v>
      </c>
      <c r="F518" s="185" t="s">
        <v>787</v>
      </c>
      <c r="G518" s="185" t="s">
        <v>1977</v>
      </c>
      <c r="H518" s="185" t="s">
        <v>1628</v>
      </c>
      <c r="I518" s="258" t="str">
        <f t="shared" si="25"/>
        <v>2</v>
      </c>
      <c r="J518" s="221">
        <f t="shared" si="26"/>
        <v>-23039</v>
      </c>
      <c r="K518" s="258">
        <f t="shared" si="27"/>
        <v>2</v>
      </c>
      <c r="L518" s="188">
        <v>0</v>
      </c>
      <c r="M518" s="188">
        <v>23039</v>
      </c>
      <c r="N518" s="189">
        <v>1000018061</v>
      </c>
      <c r="O518" t="s">
        <v>2179</v>
      </c>
      <c r="P518" s="187">
        <v>44985.329872685201</v>
      </c>
      <c r="Q518" s="186">
        <v>8013</v>
      </c>
      <c r="R518" s="185"/>
      <c r="S518" s="185" t="s">
        <v>1522</v>
      </c>
      <c r="T518"/>
      <c r="U518" t="str">
        <f>IF($L518&gt;0,VLOOKUP($E518,Valida!$A$1:$G$270,6,FALSE),IF($M518&gt;=0,VLOOKUP($E518,Valida!$A$1:$G$270,7,FALSE)))</f>
        <v>(+/-) Ajustes por el incremento (disminución) de cuentas por pagar de origen comercial</v>
      </c>
      <c r="V518" s="190" t="str">
        <f>VLOOKUP(E518,Valida!$A$2:$K$271,4,FALSE)</f>
        <v>Trade and other payables</v>
      </c>
      <c r="W518" s="185" t="s">
        <v>1978</v>
      </c>
      <c r="X518" s="185"/>
      <c r="Y518" s="185" t="s">
        <v>1789</v>
      </c>
      <c r="Z518"/>
    </row>
    <row r="519" spans="1:26">
      <c r="A519" s="185" t="s">
        <v>1895</v>
      </c>
      <c r="B519" s="185" t="s">
        <v>2179</v>
      </c>
      <c r="C519" s="185" t="s">
        <v>1897</v>
      </c>
      <c r="D519" s="185" t="s">
        <v>2180</v>
      </c>
      <c r="E519" s="185">
        <v>510570</v>
      </c>
      <c r="F519" s="185" t="s">
        <v>1116</v>
      </c>
      <c r="G519" s="185" t="s">
        <v>1977</v>
      </c>
      <c r="H519" s="185" t="s">
        <v>1515</v>
      </c>
      <c r="I519" s="258" t="str">
        <f t="shared" si="25"/>
        <v>5</v>
      </c>
      <c r="J519" s="221">
        <f t="shared" si="26"/>
        <v>66400</v>
      </c>
      <c r="K519" s="258">
        <f t="shared" si="27"/>
        <v>2</v>
      </c>
      <c r="L519" s="188">
        <v>66400</v>
      </c>
      <c r="M519" s="188">
        <v>0</v>
      </c>
      <c r="N519" s="189">
        <v>800149496</v>
      </c>
      <c r="O519" t="s">
        <v>2179</v>
      </c>
      <c r="P519" s="187">
        <v>44985.329872685201</v>
      </c>
      <c r="Q519" s="186">
        <v>8014</v>
      </c>
      <c r="R519" s="185" t="s">
        <v>433</v>
      </c>
      <c r="S519" s="185" t="s">
        <v>1660</v>
      </c>
      <c r="T519"/>
      <c r="U519" t="str">
        <f>IF($L519&gt;0,VLOOKUP($E519,Valida!$A$1:$G$270,6,FALSE),IF($M519&gt;=0,VLOOKUP($E519,Valida!$A$1:$G$270,7,FALSE)))</f>
        <v>(+/-) Ganancia (pérdida)</v>
      </c>
      <c r="V519" s="190" t="str">
        <f>VLOOKUP(E519,Valida!$A$2:$K$271,4,FALSE)</f>
        <v>P&amp;L</v>
      </c>
      <c r="W519" s="185" t="s">
        <v>1979</v>
      </c>
      <c r="X519" s="185"/>
      <c r="Y519" s="185" t="s">
        <v>1789</v>
      </c>
      <c r="Z519"/>
    </row>
    <row r="520" spans="1:26">
      <c r="A520" s="185" t="s">
        <v>1895</v>
      </c>
      <c r="B520" s="185" t="s">
        <v>2179</v>
      </c>
      <c r="C520" s="185" t="s">
        <v>1897</v>
      </c>
      <c r="D520" s="185" t="s">
        <v>2180</v>
      </c>
      <c r="E520" s="185">
        <v>238030</v>
      </c>
      <c r="F520" s="185" t="s">
        <v>721</v>
      </c>
      <c r="G520" s="185" t="s">
        <v>1977</v>
      </c>
      <c r="H520" s="185" t="s">
        <v>1628</v>
      </c>
      <c r="I520" s="258" t="str">
        <f t="shared" si="25"/>
        <v>2</v>
      </c>
      <c r="J520" s="221">
        <f t="shared" si="26"/>
        <v>-66400</v>
      </c>
      <c r="K520" s="258">
        <f t="shared" si="27"/>
        <v>2</v>
      </c>
      <c r="L520" s="188">
        <v>0</v>
      </c>
      <c r="M520" s="188">
        <v>66400</v>
      </c>
      <c r="N520" s="189">
        <v>800149496</v>
      </c>
      <c r="O520" t="s">
        <v>2179</v>
      </c>
      <c r="P520" s="187">
        <v>44985.329872685201</v>
      </c>
      <c r="Q520" s="186">
        <v>8015</v>
      </c>
      <c r="R520" s="185" t="s">
        <v>433</v>
      </c>
      <c r="S520" s="185" t="s">
        <v>1660</v>
      </c>
      <c r="T520"/>
      <c r="U520" t="str">
        <f>IF($L520&gt;0,VLOOKUP($E520,Valida!$A$1:$G$270,6,FALSE),IF($M520&gt;=0,VLOOKUP($E520,Valida!$A$1:$G$270,7,FALSE)))</f>
        <v>(+/-) Ajustes por el incremento (disminución) de cuentas por pagar de origen comercial</v>
      </c>
      <c r="V520" s="190" t="str">
        <f>VLOOKUP(E520,Valida!$A$2:$K$271,4,FALSE)</f>
        <v>Trade and other payables</v>
      </c>
      <c r="W520" s="185" t="s">
        <v>1979</v>
      </c>
      <c r="X520" s="185"/>
      <c r="Y520" s="185" t="s">
        <v>1789</v>
      </c>
      <c r="Z520"/>
    </row>
    <row r="521" spans="1:26">
      <c r="A521" s="185" t="s">
        <v>1895</v>
      </c>
      <c r="B521" s="185" t="s">
        <v>2179</v>
      </c>
      <c r="C521" s="185" t="s">
        <v>1897</v>
      </c>
      <c r="D521" s="185" t="s">
        <v>2180</v>
      </c>
      <c r="E521" s="185">
        <v>510568</v>
      </c>
      <c r="F521" s="185" t="s">
        <v>680</v>
      </c>
      <c r="G521" s="185" t="s">
        <v>1977</v>
      </c>
      <c r="H521" s="185" t="s">
        <v>1515</v>
      </c>
      <c r="I521" s="258" t="str">
        <f t="shared" si="25"/>
        <v>5</v>
      </c>
      <c r="J521" s="221">
        <f t="shared" si="26"/>
        <v>2900</v>
      </c>
      <c r="K521" s="258">
        <f t="shared" si="27"/>
        <v>2</v>
      </c>
      <c r="L521" s="188">
        <v>2900</v>
      </c>
      <c r="M521" s="188">
        <v>0</v>
      </c>
      <c r="N521" s="189">
        <v>860002503</v>
      </c>
      <c r="O521" t="s">
        <v>2179</v>
      </c>
      <c r="P521" s="187">
        <v>44985.329872685201</v>
      </c>
      <c r="Q521" s="186">
        <v>8016</v>
      </c>
      <c r="R521" s="185" t="s">
        <v>433</v>
      </c>
      <c r="S521" s="185" t="s">
        <v>1656</v>
      </c>
      <c r="T521"/>
      <c r="U521" t="str">
        <f>IF($L521&gt;0,VLOOKUP($E521,Valida!$A$1:$G$270,6,FALSE),IF($M521&gt;=0,VLOOKUP($E521,Valida!$A$1:$G$270,7,FALSE)))</f>
        <v>(+/-) Ganancia (pérdida)</v>
      </c>
      <c r="V521" s="190" t="str">
        <f>VLOOKUP(E521,Valida!$A$2:$K$271,4,FALSE)</f>
        <v>P&amp;L</v>
      </c>
      <c r="W521" s="185" t="s">
        <v>1912</v>
      </c>
      <c r="X521" s="185" t="s">
        <v>1913</v>
      </c>
      <c r="Y521" s="185" t="s">
        <v>1789</v>
      </c>
      <c r="Z521"/>
    </row>
    <row r="522" spans="1:26">
      <c r="A522" s="185" t="s">
        <v>1895</v>
      </c>
      <c r="B522" s="185" t="s">
        <v>2179</v>
      </c>
      <c r="C522" s="185" t="s">
        <v>1897</v>
      </c>
      <c r="D522" s="185" t="s">
        <v>2180</v>
      </c>
      <c r="E522" s="185">
        <v>237006</v>
      </c>
      <c r="F522" s="185" t="s">
        <v>680</v>
      </c>
      <c r="G522" s="185" t="s">
        <v>1977</v>
      </c>
      <c r="H522" s="185" t="s">
        <v>1628</v>
      </c>
      <c r="I522" s="258" t="str">
        <f t="shared" si="25"/>
        <v>2</v>
      </c>
      <c r="J522" s="221">
        <f t="shared" si="26"/>
        <v>-2900</v>
      </c>
      <c r="K522" s="258">
        <f t="shared" si="27"/>
        <v>2</v>
      </c>
      <c r="L522" s="188">
        <v>0</v>
      </c>
      <c r="M522" s="188">
        <v>2900</v>
      </c>
      <c r="N522" s="189">
        <v>860002503</v>
      </c>
      <c r="O522" t="s">
        <v>2179</v>
      </c>
      <c r="P522" s="187">
        <v>44985.329872685201</v>
      </c>
      <c r="Q522" s="186">
        <v>8017</v>
      </c>
      <c r="R522" s="185" t="s">
        <v>433</v>
      </c>
      <c r="S522" s="185" t="s">
        <v>1656</v>
      </c>
      <c r="T522"/>
      <c r="U522" t="str">
        <f>IF($L522&gt;0,VLOOKUP($E522,Valida!$A$1:$G$270,6,FALSE),IF($M522&gt;=0,VLOOKUP($E522,Valida!$A$1:$G$270,7,FALSE)))</f>
        <v>(+/-) Ajustes por el incremento (disminución) de cuentas por pagar de origen comercial</v>
      </c>
      <c r="V522" s="190" t="str">
        <f>VLOOKUP(E522,Valida!$A$2:$K$271,4,FALSE)</f>
        <v>Trade and other payables</v>
      </c>
      <c r="W522" s="185" t="s">
        <v>1912</v>
      </c>
      <c r="X522" s="185" t="s">
        <v>1913</v>
      </c>
      <c r="Y522" s="185" t="s">
        <v>1789</v>
      </c>
      <c r="Z522"/>
    </row>
    <row r="523" spans="1:26">
      <c r="A523" s="185" t="s">
        <v>1895</v>
      </c>
      <c r="B523" s="185" t="s">
        <v>2179</v>
      </c>
      <c r="C523" s="185" t="s">
        <v>1897</v>
      </c>
      <c r="D523" s="185" t="s">
        <v>2180</v>
      </c>
      <c r="E523" s="185">
        <v>510572</v>
      </c>
      <c r="F523" s="185" t="s">
        <v>1118</v>
      </c>
      <c r="G523" s="185" t="s">
        <v>1977</v>
      </c>
      <c r="H523" s="185" t="s">
        <v>1515</v>
      </c>
      <c r="I523" s="258" t="str">
        <f t="shared" si="25"/>
        <v>5</v>
      </c>
      <c r="J523" s="221">
        <f t="shared" si="26"/>
        <v>11100</v>
      </c>
      <c r="K523" s="258">
        <f t="shared" si="27"/>
        <v>2</v>
      </c>
      <c r="L523" s="188">
        <v>11100</v>
      </c>
      <c r="M523" s="188">
        <v>0</v>
      </c>
      <c r="N523" s="189">
        <v>860066942</v>
      </c>
      <c r="O523" t="s">
        <v>2179</v>
      </c>
      <c r="P523" s="187">
        <v>44985.329872685201</v>
      </c>
      <c r="Q523" s="186">
        <v>8018</v>
      </c>
      <c r="R523" s="185" t="s">
        <v>1814</v>
      </c>
      <c r="S523" s="185" t="s">
        <v>1574</v>
      </c>
      <c r="T523"/>
      <c r="U523" t="str">
        <f>IF($L523&gt;0,VLOOKUP($E523,Valida!$A$1:$G$270,6,FALSE),IF($M523&gt;=0,VLOOKUP($E523,Valida!$A$1:$G$270,7,FALSE)))</f>
        <v>(+/-) Ganancia (pérdida)</v>
      </c>
      <c r="V523" s="190" t="str">
        <f>VLOOKUP(E523,Valida!$A$2:$K$271,4,FALSE)</f>
        <v>P&amp;L</v>
      </c>
      <c r="W523" s="185" t="s">
        <v>1914</v>
      </c>
      <c r="X523" s="185" t="s">
        <v>1915</v>
      </c>
      <c r="Y523" s="185" t="s">
        <v>1789</v>
      </c>
      <c r="Z523"/>
    </row>
    <row r="524" spans="1:26">
      <c r="A524" s="185" t="s">
        <v>1895</v>
      </c>
      <c r="B524" s="185" t="s">
        <v>2179</v>
      </c>
      <c r="C524" s="185" t="s">
        <v>1897</v>
      </c>
      <c r="D524" s="185" t="s">
        <v>2180</v>
      </c>
      <c r="E524" s="185">
        <v>237010</v>
      </c>
      <c r="F524" s="185" t="s">
        <v>683</v>
      </c>
      <c r="G524" s="185" t="s">
        <v>1977</v>
      </c>
      <c r="H524" s="185" t="s">
        <v>1628</v>
      </c>
      <c r="I524" s="258" t="str">
        <f t="shared" si="25"/>
        <v>2</v>
      </c>
      <c r="J524" s="221">
        <f t="shared" si="26"/>
        <v>-11100</v>
      </c>
      <c r="K524" s="258">
        <f t="shared" si="27"/>
        <v>2</v>
      </c>
      <c r="L524" s="188">
        <v>0</v>
      </c>
      <c r="M524" s="188">
        <v>11100</v>
      </c>
      <c r="N524" s="189">
        <v>860066942</v>
      </c>
      <c r="O524" t="s">
        <v>2179</v>
      </c>
      <c r="P524" s="187">
        <v>44985.329872685201</v>
      </c>
      <c r="Q524" s="186">
        <v>8019</v>
      </c>
      <c r="R524" s="185" t="s">
        <v>1814</v>
      </c>
      <c r="S524" s="185" t="s">
        <v>1574</v>
      </c>
      <c r="T524"/>
      <c r="U524" t="str">
        <f>IF($L524&gt;0,VLOOKUP($E524,Valida!$A$1:$G$270,6,FALSE),IF($M524&gt;=0,VLOOKUP($E524,Valida!$A$1:$G$270,7,FALSE)))</f>
        <v>(+/-) Ajustes por el incremento (disminución) de cuentas por pagar de origen comercial</v>
      </c>
      <c r="V524" s="190" t="str">
        <f>VLOOKUP(E524,Valida!$A$2:$K$271,4,FALSE)</f>
        <v>Trade and other payables</v>
      </c>
      <c r="W524" s="185" t="s">
        <v>1914</v>
      </c>
      <c r="X524" s="185" t="s">
        <v>1915</v>
      </c>
      <c r="Y524" s="185" t="s">
        <v>1789</v>
      </c>
      <c r="Z524"/>
    </row>
    <row r="525" spans="1:26">
      <c r="A525" s="185" t="s">
        <v>1895</v>
      </c>
      <c r="B525" s="185" t="s">
        <v>2179</v>
      </c>
      <c r="C525" s="185" t="s">
        <v>1897</v>
      </c>
      <c r="D525" s="185" t="s">
        <v>2180</v>
      </c>
      <c r="E525" s="185">
        <v>251010</v>
      </c>
      <c r="F525" s="185" t="s">
        <v>776</v>
      </c>
      <c r="G525" s="185" t="s">
        <v>1977</v>
      </c>
      <c r="H525" s="185" t="s">
        <v>1515</v>
      </c>
      <c r="I525" s="258" t="str">
        <f t="shared" si="25"/>
        <v>2</v>
      </c>
      <c r="J525" s="221">
        <f t="shared" si="26"/>
        <v>169206</v>
      </c>
      <c r="K525" s="258">
        <f t="shared" si="27"/>
        <v>2</v>
      </c>
      <c r="L525" s="188">
        <v>169206</v>
      </c>
      <c r="M525" s="188">
        <v>0</v>
      </c>
      <c r="N525" s="189">
        <v>1000018061</v>
      </c>
      <c r="O525" t="s">
        <v>2179</v>
      </c>
      <c r="P525" s="187">
        <v>44985.329872685201</v>
      </c>
      <c r="Q525" s="186">
        <v>8020</v>
      </c>
      <c r="R525" s="185"/>
      <c r="S525" s="185" t="s">
        <v>1522</v>
      </c>
      <c r="T525"/>
      <c r="U525" t="str">
        <f>IF($L525&gt;0,VLOOKUP($E525,Valida!$A$1:$G$270,6,FALSE),IF($M525&gt;=0,VLOOKUP($E525,Valida!$A$1:$G$270,7,FALSE)))</f>
        <v>(+/-) Ajustes por el incremento (disminución) de cuentas por pagar de origen comercial</v>
      </c>
      <c r="V525" s="190" t="str">
        <f>VLOOKUP(E525,Valida!$A$2:$K$271,4,FALSE)</f>
        <v>Trade and other payables</v>
      </c>
      <c r="W525" s="185" t="s">
        <v>1978</v>
      </c>
      <c r="X525" s="185"/>
      <c r="Y525" s="185" t="s">
        <v>1789</v>
      </c>
      <c r="Z525"/>
    </row>
    <row r="526" spans="1:26">
      <c r="A526" s="185" t="s">
        <v>1895</v>
      </c>
      <c r="B526" s="185" t="s">
        <v>2179</v>
      </c>
      <c r="C526" s="185" t="s">
        <v>1897</v>
      </c>
      <c r="D526" s="185" t="s">
        <v>2180</v>
      </c>
      <c r="E526" s="185">
        <v>251505</v>
      </c>
      <c r="F526" s="185" t="s">
        <v>779</v>
      </c>
      <c r="G526" s="185" t="s">
        <v>1977</v>
      </c>
      <c r="H526" s="185" t="s">
        <v>1515</v>
      </c>
      <c r="I526" s="258" t="str">
        <f t="shared" si="25"/>
        <v>2</v>
      </c>
      <c r="J526" s="221">
        <f t="shared" si="26"/>
        <v>2425</v>
      </c>
      <c r="K526" s="258">
        <f t="shared" si="27"/>
        <v>2</v>
      </c>
      <c r="L526" s="188">
        <v>2425</v>
      </c>
      <c r="M526" s="188">
        <v>0</v>
      </c>
      <c r="N526" s="189">
        <v>1000018061</v>
      </c>
      <c r="O526" t="s">
        <v>2179</v>
      </c>
      <c r="P526" s="187">
        <v>44985.329872685201</v>
      </c>
      <c r="Q526" s="186">
        <v>8021</v>
      </c>
      <c r="R526" s="185"/>
      <c r="S526" s="185" t="s">
        <v>1522</v>
      </c>
      <c r="T526"/>
      <c r="U526" t="str">
        <f>IF($L526&gt;0,VLOOKUP($E526,Valida!$A$1:$G$270,6,FALSE),IF($M526&gt;=0,VLOOKUP($E526,Valida!$A$1:$G$270,7,FALSE)))</f>
        <v>(+/-) Ajustes por el incremento (disminución) de cuentas por pagar de origen comercial</v>
      </c>
      <c r="V526" s="190" t="str">
        <f>VLOOKUP(E526,Valida!$A$2:$K$271,4,FALSE)</f>
        <v>Trade and other payables</v>
      </c>
      <c r="W526" s="185" t="s">
        <v>1978</v>
      </c>
      <c r="X526" s="185"/>
      <c r="Y526" s="185" t="s">
        <v>1789</v>
      </c>
      <c r="Z526"/>
    </row>
    <row r="527" spans="1:26">
      <c r="A527" s="185" t="s">
        <v>1895</v>
      </c>
      <c r="B527" s="185" t="s">
        <v>2179</v>
      </c>
      <c r="C527" s="185" t="s">
        <v>1897</v>
      </c>
      <c r="D527" s="185" t="s">
        <v>2180</v>
      </c>
      <c r="E527" s="185">
        <v>252005</v>
      </c>
      <c r="F527" s="185" t="s">
        <v>783</v>
      </c>
      <c r="G527" s="185" t="s">
        <v>1977</v>
      </c>
      <c r="H527" s="185" t="s">
        <v>1515</v>
      </c>
      <c r="I527" s="258" t="str">
        <f t="shared" si="25"/>
        <v>2</v>
      </c>
      <c r="J527" s="221">
        <f t="shared" si="26"/>
        <v>169206</v>
      </c>
      <c r="K527" s="258">
        <f t="shared" si="27"/>
        <v>2</v>
      </c>
      <c r="L527" s="188">
        <v>169206</v>
      </c>
      <c r="M527" s="188">
        <v>0</v>
      </c>
      <c r="N527" s="189">
        <v>1000018061</v>
      </c>
      <c r="O527" t="s">
        <v>2179</v>
      </c>
      <c r="P527" s="187">
        <v>44985.329872685201</v>
      </c>
      <c r="Q527" s="186">
        <v>8022</v>
      </c>
      <c r="R527" s="185"/>
      <c r="S527" s="185" t="s">
        <v>1522</v>
      </c>
      <c r="T527"/>
      <c r="U527" t="str">
        <f>IF($L527&gt;0,VLOOKUP($E527,Valida!$A$1:$G$270,6,FALSE),IF($M527&gt;=0,VLOOKUP($E527,Valida!$A$1:$G$270,7,FALSE)))</f>
        <v>(+/-) Ajustes por el incremento (disminución) de cuentas por pagar de origen comercial</v>
      </c>
      <c r="V527" s="190" t="str">
        <f>VLOOKUP(E527,Valida!$A$2:$K$271,4,FALSE)</f>
        <v>Trade and other payables</v>
      </c>
      <c r="W527" s="185" t="s">
        <v>1978</v>
      </c>
      <c r="X527" s="185"/>
      <c r="Y527" s="185" t="s">
        <v>1789</v>
      </c>
      <c r="Z527"/>
    </row>
    <row r="528" spans="1:26">
      <c r="A528" s="185" t="s">
        <v>1895</v>
      </c>
      <c r="B528" s="185" t="s">
        <v>2179</v>
      </c>
      <c r="C528" s="185" t="s">
        <v>1897</v>
      </c>
      <c r="D528" s="185" t="s">
        <v>2180</v>
      </c>
      <c r="E528" s="185">
        <v>252505</v>
      </c>
      <c r="F528" s="185" t="s">
        <v>787</v>
      </c>
      <c r="G528" s="185" t="s">
        <v>1977</v>
      </c>
      <c r="H528" s="185" t="s">
        <v>1515</v>
      </c>
      <c r="I528" s="258" t="str">
        <f t="shared" si="25"/>
        <v>2</v>
      </c>
      <c r="J528" s="221">
        <f t="shared" si="26"/>
        <v>146483</v>
      </c>
      <c r="K528" s="258">
        <f t="shared" si="27"/>
        <v>2</v>
      </c>
      <c r="L528" s="188">
        <v>146483</v>
      </c>
      <c r="M528" s="188">
        <v>0</v>
      </c>
      <c r="N528" s="189">
        <v>1000018061</v>
      </c>
      <c r="O528" t="s">
        <v>2179</v>
      </c>
      <c r="P528" s="187">
        <v>44985.329872685201</v>
      </c>
      <c r="Q528" s="186">
        <v>8023</v>
      </c>
      <c r="R528" s="185"/>
      <c r="S528" s="185" t="s">
        <v>1522</v>
      </c>
      <c r="T528"/>
      <c r="U528" t="str">
        <f>IF($L528&gt;0,VLOOKUP($E528,Valida!$A$1:$G$270,6,FALSE),IF($M528&gt;=0,VLOOKUP($E528,Valida!$A$1:$G$270,7,FALSE)))</f>
        <v>(+/-) Ajustes por el incremento (disminución) de cuentas por pagar de origen comercial</v>
      </c>
      <c r="V528" s="190" t="str">
        <f>VLOOKUP(E528,Valida!$A$2:$K$271,4,FALSE)</f>
        <v>Trade and other payables</v>
      </c>
      <c r="W528" s="185" t="s">
        <v>1978</v>
      </c>
      <c r="X528" s="185"/>
      <c r="Y528" s="185" t="s">
        <v>1789</v>
      </c>
      <c r="Z528"/>
    </row>
    <row r="529" spans="1:26">
      <c r="A529" s="185" t="s">
        <v>2181</v>
      </c>
      <c r="B529" s="185" t="s">
        <v>2182</v>
      </c>
      <c r="C529" s="185" t="s">
        <v>1890</v>
      </c>
      <c r="D529" s="185" t="s">
        <v>2183</v>
      </c>
      <c r="E529" s="185">
        <v>250505</v>
      </c>
      <c r="F529" s="185" t="s">
        <v>767</v>
      </c>
      <c r="G529" s="185" t="s">
        <v>2184</v>
      </c>
      <c r="H529" s="185" t="s">
        <v>1515</v>
      </c>
      <c r="I529" s="258" t="str">
        <f t="shared" si="25"/>
        <v>2</v>
      </c>
      <c r="J529" s="221">
        <f t="shared" si="26"/>
        <v>732869</v>
      </c>
      <c r="K529" s="258">
        <f t="shared" si="27"/>
        <v>2</v>
      </c>
      <c r="L529" s="188">
        <v>732869</v>
      </c>
      <c r="M529" s="188">
        <v>0</v>
      </c>
      <c r="N529" s="189">
        <v>1000018061</v>
      </c>
      <c r="O529" t="s">
        <v>2182</v>
      </c>
      <c r="P529" s="187">
        <v>44985.330729166701</v>
      </c>
      <c r="Q529" s="186">
        <v>8024</v>
      </c>
      <c r="R529" s="185"/>
      <c r="S529" s="185" t="s">
        <v>1522</v>
      </c>
      <c r="T529"/>
      <c r="U529" t="str">
        <f>IF($L529&gt;0,VLOOKUP($E529,Valida!$A$1:$G$270,6,FALSE),IF($M529&gt;=0,VLOOKUP($E529,Valida!$A$1:$G$270,7,FALSE)))</f>
        <v>(+/-) Ajustes por el incremento (disminución) de cuentas por pagar de origen comercial</v>
      </c>
      <c r="V529" s="190" t="str">
        <f>VLOOKUP(E529,Valida!$A$2:$K$271,4,FALSE)</f>
        <v>Trade and other payables</v>
      </c>
      <c r="W529" s="185" t="s">
        <v>1978</v>
      </c>
      <c r="X529" s="185"/>
      <c r="Y529" s="185" t="s">
        <v>1789</v>
      </c>
      <c r="Z529"/>
    </row>
    <row r="530" spans="1:26">
      <c r="A530" s="185" t="s">
        <v>2181</v>
      </c>
      <c r="B530" s="185" t="s">
        <v>2182</v>
      </c>
      <c r="C530" s="185" t="s">
        <v>1890</v>
      </c>
      <c r="D530" s="185" t="s">
        <v>2183</v>
      </c>
      <c r="E530" s="185">
        <v>112005</v>
      </c>
      <c r="F530" s="185" t="s">
        <v>24</v>
      </c>
      <c r="G530" s="185" t="s">
        <v>2184</v>
      </c>
      <c r="H530" s="185" t="s">
        <v>1628</v>
      </c>
      <c r="I530" s="258" t="str">
        <f t="shared" si="25"/>
        <v>1</v>
      </c>
      <c r="J530" s="221">
        <f t="shared" si="26"/>
        <v>-732869</v>
      </c>
      <c r="K530" s="258">
        <f t="shared" si="27"/>
        <v>2</v>
      </c>
      <c r="L530" s="188">
        <v>0</v>
      </c>
      <c r="M530" s="188">
        <v>732869</v>
      </c>
      <c r="N530" s="189">
        <v>1000018061</v>
      </c>
      <c r="O530" t="s">
        <v>2182</v>
      </c>
      <c r="P530" s="187">
        <v>44985.330729166701</v>
      </c>
      <c r="Q530" s="186">
        <v>8025</v>
      </c>
      <c r="R530" s="185"/>
      <c r="S530" s="185" t="s">
        <v>1522</v>
      </c>
      <c r="T530" t="s">
        <v>1894</v>
      </c>
      <c r="U530" t="str">
        <f>IF($L530&gt;0,VLOOKUP($E530,Valida!$A$1:$G$270,6,FALSE),IF($M530&gt;=0,VLOOKUP($E530,Valida!$A$1:$G$270,7,FALSE)))</f>
        <v>Disponible</v>
      </c>
      <c r="V530" s="190" t="str">
        <f>VLOOKUP(E530,Valida!$A$2:$K$271,4,FALSE)</f>
        <v>Cash and equivalents</v>
      </c>
      <c r="W530" s="185" t="s">
        <v>1978</v>
      </c>
      <c r="X530" s="185"/>
      <c r="Y530" s="185" t="s">
        <v>1789</v>
      </c>
      <c r="Z530"/>
    </row>
    <row r="531" spans="1:26">
      <c r="A531" s="185" t="s">
        <v>2181</v>
      </c>
      <c r="B531" s="185" t="s">
        <v>2185</v>
      </c>
      <c r="C531" s="185" t="s">
        <v>1890</v>
      </c>
      <c r="D531" s="185" t="s">
        <v>2186</v>
      </c>
      <c r="E531" s="185">
        <v>250505</v>
      </c>
      <c r="F531" s="185" t="s">
        <v>767</v>
      </c>
      <c r="G531" s="185" t="s">
        <v>2184</v>
      </c>
      <c r="H531" s="185" t="s">
        <v>1515</v>
      </c>
      <c r="I531" s="258" t="str">
        <f t="shared" si="25"/>
        <v>2</v>
      </c>
      <c r="J531" s="221">
        <f t="shared" si="26"/>
        <v>1056948</v>
      </c>
      <c r="K531" s="258">
        <f t="shared" si="27"/>
        <v>2</v>
      </c>
      <c r="L531" s="188">
        <v>1056948</v>
      </c>
      <c r="M531" s="188">
        <v>0</v>
      </c>
      <c r="N531" s="189">
        <v>1000018061</v>
      </c>
      <c r="O531" t="s">
        <v>2185</v>
      </c>
      <c r="P531" s="187">
        <v>44985.330995370401</v>
      </c>
      <c r="Q531" s="186">
        <v>8026</v>
      </c>
      <c r="R531" s="185"/>
      <c r="S531" s="185" t="s">
        <v>1522</v>
      </c>
      <c r="T531"/>
      <c r="U531" t="str">
        <f>IF($L531&gt;0,VLOOKUP($E531,Valida!$A$1:$G$270,6,FALSE),IF($M531&gt;=0,VLOOKUP($E531,Valida!$A$1:$G$270,7,FALSE)))</f>
        <v>(+/-) Ajustes por el incremento (disminución) de cuentas por pagar de origen comercial</v>
      </c>
      <c r="V531" s="190" t="str">
        <f>VLOOKUP(E531,Valida!$A$2:$K$271,4,FALSE)</f>
        <v>Trade and other payables</v>
      </c>
      <c r="W531" s="185" t="s">
        <v>1978</v>
      </c>
      <c r="X531" s="185"/>
      <c r="Y531" s="185" t="s">
        <v>1789</v>
      </c>
      <c r="Z531"/>
    </row>
    <row r="532" spans="1:26">
      <c r="A532" s="185" t="s">
        <v>2181</v>
      </c>
      <c r="B532" s="185" t="s">
        <v>2185</v>
      </c>
      <c r="C532" s="185" t="s">
        <v>1890</v>
      </c>
      <c r="D532" s="185" t="s">
        <v>2186</v>
      </c>
      <c r="E532" s="185">
        <v>112005</v>
      </c>
      <c r="F532" s="185" t="s">
        <v>24</v>
      </c>
      <c r="G532" s="185" t="s">
        <v>2184</v>
      </c>
      <c r="H532" s="185" t="s">
        <v>1628</v>
      </c>
      <c r="I532" s="258" t="str">
        <f t="shared" si="25"/>
        <v>1</v>
      </c>
      <c r="J532" s="221">
        <f t="shared" si="26"/>
        <v>-1056948</v>
      </c>
      <c r="K532" s="258">
        <f t="shared" si="27"/>
        <v>2</v>
      </c>
      <c r="L532" s="188">
        <v>0</v>
      </c>
      <c r="M532" s="188">
        <v>1056948</v>
      </c>
      <c r="N532" s="189">
        <v>1000018061</v>
      </c>
      <c r="O532" t="s">
        <v>2185</v>
      </c>
      <c r="P532" s="187">
        <v>44985.330995370401</v>
      </c>
      <c r="Q532" s="186">
        <v>8027</v>
      </c>
      <c r="R532" s="185"/>
      <c r="S532" s="185" t="s">
        <v>1522</v>
      </c>
      <c r="T532" t="s">
        <v>1894</v>
      </c>
      <c r="U532" t="str">
        <f>IF($L532&gt;0,VLOOKUP($E532,Valida!$A$1:$G$270,6,FALSE),IF($M532&gt;=0,VLOOKUP($E532,Valida!$A$1:$G$270,7,FALSE)))</f>
        <v>Disponible</v>
      </c>
      <c r="V532" s="190" t="str">
        <f>VLOOKUP(E532,Valida!$A$2:$K$271,4,FALSE)</f>
        <v>Cash and equivalents</v>
      </c>
      <c r="W532" s="185" t="s">
        <v>1978</v>
      </c>
      <c r="X532" s="185"/>
      <c r="Y532" s="185" t="s">
        <v>1789</v>
      </c>
      <c r="Z532"/>
    </row>
    <row r="533" spans="1:26">
      <c r="A533" s="185" t="s">
        <v>2181</v>
      </c>
      <c r="B533" s="185" t="s">
        <v>2187</v>
      </c>
      <c r="C533" s="185" t="s">
        <v>1890</v>
      </c>
      <c r="D533" s="185" t="s">
        <v>2188</v>
      </c>
      <c r="E533" s="185">
        <v>250505</v>
      </c>
      <c r="F533" s="185" t="s">
        <v>767</v>
      </c>
      <c r="G533" s="185" t="s">
        <v>2184</v>
      </c>
      <c r="H533" s="185" t="s">
        <v>1515</v>
      </c>
      <c r="I533" s="258" t="str">
        <f t="shared" si="25"/>
        <v>2</v>
      </c>
      <c r="J533" s="221">
        <f t="shared" si="26"/>
        <v>1902981</v>
      </c>
      <c r="K533" s="258">
        <f t="shared" si="27"/>
        <v>2</v>
      </c>
      <c r="L533" s="188">
        <v>1902981</v>
      </c>
      <c r="M533" s="188">
        <v>0</v>
      </c>
      <c r="N533" s="189">
        <v>1000036375</v>
      </c>
      <c r="O533" t="s">
        <v>2187</v>
      </c>
      <c r="P533" s="187">
        <v>44985.331296296303</v>
      </c>
      <c r="Q533" s="186">
        <v>8028</v>
      </c>
      <c r="R533" s="185"/>
      <c r="S533" s="185" t="s">
        <v>1524</v>
      </c>
      <c r="T533"/>
      <c r="U533" t="str">
        <f>IF($L533&gt;0,VLOOKUP($E533,Valida!$A$1:$G$270,6,FALSE),IF($M533&gt;=0,VLOOKUP($E533,Valida!$A$1:$G$270,7,FALSE)))</f>
        <v>(+/-) Ajustes por el incremento (disminución) de cuentas por pagar de origen comercial</v>
      </c>
      <c r="V533" s="190" t="str">
        <f>VLOOKUP(E533,Valida!$A$2:$K$271,4,FALSE)</f>
        <v>Trade and other payables</v>
      </c>
      <c r="W533" s="185" t="s">
        <v>1983</v>
      </c>
      <c r="X533" s="185"/>
      <c r="Y533" s="185" t="s">
        <v>1789</v>
      </c>
      <c r="Z533"/>
    </row>
    <row r="534" spans="1:26">
      <c r="A534" s="185" t="s">
        <v>2181</v>
      </c>
      <c r="B534" s="185" t="s">
        <v>2187</v>
      </c>
      <c r="C534" s="185" t="s">
        <v>1890</v>
      </c>
      <c r="D534" s="185" t="s">
        <v>2188</v>
      </c>
      <c r="E534" s="185">
        <v>112005</v>
      </c>
      <c r="F534" s="185" t="s">
        <v>24</v>
      </c>
      <c r="G534" s="185" t="s">
        <v>2184</v>
      </c>
      <c r="H534" s="185" t="s">
        <v>1628</v>
      </c>
      <c r="I534" s="258" t="str">
        <f t="shared" si="25"/>
        <v>1</v>
      </c>
      <c r="J534" s="221">
        <f t="shared" si="26"/>
        <v>-1902981</v>
      </c>
      <c r="K534" s="258">
        <f t="shared" si="27"/>
        <v>2</v>
      </c>
      <c r="L534" s="188">
        <v>0</v>
      </c>
      <c r="M534" s="188">
        <v>1902981</v>
      </c>
      <c r="N534" s="189">
        <v>1000036375</v>
      </c>
      <c r="O534" t="s">
        <v>2187</v>
      </c>
      <c r="P534" s="187">
        <v>44985.331296296303</v>
      </c>
      <c r="Q534" s="186">
        <v>8029</v>
      </c>
      <c r="R534" s="185"/>
      <c r="S534" s="185" t="s">
        <v>1524</v>
      </c>
      <c r="T534" t="s">
        <v>1894</v>
      </c>
      <c r="U534" t="str">
        <f>IF($L534&gt;0,VLOOKUP($E534,Valida!$A$1:$G$270,6,FALSE),IF($M534&gt;=0,VLOOKUP($E534,Valida!$A$1:$G$270,7,FALSE)))</f>
        <v>Disponible</v>
      </c>
      <c r="V534" s="190" t="str">
        <f>VLOOKUP(E534,Valida!$A$2:$K$271,4,FALSE)</f>
        <v>Cash and equivalents</v>
      </c>
      <c r="W534" s="185" t="s">
        <v>1983</v>
      </c>
      <c r="X534" s="185"/>
      <c r="Y534" s="185" t="s">
        <v>1789</v>
      </c>
      <c r="Z534"/>
    </row>
    <row r="535" spans="1:26">
      <c r="A535" s="185" t="s">
        <v>2181</v>
      </c>
      <c r="B535" s="185" t="s">
        <v>2189</v>
      </c>
      <c r="C535" s="185" t="s">
        <v>1890</v>
      </c>
      <c r="D535" s="185" t="s">
        <v>2190</v>
      </c>
      <c r="E535" s="185">
        <v>250505</v>
      </c>
      <c r="F535" s="185" t="s">
        <v>767</v>
      </c>
      <c r="G535" s="185" t="s">
        <v>2184</v>
      </c>
      <c r="H535" s="185" t="s">
        <v>1515</v>
      </c>
      <c r="I535" s="258" t="str">
        <f t="shared" si="25"/>
        <v>2</v>
      </c>
      <c r="J535" s="221">
        <f t="shared" si="26"/>
        <v>1010149</v>
      </c>
      <c r="K535" s="258">
        <f t="shared" si="27"/>
        <v>2</v>
      </c>
      <c r="L535" s="188">
        <v>1010149</v>
      </c>
      <c r="M535" s="188">
        <v>0</v>
      </c>
      <c r="N535" s="189">
        <v>80747504</v>
      </c>
      <c r="O535" t="s">
        <v>2189</v>
      </c>
      <c r="P535" s="187">
        <v>44985.331620370402</v>
      </c>
      <c r="Q535" s="186">
        <v>8030</v>
      </c>
      <c r="R535" s="185"/>
      <c r="S535" s="185" t="s">
        <v>1562</v>
      </c>
      <c r="T535"/>
      <c r="U535" t="str">
        <f>IF($L535&gt;0,VLOOKUP($E535,Valida!$A$1:$G$270,6,FALSE),IF($M535&gt;=0,VLOOKUP($E535,Valida!$A$1:$G$270,7,FALSE)))</f>
        <v>(+/-) Ajustes por el incremento (disminución) de cuentas por pagar de origen comercial</v>
      </c>
      <c r="V535" s="190" t="str">
        <f>VLOOKUP(E535,Valida!$A$2:$K$271,4,FALSE)</f>
        <v>Trade and other payables</v>
      </c>
      <c r="W535" s="185" t="s">
        <v>1918</v>
      </c>
      <c r="X535" s="185"/>
      <c r="Y535" s="185" t="s">
        <v>1789</v>
      </c>
      <c r="Z535"/>
    </row>
    <row r="536" spans="1:26">
      <c r="A536" s="185" t="s">
        <v>2181</v>
      </c>
      <c r="B536" s="185" t="s">
        <v>2189</v>
      </c>
      <c r="C536" s="185" t="s">
        <v>1890</v>
      </c>
      <c r="D536" s="185" t="s">
        <v>2190</v>
      </c>
      <c r="E536" s="185">
        <v>112005</v>
      </c>
      <c r="F536" s="185" t="s">
        <v>24</v>
      </c>
      <c r="G536" s="185" t="s">
        <v>2184</v>
      </c>
      <c r="H536" s="185" t="s">
        <v>1628</v>
      </c>
      <c r="I536" s="258" t="str">
        <f t="shared" si="25"/>
        <v>1</v>
      </c>
      <c r="J536" s="221">
        <f t="shared" si="26"/>
        <v>-1010149</v>
      </c>
      <c r="K536" s="258">
        <f t="shared" si="27"/>
        <v>2</v>
      </c>
      <c r="L536" s="188">
        <v>0</v>
      </c>
      <c r="M536" s="188">
        <v>1010149</v>
      </c>
      <c r="N536" s="189">
        <v>80747504</v>
      </c>
      <c r="O536" t="s">
        <v>2189</v>
      </c>
      <c r="P536" s="187">
        <v>44985.331620370402</v>
      </c>
      <c r="Q536" s="186">
        <v>8031</v>
      </c>
      <c r="R536" s="185"/>
      <c r="S536" s="185" t="s">
        <v>1562</v>
      </c>
      <c r="T536" t="s">
        <v>1894</v>
      </c>
      <c r="U536" t="str">
        <f>IF($L536&gt;0,VLOOKUP($E536,Valida!$A$1:$G$270,6,FALSE),IF($M536&gt;=0,VLOOKUP($E536,Valida!$A$1:$G$270,7,FALSE)))</f>
        <v>Disponible</v>
      </c>
      <c r="V536" s="190" t="str">
        <f>VLOOKUP(E536,Valida!$A$2:$K$271,4,FALSE)</f>
        <v>Cash and equivalents</v>
      </c>
      <c r="W536" s="185" t="s">
        <v>1918</v>
      </c>
      <c r="X536" s="185"/>
      <c r="Y536" s="185" t="s">
        <v>1789</v>
      </c>
      <c r="Z536"/>
    </row>
    <row r="537" spans="1:26">
      <c r="A537" s="185" t="s">
        <v>2181</v>
      </c>
      <c r="B537" s="185" t="s">
        <v>2191</v>
      </c>
      <c r="C537" s="185" t="s">
        <v>1890</v>
      </c>
      <c r="D537" s="185" t="s">
        <v>2192</v>
      </c>
      <c r="E537" s="185">
        <v>250505</v>
      </c>
      <c r="F537" s="185" t="s">
        <v>767</v>
      </c>
      <c r="G537" s="185" t="s">
        <v>2184</v>
      </c>
      <c r="H537" s="185" t="s">
        <v>1515</v>
      </c>
      <c r="I537" s="258" t="str">
        <f t="shared" si="25"/>
        <v>2</v>
      </c>
      <c r="J537" s="221">
        <f t="shared" si="26"/>
        <v>1207806</v>
      </c>
      <c r="K537" s="258">
        <f t="shared" si="27"/>
        <v>2</v>
      </c>
      <c r="L537" s="188">
        <v>1207806</v>
      </c>
      <c r="M537" s="188">
        <v>0</v>
      </c>
      <c r="N537" s="189">
        <v>1130744136</v>
      </c>
      <c r="O537" t="s">
        <v>2191</v>
      </c>
      <c r="P537" s="187">
        <v>44985.331967592603</v>
      </c>
      <c r="Q537" s="186">
        <v>8032</v>
      </c>
      <c r="R537" s="185"/>
      <c r="S537" s="185" t="s">
        <v>1538</v>
      </c>
      <c r="T537"/>
      <c r="U537" t="str">
        <f>IF($L537&gt;0,VLOOKUP($E537,Valida!$A$1:$G$270,6,FALSE),IF($M537&gt;=0,VLOOKUP($E537,Valida!$A$1:$G$270,7,FALSE)))</f>
        <v>(+/-) Ajustes por el incremento (disminución) de cuentas por pagar de origen comercial</v>
      </c>
      <c r="V537" s="190" t="str">
        <f>VLOOKUP(E537,Valida!$A$2:$K$271,4,FALSE)</f>
        <v>Trade and other payables</v>
      </c>
      <c r="W537" s="185" t="s">
        <v>1909</v>
      </c>
      <c r="X537" s="185" t="s">
        <v>1910</v>
      </c>
      <c r="Y537" s="185" t="s">
        <v>1789</v>
      </c>
      <c r="Z537"/>
    </row>
    <row r="538" spans="1:26">
      <c r="A538" s="185" t="s">
        <v>2181</v>
      </c>
      <c r="B538" s="185" t="s">
        <v>2191</v>
      </c>
      <c r="C538" s="185" t="s">
        <v>1890</v>
      </c>
      <c r="D538" s="185" t="s">
        <v>2192</v>
      </c>
      <c r="E538" s="185">
        <v>112005</v>
      </c>
      <c r="F538" s="185" t="s">
        <v>24</v>
      </c>
      <c r="G538" s="185" t="s">
        <v>2184</v>
      </c>
      <c r="H538" s="185" t="s">
        <v>1628</v>
      </c>
      <c r="I538" s="258" t="str">
        <f t="shared" si="25"/>
        <v>1</v>
      </c>
      <c r="J538" s="221">
        <f t="shared" si="26"/>
        <v>-1207806</v>
      </c>
      <c r="K538" s="258">
        <f t="shared" si="27"/>
        <v>2</v>
      </c>
      <c r="L538" s="188">
        <v>0</v>
      </c>
      <c r="M538" s="188">
        <v>1207806</v>
      </c>
      <c r="N538" s="189">
        <v>1130744136</v>
      </c>
      <c r="O538" t="s">
        <v>2191</v>
      </c>
      <c r="P538" s="187">
        <v>44985.331967592603</v>
      </c>
      <c r="Q538" s="186">
        <v>8033</v>
      </c>
      <c r="R538" s="185"/>
      <c r="S538" s="185" t="s">
        <v>1538</v>
      </c>
      <c r="T538" t="s">
        <v>1894</v>
      </c>
      <c r="U538" t="str">
        <f>IF($L538&gt;0,VLOOKUP($E538,Valida!$A$1:$G$270,6,FALSE),IF($M538&gt;=0,VLOOKUP($E538,Valida!$A$1:$G$270,7,FALSE)))</f>
        <v>Disponible</v>
      </c>
      <c r="V538" s="190" t="str">
        <f>VLOOKUP(E538,Valida!$A$2:$K$271,4,FALSE)</f>
        <v>Cash and equivalents</v>
      </c>
      <c r="W538" s="185" t="s">
        <v>1909</v>
      </c>
      <c r="X538" s="185" t="s">
        <v>1910</v>
      </c>
      <c r="Y538" s="185" t="s">
        <v>1789</v>
      </c>
      <c r="Z538"/>
    </row>
    <row r="539" spans="1:26">
      <c r="A539" s="185" t="s">
        <v>2181</v>
      </c>
      <c r="B539" s="185" t="s">
        <v>2193</v>
      </c>
      <c r="C539" s="185" t="s">
        <v>1890</v>
      </c>
      <c r="D539" s="185" t="s">
        <v>2194</v>
      </c>
      <c r="E539" s="185">
        <v>250505</v>
      </c>
      <c r="F539" s="185" t="s">
        <v>767</v>
      </c>
      <c r="G539" s="185" t="s">
        <v>2184</v>
      </c>
      <c r="H539" s="185" t="s">
        <v>1515</v>
      </c>
      <c r="I539" s="258" t="str">
        <f t="shared" si="25"/>
        <v>2</v>
      </c>
      <c r="J539" s="221">
        <f t="shared" si="26"/>
        <v>1645237</v>
      </c>
      <c r="K539" s="258">
        <f t="shared" si="27"/>
        <v>2</v>
      </c>
      <c r="L539" s="188">
        <v>1645237</v>
      </c>
      <c r="M539" s="188">
        <v>0</v>
      </c>
      <c r="N539" s="189">
        <v>1010101811</v>
      </c>
      <c r="O539" t="s">
        <v>2193</v>
      </c>
      <c r="P539" s="187">
        <v>44985.332395833299</v>
      </c>
      <c r="Q539" s="186">
        <v>8034</v>
      </c>
      <c r="R539" s="185"/>
      <c r="S539" s="185" t="s">
        <v>1528</v>
      </c>
      <c r="T539"/>
      <c r="U539" t="str">
        <f>IF($L539&gt;0,VLOOKUP($E539,Valida!$A$1:$G$270,6,FALSE),IF($M539&gt;=0,VLOOKUP($E539,Valida!$A$1:$G$270,7,FALSE)))</f>
        <v>(+/-) Ajustes por el incremento (disminución) de cuentas por pagar de origen comercial</v>
      </c>
      <c r="V539" s="190" t="str">
        <f>VLOOKUP(E539,Valida!$A$2:$K$271,4,FALSE)</f>
        <v>Trade and other payables</v>
      </c>
      <c r="W539" s="185" t="s">
        <v>1967</v>
      </c>
      <c r="X539" s="185"/>
      <c r="Y539" s="185" t="s">
        <v>1789</v>
      </c>
      <c r="Z539"/>
    </row>
    <row r="540" spans="1:26">
      <c r="A540" s="185" t="s">
        <v>2181</v>
      </c>
      <c r="B540" s="185" t="s">
        <v>2193</v>
      </c>
      <c r="C540" s="185" t="s">
        <v>1890</v>
      </c>
      <c r="D540" s="185" t="s">
        <v>2194</v>
      </c>
      <c r="E540" s="185">
        <v>112005</v>
      </c>
      <c r="F540" s="185" t="s">
        <v>24</v>
      </c>
      <c r="G540" s="185" t="s">
        <v>2184</v>
      </c>
      <c r="H540" s="185" t="s">
        <v>1628</v>
      </c>
      <c r="I540" s="258" t="str">
        <f t="shared" si="25"/>
        <v>1</v>
      </c>
      <c r="J540" s="221">
        <f t="shared" si="26"/>
        <v>-1645237</v>
      </c>
      <c r="K540" s="258">
        <f t="shared" si="27"/>
        <v>2</v>
      </c>
      <c r="L540" s="188">
        <v>0</v>
      </c>
      <c r="M540" s="188">
        <v>1645237</v>
      </c>
      <c r="N540" s="189">
        <v>1010101811</v>
      </c>
      <c r="O540" t="s">
        <v>2193</v>
      </c>
      <c r="P540" s="187">
        <v>44985.332395833299</v>
      </c>
      <c r="Q540" s="186">
        <v>8035</v>
      </c>
      <c r="R540" s="185"/>
      <c r="S540" s="185" t="s">
        <v>1528</v>
      </c>
      <c r="T540" t="s">
        <v>1894</v>
      </c>
      <c r="U540" t="str">
        <f>IF($L540&gt;0,VLOOKUP($E540,Valida!$A$1:$G$270,6,FALSE),IF($M540&gt;=0,VLOOKUP($E540,Valida!$A$1:$G$270,7,FALSE)))</f>
        <v>Disponible</v>
      </c>
      <c r="V540" s="190" t="str">
        <f>VLOOKUP(E540,Valida!$A$2:$K$271,4,FALSE)</f>
        <v>Cash and equivalents</v>
      </c>
      <c r="W540" s="185" t="s">
        <v>1967</v>
      </c>
      <c r="X540" s="185"/>
      <c r="Y540" s="185" t="s">
        <v>1789</v>
      </c>
      <c r="Z540"/>
    </row>
    <row r="541" spans="1:26">
      <c r="A541" s="185" t="s">
        <v>2181</v>
      </c>
      <c r="B541" s="185" t="s">
        <v>2195</v>
      </c>
      <c r="C541" s="185" t="s">
        <v>1890</v>
      </c>
      <c r="D541" s="185" t="s">
        <v>2196</v>
      </c>
      <c r="E541" s="185">
        <v>250505</v>
      </c>
      <c r="F541" s="185" t="s">
        <v>767</v>
      </c>
      <c r="G541" s="185" t="s">
        <v>2184</v>
      </c>
      <c r="H541" s="185" t="s">
        <v>1515</v>
      </c>
      <c r="I541" s="258" t="str">
        <f t="shared" si="25"/>
        <v>2</v>
      </c>
      <c r="J541" s="221">
        <f t="shared" si="26"/>
        <v>1199582</v>
      </c>
      <c r="K541" s="258">
        <f t="shared" si="27"/>
        <v>2</v>
      </c>
      <c r="L541" s="188">
        <v>1199582</v>
      </c>
      <c r="M541" s="188">
        <v>0</v>
      </c>
      <c r="N541" s="189">
        <v>1020842223</v>
      </c>
      <c r="O541" t="s">
        <v>2195</v>
      </c>
      <c r="P541" s="187">
        <v>44985.332858796297</v>
      </c>
      <c r="Q541" s="186">
        <v>8036</v>
      </c>
      <c r="R541" s="185"/>
      <c r="S541" s="185" t="s">
        <v>1532</v>
      </c>
      <c r="T541"/>
      <c r="U541" t="str">
        <f>IF($L541&gt;0,VLOOKUP($E541,Valida!$A$1:$G$270,6,FALSE),IF($M541&gt;=0,VLOOKUP($E541,Valida!$A$1:$G$270,7,FALSE)))</f>
        <v>(+/-) Ajustes por el incremento (disminución) de cuentas por pagar de origen comercial</v>
      </c>
      <c r="V541" s="190" t="str">
        <f>VLOOKUP(E541,Valida!$A$2:$K$271,4,FALSE)</f>
        <v>Trade and other payables</v>
      </c>
      <c r="W541" s="185" t="s">
        <v>1900</v>
      </c>
      <c r="X541" s="185"/>
      <c r="Y541" s="185" t="s">
        <v>1789</v>
      </c>
      <c r="Z541"/>
    </row>
    <row r="542" spans="1:26">
      <c r="A542" s="185" t="s">
        <v>2181</v>
      </c>
      <c r="B542" s="185" t="s">
        <v>2195</v>
      </c>
      <c r="C542" s="185" t="s">
        <v>1890</v>
      </c>
      <c r="D542" s="185" t="s">
        <v>2196</v>
      </c>
      <c r="E542" s="185">
        <v>112005</v>
      </c>
      <c r="F542" s="185" t="s">
        <v>24</v>
      </c>
      <c r="G542" s="185" t="s">
        <v>2184</v>
      </c>
      <c r="H542" s="185" t="s">
        <v>1628</v>
      </c>
      <c r="I542" s="258" t="str">
        <f t="shared" si="25"/>
        <v>1</v>
      </c>
      <c r="J542" s="221">
        <f t="shared" si="26"/>
        <v>-1199582</v>
      </c>
      <c r="K542" s="258">
        <f t="shared" si="27"/>
        <v>2</v>
      </c>
      <c r="L542" s="188">
        <v>0</v>
      </c>
      <c r="M542" s="188">
        <v>1199582</v>
      </c>
      <c r="N542" s="189">
        <v>1020842223</v>
      </c>
      <c r="O542" t="s">
        <v>2195</v>
      </c>
      <c r="P542" s="187">
        <v>44985.332870370403</v>
      </c>
      <c r="Q542" s="186">
        <v>8037</v>
      </c>
      <c r="R542" s="185"/>
      <c r="S542" s="185" t="s">
        <v>1532</v>
      </c>
      <c r="T542" t="s">
        <v>1894</v>
      </c>
      <c r="U542" t="str">
        <f>IF($L542&gt;0,VLOOKUP($E542,Valida!$A$1:$G$270,6,FALSE),IF($M542&gt;=0,VLOOKUP($E542,Valida!$A$1:$G$270,7,FALSE)))</f>
        <v>Disponible</v>
      </c>
      <c r="V542" s="190" t="str">
        <f>VLOOKUP(E542,Valida!$A$2:$K$271,4,FALSE)</f>
        <v>Cash and equivalents</v>
      </c>
      <c r="W542" s="185" t="s">
        <v>1900</v>
      </c>
      <c r="X542" s="185"/>
      <c r="Y542" s="185" t="s">
        <v>1789</v>
      </c>
      <c r="Z542"/>
    </row>
    <row r="543" spans="1:26">
      <c r="A543" s="185" t="s">
        <v>2197</v>
      </c>
      <c r="B543" s="185" t="s">
        <v>2198</v>
      </c>
      <c r="C543" s="185" t="s">
        <v>1792</v>
      </c>
      <c r="D543" s="185" t="s">
        <v>2199</v>
      </c>
      <c r="E543" s="185">
        <v>51350504</v>
      </c>
      <c r="F543" s="185" t="s">
        <v>1638</v>
      </c>
      <c r="G543" s="185" t="s">
        <v>2097</v>
      </c>
      <c r="H543" s="185" t="s">
        <v>1515</v>
      </c>
      <c r="I543" s="258" t="str">
        <f t="shared" si="25"/>
        <v>5</v>
      </c>
      <c r="J543" s="221">
        <f t="shared" si="26"/>
        <v>555820.07999999996</v>
      </c>
      <c r="K543" s="258">
        <f t="shared" si="27"/>
        <v>2</v>
      </c>
      <c r="L543" s="188">
        <v>555820.07999999996</v>
      </c>
      <c r="M543" s="188">
        <v>0</v>
      </c>
      <c r="N543" s="189">
        <v>444444001</v>
      </c>
      <c r="O543" t="s">
        <v>2200</v>
      </c>
      <c r="P543" s="187">
        <v>44985.3336921296</v>
      </c>
      <c r="Q543" s="186">
        <v>8038</v>
      </c>
      <c r="R543" s="185"/>
      <c r="S543" s="185" t="s">
        <v>1548</v>
      </c>
      <c r="T543"/>
      <c r="U543" t="str">
        <f>IF($L543&gt;0,VLOOKUP($E543,Valida!$A$1:$G$270,6,FALSE),IF($M543&gt;=0,VLOOKUP($E543,Valida!$A$1:$G$270,7,FALSE)))</f>
        <v>(+/-) Ganancia (pérdida)</v>
      </c>
      <c r="V543" s="190" t="str">
        <f>VLOOKUP(E543,Valida!$A$2:$K$271,4,FALSE)</f>
        <v>P&amp;L</v>
      </c>
      <c r="W543" s="185"/>
      <c r="X543" s="185"/>
      <c r="Y543" s="185"/>
      <c r="Z543"/>
    </row>
    <row r="544" spans="1:26">
      <c r="A544" s="185" t="s">
        <v>2197</v>
      </c>
      <c r="B544" s="185" t="s">
        <v>2198</v>
      </c>
      <c r="C544" s="185" t="s">
        <v>1792</v>
      </c>
      <c r="D544" s="185" t="s">
        <v>2199</v>
      </c>
      <c r="E544" s="185">
        <v>23355007</v>
      </c>
      <c r="F544" s="185" t="s">
        <v>1638</v>
      </c>
      <c r="G544" s="185" t="s">
        <v>2097</v>
      </c>
      <c r="H544" s="185" t="s">
        <v>1628</v>
      </c>
      <c r="I544" s="258" t="str">
        <f t="shared" si="25"/>
        <v>2</v>
      </c>
      <c r="J544" s="221">
        <f t="shared" si="26"/>
        <v>-555820.07999999996</v>
      </c>
      <c r="K544" s="258">
        <f t="shared" si="27"/>
        <v>2</v>
      </c>
      <c r="L544" s="188">
        <v>0</v>
      </c>
      <c r="M544" s="188">
        <v>555820.07999999996</v>
      </c>
      <c r="N544" s="189">
        <v>444444001</v>
      </c>
      <c r="O544" t="s">
        <v>2200</v>
      </c>
      <c r="P544" s="187">
        <v>44985.3336921296</v>
      </c>
      <c r="Q544" s="186">
        <v>8039</v>
      </c>
      <c r="R544" s="185"/>
      <c r="S544" s="185" t="s">
        <v>1548</v>
      </c>
      <c r="T544"/>
      <c r="U544" t="str">
        <f>IF($L544&gt;0,VLOOKUP($E544,Valida!$A$1:$G$270,6,FALSE),IF($M544&gt;=0,VLOOKUP($E544,Valida!$A$1:$G$270,7,FALSE)))</f>
        <v>(+/-) Ajustes por el incremento (disminución) de cuentas por pagar de origen comercial</v>
      </c>
      <c r="V544" s="190" t="str">
        <f>VLOOKUP(E544,Valida!$A$2:$K$271,4,FALSE)</f>
        <v>Trade and other payables</v>
      </c>
      <c r="W544" s="185"/>
      <c r="X544" s="185"/>
      <c r="Y544" s="185"/>
      <c r="Z544"/>
    </row>
    <row r="545" spans="1:26">
      <c r="A545" s="185" t="s">
        <v>2197</v>
      </c>
      <c r="B545" s="185" t="s">
        <v>2201</v>
      </c>
      <c r="C545" s="185" t="s">
        <v>1890</v>
      </c>
      <c r="D545" s="185" t="s">
        <v>2202</v>
      </c>
      <c r="E545" s="185">
        <v>23355007</v>
      </c>
      <c r="F545" s="185" t="s">
        <v>1638</v>
      </c>
      <c r="G545" s="185" t="s">
        <v>2097</v>
      </c>
      <c r="H545" s="185" t="s">
        <v>1515</v>
      </c>
      <c r="I545" s="258" t="str">
        <f t="shared" si="25"/>
        <v>2</v>
      </c>
      <c r="J545" s="221">
        <f t="shared" si="26"/>
        <v>555820.07999999996</v>
      </c>
      <c r="K545" s="258">
        <f t="shared" si="27"/>
        <v>2</v>
      </c>
      <c r="L545" s="188">
        <v>555820.07999999996</v>
      </c>
      <c r="M545" s="188">
        <v>0</v>
      </c>
      <c r="N545" s="189">
        <v>444444001</v>
      </c>
      <c r="O545" t="s">
        <v>2201</v>
      </c>
      <c r="P545" s="187">
        <v>44985.334143518499</v>
      </c>
      <c r="Q545" s="186">
        <v>8040</v>
      </c>
      <c r="R545" s="185"/>
      <c r="S545" s="185" t="s">
        <v>1548</v>
      </c>
      <c r="T545"/>
      <c r="U545" t="str">
        <f>IF($L545&gt;0,VLOOKUP($E545,Valida!$A$1:$G$270,6,FALSE),IF($M545&gt;=0,VLOOKUP($E545,Valida!$A$1:$G$270,7,FALSE)))</f>
        <v>(+/-) Ajustes por el incremento (disminución) de cuentas por pagar de origen comercial</v>
      </c>
      <c r="V545" s="190" t="str">
        <f>VLOOKUP(E545,Valida!$A$2:$K$271,4,FALSE)</f>
        <v>Trade and other payables</v>
      </c>
      <c r="W545" s="185"/>
      <c r="X545" s="185"/>
      <c r="Y545" s="185"/>
      <c r="Z545"/>
    </row>
    <row r="546" spans="1:26">
      <c r="A546" s="185" t="s">
        <v>2197</v>
      </c>
      <c r="B546" s="185" t="s">
        <v>2201</v>
      </c>
      <c r="C546" s="185" t="s">
        <v>1890</v>
      </c>
      <c r="D546" s="185" t="s">
        <v>2202</v>
      </c>
      <c r="E546" s="185">
        <v>112005</v>
      </c>
      <c r="F546" s="185" t="s">
        <v>24</v>
      </c>
      <c r="G546" s="185" t="s">
        <v>2097</v>
      </c>
      <c r="H546" s="185" t="s">
        <v>1628</v>
      </c>
      <c r="I546" s="258" t="str">
        <f t="shared" si="25"/>
        <v>1</v>
      </c>
      <c r="J546" s="221">
        <f t="shared" si="26"/>
        <v>-555820.07999999996</v>
      </c>
      <c r="K546" s="258">
        <f t="shared" si="27"/>
        <v>2</v>
      </c>
      <c r="L546" s="188">
        <v>0</v>
      </c>
      <c r="M546" s="188">
        <v>555820.07999999996</v>
      </c>
      <c r="N546" s="189">
        <v>444444001</v>
      </c>
      <c r="O546" t="s">
        <v>2201</v>
      </c>
      <c r="P546" s="187">
        <v>44985.334143518499</v>
      </c>
      <c r="Q546" s="186">
        <v>8041</v>
      </c>
      <c r="R546" s="185"/>
      <c r="S546" s="185" t="s">
        <v>1548</v>
      </c>
      <c r="T546" t="s">
        <v>1894</v>
      </c>
      <c r="U546" t="str">
        <f>IF($L546&gt;0,VLOOKUP($E546,Valida!$A$1:$G$270,6,FALSE),IF($M546&gt;=0,VLOOKUP($E546,Valida!$A$1:$G$270,7,FALSE)))</f>
        <v>Disponible</v>
      </c>
      <c r="V546" s="190" t="str">
        <f>VLOOKUP(E546,Valida!$A$2:$K$271,4,FALSE)</f>
        <v>Cash and equivalents</v>
      </c>
      <c r="W546" s="185"/>
      <c r="X546" s="185"/>
      <c r="Y546" s="185"/>
      <c r="Z546"/>
    </row>
    <row r="547" spans="1:26">
      <c r="A547" s="185" t="s">
        <v>1895</v>
      </c>
      <c r="B547" s="185" t="s">
        <v>2203</v>
      </c>
      <c r="C547" s="185" t="s">
        <v>1897</v>
      </c>
      <c r="D547" s="185" t="s">
        <v>2204</v>
      </c>
      <c r="E547" s="185">
        <v>510506</v>
      </c>
      <c r="F547" s="185" t="s">
        <v>1076</v>
      </c>
      <c r="G547" s="185" t="s">
        <v>1970</v>
      </c>
      <c r="H547" s="185" t="s">
        <v>1515</v>
      </c>
      <c r="I547" s="258" t="str">
        <f t="shared" si="25"/>
        <v>5</v>
      </c>
      <c r="J547" s="221">
        <f t="shared" si="26"/>
        <v>40000</v>
      </c>
      <c r="K547" s="258">
        <f t="shared" si="27"/>
        <v>2</v>
      </c>
      <c r="L547" s="188">
        <v>40000</v>
      </c>
      <c r="M547" s="188">
        <v>0</v>
      </c>
      <c r="N547" s="189">
        <v>1023976635</v>
      </c>
      <c r="O547" t="s">
        <v>2203</v>
      </c>
      <c r="P547" s="187">
        <v>44990.760277777801</v>
      </c>
      <c r="Q547" s="186">
        <v>8111</v>
      </c>
      <c r="R547" s="185"/>
      <c r="S547" s="185" t="s">
        <v>1534</v>
      </c>
      <c r="T547"/>
      <c r="U547" t="str">
        <f>IF($L547&gt;0,VLOOKUP($E547,Valida!$A$1:$G$270,6,FALSE),IF($M547&gt;=0,VLOOKUP($E547,Valida!$A$1:$G$270,7,FALSE)))</f>
        <v>(+/-) Ganancia (pérdida)</v>
      </c>
      <c r="V547" s="190" t="str">
        <f>VLOOKUP(E547,Valida!$A$2:$K$271,4,FALSE)</f>
        <v>P&amp;L</v>
      </c>
      <c r="W547" s="185" t="s">
        <v>1971</v>
      </c>
      <c r="X547" s="185"/>
      <c r="Y547" s="185" t="s">
        <v>1972</v>
      </c>
      <c r="Z547"/>
    </row>
    <row r="548" spans="1:26">
      <c r="A548" s="185" t="s">
        <v>1895</v>
      </c>
      <c r="B548" s="185" t="s">
        <v>2203</v>
      </c>
      <c r="C548" s="185" t="s">
        <v>1897</v>
      </c>
      <c r="D548" s="185" t="s">
        <v>2204</v>
      </c>
      <c r="E548" s="185">
        <v>510527</v>
      </c>
      <c r="F548" s="185" t="s">
        <v>1089</v>
      </c>
      <c r="G548" s="185" t="s">
        <v>1970</v>
      </c>
      <c r="H548" s="185" t="s">
        <v>1515</v>
      </c>
      <c r="I548" s="258" t="str">
        <f t="shared" si="25"/>
        <v>5</v>
      </c>
      <c r="J548" s="221">
        <f t="shared" si="26"/>
        <v>4687</v>
      </c>
      <c r="K548" s="258">
        <f t="shared" si="27"/>
        <v>2</v>
      </c>
      <c r="L548" s="188">
        <v>4687</v>
      </c>
      <c r="M548" s="188">
        <v>0</v>
      </c>
      <c r="N548" s="189">
        <v>1023976635</v>
      </c>
      <c r="O548" t="s">
        <v>2203</v>
      </c>
      <c r="P548" s="187">
        <v>44990.760277777801</v>
      </c>
      <c r="Q548" s="186">
        <v>8112</v>
      </c>
      <c r="R548" s="185"/>
      <c r="S548" s="185" t="s">
        <v>1534</v>
      </c>
      <c r="T548"/>
      <c r="U548" t="str">
        <f>IF($L548&gt;0,VLOOKUP($E548,Valida!$A$1:$G$270,6,FALSE),IF($M548&gt;=0,VLOOKUP($E548,Valida!$A$1:$G$270,7,FALSE)))</f>
        <v>(+/-) Ganancia (pérdida)</v>
      </c>
      <c r="V548" s="190" t="str">
        <f>VLOOKUP(E548,Valida!$A$2:$K$271,4,FALSE)</f>
        <v>P&amp;L</v>
      </c>
      <c r="W548" s="185" t="s">
        <v>1971</v>
      </c>
      <c r="X548" s="185"/>
      <c r="Y548" s="185" t="s">
        <v>1972</v>
      </c>
      <c r="Z548"/>
    </row>
    <row r="549" spans="1:26">
      <c r="A549" s="185" t="s">
        <v>1895</v>
      </c>
      <c r="B549" s="185" t="s">
        <v>2203</v>
      </c>
      <c r="C549" s="185" t="s">
        <v>1897</v>
      </c>
      <c r="D549" s="185" t="s">
        <v>2204</v>
      </c>
      <c r="E549" s="185">
        <v>237005</v>
      </c>
      <c r="F549" s="185" t="s">
        <v>676</v>
      </c>
      <c r="G549" s="185" t="s">
        <v>1970</v>
      </c>
      <c r="H549" s="185" t="s">
        <v>1628</v>
      </c>
      <c r="I549" s="258" t="str">
        <f t="shared" si="25"/>
        <v>2</v>
      </c>
      <c r="J549" s="221">
        <f t="shared" si="26"/>
        <v>-1600</v>
      </c>
      <c r="K549" s="258">
        <f t="shared" si="27"/>
        <v>2</v>
      </c>
      <c r="L549" s="188">
        <v>0</v>
      </c>
      <c r="M549" s="188">
        <v>1600</v>
      </c>
      <c r="N549" s="189">
        <v>830003564</v>
      </c>
      <c r="O549" t="s">
        <v>2203</v>
      </c>
      <c r="P549" s="187">
        <v>44990.760277777801</v>
      </c>
      <c r="Q549" s="186">
        <v>8113</v>
      </c>
      <c r="R549" s="185" t="s">
        <v>1814</v>
      </c>
      <c r="S549" s="185" t="s">
        <v>1652</v>
      </c>
      <c r="T549"/>
      <c r="U549" t="str">
        <f>IF($L549&gt;0,VLOOKUP($E549,Valida!$A$1:$G$270,6,FALSE),IF($M549&gt;=0,VLOOKUP($E549,Valida!$A$1:$G$270,7,FALSE)))</f>
        <v>(+/-) Ajustes por el incremento (disminución) de cuentas por pagar de origen comercial</v>
      </c>
      <c r="V549" s="190" t="str">
        <f>VLOOKUP(E549,Valida!$A$2:$K$271,4,FALSE)</f>
        <v>Trade and other payables</v>
      </c>
      <c r="W549" s="185" t="s">
        <v>1973</v>
      </c>
      <c r="X549" s="185" t="s">
        <v>1974</v>
      </c>
      <c r="Y549" s="185" t="s">
        <v>1789</v>
      </c>
      <c r="Z549"/>
    </row>
    <row r="550" spans="1:26">
      <c r="A550" s="185" t="s">
        <v>1895</v>
      </c>
      <c r="B550" s="185" t="s">
        <v>2203</v>
      </c>
      <c r="C550" s="185" t="s">
        <v>1897</v>
      </c>
      <c r="D550" s="185" t="s">
        <v>2204</v>
      </c>
      <c r="E550" s="185">
        <v>238030</v>
      </c>
      <c r="F550" s="185" t="s">
        <v>721</v>
      </c>
      <c r="G550" s="185" t="s">
        <v>1970</v>
      </c>
      <c r="H550" s="185" t="s">
        <v>1628</v>
      </c>
      <c r="I550" s="258" t="str">
        <f t="shared" si="25"/>
        <v>2</v>
      </c>
      <c r="J550" s="221">
        <f t="shared" si="26"/>
        <v>-1600</v>
      </c>
      <c r="K550" s="258">
        <f t="shared" si="27"/>
        <v>2</v>
      </c>
      <c r="L550" s="188">
        <v>0</v>
      </c>
      <c r="M550" s="188">
        <v>1600</v>
      </c>
      <c r="N550" s="189">
        <v>900950893</v>
      </c>
      <c r="O550" t="s">
        <v>2203</v>
      </c>
      <c r="P550" s="187">
        <v>44990.760277777801</v>
      </c>
      <c r="Q550" s="186">
        <v>8114</v>
      </c>
      <c r="R550" s="185" t="s">
        <v>1519</v>
      </c>
      <c r="S550" s="185" t="s">
        <v>1668</v>
      </c>
      <c r="T550"/>
      <c r="U550" t="str">
        <f>IF($L550&gt;0,VLOOKUP($E550,Valida!$A$1:$G$270,6,FALSE),IF($M550&gt;=0,VLOOKUP($E550,Valida!$A$1:$G$270,7,FALSE)))</f>
        <v>(+/-) Ajustes por el incremento (disminución) de cuentas por pagar de origen comercial</v>
      </c>
      <c r="V550" s="190" t="str">
        <f>VLOOKUP(E550,Valida!$A$2:$K$271,4,FALSE)</f>
        <v>Trade and other payables</v>
      </c>
      <c r="W550" s="185" t="s">
        <v>1928</v>
      </c>
      <c r="X550" s="185"/>
      <c r="Y550" s="185" t="s">
        <v>1789</v>
      </c>
      <c r="Z550"/>
    </row>
    <row r="551" spans="1:26">
      <c r="A551" s="185" t="s">
        <v>1895</v>
      </c>
      <c r="B551" s="185" t="s">
        <v>2203</v>
      </c>
      <c r="C551" s="185" t="s">
        <v>1897</v>
      </c>
      <c r="D551" s="185" t="s">
        <v>2204</v>
      </c>
      <c r="E551" s="185">
        <v>250505</v>
      </c>
      <c r="F551" s="185" t="s">
        <v>767</v>
      </c>
      <c r="G551" s="185" t="s">
        <v>1970</v>
      </c>
      <c r="H551" s="185" t="s">
        <v>1628</v>
      </c>
      <c r="I551" s="258" t="str">
        <f t="shared" si="25"/>
        <v>2</v>
      </c>
      <c r="J551" s="221">
        <f t="shared" si="26"/>
        <v>-541451</v>
      </c>
      <c r="K551" s="258">
        <f t="shared" si="27"/>
        <v>2</v>
      </c>
      <c r="L551" s="188">
        <v>0</v>
      </c>
      <c r="M551" s="188">
        <v>541451</v>
      </c>
      <c r="N551" s="189">
        <v>1023976635</v>
      </c>
      <c r="O551" t="s">
        <v>2203</v>
      </c>
      <c r="P551" s="187">
        <v>44990.760277777801</v>
      </c>
      <c r="Q551" s="186">
        <v>8115</v>
      </c>
      <c r="R551" s="185"/>
      <c r="S551" s="185" t="s">
        <v>1534</v>
      </c>
      <c r="T551"/>
      <c r="U551" t="str">
        <f>IF($L551&gt;0,VLOOKUP($E551,Valida!$A$1:$G$270,6,FALSE),IF($M551&gt;=0,VLOOKUP($E551,Valida!$A$1:$G$270,7,FALSE)))</f>
        <v>(+/-) Ajustes por el incremento (disminución) de cuentas por pagar de origen comercial</v>
      </c>
      <c r="V551" s="190" t="str">
        <f>VLOOKUP(E551,Valida!$A$2:$K$271,4,FALSE)</f>
        <v>Trade and other payables</v>
      </c>
      <c r="W551" s="185" t="s">
        <v>1971</v>
      </c>
      <c r="X551" s="185"/>
      <c r="Y551" s="185" t="s">
        <v>1972</v>
      </c>
      <c r="Z551"/>
    </row>
    <row r="552" spans="1:26">
      <c r="A552" s="185" t="s">
        <v>1895</v>
      </c>
      <c r="B552" s="185" t="s">
        <v>2203</v>
      </c>
      <c r="C552" s="185" t="s">
        <v>1897</v>
      </c>
      <c r="D552" s="185" t="s">
        <v>2204</v>
      </c>
      <c r="E552" s="185">
        <v>510530</v>
      </c>
      <c r="F552" s="185" t="s">
        <v>813</v>
      </c>
      <c r="G552" s="185" t="s">
        <v>1970</v>
      </c>
      <c r="H552" s="185" t="s">
        <v>1515</v>
      </c>
      <c r="I552" s="258" t="str">
        <f t="shared" si="25"/>
        <v>5</v>
      </c>
      <c r="J552" s="221">
        <f t="shared" si="26"/>
        <v>3724</v>
      </c>
      <c r="K552" s="258">
        <f t="shared" si="27"/>
        <v>2</v>
      </c>
      <c r="L552" s="188">
        <v>3724</v>
      </c>
      <c r="M552" s="188">
        <v>0</v>
      </c>
      <c r="N552" s="189">
        <v>1023976635</v>
      </c>
      <c r="O552" t="s">
        <v>2203</v>
      </c>
      <c r="P552" s="187">
        <v>44990.760277777801</v>
      </c>
      <c r="Q552" s="186">
        <v>8116</v>
      </c>
      <c r="R552" s="185"/>
      <c r="S552" s="185" t="s">
        <v>1534</v>
      </c>
      <c r="T552"/>
      <c r="U552" t="str">
        <f>IF($L552&gt;0,VLOOKUP($E552,Valida!$A$1:$G$270,6,FALSE),IF($M552&gt;=0,VLOOKUP($E552,Valida!$A$1:$G$270,7,FALSE)))</f>
        <v>(+/-) Ganancia (pérdida)</v>
      </c>
      <c r="V552" s="190" t="str">
        <f>VLOOKUP(E552,Valida!$A$2:$K$271,4,FALSE)</f>
        <v>P&amp;L</v>
      </c>
      <c r="W552" s="185" t="s">
        <v>1971</v>
      </c>
      <c r="X552" s="185"/>
      <c r="Y552" s="185" t="s">
        <v>1972</v>
      </c>
      <c r="Z552"/>
    </row>
    <row r="553" spans="1:26">
      <c r="A553" s="185" t="s">
        <v>1895</v>
      </c>
      <c r="B553" s="185" t="s">
        <v>2203</v>
      </c>
      <c r="C553" s="185" t="s">
        <v>1897</v>
      </c>
      <c r="D553" s="185" t="s">
        <v>2204</v>
      </c>
      <c r="E553" s="185">
        <v>510533</v>
      </c>
      <c r="F553" s="185" t="s">
        <v>779</v>
      </c>
      <c r="G553" s="185" t="s">
        <v>1970</v>
      </c>
      <c r="H553" s="185" t="s">
        <v>1515</v>
      </c>
      <c r="I553" s="258" t="str">
        <f t="shared" si="25"/>
        <v>5</v>
      </c>
      <c r="J553" s="221">
        <f t="shared" si="26"/>
        <v>447</v>
      </c>
      <c r="K553" s="258">
        <f t="shared" si="27"/>
        <v>2</v>
      </c>
      <c r="L553" s="188">
        <v>447</v>
      </c>
      <c r="M553" s="188">
        <v>0</v>
      </c>
      <c r="N553" s="189">
        <v>1023976635</v>
      </c>
      <c r="O553" t="s">
        <v>2203</v>
      </c>
      <c r="P553" s="187">
        <v>44990.760277777801</v>
      </c>
      <c r="Q553" s="186">
        <v>8117</v>
      </c>
      <c r="R553" s="185"/>
      <c r="S553" s="185" t="s">
        <v>1534</v>
      </c>
      <c r="T553"/>
      <c r="U553" t="str">
        <f>IF($L553&gt;0,VLOOKUP($E553,Valida!$A$1:$G$270,6,FALSE),IF($M553&gt;=0,VLOOKUP($E553,Valida!$A$1:$G$270,7,FALSE)))</f>
        <v>(+/-) Ganancia (pérdida)</v>
      </c>
      <c r="V553" s="190" t="str">
        <f>VLOOKUP(E553,Valida!$A$2:$K$271,4,FALSE)</f>
        <v>P&amp;L</v>
      </c>
      <c r="W553" s="185" t="s">
        <v>1971</v>
      </c>
      <c r="X553" s="185"/>
      <c r="Y553" s="185" t="s">
        <v>1972</v>
      </c>
      <c r="Z553"/>
    </row>
    <row r="554" spans="1:26">
      <c r="A554" s="185" t="s">
        <v>1895</v>
      </c>
      <c r="B554" s="185" t="s">
        <v>2203</v>
      </c>
      <c r="C554" s="185" t="s">
        <v>1897</v>
      </c>
      <c r="D554" s="185" t="s">
        <v>2204</v>
      </c>
      <c r="E554" s="185">
        <v>510536</v>
      </c>
      <c r="F554" s="185" t="s">
        <v>783</v>
      </c>
      <c r="G554" s="185" t="s">
        <v>1970</v>
      </c>
      <c r="H554" s="185" t="s">
        <v>1515</v>
      </c>
      <c r="I554" s="258" t="str">
        <f t="shared" si="25"/>
        <v>5</v>
      </c>
      <c r="J554" s="221">
        <f t="shared" si="26"/>
        <v>3724</v>
      </c>
      <c r="K554" s="258">
        <f t="shared" si="27"/>
        <v>2</v>
      </c>
      <c r="L554" s="188">
        <v>3724</v>
      </c>
      <c r="M554" s="188">
        <v>0</v>
      </c>
      <c r="N554" s="189">
        <v>1023976635</v>
      </c>
      <c r="O554" t="s">
        <v>2203</v>
      </c>
      <c r="P554" s="187">
        <v>44990.760277777801</v>
      </c>
      <c r="Q554" s="186">
        <v>8118</v>
      </c>
      <c r="R554" s="185"/>
      <c r="S554" s="185" t="s">
        <v>1534</v>
      </c>
      <c r="T554"/>
      <c r="U554" t="str">
        <f>IF($L554&gt;0,VLOOKUP($E554,Valida!$A$1:$G$270,6,FALSE),IF($M554&gt;=0,VLOOKUP($E554,Valida!$A$1:$G$270,7,FALSE)))</f>
        <v>(+/-) Ganancia (pérdida)</v>
      </c>
      <c r="V554" s="190" t="str">
        <f>VLOOKUP(E554,Valida!$A$2:$K$271,4,FALSE)</f>
        <v>P&amp;L</v>
      </c>
      <c r="W554" s="185" t="s">
        <v>1971</v>
      </c>
      <c r="X554" s="185"/>
      <c r="Y554" s="185" t="s">
        <v>1972</v>
      </c>
      <c r="Z554"/>
    </row>
    <row r="555" spans="1:26">
      <c r="A555" s="185" t="s">
        <v>1895</v>
      </c>
      <c r="B555" s="185" t="s">
        <v>2203</v>
      </c>
      <c r="C555" s="185" t="s">
        <v>1897</v>
      </c>
      <c r="D555" s="185" t="s">
        <v>2204</v>
      </c>
      <c r="E555" s="185">
        <v>510539</v>
      </c>
      <c r="F555" s="185" t="s">
        <v>818</v>
      </c>
      <c r="G555" s="185" t="s">
        <v>1970</v>
      </c>
      <c r="H555" s="185" t="s">
        <v>1515</v>
      </c>
      <c r="I555" s="258" t="str">
        <f t="shared" si="25"/>
        <v>5</v>
      </c>
      <c r="J555" s="221">
        <f t="shared" si="26"/>
        <v>1667</v>
      </c>
      <c r="K555" s="258">
        <f t="shared" si="27"/>
        <v>2</v>
      </c>
      <c r="L555" s="188">
        <v>1667</v>
      </c>
      <c r="M555" s="188">
        <v>0</v>
      </c>
      <c r="N555" s="189">
        <v>1023976635</v>
      </c>
      <c r="O555" t="s">
        <v>2203</v>
      </c>
      <c r="P555" s="187">
        <v>44990.760277777801</v>
      </c>
      <c r="Q555" s="186">
        <v>8119</v>
      </c>
      <c r="R555" s="185"/>
      <c r="S555" s="185" t="s">
        <v>1534</v>
      </c>
      <c r="T555"/>
      <c r="U555" t="str">
        <f>IF($L555&gt;0,VLOOKUP($E555,Valida!$A$1:$G$270,6,FALSE),IF($M555&gt;=0,VLOOKUP($E555,Valida!$A$1:$G$270,7,FALSE)))</f>
        <v>(+/-) Ganancia (pérdida)</v>
      </c>
      <c r="V555" s="190" t="str">
        <f>VLOOKUP(E555,Valida!$A$2:$K$271,4,FALSE)</f>
        <v>P&amp;L</v>
      </c>
      <c r="W555" s="185" t="s">
        <v>1971</v>
      </c>
      <c r="X555" s="185"/>
      <c r="Y555" s="185" t="s">
        <v>1972</v>
      </c>
      <c r="Z555"/>
    </row>
    <row r="556" spans="1:26">
      <c r="A556" s="185" t="s">
        <v>1895</v>
      </c>
      <c r="B556" s="185" t="s">
        <v>2203</v>
      </c>
      <c r="C556" s="185" t="s">
        <v>1897</v>
      </c>
      <c r="D556" s="185" t="s">
        <v>2204</v>
      </c>
      <c r="E556" s="185">
        <v>251010</v>
      </c>
      <c r="F556" s="185" t="s">
        <v>776</v>
      </c>
      <c r="G556" s="185" t="s">
        <v>1970</v>
      </c>
      <c r="H556" s="185" t="s">
        <v>1628</v>
      </c>
      <c r="I556" s="258" t="str">
        <f t="shared" si="25"/>
        <v>2</v>
      </c>
      <c r="J556" s="221">
        <f t="shared" si="26"/>
        <v>-3724</v>
      </c>
      <c r="K556" s="258">
        <f t="shared" si="27"/>
        <v>2</v>
      </c>
      <c r="L556" s="188">
        <v>0</v>
      </c>
      <c r="M556" s="188">
        <v>3724</v>
      </c>
      <c r="N556" s="189">
        <v>1023976635</v>
      </c>
      <c r="O556" t="s">
        <v>2203</v>
      </c>
      <c r="P556" s="187">
        <v>44990.760277777801</v>
      </c>
      <c r="Q556" s="186">
        <v>8120</v>
      </c>
      <c r="R556" s="185"/>
      <c r="S556" s="185" t="s">
        <v>1534</v>
      </c>
      <c r="T556"/>
      <c r="U556" t="str">
        <f>IF($L556&gt;0,VLOOKUP($E556,Valida!$A$1:$G$270,6,FALSE),IF($M556&gt;=0,VLOOKUP($E556,Valida!$A$1:$G$270,7,FALSE)))</f>
        <v>(+/-) Ajustes por el incremento (disminución) de cuentas por pagar de origen comercial</v>
      </c>
      <c r="V556" s="190" t="str">
        <f>VLOOKUP(E556,Valida!$A$2:$K$271,4,FALSE)</f>
        <v>Trade and other payables</v>
      </c>
      <c r="W556" s="185" t="s">
        <v>1971</v>
      </c>
      <c r="X556" s="185"/>
      <c r="Y556" s="185" t="s">
        <v>1972</v>
      </c>
      <c r="Z556"/>
    </row>
    <row r="557" spans="1:26">
      <c r="A557" s="185" t="s">
        <v>1895</v>
      </c>
      <c r="B557" s="185" t="s">
        <v>2203</v>
      </c>
      <c r="C557" s="185" t="s">
        <v>1897</v>
      </c>
      <c r="D557" s="185" t="s">
        <v>2204</v>
      </c>
      <c r="E557" s="185">
        <v>251505</v>
      </c>
      <c r="F557" s="185" t="s">
        <v>779</v>
      </c>
      <c r="G557" s="185" t="s">
        <v>1970</v>
      </c>
      <c r="H557" s="185" t="s">
        <v>1628</v>
      </c>
      <c r="I557" s="258" t="str">
        <f t="shared" si="25"/>
        <v>2</v>
      </c>
      <c r="J557" s="221">
        <f t="shared" si="26"/>
        <v>-447</v>
      </c>
      <c r="K557" s="258">
        <f t="shared" si="27"/>
        <v>2</v>
      </c>
      <c r="L557" s="188">
        <v>0</v>
      </c>
      <c r="M557" s="188">
        <v>447</v>
      </c>
      <c r="N557" s="189">
        <v>1023976635</v>
      </c>
      <c r="O557" t="s">
        <v>2203</v>
      </c>
      <c r="P557" s="187">
        <v>44990.760277777801</v>
      </c>
      <c r="Q557" s="186">
        <v>8121</v>
      </c>
      <c r="R557" s="185"/>
      <c r="S557" s="185" t="s">
        <v>1534</v>
      </c>
      <c r="T557"/>
      <c r="U557" t="str">
        <f>IF($L557&gt;0,VLOOKUP($E557,Valida!$A$1:$G$270,6,FALSE),IF($M557&gt;=0,VLOOKUP($E557,Valida!$A$1:$G$270,7,FALSE)))</f>
        <v>(+/-) Ajustes por el incremento (disminución) de cuentas por pagar de origen comercial</v>
      </c>
      <c r="V557" s="190" t="str">
        <f>VLOOKUP(E557,Valida!$A$2:$K$271,4,FALSE)</f>
        <v>Trade and other payables</v>
      </c>
      <c r="W557" s="185" t="s">
        <v>1971</v>
      </c>
      <c r="X557" s="185"/>
      <c r="Y557" s="185" t="s">
        <v>1972</v>
      </c>
      <c r="Z557"/>
    </row>
    <row r="558" spans="1:26">
      <c r="A558" s="185" t="s">
        <v>1895</v>
      </c>
      <c r="B558" s="185" t="s">
        <v>2203</v>
      </c>
      <c r="C558" s="185" t="s">
        <v>1897</v>
      </c>
      <c r="D558" s="185" t="s">
        <v>2204</v>
      </c>
      <c r="E558" s="185">
        <v>252005</v>
      </c>
      <c r="F558" s="185" t="s">
        <v>783</v>
      </c>
      <c r="G558" s="185" t="s">
        <v>1970</v>
      </c>
      <c r="H558" s="185" t="s">
        <v>1628</v>
      </c>
      <c r="I558" s="258" t="str">
        <f t="shared" si="25"/>
        <v>2</v>
      </c>
      <c r="J558" s="221">
        <f t="shared" si="26"/>
        <v>-3724</v>
      </c>
      <c r="K558" s="258">
        <f t="shared" si="27"/>
        <v>2</v>
      </c>
      <c r="L558" s="188">
        <v>0</v>
      </c>
      <c r="M558" s="188">
        <v>3724</v>
      </c>
      <c r="N558" s="189">
        <v>1023976635</v>
      </c>
      <c r="O558" t="s">
        <v>2203</v>
      </c>
      <c r="P558" s="187">
        <v>44990.760277777801</v>
      </c>
      <c r="Q558" s="186">
        <v>8122</v>
      </c>
      <c r="R558" s="185"/>
      <c r="S558" s="185" t="s">
        <v>1534</v>
      </c>
      <c r="T558"/>
      <c r="U558" t="str">
        <f>IF($L558&gt;0,VLOOKUP($E558,Valida!$A$1:$G$270,6,FALSE),IF($M558&gt;=0,VLOOKUP($E558,Valida!$A$1:$G$270,7,FALSE)))</f>
        <v>(+/-) Ajustes por el incremento (disminución) de cuentas por pagar de origen comercial</v>
      </c>
      <c r="V558" s="190" t="str">
        <f>VLOOKUP(E558,Valida!$A$2:$K$271,4,FALSE)</f>
        <v>Trade and other payables</v>
      </c>
      <c r="W558" s="185" t="s">
        <v>1971</v>
      </c>
      <c r="X558" s="185"/>
      <c r="Y558" s="185" t="s">
        <v>1972</v>
      </c>
      <c r="Z558"/>
    </row>
    <row r="559" spans="1:26">
      <c r="A559" s="185" t="s">
        <v>1895</v>
      </c>
      <c r="B559" s="185" t="s">
        <v>2203</v>
      </c>
      <c r="C559" s="185" t="s">
        <v>1897</v>
      </c>
      <c r="D559" s="185" t="s">
        <v>2204</v>
      </c>
      <c r="E559" s="185">
        <v>252505</v>
      </c>
      <c r="F559" s="185" t="s">
        <v>787</v>
      </c>
      <c r="G559" s="185" t="s">
        <v>1970</v>
      </c>
      <c r="H559" s="185" t="s">
        <v>1628</v>
      </c>
      <c r="I559" s="258" t="str">
        <f t="shared" si="25"/>
        <v>2</v>
      </c>
      <c r="J559" s="221">
        <f t="shared" si="26"/>
        <v>-1667</v>
      </c>
      <c r="K559" s="258">
        <f t="shared" si="27"/>
        <v>2</v>
      </c>
      <c r="L559" s="188">
        <v>0</v>
      </c>
      <c r="M559" s="188">
        <v>1667</v>
      </c>
      <c r="N559" s="189">
        <v>1023976635</v>
      </c>
      <c r="O559" t="s">
        <v>2203</v>
      </c>
      <c r="P559" s="187">
        <v>44990.760289351798</v>
      </c>
      <c r="Q559" s="186">
        <v>8123</v>
      </c>
      <c r="R559" s="185"/>
      <c r="S559" s="185" t="s">
        <v>1534</v>
      </c>
      <c r="T559"/>
      <c r="U559" t="str">
        <f>IF($L559&gt;0,VLOOKUP($E559,Valida!$A$1:$G$270,6,FALSE),IF($M559&gt;=0,VLOOKUP($E559,Valida!$A$1:$G$270,7,FALSE)))</f>
        <v>(+/-) Ajustes por el incremento (disminución) de cuentas por pagar de origen comercial</v>
      </c>
      <c r="V559" s="190" t="str">
        <f>VLOOKUP(E559,Valida!$A$2:$K$271,4,FALSE)</f>
        <v>Trade and other payables</v>
      </c>
      <c r="W559" s="185" t="s">
        <v>1971</v>
      </c>
      <c r="X559" s="185"/>
      <c r="Y559" s="185" t="s">
        <v>1972</v>
      </c>
      <c r="Z559"/>
    </row>
    <row r="560" spans="1:26">
      <c r="A560" s="185" t="s">
        <v>1895</v>
      </c>
      <c r="B560" s="185" t="s">
        <v>2203</v>
      </c>
      <c r="C560" s="185" t="s">
        <v>1897</v>
      </c>
      <c r="D560" s="185" t="s">
        <v>2204</v>
      </c>
      <c r="E560" s="185">
        <v>510570</v>
      </c>
      <c r="F560" s="185" t="s">
        <v>1116</v>
      </c>
      <c r="G560" s="185" t="s">
        <v>1970</v>
      </c>
      <c r="H560" s="185" t="s">
        <v>1515</v>
      </c>
      <c r="I560" s="258" t="str">
        <f t="shared" si="25"/>
        <v>5</v>
      </c>
      <c r="J560" s="221">
        <f t="shared" si="26"/>
        <v>4800</v>
      </c>
      <c r="K560" s="258">
        <f t="shared" si="27"/>
        <v>2</v>
      </c>
      <c r="L560" s="188">
        <v>4800</v>
      </c>
      <c r="M560" s="188">
        <v>0</v>
      </c>
      <c r="N560" s="189">
        <v>900950893</v>
      </c>
      <c r="O560" t="s">
        <v>2203</v>
      </c>
      <c r="P560" s="187">
        <v>44990.760289351798</v>
      </c>
      <c r="Q560" s="186">
        <v>8124</v>
      </c>
      <c r="R560" s="185" t="s">
        <v>1519</v>
      </c>
      <c r="S560" s="185" t="s">
        <v>1668</v>
      </c>
      <c r="T560"/>
      <c r="U560" t="str">
        <f>IF($L560&gt;0,VLOOKUP($E560,Valida!$A$1:$G$270,6,FALSE),IF($M560&gt;=0,VLOOKUP($E560,Valida!$A$1:$G$270,7,FALSE)))</f>
        <v>(+/-) Ganancia (pérdida)</v>
      </c>
      <c r="V560" s="190" t="str">
        <f>VLOOKUP(E560,Valida!$A$2:$K$271,4,FALSE)</f>
        <v>P&amp;L</v>
      </c>
      <c r="W560" s="185" t="s">
        <v>1928</v>
      </c>
      <c r="X560" s="185"/>
      <c r="Y560" s="185" t="s">
        <v>1789</v>
      </c>
      <c r="Z560"/>
    </row>
    <row r="561" spans="1:26">
      <c r="A561" s="185" t="s">
        <v>1895</v>
      </c>
      <c r="B561" s="185" t="s">
        <v>2203</v>
      </c>
      <c r="C561" s="185" t="s">
        <v>1897</v>
      </c>
      <c r="D561" s="185" t="s">
        <v>2204</v>
      </c>
      <c r="E561" s="185">
        <v>238030</v>
      </c>
      <c r="F561" s="185" t="s">
        <v>721</v>
      </c>
      <c r="G561" s="185" t="s">
        <v>1970</v>
      </c>
      <c r="H561" s="185" t="s">
        <v>1628</v>
      </c>
      <c r="I561" s="258" t="str">
        <f t="shared" si="25"/>
        <v>2</v>
      </c>
      <c r="J561" s="221">
        <f t="shared" si="26"/>
        <v>-4800</v>
      </c>
      <c r="K561" s="258">
        <f t="shared" si="27"/>
        <v>2</v>
      </c>
      <c r="L561" s="188">
        <v>0</v>
      </c>
      <c r="M561" s="188">
        <v>4800</v>
      </c>
      <c r="N561" s="189">
        <v>900950893</v>
      </c>
      <c r="O561" t="s">
        <v>2203</v>
      </c>
      <c r="P561" s="187">
        <v>44990.760289351798</v>
      </c>
      <c r="Q561" s="186">
        <v>8125</v>
      </c>
      <c r="R561" s="185" t="s">
        <v>1519</v>
      </c>
      <c r="S561" s="185" t="s">
        <v>1668</v>
      </c>
      <c r="T561"/>
      <c r="U561" t="str">
        <f>IF($L561&gt;0,VLOOKUP($E561,Valida!$A$1:$G$270,6,FALSE),IF($M561&gt;=0,VLOOKUP($E561,Valida!$A$1:$G$270,7,FALSE)))</f>
        <v>(+/-) Ajustes por el incremento (disminución) de cuentas por pagar de origen comercial</v>
      </c>
      <c r="V561" s="190" t="str">
        <f>VLOOKUP(E561,Valida!$A$2:$K$271,4,FALSE)</f>
        <v>Trade and other payables</v>
      </c>
      <c r="W561" s="185" t="s">
        <v>1928</v>
      </c>
      <c r="X561" s="185"/>
      <c r="Y561" s="185" t="s">
        <v>1789</v>
      </c>
      <c r="Z561"/>
    </row>
    <row r="562" spans="1:26">
      <c r="A562" s="185" t="s">
        <v>1895</v>
      </c>
      <c r="B562" s="185" t="s">
        <v>2203</v>
      </c>
      <c r="C562" s="185" t="s">
        <v>1897</v>
      </c>
      <c r="D562" s="185" t="s">
        <v>2204</v>
      </c>
      <c r="E562" s="185">
        <v>510568</v>
      </c>
      <c r="F562" s="185" t="s">
        <v>680</v>
      </c>
      <c r="G562" s="185" t="s">
        <v>1970</v>
      </c>
      <c r="H562" s="185" t="s">
        <v>1515</v>
      </c>
      <c r="I562" s="258" t="str">
        <f t="shared" si="25"/>
        <v>5</v>
      </c>
      <c r="J562" s="221">
        <f t="shared" si="26"/>
        <v>200</v>
      </c>
      <c r="K562" s="258">
        <f t="shared" si="27"/>
        <v>2</v>
      </c>
      <c r="L562" s="188">
        <v>200</v>
      </c>
      <c r="M562" s="188">
        <v>0</v>
      </c>
      <c r="N562" s="189">
        <v>860002503</v>
      </c>
      <c r="O562" t="s">
        <v>2203</v>
      </c>
      <c r="P562" s="187">
        <v>44990.760289351798</v>
      </c>
      <c r="Q562" s="186">
        <v>8126</v>
      </c>
      <c r="R562" s="185" t="s">
        <v>433</v>
      </c>
      <c r="S562" s="185" t="s">
        <v>1656</v>
      </c>
      <c r="T562"/>
      <c r="U562" t="str">
        <f>IF($L562&gt;0,VLOOKUP($E562,Valida!$A$1:$G$270,6,FALSE),IF($M562&gt;=0,VLOOKUP($E562,Valida!$A$1:$G$270,7,FALSE)))</f>
        <v>(+/-) Ganancia (pérdida)</v>
      </c>
      <c r="V562" s="190" t="str">
        <f>VLOOKUP(E562,Valida!$A$2:$K$271,4,FALSE)</f>
        <v>P&amp;L</v>
      </c>
      <c r="W562" s="185" t="s">
        <v>1912</v>
      </c>
      <c r="X562" s="185" t="s">
        <v>1913</v>
      </c>
      <c r="Y562" s="185" t="s">
        <v>1789</v>
      </c>
      <c r="Z562"/>
    </row>
    <row r="563" spans="1:26">
      <c r="A563" s="185" t="s">
        <v>1895</v>
      </c>
      <c r="B563" s="185" t="s">
        <v>2203</v>
      </c>
      <c r="C563" s="185" t="s">
        <v>1897</v>
      </c>
      <c r="D563" s="185" t="s">
        <v>2204</v>
      </c>
      <c r="E563" s="185">
        <v>237006</v>
      </c>
      <c r="F563" s="185" t="s">
        <v>680</v>
      </c>
      <c r="G563" s="185" t="s">
        <v>1970</v>
      </c>
      <c r="H563" s="185" t="s">
        <v>1628</v>
      </c>
      <c r="I563" s="258" t="str">
        <f t="shared" si="25"/>
        <v>2</v>
      </c>
      <c r="J563" s="221">
        <f t="shared" si="26"/>
        <v>-200</v>
      </c>
      <c r="K563" s="258">
        <f t="shared" si="27"/>
        <v>2</v>
      </c>
      <c r="L563" s="188">
        <v>0</v>
      </c>
      <c r="M563" s="188">
        <v>200</v>
      </c>
      <c r="N563" s="189">
        <v>860002503</v>
      </c>
      <c r="O563" t="s">
        <v>2203</v>
      </c>
      <c r="P563" s="187">
        <v>44990.760289351798</v>
      </c>
      <c r="Q563" s="186">
        <v>8127</v>
      </c>
      <c r="R563" s="185" t="s">
        <v>433</v>
      </c>
      <c r="S563" s="185" t="s">
        <v>1656</v>
      </c>
      <c r="T563"/>
      <c r="U563" t="str">
        <f>IF($L563&gt;0,VLOOKUP($E563,Valida!$A$1:$G$270,6,FALSE),IF($M563&gt;=0,VLOOKUP($E563,Valida!$A$1:$G$270,7,FALSE)))</f>
        <v>(+/-) Ajustes por el incremento (disminución) de cuentas por pagar de origen comercial</v>
      </c>
      <c r="V563" s="190" t="str">
        <f>VLOOKUP(E563,Valida!$A$2:$K$271,4,FALSE)</f>
        <v>Trade and other payables</v>
      </c>
      <c r="W563" s="185" t="s">
        <v>1912</v>
      </c>
      <c r="X563" s="185" t="s">
        <v>1913</v>
      </c>
      <c r="Y563" s="185" t="s">
        <v>1789</v>
      </c>
      <c r="Z563"/>
    </row>
    <row r="564" spans="1:26">
      <c r="A564" s="185" t="s">
        <v>1895</v>
      </c>
      <c r="B564" s="185" t="s">
        <v>2203</v>
      </c>
      <c r="C564" s="185" t="s">
        <v>1897</v>
      </c>
      <c r="D564" s="185" t="s">
        <v>2204</v>
      </c>
      <c r="E564" s="185">
        <v>510572</v>
      </c>
      <c r="F564" s="185" t="s">
        <v>1118</v>
      </c>
      <c r="G564" s="185" t="s">
        <v>1970</v>
      </c>
      <c r="H564" s="185" t="s">
        <v>1515</v>
      </c>
      <c r="I564" s="258" t="str">
        <f t="shared" si="25"/>
        <v>5</v>
      </c>
      <c r="J564" s="221">
        <f t="shared" si="26"/>
        <v>800</v>
      </c>
      <c r="K564" s="258">
        <f t="shared" si="27"/>
        <v>2</v>
      </c>
      <c r="L564" s="188">
        <v>800</v>
      </c>
      <c r="M564" s="188">
        <v>0</v>
      </c>
      <c r="N564" s="189">
        <v>860066942</v>
      </c>
      <c r="O564" t="s">
        <v>2203</v>
      </c>
      <c r="P564" s="187">
        <v>44990.760289351798</v>
      </c>
      <c r="Q564" s="186">
        <v>8128</v>
      </c>
      <c r="R564" s="185" t="s">
        <v>1814</v>
      </c>
      <c r="S564" s="185" t="s">
        <v>1574</v>
      </c>
      <c r="T564"/>
      <c r="U564" t="str">
        <f>IF($L564&gt;0,VLOOKUP($E564,Valida!$A$1:$G$270,6,FALSE),IF($M564&gt;=0,VLOOKUP($E564,Valida!$A$1:$G$270,7,FALSE)))</f>
        <v>(+/-) Ganancia (pérdida)</v>
      </c>
      <c r="V564" s="190" t="str">
        <f>VLOOKUP(E564,Valida!$A$2:$K$271,4,FALSE)</f>
        <v>P&amp;L</v>
      </c>
      <c r="W564" s="185" t="s">
        <v>1914</v>
      </c>
      <c r="X564" s="185" t="s">
        <v>1915</v>
      </c>
      <c r="Y564" s="185" t="s">
        <v>1789</v>
      </c>
      <c r="Z564"/>
    </row>
    <row r="565" spans="1:26">
      <c r="A565" s="185" t="s">
        <v>1895</v>
      </c>
      <c r="B565" s="185" t="s">
        <v>2203</v>
      </c>
      <c r="C565" s="185" t="s">
        <v>1897</v>
      </c>
      <c r="D565" s="185" t="s">
        <v>2204</v>
      </c>
      <c r="E565" s="185">
        <v>237010</v>
      </c>
      <c r="F565" s="185" t="s">
        <v>683</v>
      </c>
      <c r="G565" s="185" t="s">
        <v>1970</v>
      </c>
      <c r="H565" s="185" t="s">
        <v>1628</v>
      </c>
      <c r="I565" s="258" t="str">
        <f t="shared" si="25"/>
        <v>2</v>
      </c>
      <c r="J565" s="221">
        <f t="shared" si="26"/>
        <v>-800</v>
      </c>
      <c r="K565" s="258">
        <f t="shared" si="27"/>
        <v>2</v>
      </c>
      <c r="L565" s="188">
        <v>0</v>
      </c>
      <c r="M565" s="188">
        <v>800</v>
      </c>
      <c r="N565" s="189">
        <v>860066942</v>
      </c>
      <c r="O565" t="s">
        <v>2203</v>
      </c>
      <c r="P565" s="187">
        <v>44990.760289351798</v>
      </c>
      <c r="Q565" s="186">
        <v>8129</v>
      </c>
      <c r="R565" s="185" t="s">
        <v>1814</v>
      </c>
      <c r="S565" s="185" t="s">
        <v>1574</v>
      </c>
      <c r="T565"/>
      <c r="U565" t="str">
        <f>IF($L565&gt;0,VLOOKUP($E565,Valida!$A$1:$G$270,6,FALSE),IF($M565&gt;=0,VLOOKUP($E565,Valida!$A$1:$G$270,7,FALSE)))</f>
        <v>(+/-) Ajustes por el incremento (disminución) de cuentas por pagar de origen comercial</v>
      </c>
      <c r="V565" s="190" t="str">
        <f>VLOOKUP(E565,Valida!$A$2:$K$271,4,FALSE)</f>
        <v>Trade and other payables</v>
      </c>
      <c r="W565" s="185" t="s">
        <v>1914</v>
      </c>
      <c r="X565" s="185" t="s">
        <v>1915</v>
      </c>
      <c r="Y565" s="185" t="s">
        <v>1789</v>
      </c>
      <c r="Z565"/>
    </row>
    <row r="566" spans="1:26">
      <c r="A566" s="185" t="s">
        <v>1895</v>
      </c>
      <c r="B566" s="185" t="s">
        <v>2203</v>
      </c>
      <c r="C566" s="185" t="s">
        <v>1897</v>
      </c>
      <c r="D566" s="185" t="s">
        <v>2204</v>
      </c>
      <c r="E566" s="185">
        <v>510506</v>
      </c>
      <c r="F566" s="185" t="s">
        <v>1076</v>
      </c>
      <c r="G566" s="185" t="s">
        <v>1970</v>
      </c>
      <c r="H566" s="185" t="s">
        <v>1628</v>
      </c>
      <c r="I566" s="258" t="str">
        <f t="shared" si="25"/>
        <v>5</v>
      </c>
      <c r="J566" s="221">
        <f t="shared" si="26"/>
        <v>-80000</v>
      </c>
      <c r="K566" s="258">
        <f t="shared" si="27"/>
        <v>2</v>
      </c>
      <c r="L566" s="188">
        <v>0</v>
      </c>
      <c r="M566" s="188">
        <v>80000</v>
      </c>
      <c r="N566" s="189">
        <v>1023976635</v>
      </c>
      <c r="O566" t="s">
        <v>2203</v>
      </c>
      <c r="P566" s="187">
        <v>44990.760289351798</v>
      </c>
      <c r="Q566" s="186">
        <v>8130</v>
      </c>
      <c r="R566" s="185"/>
      <c r="S566" s="185" t="s">
        <v>1534</v>
      </c>
      <c r="T566"/>
      <c r="U566" t="str">
        <f>IF($L566&gt;0,VLOOKUP($E566,Valida!$A$1:$G$270,6,FALSE),IF($M566&gt;=0,VLOOKUP($E566,Valida!$A$1:$G$270,7,FALSE)))</f>
        <v>(+/-) Ganancia (pérdida)</v>
      </c>
      <c r="V566" s="190" t="str">
        <f>VLOOKUP(E566,Valida!$A$2:$K$271,4,FALSE)</f>
        <v>P&amp;L</v>
      </c>
      <c r="W566" s="185" t="s">
        <v>1971</v>
      </c>
      <c r="X566" s="185"/>
      <c r="Y566" s="185" t="s">
        <v>1972</v>
      </c>
      <c r="Z566"/>
    </row>
    <row r="567" spans="1:26">
      <c r="A567" s="185" t="s">
        <v>1895</v>
      </c>
      <c r="B567" s="185" t="s">
        <v>2203</v>
      </c>
      <c r="C567" s="185" t="s">
        <v>1897</v>
      </c>
      <c r="D567" s="185" t="s">
        <v>2204</v>
      </c>
      <c r="E567" s="185">
        <v>510527</v>
      </c>
      <c r="F567" s="185" t="s">
        <v>1089</v>
      </c>
      <c r="G567" s="185" t="s">
        <v>1970</v>
      </c>
      <c r="H567" s="185" t="s">
        <v>1628</v>
      </c>
      <c r="I567" s="258" t="str">
        <f t="shared" si="25"/>
        <v>5</v>
      </c>
      <c r="J567" s="221">
        <f t="shared" si="26"/>
        <v>-9374</v>
      </c>
      <c r="K567" s="258">
        <f t="shared" si="27"/>
        <v>2</v>
      </c>
      <c r="L567" s="188">
        <v>0</v>
      </c>
      <c r="M567" s="188">
        <v>9374</v>
      </c>
      <c r="N567" s="189">
        <v>1023976635</v>
      </c>
      <c r="O567" t="s">
        <v>2203</v>
      </c>
      <c r="P567" s="187">
        <v>44990.760289351798</v>
      </c>
      <c r="Q567" s="186">
        <v>8131</v>
      </c>
      <c r="R567" s="185"/>
      <c r="S567" s="185" t="s">
        <v>1534</v>
      </c>
      <c r="T567"/>
      <c r="U567" t="str">
        <f>IF($L567&gt;0,VLOOKUP($E567,Valida!$A$1:$G$270,6,FALSE),IF($M567&gt;=0,VLOOKUP($E567,Valida!$A$1:$G$270,7,FALSE)))</f>
        <v>(+/-) Ganancia (pérdida)</v>
      </c>
      <c r="V567" s="190" t="str">
        <f>VLOOKUP(E567,Valida!$A$2:$K$271,4,FALSE)</f>
        <v>P&amp;L</v>
      </c>
      <c r="W567" s="185" t="s">
        <v>1971</v>
      </c>
      <c r="X567" s="185"/>
      <c r="Y567" s="185" t="s">
        <v>1972</v>
      </c>
      <c r="Z567"/>
    </row>
    <row r="568" spans="1:26">
      <c r="A568" s="185" t="s">
        <v>1895</v>
      </c>
      <c r="B568" s="185" t="s">
        <v>2203</v>
      </c>
      <c r="C568" s="185" t="s">
        <v>1897</v>
      </c>
      <c r="D568" s="185" t="s">
        <v>2204</v>
      </c>
      <c r="E568" s="185">
        <v>251010</v>
      </c>
      <c r="F568" s="185" t="s">
        <v>776</v>
      </c>
      <c r="G568" s="185" t="s">
        <v>1970</v>
      </c>
      <c r="H568" s="185" t="s">
        <v>1515</v>
      </c>
      <c r="I568" s="258" t="str">
        <f t="shared" si="25"/>
        <v>2</v>
      </c>
      <c r="J568" s="221">
        <f t="shared" si="26"/>
        <v>327704</v>
      </c>
      <c r="K568" s="258">
        <f t="shared" si="27"/>
        <v>2</v>
      </c>
      <c r="L568" s="188">
        <v>327704</v>
      </c>
      <c r="M568" s="188">
        <v>0</v>
      </c>
      <c r="N568" s="189">
        <v>1023976635</v>
      </c>
      <c r="O568" t="s">
        <v>2203</v>
      </c>
      <c r="P568" s="187">
        <v>44990.760289351798</v>
      </c>
      <c r="Q568" s="186">
        <v>8132</v>
      </c>
      <c r="R568" s="185"/>
      <c r="S568" s="185" t="s">
        <v>1534</v>
      </c>
      <c r="T568"/>
      <c r="U568" t="str">
        <f>IF($L568&gt;0,VLOOKUP($E568,Valida!$A$1:$G$270,6,FALSE),IF($M568&gt;=0,VLOOKUP($E568,Valida!$A$1:$G$270,7,FALSE)))</f>
        <v>(+/-) Ajustes por el incremento (disminución) de cuentas por pagar de origen comercial</v>
      </c>
      <c r="V568" s="190" t="str">
        <f>VLOOKUP(E568,Valida!$A$2:$K$271,4,FALSE)</f>
        <v>Trade and other payables</v>
      </c>
      <c r="W568" s="185" t="s">
        <v>1971</v>
      </c>
      <c r="X568" s="185"/>
      <c r="Y568" s="185" t="s">
        <v>1972</v>
      </c>
      <c r="Z568"/>
    </row>
    <row r="569" spans="1:26">
      <c r="A569" s="185" t="s">
        <v>1895</v>
      </c>
      <c r="B569" s="185" t="s">
        <v>2203</v>
      </c>
      <c r="C569" s="185" t="s">
        <v>1897</v>
      </c>
      <c r="D569" s="185" t="s">
        <v>2204</v>
      </c>
      <c r="E569" s="185">
        <v>251505</v>
      </c>
      <c r="F569" s="185" t="s">
        <v>779</v>
      </c>
      <c r="G569" s="185" t="s">
        <v>1970</v>
      </c>
      <c r="H569" s="185" t="s">
        <v>1515</v>
      </c>
      <c r="I569" s="258" t="str">
        <f t="shared" si="25"/>
        <v>2</v>
      </c>
      <c r="J569" s="221">
        <f t="shared" si="26"/>
        <v>1193</v>
      </c>
      <c r="K569" s="258">
        <f t="shared" si="27"/>
        <v>2</v>
      </c>
      <c r="L569" s="188">
        <v>1193</v>
      </c>
      <c r="M569" s="188">
        <v>0</v>
      </c>
      <c r="N569" s="189">
        <v>1023976635</v>
      </c>
      <c r="O569" t="s">
        <v>2203</v>
      </c>
      <c r="P569" s="187">
        <v>44990.760289351798</v>
      </c>
      <c r="Q569" s="186">
        <v>8133</v>
      </c>
      <c r="R569" s="185"/>
      <c r="S569" s="185" t="s">
        <v>1534</v>
      </c>
      <c r="T569"/>
      <c r="U569" t="str">
        <f>IF($L569&gt;0,VLOOKUP($E569,Valida!$A$1:$G$270,6,FALSE),IF($M569&gt;=0,VLOOKUP($E569,Valida!$A$1:$G$270,7,FALSE)))</f>
        <v>(+/-) Ajustes por el incremento (disminución) de cuentas por pagar de origen comercial</v>
      </c>
      <c r="V569" s="190" t="str">
        <f>VLOOKUP(E569,Valida!$A$2:$K$271,4,FALSE)</f>
        <v>Trade and other payables</v>
      </c>
      <c r="W569" s="185" t="s">
        <v>1971</v>
      </c>
      <c r="X569" s="185"/>
      <c r="Y569" s="185" t="s">
        <v>1972</v>
      </c>
      <c r="Z569"/>
    </row>
    <row r="570" spans="1:26">
      <c r="A570" s="185" t="s">
        <v>1895</v>
      </c>
      <c r="B570" s="185" t="s">
        <v>2203</v>
      </c>
      <c r="C570" s="185" t="s">
        <v>1897</v>
      </c>
      <c r="D570" s="185" t="s">
        <v>2204</v>
      </c>
      <c r="E570" s="185">
        <v>252005</v>
      </c>
      <c r="F570" s="185" t="s">
        <v>783</v>
      </c>
      <c r="G570" s="185" t="s">
        <v>1970</v>
      </c>
      <c r="H570" s="185" t="s">
        <v>1515</v>
      </c>
      <c r="I570" s="258" t="str">
        <f t="shared" si="25"/>
        <v>2</v>
      </c>
      <c r="J570" s="221">
        <f t="shared" si="26"/>
        <v>115441</v>
      </c>
      <c r="K570" s="258">
        <f t="shared" si="27"/>
        <v>2</v>
      </c>
      <c r="L570" s="188">
        <v>115441</v>
      </c>
      <c r="M570" s="188">
        <v>0</v>
      </c>
      <c r="N570" s="189">
        <v>1023976635</v>
      </c>
      <c r="O570" t="s">
        <v>2203</v>
      </c>
      <c r="P570" s="187">
        <v>44990.760289351798</v>
      </c>
      <c r="Q570" s="186">
        <v>8134</v>
      </c>
      <c r="R570" s="185"/>
      <c r="S570" s="185" t="s">
        <v>1534</v>
      </c>
      <c r="T570"/>
      <c r="U570" t="str">
        <f>IF($L570&gt;0,VLOOKUP($E570,Valida!$A$1:$G$270,6,FALSE),IF($M570&gt;=0,VLOOKUP($E570,Valida!$A$1:$G$270,7,FALSE)))</f>
        <v>(+/-) Ajustes por el incremento (disminución) de cuentas por pagar de origen comercial</v>
      </c>
      <c r="V570" s="190" t="str">
        <f>VLOOKUP(E570,Valida!$A$2:$K$271,4,FALSE)</f>
        <v>Trade and other payables</v>
      </c>
      <c r="W570" s="185" t="s">
        <v>1971</v>
      </c>
      <c r="X570" s="185"/>
      <c r="Y570" s="185" t="s">
        <v>1972</v>
      </c>
      <c r="Z570"/>
    </row>
    <row r="571" spans="1:26">
      <c r="A571" s="185" t="s">
        <v>1895</v>
      </c>
      <c r="B571" s="185" t="s">
        <v>2203</v>
      </c>
      <c r="C571" s="185" t="s">
        <v>1897</v>
      </c>
      <c r="D571" s="185" t="s">
        <v>2204</v>
      </c>
      <c r="E571" s="185">
        <v>252505</v>
      </c>
      <c r="F571" s="185" t="s">
        <v>787</v>
      </c>
      <c r="G571" s="185" t="s">
        <v>1970</v>
      </c>
      <c r="H571" s="185" t="s">
        <v>1515</v>
      </c>
      <c r="I571" s="258" t="str">
        <f t="shared" si="25"/>
        <v>2</v>
      </c>
      <c r="J571" s="221">
        <f t="shared" si="26"/>
        <v>145000</v>
      </c>
      <c r="K571" s="258">
        <f t="shared" si="27"/>
        <v>2</v>
      </c>
      <c r="L571" s="188">
        <v>145000</v>
      </c>
      <c r="M571" s="188">
        <v>0</v>
      </c>
      <c r="N571" s="189">
        <v>1023976635</v>
      </c>
      <c r="O571" t="s">
        <v>2203</v>
      </c>
      <c r="P571" s="187">
        <v>44990.760289351798</v>
      </c>
      <c r="Q571" s="186">
        <v>8135</v>
      </c>
      <c r="R571" s="185"/>
      <c r="S571" s="185" t="s">
        <v>1534</v>
      </c>
      <c r="T571"/>
      <c r="U571" t="str">
        <f>IF($L571&gt;0,VLOOKUP($E571,Valida!$A$1:$G$270,6,FALSE),IF($M571&gt;=0,VLOOKUP($E571,Valida!$A$1:$G$270,7,FALSE)))</f>
        <v>(+/-) Ajustes por el incremento (disminución) de cuentas por pagar de origen comercial</v>
      </c>
      <c r="V571" s="190" t="str">
        <f>VLOOKUP(E571,Valida!$A$2:$K$271,4,FALSE)</f>
        <v>Trade and other payables</v>
      </c>
      <c r="W571" s="185" t="s">
        <v>1971</v>
      </c>
      <c r="X571" s="185"/>
      <c r="Y571" s="185" t="s">
        <v>1972</v>
      </c>
      <c r="Z571"/>
    </row>
    <row r="572" spans="1:26">
      <c r="A572" s="185" t="s">
        <v>1895</v>
      </c>
      <c r="B572" s="185" t="s">
        <v>2205</v>
      </c>
      <c r="C572" s="185" t="s">
        <v>1785</v>
      </c>
      <c r="D572" s="185" t="s">
        <v>2206</v>
      </c>
      <c r="E572" s="185">
        <v>237095</v>
      </c>
      <c r="F572" s="185" t="s">
        <v>150</v>
      </c>
      <c r="G572" s="185" t="s">
        <v>2207</v>
      </c>
      <c r="H572" s="185" t="s">
        <v>1628</v>
      </c>
      <c r="I572" s="258" t="str">
        <f t="shared" si="25"/>
        <v>2</v>
      </c>
      <c r="J572" s="221">
        <f t="shared" si="26"/>
        <v>-329800</v>
      </c>
      <c r="K572" s="258">
        <f t="shared" si="27"/>
        <v>2</v>
      </c>
      <c r="L572" s="188">
        <v>0</v>
      </c>
      <c r="M572" s="188">
        <v>329800</v>
      </c>
      <c r="N572" s="189">
        <v>860066942</v>
      </c>
      <c r="O572" t="s">
        <v>2205</v>
      </c>
      <c r="P572" s="187">
        <v>44990.832476851901</v>
      </c>
      <c r="Q572" s="186">
        <v>8136</v>
      </c>
      <c r="R572" s="185" t="s">
        <v>1814</v>
      </c>
      <c r="S572" s="185" t="s">
        <v>1574</v>
      </c>
      <c r="T572"/>
      <c r="U572" t="str">
        <f>IF($L572&gt;0,VLOOKUP($E572,Valida!$A$1:$G$270,6,FALSE),IF($M572&gt;=0,VLOOKUP($E572,Valida!$A$1:$G$270,7,FALSE)))</f>
        <v>(+/-) Ajustes por el incremento (disminución) de cuentas por pagar de origen comercial</v>
      </c>
      <c r="V572" s="190" t="str">
        <f>VLOOKUP(E572,Valida!$A$2:$K$271,4,FALSE)</f>
        <v>Trade and other payables</v>
      </c>
      <c r="W572" s="185" t="s">
        <v>1914</v>
      </c>
      <c r="X572" s="185" t="s">
        <v>1915</v>
      </c>
      <c r="Y572" s="185" t="s">
        <v>1789</v>
      </c>
      <c r="Z572"/>
    </row>
    <row r="573" spans="1:26">
      <c r="A573" s="185" t="s">
        <v>1895</v>
      </c>
      <c r="B573" s="185" t="s">
        <v>2205</v>
      </c>
      <c r="C573" s="185" t="s">
        <v>1785</v>
      </c>
      <c r="D573" s="185" t="s">
        <v>2206</v>
      </c>
      <c r="E573" s="185">
        <v>237005</v>
      </c>
      <c r="F573" s="185" t="s">
        <v>676</v>
      </c>
      <c r="G573" s="185" t="s">
        <v>2207</v>
      </c>
      <c r="H573" s="185" t="s">
        <v>1515</v>
      </c>
      <c r="I573" s="258" t="str">
        <f t="shared" si="25"/>
        <v>2</v>
      </c>
      <c r="J573" s="221">
        <f t="shared" si="26"/>
        <v>92850</v>
      </c>
      <c r="K573" s="258">
        <f t="shared" si="27"/>
        <v>2</v>
      </c>
      <c r="L573" s="188">
        <v>92850</v>
      </c>
      <c r="M573" s="188">
        <v>0</v>
      </c>
      <c r="N573" s="189">
        <v>800251440</v>
      </c>
      <c r="O573" t="s">
        <v>2205</v>
      </c>
      <c r="P573" s="187">
        <v>44990.832476851901</v>
      </c>
      <c r="Q573" s="186">
        <v>8137</v>
      </c>
      <c r="R573" s="185" t="s">
        <v>1901</v>
      </c>
      <c r="S573" s="185" t="s">
        <v>1560</v>
      </c>
      <c r="T573"/>
      <c r="U573" t="str">
        <f>IF($L573&gt;0,VLOOKUP($E573,Valida!$A$1:$G$270,6,FALSE),IF($M573&gt;=0,VLOOKUP($E573,Valida!$A$1:$G$270,7,FALSE)))</f>
        <v>(+/-) Ajustes por el incremento (disminución) de cuentas por pagar de origen comercial</v>
      </c>
      <c r="V573" s="190" t="str">
        <f>VLOOKUP(E573,Valida!$A$2:$K$271,4,FALSE)</f>
        <v>Trade and other payables</v>
      </c>
      <c r="W573" s="185" t="s">
        <v>1902</v>
      </c>
      <c r="X573" s="185" t="s">
        <v>1903</v>
      </c>
      <c r="Y573" s="185" t="s">
        <v>1789</v>
      </c>
      <c r="Z573"/>
    </row>
    <row r="574" spans="1:26">
      <c r="A574" s="185" t="s">
        <v>1895</v>
      </c>
      <c r="B574" s="185" t="s">
        <v>2205</v>
      </c>
      <c r="C574" s="185" t="s">
        <v>1785</v>
      </c>
      <c r="D574" s="185" t="s">
        <v>2206</v>
      </c>
      <c r="E574" s="185">
        <v>237005</v>
      </c>
      <c r="F574" s="185" t="s">
        <v>676</v>
      </c>
      <c r="G574" s="185" t="s">
        <v>2207</v>
      </c>
      <c r="H574" s="185" t="s">
        <v>1515</v>
      </c>
      <c r="I574" s="258" t="str">
        <f t="shared" si="25"/>
        <v>2</v>
      </c>
      <c r="J574" s="221">
        <f t="shared" si="26"/>
        <v>53504</v>
      </c>
      <c r="K574" s="258">
        <f t="shared" si="27"/>
        <v>2</v>
      </c>
      <c r="L574" s="188">
        <v>53504</v>
      </c>
      <c r="M574" s="188">
        <v>0</v>
      </c>
      <c r="N574" s="189">
        <v>830003564</v>
      </c>
      <c r="O574" t="s">
        <v>2205</v>
      </c>
      <c r="P574" s="187">
        <v>44990.832476851901</v>
      </c>
      <c r="Q574" s="186">
        <v>8138</v>
      </c>
      <c r="R574" s="185" t="s">
        <v>1814</v>
      </c>
      <c r="S574" s="185" t="s">
        <v>1652</v>
      </c>
      <c r="T574"/>
      <c r="U574" t="str">
        <f>IF($L574&gt;0,VLOOKUP($E574,Valida!$A$1:$G$270,6,FALSE),IF($M574&gt;=0,VLOOKUP($E574,Valida!$A$1:$G$270,7,FALSE)))</f>
        <v>(+/-) Ajustes por el incremento (disminución) de cuentas por pagar de origen comercial</v>
      </c>
      <c r="V574" s="190" t="str">
        <f>VLOOKUP(E574,Valida!$A$2:$K$271,4,FALSE)</f>
        <v>Trade and other payables</v>
      </c>
      <c r="W574" s="185" t="s">
        <v>1973</v>
      </c>
      <c r="X574" s="185" t="s">
        <v>1974</v>
      </c>
      <c r="Y574" s="185" t="s">
        <v>1789</v>
      </c>
      <c r="Z574"/>
    </row>
    <row r="575" spans="1:26">
      <c r="A575" s="185" t="s">
        <v>1895</v>
      </c>
      <c r="B575" s="185" t="s">
        <v>2205</v>
      </c>
      <c r="C575" s="185" t="s">
        <v>1785</v>
      </c>
      <c r="D575" s="185" t="s">
        <v>2206</v>
      </c>
      <c r="E575" s="185">
        <v>237005</v>
      </c>
      <c r="F575" s="185" t="s">
        <v>676</v>
      </c>
      <c r="G575" s="185" t="s">
        <v>2207</v>
      </c>
      <c r="H575" s="185" t="s">
        <v>1515</v>
      </c>
      <c r="I575" s="258" t="str">
        <f t="shared" si="25"/>
        <v>2</v>
      </c>
      <c r="J575" s="221">
        <f t="shared" si="26"/>
        <v>65419</v>
      </c>
      <c r="K575" s="258">
        <f t="shared" si="27"/>
        <v>2</v>
      </c>
      <c r="L575" s="188">
        <v>65419</v>
      </c>
      <c r="M575" s="188">
        <v>0</v>
      </c>
      <c r="N575" s="189">
        <v>860066942</v>
      </c>
      <c r="O575" t="s">
        <v>2205</v>
      </c>
      <c r="P575" s="187">
        <v>44990.832476851901</v>
      </c>
      <c r="Q575" s="186">
        <v>8139</v>
      </c>
      <c r="R575" s="185" t="s">
        <v>1814</v>
      </c>
      <c r="S575" s="185" t="s">
        <v>1574</v>
      </c>
      <c r="T575"/>
      <c r="U575" t="str">
        <f>IF($L575&gt;0,VLOOKUP($E575,Valida!$A$1:$G$270,6,FALSE),IF($M575&gt;=0,VLOOKUP($E575,Valida!$A$1:$G$270,7,FALSE)))</f>
        <v>(+/-) Ajustes por el incremento (disminución) de cuentas por pagar de origen comercial</v>
      </c>
      <c r="V575" s="190" t="str">
        <f>VLOOKUP(E575,Valida!$A$2:$K$271,4,FALSE)</f>
        <v>Trade and other payables</v>
      </c>
      <c r="W575" s="185" t="s">
        <v>1914</v>
      </c>
      <c r="X575" s="185" t="s">
        <v>1915</v>
      </c>
      <c r="Y575" s="185" t="s">
        <v>1789</v>
      </c>
      <c r="Z575"/>
    </row>
    <row r="576" spans="1:26">
      <c r="A576" s="185" t="s">
        <v>1895</v>
      </c>
      <c r="B576" s="185" t="s">
        <v>2205</v>
      </c>
      <c r="C576" s="185" t="s">
        <v>1785</v>
      </c>
      <c r="D576" s="185" t="s">
        <v>2206</v>
      </c>
      <c r="E576" s="185">
        <v>237005</v>
      </c>
      <c r="F576" s="185" t="s">
        <v>676</v>
      </c>
      <c r="G576" s="185" t="s">
        <v>2207</v>
      </c>
      <c r="H576" s="185" t="s">
        <v>1515</v>
      </c>
      <c r="I576" s="258" t="str">
        <f t="shared" si="25"/>
        <v>2</v>
      </c>
      <c r="J576" s="221">
        <f t="shared" si="26"/>
        <v>117692</v>
      </c>
      <c r="K576" s="258">
        <f t="shared" si="27"/>
        <v>2</v>
      </c>
      <c r="L576" s="188">
        <v>117692</v>
      </c>
      <c r="M576" s="188">
        <v>0</v>
      </c>
      <c r="N576" s="189">
        <v>900156264</v>
      </c>
      <c r="O576" t="s">
        <v>2205</v>
      </c>
      <c r="P576" s="187">
        <v>44990.832476851901</v>
      </c>
      <c r="Q576" s="186">
        <v>8140</v>
      </c>
      <c r="R576" s="185" t="s">
        <v>433</v>
      </c>
      <c r="S576" s="185" t="s">
        <v>1654</v>
      </c>
      <c r="T576"/>
      <c r="U576" t="str">
        <f>IF($L576&gt;0,VLOOKUP($E576,Valida!$A$1:$G$270,6,FALSE),IF($M576&gt;=0,VLOOKUP($E576,Valida!$A$1:$G$270,7,FALSE)))</f>
        <v>(+/-) Ajustes por el incremento (disminución) de cuentas por pagar de origen comercial</v>
      </c>
      <c r="V576" s="190" t="str">
        <f>VLOOKUP(E576,Valida!$A$2:$K$271,4,FALSE)</f>
        <v>Trade and other payables</v>
      </c>
      <c r="W576" s="185" t="s">
        <v>1926</v>
      </c>
      <c r="X576" s="185" t="s">
        <v>1927</v>
      </c>
      <c r="Y576" s="185" t="s">
        <v>1789</v>
      </c>
      <c r="Z576"/>
    </row>
    <row r="577" spans="1:26">
      <c r="A577" s="185" t="s">
        <v>1895</v>
      </c>
      <c r="B577" s="185" t="s">
        <v>2205</v>
      </c>
      <c r="C577" s="185" t="s">
        <v>1785</v>
      </c>
      <c r="D577" s="185" t="s">
        <v>2206</v>
      </c>
      <c r="E577" s="185">
        <v>53059510</v>
      </c>
      <c r="F577" s="185" t="s">
        <v>1065</v>
      </c>
      <c r="G577" s="185" t="s">
        <v>2207</v>
      </c>
      <c r="H577" s="185" t="s">
        <v>1515</v>
      </c>
      <c r="I577" s="258" t="str">
        <f t="shared" si="25"/>
        <v>5</v>
      </c>
      <c r="J577" s="221">
        <f t="shared" si="26"/>
        <v>335</v>
      </c>
      <c r="K577" s="258">
        <f t="shared" si="27"/>
        <v>2</v>
      </c>
      <c r="L577" s="188">
        <v>335</v>
      </c>
      <c r="M577" s="188">
        <v>0</v>
      </c>
      <c r="N577" s="189">
        <v>860066942</v>
      </c>
      <c r="O577" t="s">
        <v>2205</v>
      </c>
      <c r="P577" s="187">
        <v>44990.832476851901</v>
      </c>
      <c r="Q577" s="186">
        <v>8141</v>
      </c>
      <c r="R577" s="185" t="s">
        <v>1814</v>
      </c>
      <c r="S577" s="185" t="s">
        <v>1574</v>
      </c>
      <c r="T577"/>
      <c r="U577" t="str">
        <f>IF($L577&gt;0,VLOOKUP($E577,Valida!$A$1:$G$270,6,FALSE),IF($M577&gt;=0,VLOOKUP($E577,Valida!$A$1:$G$270,7,FALSE)))</f>
        <v>(+/-) Ganancia (pérdida)</v>
      </c>
      <c r="V577" s="190" t="str">
        <f>VLOOKUP(E577,Valida!$A$2:$K$271,4,FALSE)</f>
        <v>P&amp;L</v>
      </c>
      <c r="W577" s="185" t="s">
        <v>1914</v>
      </c>
      <c r="X577" s="185" t="s">
        <v>1915</v>
      </c>
      <c r="Y577" s="185" t="s">
        <v>1789</v>
      </c>
      <c r="Z577"/>
    </row>
    <row r="578" spans="1:26">
      <c r="A578" s="185" t="s">
        <v>1895</v>
      </c>
      <c r="B578" s="185" t="s">
        <v>2208</v>
      </c>
      <c r="C578" s="185" t="s">
        <v>1785</v>
      </c>
      <c r="D578" s="185" t="s">
        <v>2209</v>
      </c>
      <c r="E578" s="185">
        <v>237010</v>
      </c>
      <c r="F578" s="185" t="s">
        <v>683</v>
      </c>
      <c r="G578" s="185" t="s">
        <v>1989</v>
      </c>
      <c r="H578" s="185" t="s">
        <v>1515</v>
      </c>
      <c r="I578" s="258" t="str">
        <f t="shared" si="25"/>
        <v>2</v>
      </c>
      <c r="J578" s="221">
        <f t="shared" si="26"/>
        <v>164700</v>
      </c>
      <c r="K578" s="258">
        <f t="shared" si="27"/>
        <v>2</v>
      </c>
      <c r="L578" s="188">
        <v>164700</v>
      </c>
      <c r="M578" s="188">
        <v>0</v>
      </c>
      <c r="N578" s="189">
        <v>860066942</v>
      </c>
      <c r="O578" t="s">
        <v>2208</v>
      </c>
      <c r="P578" s="187">
        <v>44990.834849537001</v>
      </c>
      <c r="Q578" s="186">
        <v>8142</v>
      </c>
      <c r="R578" s="185" t="s">
        <v>1814</v>
      </c>
      <c r="S578" s="185" t="s">
        <v>1574</v>
      </c>
      <c r="T578"/>
      <c r="U578" t="str">
        <f>IF($L578&gt;0,VLOOKUP($E578,Valida!$A$1:$G$270,6,FALSE),IF($M578&gt;=0,VLOOKUP($E578,Valida!$A$1:$G$270,7,FALSE)))</f>
        <v>(+/-) Ajustes por el incremento (disminución) de cuentas por pagar de origen comercial</v>
      </c>
      <c r="V578" s="190" t="str">
        <f>VLOOKUP(E578,Valida!$A$2:$K$271,4,FALSE)</f>
        <v>Trade and other payables</v>
      </c>
      <c r="W578" s="185" t="s">
        <v>1914</v>
      </c>
      <c r="X578" s="185" t="s">
        <v>1915</v>
      </c>
      <c r="Y578" s="185" t="s">
        <v>1789</v>
      </c>
      <c r="Z578"/>
    </row>
    <row r="579" spans="1:26">
      <c r="A579" s="185" t="s">
        <v>2210</v>
      </c>
      <c r="B579" s="185" t="s">
        <v>2211</v>
      </c>
      <c r="C579" s="185" t="s">
        <v>1801</v>
      </c>
      <c r="D579" s="185" t="s">
        <v>2212</v>
      </c>
      <c r="E579" s="185">
        <v>130510</v>
      </c>
      <c r="F579" s="185" t="s">
        <v>64</v>
      </c>
      <c r="G579" s="185" t="s">
        <v>2213</v>
      </c>
      <c r="H579" s="185" t="s">
        <v>1515</v>
      </c>
      <c r="I579" s="258" t="str">
        <f t="shared" ref="I579:I642" si="28">LEFT(E579,1)</f>
        <v>1</v>
      </c>
      <c r="J579" s="221">
        <f t="shared" ref="J579:J642" si="29">L579-M579</f>
        <v>56702164.479999997</v>
      </c>
      <c r="K579" s="258">
        <f t="shared" ref="K579:K642" si="30">MONTH(A579)</f>
        <v>3</v>
      </c>
      <c r="L579" s="188">
        <v>56702164.479999997</v>
      </c>
      <c r="M579" s="188">
        <v>0</v>
      </c>
      <c r="N579" s="189">
        <v>374795</v>
      </c>
      <c r="O579" t="s">
        <v>2211</v>
      </c>
      <c r="P579" s="187">
        <v>44991.416342592602</v>
      </c>
      <c r="Q579" s="186">
        <v>8173</v>
      </c>
      <c r="R579" s="185"/>
      <c r="S579" s="185" t="s">
        <v>1544</v>
      </c>
      <c r="T579"/>
      <c r="U579" t="str">
        <f>IF($L579&gt;0,VLOOKUP($E579,Valida!$A$1:$G$270,6,FALSE),IF($M579&gt;=0,VLOOKUP($E579,Valida!$A$1:$G$270,7,FALSE)))</f>
        <v>(+/-) Ajustes por la disminución (incremento) de cuentas por cobrar de origen comercial</v>
      </c>
      <c r="V579" s="190" t="str">
        <f>VLOOKUP(E579,Valida!$A$2:$K$271,4,FALSE)</f>
        <v>Trade and other receivables</v>
      </c>
      <c r="W579" s="185" t="s">
        <v>1803</v>
      </c>
      <c r="X579" s="185"/>
      <c r="Y579" s="185"/>
      <c r="Z579"/>
    </row>
    <row r="580" spans="1:26">
      <c r="A580" s="185" t="s">
        <v>2210</v>
      </c>
      <c r="B580" s="185" t="s">
        <v>2211</v>
      </c>
      <c r="C580" s="185" t="s">
        <v>1801</v>
      </c>
      <c r="D580" s="185" t="s">
        <v>2212</v>
      </c>
      <c r="E580" s="185">
        <v>41559505</v>
      </c>
      <c r="F580" s="185" t="s">
        <v>1708</v>
      </c>
      <c r="G580" s="185" t="s">
        <v>2214</v>
      </c>
      <c r="H580" s="185" t="s">
        <v>1628</v>
      </c>
      <c r="I580" s="258" t="str">
        <f t="shared" si="28"/>
        <v>4</v>
      </c>
      <c r="J580" s="221">
        <f t="shared" si="29"/>
        <v>-56702164.479999997</v>
      </c>
      <c r="K580" s="258">
        <f t="shared" si="30"/>
        <v>3</v>
      </c>
      <c r="L580" s="188">
        <v>0</v>
      </c>
      <c r="M580" s="188">
        <v>56702164.479999997</v>
      </c>
      <c r="N580" s="189">
        <v>374795</v>
      </c>
      <c r="O580" t="s">
        <v>2211</v>
      </c>
      <c r="P580" s="187">
        <v>44991.416342592602</v>
      </c>
      <c r="Q580" s="186">
        <v>8174</v>
      </c>
      <c r="R580" s="185"/>
      <c r="S580" s="185" t="s">
        <v>1544</v>
      </c>
      <c r="T580"/>
      <c r="U580" t="str">
        <f>IF($L580&gt;0,VLOOKUP($E580,Valida!$A$1:$G$270,6,FALSE),IF($M580&gt;=0,VLOOKUP($E580,Valida!$A$1:$G$270,7,FALSE)))</f>
        <v>(+/-) Ganancia (pérdida)</v>
      </c>
      <c r="V580" s="190" t="str">
        <f>VLOOKUP(E580,Valida!$A$2:$K$271,4,FALSE)</f>
        <v>P&amp;L</v>
      </c>
      <c r="W580" s="185" t="s">
        <v>1803</v>
      </c>
      <c r="X580" s="185"/>
      <c r="Y580" s="185"/>
      <c r="Z580"/>
    </row>
    <row r="581" spans="1:26">
      <c r="A581" s="185" t="s">
        <v>1895</v>
      </c>
      <c r="B581" s="185" t="s">
        <v>2208</v>
      </c>
      <c r="C581" s="185" t="s">
        <v>1785</v>
      </c>
      <c r="D581" s="185" t="s">
        <v>2209</v>
      </c>
      <c r="E581" s="185">
        <v>237006</v>
      </c>
      <c r="F581" s="185" t="s">
        <v>680</v>
      </c>
      <c r="G581" s="185" t="s">
        <v>1989</v>
      </c>
      <c r="H581" s="185" t="s">
        <v>1515</v>
      </c>
      <c r="I581" s="258" t="str">
        <f t="shared" si="28"/>
        <v>2</v>
      </c>
      <c r="J581" s="221">
        <f t="shared" si="29"/>
        <v>43100</v>
      </c>
      <c r="K581" s="258">
        <f t="shared" si="30"/>
        <v>2</v>
      </c>
      <c r="L581" s="188">
        <v>43100</v>
      </c>
      <c r="M581" s="188">
        <v>0</v>
      </c>
      <c r="N581" s="189">
        <v>860002503</v>
      </c>
      <c r="O581" t="s">
        <v>2208</v>
      </c>
      <c r="P581" s="187">
        <v>44990.834849537001</v>
      </c>
      <c r="Q581" s="186">
        <v>8143</v>
      </c>
      <c r="R581" s="185" t="s">
        <v>433</v>
      </c>
      <c r="S581" s="185" t="s">
        <v>1656</v>
      </c>
      <c r="T581"/>
      <c r="U581" t="str">
        <f>IF($L581&gt;0,VLOOKUP($E581,Valida!$A$1:$G$270,6,FALSE),IF($M581&gt;=0,VLOOKUP($E581,Valida!$A$1:$G$270,7,FALSE)))</f>
        <v>(+/-) Ajustes por el incremento (disminución) de cuentas por pagar de origen comercial</v>
      </c>
      <c r="V581" s="190" t="str">
        <f>VLOOKUP(E581,Valida!$A$2:$K$271,4,FALSE)</f>
        <v>Trade and other payables</v>
      </c>
      <c r="W581" s="185" t="s">
        <v>1912</v>
      </c>
      <c r="X581" s="185" t="s">
        <v>1913</v>
      </c>
      <c r="Y581" s="185" t="s">
        <v>1789</v>
      </c>
      <c r="Z581"/>
    </row>
    <row r="582" spans="1:26">
      <c r="A582" s="185" t="s">
        <v>1895</v>
      </c>
      <c r="B582" s="185" t="s">
        <v>2208</v>
      </c>
      <c r="C582" s="185" t="s">
        <v>1785</v>
      </c>
      <c r="D582" s="185" t="s">
        <v>2209</v>
      </c>
      <c r="E582" s="185">
        <v>237095</v>
      </c>
      <c r="F582" s="185" t="s">
        <v>150</v>
      </c>
      <c r="G582" s="185" t="s">
        <v>1989</v>
      </c>
      <c r="H582" s="185" t="s">
        <v>1628</v>
      </c>
      <c r="I582" s="258" t="str">
        <f t="shared" si="28"/>
        <v>2</v>
      </c>
      <c r="J582" s="221">
        <f t="shared" si="29"/>
        <v>-208400</v>
      </c>
      <c r="K582" s="258">
        <f t="shared" si="30"/>
        <v>2</v>
      </c>
      <c r="L582" s="188">
        <v>0</v>
      </c>
      <c r="M582" s="188">
        <v>208400</v>
      </c>
      <c r="N582" s="189">
        <v>860066942</v>
      </c>
      <c r="O582" t="s">
        <v>2208</v>
      </c>
      <c r="P582" s="187">
        <v>44990.8348611111</v>
      </c>
      <c r="Q582" s="186">
        <v>8144</v>
      </c>
      <c r="R582" s="185" t="s">
        <v>1814</v>
      </c>
      <c r="S582" s="185" t="s">
        <v>1574</v>
      </c>
      <c r="T582"/>
      <c r="U582" t="str">
        <f>IF($L582&gt;0,VLOOKUP($E582,Valida!$A$1:$G$270,6,FALSE),IF($M582&gt;=0,VLOOKUP($E582,Valida!$A$1:$G$270,7,FALSE)))</f>
        <v>(+/-) Ajustes por el incremento (disminución) de cuentas por pagar de origen comercial</v>
      </c>
      <c r="V582" s="190" t="str">
        <f>VLOOKUP(E582,Valida!$A$2:$K$271,4,FALSE)</f>
        <v>Trade and other payables</v>
      </c>
      <c r="W582" s="185" t="s">
        <v>1914</v>
      </c>
      <c r="X582" s="185" t="s">
        <v>1915</v>
      </c>
      <c r="Y582" s="185" t="s">
        <v>1789</v>
      </c>
      <c r="Z582"/>
    </row>
    <row r="583" spans="1:26">
      <c r="A583" s="185" t="s">
        <v>1895</v>
      </c>
      <c r="B583" s="185" t="s">
        <v>2208</v>
      </c>
      <c r="C583" s="185" t="s">
        <v>1785</v>
      </c>
      <c r="D583" s="185" t="s">
        <v>2209</v>
      </c>
      <c r="E583" s="185">
        <v>53059510</v>
      </c>
      <c r="F583" s="185" t="s">
        <v>1065</v>
      </c>
      <c r="G583" s="185" t="s">
        <v>1989</v>
      </c>
      <c r="H583" s="185" t="s">
        <v>1515</v>
      </c>
      <c r="I583" s="258" t="str">
        <f t="shared" si="28"/>
        <v>5</v>
      </c>
      <c r="J583" s="221">
        <f t="shared" si="29"/>
        <v>600</v>
      </c>
      <c r="K583" s="258">
        <f t="shared" si="30"/>
        <v>2</v>
      </c>
      <c r="L583" s="188">
        <v>600</v>
      </c>
      <c r="M583" s="188">
        <v>0</v>
      </c>
      <c r="N583" s="189">
        <v>860066942</v>
      </c>
      <c r="O583" t="s">
        <v>2208</v>
      </c>
      <c r="P583" s="187">
        <v>44990.8348611111</v>
      </c>
      <c r="Q583" s="186">
        <v>8145</v>
      </c>
      <c r="R583" s="185" t="s">
        <v>1814</v>
      </c>
      <c r="S583" s="185" t="s">
        <v>1574</v>
      </c>
      <c r="T583"/>
      <c r="U583" t="str">
        <f>IF($L583&gt;0,VLOOKUP($E583,Valida!$A$1:$G$270,6,FALSE),IF($M583&gt;=0,VLOOKUP($E583,Valida!$A$1:$G$270,7,FALSE)))</f>
        <v>(+/-) Ganancia (pérdida)</v>
      </c>
      <c r="V583" s="190" t="str">
        <f>VLOOKUP(E583,Valida!$A$2:$K$271,4,FALSE)</f>
        <v>P&amp;L</v>
      </c>
      <c r="W583" s="185" t="s">
        <v>1914</v>
      </c>
      <c r="X583" s="185" t="s">
        <v>1915</v>
      </c>
      <c r="Y583" s="185" t="s">
        <v>1789</v>
      </c>
      <c r="Z583"/>
    </row>
    <row r="584" spans="1:26">
      <c r="A584" s="185" t="s">
        <v>1895</v>
      </c>
      <c r="B584" s="185" t="s">
        <v>2215</v>
      </c>
      <c r="C584" s="185" t="s">
        <v>1785</v>
      </c>
      <c r="D584" s="185" t="s">
        <v>2216</v>
      </c>
      <c r="E584" s="185">
        <v>237095</v>
      </c>
      <c r="F584" s="185" t="s">
        <v>150</v>
      </c>
      <c r="G584" s="185" t="s">
        <v>1986</v>
      </c>
      <c r="H584" s="185" t="s">
        <v>1628</v>
      </c>
      <c r="I584" s="258" t="str">
        <f t="shared" si="28"/>
        <v>2</v>
      </c>
      <c r="J584" s="221">
        <f t="shared" si="29"/>
        <v>-1318000</v>
      </c>
      <c r="K584" s="258">
        <f t="shared" si="30"/>
        <v>2</v>
      </c>
      <c r="L584" s="188">
        <v>0</v>
      </c>
      <c r="M584" s="188">
        <v>1318000</v>
      </c>
      <c r="N584" s="189">
        <v>860066942</v>
      </c>
      <c r="O584" t="s">
        <v>2215</v>
      </c>
      <c r="P584" s="187">
        <v>44990.842708333301</v>
      </c>
      <c r="Q584" s="186">
        <v>8146</v>
      </c>
      <c r="R584" s="185" t="s">
        <v>1814</v>
      </c>
      <c r="S584" s="185" t="s">
        <v>1574</v>
      </c>
      <c r="T584"/>
      <c r="U584" t="str">
        <f>IF($L584&gt;0,VLOOKUP($E584,Valida!$A$1:$G$270,6,FALSE),IF($M584&gt;=0,VLOOKUP($E584,Valida!$A$1:$G$270,7,FALSE)))</f>
        <v>(+/-) Ajustes por el incremento (disminución) de cuentas por pagar de origen comercial</v>
      </c>
      <c r="V584" s="190" t="str">
        <f>VLOOKUP(E584,Valida!$A$2:$K$271,4,FALSE)</f>
        <v>Trade and other payables</v>
      </c>
      <c r="W584" s="185" t="s">
        <v>1914</v>
      </c>
      <c r="X584" s="185" t="s">
        <v>1915</v>
      </c>
      <c r="Y584" s="185" t="s">
        <v>1789</v>
      </c>
      <c r="Z584"/>
    </row>
    <row r="585" spans="1:26">
      <c r="A585" s="185" t="s">
        <v>1895</v>
      </c>
      <c r="B585" s="185" t="s">
        <v>2215</v>
      </c>
      <c r="C585" s="185" t="s">
        <v>1785</v>
      </c>
      <c r="D585" s="185" t="s">
        <v>2216</v>
      </c>
      <c r="E585" s="185">
        <v>238030</v>
      </c>
      <c r="F585" s="185" t="s">
        <v>721</v>
      </c>
      <c r="G585" s="185" t="s">
        <v>1986</v>
      </c>
      <c r="H585" s="185" t="s">
        <v>1515</v>
      </c>
      <c r="I585" s="258" t="str">
        <f t="shared" si="28"/>
        <v>2</v>
      </c>
      <c r="J585" s="221">
        <f t="shared" si="29"/>
        <v>170667</v>
      </c>
      <c r="K585" s="258">
        <f t="shared" si="30"/>
        <v>2</v>
      </c>
      <c r="L585" s="188">
        <v>170667</v>
      </c>
      <c r="M585" s="188">
        <v>0</v>
      </c>
      <c r="N585" s="189">
        <v>900950893</v>
      </c>
      <c r="O585" t="s">
        <v>2215</v>
      </c>
      <c r="P585" s="187">
        <v>44990.842708333301</v>
      </c>
      <c r="Q585" s="186">
        <v>8147</v>
      </c>
      <c r="R585" s="185" t="s">
        <v>1519</v>
      </c>
      <c r="S585" s="185" t="s">
        <v>1668</v>
      </c>
      <c r="T585"/>
      <c r="U585" t="str">
        <f>IF($L585&gt;0,VLOOKUP($E585,Valida!$A$1:$G$270,6,FALSE),IF($M585&gt;=0,VLOOKUP($E585,Valida!$A$1:$G$270,7,FALSE)))</f>
        <v>(+/-) Ajustes por el incremento (disminución) de cuentas por pagar de origen comercial</v>
      </c>
      <c r="V585" s="190" t="str">
        <f>VLOOKUP(E585,Valida!$A$2:$K$271,4,FALSE)</f>
        <v>Trade and other payables</v>
      </c>
      <c r="W585" s="185" t="s">
        <v>1928</v>
      </c>
      <c r="X585" s="185"/>
      <c r="Y585" s="185" t="s">
        <v>1789</v>
      </c>
      <c r="Z585"/>
    </row>
    <row r="586" spans="1:26">
      <c r="A586" s="185" t="s">
        <v>1895</v>
      </c>
      <c r="B586" s="185" t="s">
        <v>2215</v>
      </c>
      <c r="C586" s="185" t="s">
        <v>1785</v>
      </c>
      <c r="D586" s="185" t="s">
        <v>2216</v>
      </c>
      <c r="E586" s="185">
        <v>238030</v>
      </c>
      <c r="F586" s="185" t="s">
        <v>721</v>
      </c>
      <c r="G586" s="185" t="s">
        <v>1986</v>
      </c>
      <c r="H586" s="185" t="s">
        <v>1515</v>
      </c>
      <c r="I586" s="258" t="str">
        <f t="shared" si="28"/>
        <v>2</v>
      </c>
      <c r="J586" s="221">
        <f t="shared" si="29"/>
        <v>447569</v>
      </c>
      <c r="K586" s="258">
        <f t="shared" si="30"/>
        <v>2</v>
      </c>
      <c r="L586" s="188">
        <v>447569</v>
      </c>
      <c r="M586" s="188">
        <v>0</v>
      </c>
      <c r="N586" s="189">
        <v>800144331</v>
      </c>
      <c r="O586" t="s">
        <v>2215</v>
      </c>
      <c r="P586" s="187">
        <v>44990.842708333301</v>
      </c>
      <c r="Q586" s="186">
        <v>8148</v>
      </c>
      <c r="R586" s="185" t="s">
        <v>844</v>
      </c>
      <c r="S586" s="185" t="s">
        <v>1658</v>
      </c>
      <c r="T586"/>
      <c r="U586" t="str">
        <f>IF($L586&gt;0,VLOOKUP($E586,Valida!$A$1:$G$270,6,FALSE),IF($M586&gt;=0,VLOOKUP($E586,Valida!$A$1:$G$270,7,FALSE)))</f>
        <v>(+/-) Ajustes por el incremento (disminución) de cuentas por pagar de origen comercial</v>
      </c>
      <c r="V586" s="190" t="str">
        <f>VLOOKUP(E586,Valida!$A$2:$K$271,4,FALSE)</f>
        <v>Trade and other payables</v>
      </c>
      <c r="W586" s="185" t="s">
        <v>1904</v>
      </c>
      <c r="X586" s="185" t="s">
        <v>1905</v>
      </c>
      <c r="Y586" s="185" t="s">
        <v>1789</v>
      </c>
      <c r="Z586"/>
    </row>
    <row r="587" spans="1:26">
      <c r="A587" s="185" t="s">
        <v>1895</v>
      </c>
      <c r="B587" s="185" t="s">
        <v>2215</v>
      </c>
      <c r="C587" s="185" t="s">
        <v>1785</v>
      </c>
      <c r="D587" s="185" t="s">
        <v>2216</v>
      </c>
      <c r="E587" s="185">
        <v>238030</v>
      </c>
      <c r="F587" s="185" t="s">
        <v>721</v>
      </c>
      <c r="G587" s="185" t="s">
        <v>1986</v>
      </c>
      <c r="H587" s="185" t="s">
        <v>1515</v>
      </c>
      <c r="I587" s="258" t="str">
        <f t="shared" si="28"/>
        <v>2</v>
      </c>
      <c r="J587" s="221">
        <f t="shared" si="29"/>
        <v>492125</v>
      </c>
      <c r="K587" s="258">
        <f t="shared" si="30"/>
        <v>2</v>
      </c>
      <c r="L587" s="188">
        <v>492125</v>
      </c>
      <c r="M587" s="188">
        <v>0</v>
      </c>
      <c r="N587" s="189">
        <v>800224808</v>
      </c>
      <c r="O587" t="s">
        <v>2215</v>
      </c>
      <c r="P587" s="187">
        <v>44990.842708333301</v>
      </c>
      <c r="Q587" s="186">
        <v>8149</v>
      </c>
      <c r="R587" s="185" t="s">
        <v>1827</v>
      </c>
      <c r="S587" s="185" t="s">
        <v>1662</v>
      </c>
      <c r="T587"/>
      <c r="U587" t="str">
        <f>IF($L587&gt;0,VLOOKUP($E587,Valida!$A$1:$G$270,6,FALSE),IF($M587&gt;=0,VLOOKUP($E587,Valida!$A$1:$G$270,7,FALSE)))</f>
        <v>(+/-) Ajustes por el incremento (disminución) de cuentas por pagar de origen comercial</v>
      </c>
      <c r="V587" s="190" t="str">
        <f>VLOOKUP(E587,Valida!$A$2:$K$271,4,FALSE)</f>
        <v>Trade and other payables</v>
      </c>
      <c r="W587" s="185" t="s">
        <v>1911</v>
      </c>
      <c r="X587" s="185"/>
      <c r="Y587" s="185" t="s">
        <v>1789</v>
      </c>
      <c r="Z587"/>
    </row>
    <row r="588" spans="1:26">
      <c r="A588" s="185" t="s">
        <v>1895</v>
      </c>
      <c r="B588" s="185" t="s">
        <v>2215</v>
      </c>
      <c r="C588" s="185" t="s">
        <v>1785</v>
      </c>
      <c r="D588" s="185" t="s">
        <v>2216</v>
      </c>
      <c r="E588" s="185">
        <v>238030</v>
      </c>
      <c r="F588" s="185" t="s">
        <v>721</v>
      </c>
      <c r="G588" s="185" t="s">
        <v>1986</v>
      </c>
      <c r="H588" s="185" t="s">
        <v>1515</v>
      </c>
      <c r="I588" s="258" t="str">
        <f t="shared" si="28"/>
        <v>2</v>
      </c>
      <c r="J588" s="221">
        <f t="shared" si="29"/>
        <v>207704</v>
      </c>
      <c r="K588" s="258">
        <f t="shared" si="30"/>
        <v>2</v>
      </c>
      <c r="L588" s="188">
        <v>207704</v>
      </c>
      <c r="M588" s="188">
        <v>0</v>
      </c>
      <c r="N588" s="189">
        <v>800149496</v>
      </c>
      <c r="O588" t="s">
        <v>2215</v>
      </c>
      <c r="P588" s="187">
        <v>44990.842708333301</v>
      </c>
      <c r="Q588" s="186">
        <v>8150</v>
      </c>
      <c r="R588" s="185" t="s">
        <v>433</v>
      </c>
      <c r="S588" s="185" t="s">
        <v>1660</v>
      </c>
      <c r="T588"/>
      <c r="U588" t="str">
        <f>IF($L588&gt;0,VLOOKUP($E588,Valida!$A$1:$G$270,6,FALSE),IF($M588&gt;=0,VLOOKUP($E588,Valida!$A$1:$G$270,7,FALSE)))</f>
        <v>(+/-) Ajustes por el incremento (disminución) de cuentas por pagar de origen comercial</v>
      </c>
      <c r="V588" s="190" t="str">
        <f>VLOOKUP(E588,Valida!$A$2:$K$271,4,FALSE)</f>
        <v>Trade and other payables</v>
      </c>
      <c r="W588" s="185" t="s">
        <v>1979</v>
      </c>
      <c r="X588" s="185"/>
      <c r="Y588" s="185" t="s">
        <v>1789</v>
      </c>
      <c r="Z588"/>
    </row>
    <row r="589" spans="1:26">
      <c r="A589" s="185" t="s">
        <v>1895</v>
      </c>
      <c r="B589" s="185" t="s">
        <v>2215</v>
      </c>
      <c r="C589" s="185" t="s">
        <v>1785</v>
      </c>
      <c r="D589" s="185" t="s">
        <v>2216</v>
      </c>
      <c r="E589" s="185">
        <v>53059510</v>
      </c>
      <c r="F589" s="185" t="s">
        <v>1065</v>
      </c>
      <c r="G589" s="185" t="s">
        <v>1986</v>
      </c>
      <c r="H589" s="185" t="s">
        <v>1628</v>
      </c>
      <c r="I589" s="258" t="str">
        <f t="shared" si="28"/>
        <v>5</v>
      </c>
      <c r="J589" s="221">
        <f t="shared" si="29"/>
        <v>-65</v>
      </c>
      <c r="K589" s="258">
        <f t="shared" si="30"/>
        <v>2</v>
      </c>
      <c r="L589" s="188">
        <v>0</v>
      </c>
      <c r="M589" s="188">
        <v>65</v>
      </c>
      <c r="N589" s="189">
        <v>860066942</v>
      </c>
      <c r="O589" t="s">
        <v>2215</v>
      </c>
      <c r="P589" s="187">
        <v>44990.842719907399</v>
      </c>
      <c r="Q589" s="186">
        <v>8151</v>
      </c>
      <c r="R589" s="185" t="s">
        <v>1814</v>
      </c>
      <c r="S589" s="185" t="s">
        <v>1574</v>
      </c>
      <c r="T589"/>
      <c r="U589" t="str">
        <f>IF($L589&gt;0,VLOOKUP($E589,Valida!$A$1:$G$270,6,FALSE),IF($M589&gt;=0,VLOOKUP($E589,Valida!$A$1:$G$270,7,FALSE)))</f>
        <v>(+/-) Ganancia (pérdida)</v>
      </c>
      <c r="V589" s="190" t="str">
        <f>VLOOKUP(E589,Valida!$A$2:$K$271,4,FALSE)</f>
        <v>P&amp;L</v>
      </c>
      <c r="W589" s="185" t="s">
        <v>1914</v>
      </c>
      <c r="X589" s="185" t="s">
        <v>1915</v>
      </c>
      <c r="Y589" s="185" t="s">
        <v>1789</v>
      </c>
      <c r="Z589"/>
    </row>
    <row r="590" spans="1:26">
      <c r="A590" s="185" t="s">
        <v>1895</v>
      </c>
      <c r="B590" s="185" t="s">
        <v>2217</v>
      </c>
      <c r="C590" s="185" t="s">
        <v>1991</v>
      </c>
      <c r="D590" s="185" t="s">
        <v>2218</v>
      </c>
      <c r="E590" s="185">
        <v>23680502</v>
      </c>
      <c r="F590" s="185" t="s">
        <v>662</v>
      </c>
      <c r="G590" s="185" t="s">
        <v>2219</v>
      </c>
      <c r="H590" s="185" t="s">
        <v>1515</v>
      </c>
      <c r="I590" s="258" t="str">
        <f t="shared" si="28"/>
        <v>2</v>
      </c>
      <c r="J590" s="221">
        <f t="shared" si="29"/>
        <v>15880</v>
      </c>
      <c r="K590" s="258">
        <f t="shared" si="30"/>
        <v>2</v>
      </c>
      <c r="L590" s="188">
        <v>15880</v>
      </c>
      <c r="M590" s="188">
        <v>0</v>
      </c>
      <c r="N590" s="189">
        <v>899999061</v>
      </c>
      <c r="O590" t="s">
        <v>2217</v>
      </c>
      <c r="P590" s="187">
        <v>44990.852453703701</v>
      </c>
      <c r="Q590" s="186">
        <v>8153</v>
      </c>
      <c r="R590" s="185"/>
      <c r="S590" s="185" t="s">
        <v>1584</v>
      </c>
      <c r="T590"/>
      <c r="U590" t="str">
        <f>IF($L590&gt;0,VLOOKUP($E590,Valida!$A$1:$G$270,6,FALSE),IF($M590&gt;=0,VLOOKUP($E590,Valida!$A$1:$G$270,7,FALSE)))</f>
        <v>(+/-) Ajustes por el incremento (disminución) de cuentas por pagar de origen comercial</v>
      </c>
      <c r="V590" s="190" t="str">
        <f>VLOOKUP(E590,Valida!$A$2:$K$271,4,FALSE)</f>
        <v>Trade and other payables</v>
      </c>
      <c r="W590" s="185" t="s">
        <v>1893</v>
      </c>
      <c r="X590" s="185"/>
      <c r="Y590" s="185" t="s">
        <v>1789</v>
      </c>
      <c r="Z590"/>
    </row>
    <row r="591" spans="1:26">
      <c r="A591" s="185" t="s">
        <v>1895</v>
      </c>
      <c r="B591" s="185" t="s">
        <v>2217</v>
      </c>
      <c r="C591" s="185" t="s">
        <v>1991</v>
      </c>
      <c r="D591" s="185" t="s">
        <v>2218</v>
      </c>
      <c r="E591" s="185">
        <v>23680503</v>
      </c>
      <c r="F591" s="185" t="s">
        <v>665</v>
      </c>
      <c r="G591" s="185" t="s">
        <v>2219</v>
      </c>
      <c r="H591" s="185" t="s">
        <v>1515</v>
      </c>
      <c r="I591" s="258" t="str">
        <f t="shared" si="28"/>
        <v>2</v>
      </c>
      <c r="J591" s="221">
        <f t="shared" si="29"/>
        <v>444850</v>
      </c>
      <c r="K591" s="258">
        <f t="shared" si="30"/>
        <v>2</v>
      </c>
      <c r="L591" s="188">
        <v>444850</v>
      </c>
      <c r="M591" s="188">
        <v>0</v>
      </c>
      <c r="N591" s="189">
        <v>899999061</v>
      </c>
      <c r="O591" t="s">
        <v>2217</v>
      </c>
      <c r="P591" s="187">
        <v>44990.852453703701</v>
      </c>
      <c r="Q591" s="186">
        <v>8154</v>
      </c>
      <c r="R591" s="185"/>
      <c r="S591" s="185" t="s">
        <v>1584</v>
      </c>
      <c r="T591"/>
      <c r="U591" t="str">
        <f>IF($L591&gt;0,VLOOKUP($E591,Valida!$A$1:$G$270,6,FALSE),IF($M591&gt;=0,VLOOKUP($E591,Valida!$A$1:$G$270,7,FALSE)))</f>
        <v>(+/-) Ajustes por el incremento (disminución) de cuentas por pagar de origen comercial</v>
      </c>
      <c r="V591" s="190" t="str">
        <f>VLOOKUP(E591,Valida!$A$2:$K$271,4,FALSE)</f>
        <v>Trade and other payables</v>
      </c>
      <c r="W591" s="185" t="s">
        <v>1893</v>
      </c>
      <c r="X591" s="185"/>
      <c r="Y591" s="185" t="s">
        <v>1789</v>
      </c>
      <c r="Z591"/>
    </row>
    <row r="592" spans="1:26">
      <c r="A592" s="185" t="s">
        <v>1895</v>
      </c>
      <c r="B592" s="185" t="s">
        <v>2217</v>
      </c>
      <c r="C592" s="185" t="s">
        <v>1991</v>
      </c>
      <c r="D592" s="185" t="s">
        <v>2218</v>
      </c>
      <c r="E592" s="185">
        <v>23680504</v>
      </c>
      <c r="F592" s="185" t="s">
        <v>668</v>
      </c>
      <c r="G592" s="185" t="s">
        <v>2219</v>
      </c>
      <c r="H592" s="185" t="s">
        <v>1515</v>
      </c>
      <c r="I592" s="258" t="str">
        <f t="shared" si="28"/>
        <v>2</v>
      </c>
      <c r="J592" s="221">
        <f t="shared" si="29"/>
        <v>43680</v>
      </c>
      <c r="K592" s="258">
        <f t="shared" si="30"/>
        <v>2</v>
      </c>
      <c r="L592" s="188">
        <v>43680</v>
      </c>
      <c r="M592" s="188">
        <v>0</v>
      </c>
      <c r="N592" s="189">
        <v>899999061</v>
      </c>
      <c r="O592" t="s">
        <v>2217</v>
      </c>
      <c r="P592" s="187">
        <v>44990.852453703701</v>
      </c>
      <c r="Q592" s="186">
        <v>8155</v>
      </c>
      <c r="R592" s="185"/>
      <c r="S592" s="185" t="s">
        <v>1584</v>
      </c>
      <c r="T592"/>
      <c r="U592" t="str">
        <f>IF($L592&gt;0,VLOOKUP($E592,Valida!$A$1:$G$270,6,FALSE),IF($M592&gt;=0,VLOOKUP($E592,Valida!$A$1:$G$270,7,FALSE)))</f>
        <v>(+/-) Ajustes por el incremento (disminución) de cuentas por pagar de origen comercial</v>
      </c>
      <c r="V592" s="190" t="str">
        <f>VLOOKUP(E592,Valida!$A$2:$K$271,4,FALSE)</f>
        <v>Trade and other payables</v>
      </c>
      <c r="W592" s="185" t="s">
        <v>1893</v>
      </c>
      <c r="X592" s="185"/>
      <c r="Y592" s="185" t="s">
        <v>1789</v>
      </c>
      <c r="Z592"/>
    </row>
    <row r="593" spans="1:26">
      <c r="A593" s="185" t="s">
        <v>1895</v>
      </c>
      <c r="B593" s="185" t="s">
        <v>2217</v>
      </c>
      <c r="C593" s="185" t="s">
        <v>1991</v>
      </c>
      <c r="D593" s="185" t="s">
        <v>2218</v>
      </c>
      <c r="E593" s="185">
        <v>236890</v>
      </c>
      <c r="F593" s="185" t="s">
        <v>1648</v>
      </c>
      <c r="G593" s="185" t="s">
        <v>2219</v>
      </c>
      <c r="H593" s="185" t="s">
        <v>1628</v>
      </c>
      <c r="I593" s="258" t="str">
        <f t="shared" si="28"/>
        <v>2</v>
      </c>
      <c r="J593" s="221">
        <f t="shared" si="29"/>
        <v>-504000</v>
      </c>
      <c r="K593" s="258">
        <f t="shared" si="30"/>
        <v>2</v>
      </c>
      <c r="L593" s="188">
        <v>0</v>
      </c>
      <c r="M593" s="188">
        <v>504000</v>
      </c>
      <c r="N593" s="189">
        <v>899999061</v>
      </c>
      <c r="O593" t="s">
        <v>2217</v>
      </c>
      <c r="P593" s="187">
        <v>44990.852453703701</v>
      </c>
      <c r="Q593" s="186">
        <v>8156</v>
      </c>
      <c r="R593" s="185"/>
      <c r="S593" s="185" t="s">
        <v>1584</v>
      </c>
      <c r="T593"/>
      <c r="U593" t="str">
        <f>IF($L593&gt;0,VLOOKUP($E593,Valida!$A$1:$G$270,6,FALSE),IF($M593&gt;=0,VLOOKUP($E593,Valida!$A$1:$G$270,7,FALSE)))</f>
        <v>(+/-) Ajustes por el incremento (disminución) de cuentas por pagar de origen comercial</v>
      </c>
      <c r="V593" s="190" t="str">
        <f>VLOOKUP(E593,Valida!$A$2:$K$271,4,FALSE)</f>
        <v>Trade and other payables</v>
      </c>
      <c r="W593" s="185" t="s">
        <v>1893</v>
      </c>
      <c r="X593" s="185"/>
      <c r="Y593" s="185" t="s">
        <v>1789</v>
      </c>
      <c r="Z593"/>
    </row>
    <row r="594" spans="1:26">
      <c r="A594" s="185" t="s">
        <v>1895</v>
      </c>
      <c r="B594" s="185" t="s">
        <v>2217</v>
      </c>
      <c r="C594" s="185" t="s">
        <v>1991</v>
      </c>
      <c r="D594" s="185" t="s">
        <v>2218</v>
      </c>
      <c r="E594" s="185">
        <v>53059510</v>
      </c>
      <c r="F594" s="185" t="s">
        <v>1065</v>
      </c>
      <c r="G594" s="185" t="s">
        <v>2219</v>
      </c>
      <c r="H594" s="185" t="s">
        <v>1628</v>
      </c>
      <c r="I594" s="258" t="str">
        <f t="shared" si="28"/>
        <v>5</v>
      </c>
      <c r="J594" s="221">
        <f t="shared" si="29"/>
        <v>-410</v>
      </c>
      <c r="K594" s="258">
        <f t="shared" si="30"/>
        <v>2</v>
      </c>
      <c r="L594" s="188">
        <v>0</v>
      </c>
      <c r="M594" s="188">
        <v>410</v>
      </c>
      <c r="N594" s="189">
        <v>899999061</v>
      </c>
      <c r="O594" t="s">
        <v>2217</v>
      </c>
      <c r="P594" s="187">
        <v>44990.852453703701</v>
      </c>
      <c r="Q594" s="186">
        <v>8157</v>
      </c>
      <c r="R594" s="185"/>
      <c r="S594" s="185" t="s">
        <v>1584</v>
      </c>
      <c r="T594"/>
      <c r="U594" t="str">
        <f>IF($L594&gt;0,VLOOKUP($E594,Valida!$A$1:$G$270,6,FALSE),IF($M594&gt;=0,VLOOKUP($E594,Valida!$A$1:$G$270,7,FALSE)))</f>
        <v>(+/-) Ganancia (pérdida)</v>
      </c>
      <c r="V594" s="190" t="str">
        <f>VLOOKUP(E594,Valida!$A$2:$K$271,4,FALSE)</f>
        <v>P&amp;L</v>
      </c>
      <c r="W594" s="185" t="s">
        <v>1893</v>
      </c>
      <c r="X594" s="185"/>
      <c r="Y594" s="185" t="s">
        <v>1789</v>
      </c>
      <c r="Z594"/>
    </row>
    <row r="595" spans="1:26">
      <c r="A595" s="185" t="s">
        <v>1895</v>
      </c>
      <c r="B595" s="185" t="s">
        <v>2220</v>
      </c>
      <c r="C595" s="185" t="s">
        <v>1991</v>
      </c>
      <c r="D595" s="185" t="s">
        <v>2221</v>
      </c>
      <c r="E595" s="185">
        <v>236595</v>
      </c>
      <c r="F595" s="185" t="s">
        <v>648</v>
      </c>
      <c r="G595" s="185" t="s">
        <v>2222</v>
      </c>
      <c r="H595" s="185" t="s">
        <v>1628</v>
      </c>
      <c r="I595" s="258" t="str">
        <f t="shared" si="28"/>
        <v>2</v>
      </c>
      <c r="J595" s="221">
        <f t="shared" si="29"/>
        <v>-905000</v>
      </c>
      <c r="K595" s="258">
        <f t="shared" si="30"/>
        <v>2</v>
      </c>
      <c r="L595" s="188">
        <v>0</v>
      </c>
      <c r="M595" s="188">
        <v>905000</v>
      </c>
      <c r="N595" s="189">
        <v>800197268</v>
      </c>
      <c r="O595" t="s">
        <v>2220</v>
      </c>
      <c r="P595" s="187">
        <v>44990.858344907399</v>
      </c>
      <c r="Q595" s="186">
        <v>8160</v>
      </c>
      <c r="R595" s="185" t="s">
        <v>983</v>
      </c>
      <c r="S595" s="185" t="s">
        <v>1558</v>
      </c>
      <c r="T595"/>
      <c r="U595" t="str">
        <f>IF($L595&gt;0,VLOOKUP($E595,Valida!$A$1:$G$270,6,FALSE),IF($M595&gt;=0,VLOOKUP($E595,Valida!$A$1:$G$270,7,FALSE)))</f>
        <v>(+/-) Ajustes por el incremento (disminución) de cuentas por pagar de origen comercial</v>
      </c>
      <c r="V595" s="190" t="str">
        <f>VLOOKUP(E595,Valida!$A$2:$K$271,4,FALSE)</f>
        <v>Trade and other payables</v>
      </c>
      <c r="W595" s="185" t="s">
        <v>1944</v>
      </c>
      <c r="X595" s="185"/>
      <c r="Y595" s="185" t="s">
        <v>1789</v>
      </c>
      <c r="Z595"/>
    </row>
    <row r="596" spans="1:26">
      <c r="A596" s="185" t="s">
        <v>1895</v>
      </c>
      <c r="B596" s="185" t="s">
        <v>2220</v>
      </c>
      <c r="C596" s="185" t="s">
        <v>1991</v>
      </c>
      <c r="D596" s="185" t="s">
        <v>2221</v>
      </c>
      <c r="E596" s="185">
        <v>23653001</v>
      </c>
      <c r="F596" s="185" t="s">
        <v>611</v>
      </c>
      <c r="G596" s="185" t="s">
        <v>2222</v>
      </c>
      <c r="H596" s="185" t="s">
        <v>1515</v>
      </c>
      <c r="I596" s="258" t="str">
        <f t="shared" si="28"/>
        <v>2</v>
      </c>
      <c r="J596" s="221">
        <f t="shared" si="29"/>
        <v>802142</v>
      </c>
      <c r="K596" s="258">
        <f t="shared" si="30"/>
        <v>2</v>
      </c>
      <c r="L596" s="188">
        <v>802142</v>
      </c>
      <c r="M596" s="188">
        <v>0</v>
      </c>
      <c r="N596" s="189">
        <v>800197268</v>
      </c>
      <c r="O596" t="s">
        <v>2220</v>
      </c>
      <c r="P596" s="187">
        <v>44990.858344907399</v>
      </c>
      <c r="Q596" s="186">
        <v>8161</v>
      </c>
      <c r="R596" s="185" t="s">
        <v>983</v>
      </c>
      <c r="S596" s="185" t="s">
        <v>1558</v>
      </c>
      <c r="T596"/>
      <c r="U596" t="str">
        <f>IF($L596&gt;0,VLOOKUP($E596,Valida!$A$1:$G$270,6,FALSE),IF($M596&gt;=0,VLOOKUP($E596,Valida!$A$1:$G$270,7,FALSE)))</f>
        <v>(+/-) Ajustes por el incremento (disminución) de cuentas por pagar de origen comercial</v>
      </c>
      <c r="V596" s="190" t="str">
        <f>VLOOKUP(E596,Valida!$A$2:$K$271,4,FALSE)</f>
        <v>Trade and other payables</v>
      </c>
      <c r="W596" s="185" t="s">
        <v>1944</v>
      </c>
      <c r="X596" s="185"/>
      <c r="Y596" s="185" t="s">
        <v>1789</v>
      </c>
      <c r="Z596"/>
    </row>
    <row r="597" spans="1:26">
      <c r="A597" s="185" t="s">
        <v>1895</v>
      </c>
      <c r="B597" s="185" t="s">
        <v>2220</v>
      </c>
      <c r="C597" s="185" t="s">
        <v>1991</v>
      </c>
      <c r="D597" s="185" t="s">
        <v>2221</v>
      </c>
      <c r="E597" s="185">
        <v>23653002</v>
      </c>
      <c r="F597" s="185" t="s">
        <v>241</v>
      </c>
      <c r="G597" s="185" t="s">
        <v>2222</v>
      </c>
      <c r="H597" s="185" t="s">
        <v>1515</v>
      </c>
      <c r="I597" s="258" t="str">
        <f t="shared" si="28"/>
        <v>2</v>
      </c>
      <c r="J597" s="221">
        <f t="shared" si="29"/>
        <v>4280</v>
      </c>
      <c r="K597" s="258">
        <f t="shared" si="30"/>
        <v>2</v>
      </c>
      <c r="L597" s="188">
        <v>4280</v>
      </c>
      <c r="M597" s="188">
        <v>0</v>
      </c>
      <c r="N597" s="189">
        <v>800197268</v>
      </c>
      <c r="O597" t="s">
        <v>2220</v>
      </c>
      <c r="P597" s="187">
        <v>44990.858344907399</v>
      </c>
      <c r="Q597" s="186">
        <v>8162</v>
      </c>
      <c r="R597" s="185" t="s">
        <v>983</v>
      </c>
      <c r="S597" s="185" t="s">
        <v>1558</v>
      </c>
      <c r="T597"/>
      <c r="U597" t="str">
        <f>IF($L597&gt;0,VLOOKUP($E597,Valida!$A$1:$G$270,6,FALSE),IF($M597&gt;=0,VLOOKUP($E597,Valida!$A$1:$G$270,7,FALSE)))</f>
        <v>(+/-) Ajustes por el incremento (disminución) de cuentas por pagar de origen comercial</v>
      </c>
      <c r="V597" s="190" t="str">
        <f>VLOOKUP(E597,Valida!$A$2:$K$271,4,FALSE)</f>
        <v>Trade and other payables</v>
      </c>
      <c r="W597" s="185" t="s">
        <v>1944</v>
      </c>
      <c r="X597" s="185"/>
      <c r="Y597" s="185" t="s">
        <v>1789</v>
      </c>
      <c r="Z597"/>
    </row>
    <row r="598" spans="1:26">
      <c r="A598" s="185" t="s">
        <v>1895</v>
      </c>
      <c r="B598" s="185" t="s">
        <v>2220</v>
      </c>
      <c r="C598" s="185" t="s">
        <v>1991</v>
      </c>
      <c r="D598" s="185" t="s">
        <v>2221</v>
      </c>
      <c r="E598" s="185">
        <v>23654001</v>
      </c>
      <c r="F598" s="185" t="s">
        <v>622</v>
      </c>
      <c r="G598" s="185" t="s">
        <v>2222</v>
      </c>
      <c r="H598" s="185" t="s">
        <v>1515</v>
      </c>
      <c r="I598" s="258" t="str">
        <f t="shared" si="28"/>
        <v>2</v>
      </c>
      <c r="J598" s="221">
        <f t="shared" si="29"/>
        <v>98914</v>
      </c>
      <c r="K598" s="258">
        <f t="shared" si="30"/>
        <v>2</v>
      </c>
      <c r="L598" s="188">
        <v>98914</v>
      </c>
      <c r="M598" s="188">
        <v>0</v>
      </c>
      <c r="N598" s="189">
        <v>800197268</v>
      </c>
      <c r="O598" t="s">
        <v>2220</v>
      </c>
      <c r="P598" s="187">
        <v>44990.858344907399</v>
      </c>
      <c r="Q598" s="186">
        <v>8163</v>
      </c>
      <c r="R598" s="185" t="s">
        <v>983</v>
      </c>
      <c r="S598" s="185" t="s">
        <v>1558</v>
      </c>
      <c r="T598"/>
      <c r="U598" t="str">
        <f>IF($L598&gt;0,VLOOKUP($E598,Valida!$A$1:$G$270,6,FALSE),IF($M598&gt;=0,VLOOKUP($E598,Valida!$A$1:$G$270,7,FALSE)))</f>
        <v>(+/-) Ajustes por el incremento (disminución) de cuentas por pagar de origen comercial</v>
      </c>
      <c r="V598" s="190" t="str">
        <f>VLOOKUP(E598,Valida!$A$2:$K$271,4,FALSE)</f>
        <v>Trade and other payables</v>
      </c>
      <c r="W598" s="185" t="s">
        <v>1944</v>
      </c>
      <c r="X598" s="185"/>
      <c r="Y598" s="185" t="s">
        <v>1789</v>
      </c>
      <c r="Z598"/>
    </row>
    <row r="599" spans="1:26">
      <c r="A599" s="185" t="s">
        <v>1895</v>
      </c>
      <c r="B599" s="185" t="s">
        <v>2220</v>
      </c>
      <c r="C599" s="185" t="s">
        <v>1991</v>
      </c>
      <c r="D599" s="185" t="s">
        <v>2221</v>
      </c>
      <c r="E599" s="185">
        <v>23657501</v>
      </c>
      <c r="F599" s="185" t="s">
        <v>646</v>
      </c>
      <c r="G599" s="185" t="s">
        <v>2222</v>
      </c>
      <c r="H599" s="185" t="s">
        <v>1628</v>
      </c>
      <c r="I599" s="258" t="str">
        <f t="shared" si="28"/>
        <v>2</v>
      </c>
      <c r="J599" s="221">
        <f t="shared" si="29"/>
        <v>0</v>
      </c>
      <c r="K599" s="258">
        <f t="shared" si="30"/>
        <v>2</v>
      </c>
      <c r="L599" s="188">
        <v>0</v>
      </c>
      <c r="M599" s="188">
        <v>0</v>
      </c>
      <c r="N599" s="189">
        <v>800197268</v>
      </c>
      <c r="O599" t="s">
        <v>2220</v>
      </c>
      <c r="P599" s="187">
        <v>44990.858344907399</v>
      </c>
      <c r="Q599" s="186">
        <v>8164</v>
      </c>
      <c r="R599" s="185" t="s">
        <v>983</v>
      </c>
      <c r="S599" s="185" t="s">
        <v>1558</v>
      </c>
      <c r="T599"/>
      <c r="U599" t="str">
        <f>IF($L599&gt;0,VLOOKUP($E599,Valida!$A$1:$G$270,6,FALSE),IF($M599&gt;=0,VLOOKUP($E599,Valida!$A$1:$G$270,7,FALSE)))</f>
        <v>(+/-) Ajustes por el incremento (disminución) de cuentas por pagar de origen comercial</v>
      </c>
      <c r="V599" s="190" t="str">
        <f>VLOOKUP(E599,Valida!$A$2:$K$271,4,FALSE)</f>
        <v>Trade and other payables</v>
      </c>
      <c r="W599" s="185" t="s">
        <v>1944</v>
      </c>
      <c r="X599" s="185"/>
      <c r="Y599" s="185" t="s">
        <v>1789</v>
      </c>
      <c r="Z599"/>
    </row>
    <row r="600" spans="1:26">
      <c r="A600" s="185" t="s">
        <v>1895</v>
      </c>
      <c r="B600" s="185" t="s">
        <v>2220</v>
      </c>
      <c r="C600" s="185" t="s">
        <v>1991</v>
      </c>
      <c r="D600" s="185" t="s">
        <v>2221</v>
      </c>
      <c r="E600" s="185">
        <v>53059510</v>
      </c>
      <c r="F600" s="185" t="s">
        <v>1065</v>
      </c>
      <c r="G600" s="185" t="s">
        <v>2222</v>
      </c>
      <c r="H600" s="185" t="s">
        <v>1628</v>
      </c>
      <c r="I600" s="258" t="str">
        <f t="shared" si="28"/>
        <v>5</v>
      </c>
      <c r="J600" s="221">
        <f t="shared" si="29"/>
        <v>-336</v>
      </c>
      <c r="K600" s="258">
        <f t="shared" si="30"/>
        <v>2</v>
      </c>
      <c r="L600" s="188">
        <v>0</v>
      </c>
      <c r="M600" s="188">
        <v>336</v>
      </c>
      <c r="N600" s="189">
        <v>800197268</v>
      </c>
      <c r="O600" t="s">
        <v>2220</v>
      </c>
      <c r="P600" s="187">
        <v>44990.858344907399</v>
      </c>
      <c r="Q600" s="186">
        <v>8165</v>
      </c>
      <c r="R600" s="185" t="s">
        <v>983</v>
      </c>
      <c r="S600" s="185" t="s">
        <v>1558</v>
      </c>
      <c r="T600"/>
      <c r="U600" t="str">
        <f>IF($L600&gt;0,VLOOKUP($E600,Valida!$A$1:$G$270,6,FALSE),IF($M600&gt;=0,VLOOKUP($E600,Valida!$A$1:$G$270,7,FALSE)))</f>
        <v>(+/-) Ganancia (pérdida)</v>
      </c>
      <c r="V600" s="190" t="str">
        <f>VLOOKUP(E600,Valida!$A$2:$K$271,4,FALSE)</f>
        <v>P&amp;L</v>
      </c>
      <c r="W600" s="185" t="s">
        <v>1944</v>
      </c>
      <c r="X600" s="185"/>
      <c r="Y600" s="185" t="s">
        <v>1789</v>
      </c>
      <c r="Z600"/>
    </row>
    <row r="601" spans="1:26">
      <c r="A601" s="185" t="s">
        <v>1895</v>
      </c>
      <c r="B601" s="185" t="s">
        <v>2223</v>
      </c>
      <c r="C601" s="185" t="s">
        <v>1785</v>
      </c>
      <c r="D601" s="185" t="s">
        <v>2224</v>
      </c>
      <c r="E601" s="185">
        <v>23670101</v>
      </c>
      <c r="F601" s="185" t="s">
        <v>654</v>
      </c>
      <c r="G601" s="185" t="s">
        <v>2225</v>
      </c>
      <c r="H601" s="185" t="s">
        <v>1515</v>
      </c>
      <c r="I601" s="258" t="str">
        <f t="shared" si="28"/>
        <v>2</v>
      </c>
      <c r="J601" s="221">
        <f t="shared" si="29"/>
        <v>179170</v>
      </c>
      <c r="K601" s="258">
        <f t="shared" si="30"/>
        <v>2</v>
      </c>
      <c r="L601" s="188">
        <v>179170</v>
      </c>
      <c r="M601" s="188">
        <v>0</v>
      </c>
      <c r="N601" s="189">
        <v>800197268</v>
      </c>
      <c r="O601" t="s">
        <v>2223</v>
      </c>
      <c r="P601" s="187">
        <v>44990.858912037002</v>
      </c>
      <c r="Q601" s="186">
        <v>8166</v>
      </c>
      <c r="R601" s="185" t="s">
        <v>983</v>
      </c>
      <c r="S601" s="185" t="s">
        <v>1558</v>
      </c>
      <c r="T601"/>
      <c r="U601" t="str">
        <f>IF($L601&gt;0,VLOOKUP($E601,Valida!$A$1:$G$270,6,FALSE),IF($M601&gt;=0,VLOOKUP($E601,Valida!$A$1:$G$270,7,FALSE)))</f>
        <v>(+/-) Ajustes por el incremento (disminución) de cuentas por pagar de origen comercial</v>
      </c>
      <c r="V601" s="190" t="str">
        <f>VLOOKUP(E601,Valida!$A$2:$K$271,4,FALSE)</f>
        <v>Trade and other payables</v>
      </c>
      <c r="W601" s="185" t="s">
        <v>1944</v>
      </c>
      <c r="X601" s="185"/>
      <c r="Y601" s="185" t="s">
        <v>1789</v>
      </c>
      <c r="Z601"/>
    </row>
    <row r="602" spans="1:26">
      <c r="A602" s="185" t="s">
        <v>1895</v>
      </c>
      <c r="B602" s="185" t="s">
        <v>2223</v>
      </c>
      <c r="C602" s="185" t="s">
        <v>1785</v>
      </c>
      <c r="D602" s="185" t="s">
        <v>2224</v>
      </c>
      <c r="E602" s="185">
        <v>42109502</v>
      </c>
      <c r="F602" s="185" t="s">
        <v>1714</v>
      </c>
      <c r="G602" s="185" t="s">
        <v>2225</v>
      </c>
      <c r="H602" s="185" t="s">
        <v>1628</v>
      </c>
      <c r="I602" s="258" t="str">
        <f t="shared" si="28"/>
        <v>4</v>
      </c>
      <c r="J602" s="221">
        <f t="shared" si="29"/>
        <v>-179170</v>
      </c>
      <c r="K602" s="258">
        <f t="shared" si="30"/>
        <v>2</v>
      </c>
      <c r="L602" s="188">
        <v>0</v>
      </c>
      <c r="M602" s="188">
        <v>179170</v>
      </c>
      <c r="N602" s="189">
        <v>800197268</v>
      </c>
      <c r="O602" t="s">
        <v>2223</v>
      </c>
      <c r="P602" s="187">
        <v>44990.858912037002</v>
      </c>
      <c r="Q602" s="186">
        <v>8167</v>
      </c>
      <c r="R602" s="185" t="s">
        <v>983</v>
      </c>
      <c r="S602" s="185" t="s">
        <v>1558</v>
      </c>
      <c r="T602"/>
      <c r="U602" t="str">
        <f>IF($L602&gt;0,VLOOKUP($E602,Valida!$A$1:$G$270,6,FALSE),IF($M602&gt;=0,VLOOKUP($E602,Valida!$A$1:$G$270,7,FALSE)))</f>
        <v>(+/-) Ganancia (pérdida)</v>
      </c>
      <c r="V602" s="190" t="str">
        <f>VLOOKUP(E602,Valida!$A$2:$K$271,4,FALSE)</f>
        <v>P&amp;L</v>
      </c>
      <c r="W602" s="185" t="s">
        <v>1944</v>
      </c>
      <c r="X602" s="185"/>
      <c r="Y602" s="185" t="s">
        <v>1789</v>
      </c>
      <c r="Z602"/>
    </row>
    <row r="603" spans="1:26">
      <c r="A603" s="185" t="s">
        <v>1895</v>
      </c>
      <c r="B603" s="185" t="s">
        <v>2226</v>
      </c>
      <c r="C603" s="185" t="s">
        <v>1991</v>
      </c>
      <c r="D603" s="185" t="s">
        <v>2227</v>
      </c>
      <c r="E603" s="185">
        <v>13552001</v>
      </c>
      <c r="F603" s="185" t="s">
        <v>276</v>
      </c>
      <c r="G603" s="185" t="s">
        <v>2228</v>
      </c>
      <c r="H603" s="185" t="s">
        <v>1515</v>
      </c>
      <c r="I603" s="258" t="str">
        <f t="shared" si="28"/>
        <v>1</v>
      </c>
      <c r="J603" s="221">
        <f t="shared" si="29"/>
        <v>11282000</v>
      </c>
      <c r="K603" s="258">
        <f t="shared" si="30"/>
        <v>2</v>
      </c>
      <c r="L603" s="188">
        <v>11282000</v>
      </c>
      <c r="M603" s="188">
        <v>0</v>
      </c>
      <c r="N603" s="189">
        <v>800197268</v>
      </c>
      <c r="O603" t="s">
        <v>2226</v>
      </c>
      <c r="P603" s="187">
        <v>44990.861631944397</v>
      </c>
      <c r="Q603" s="186">
        <v>8168</v>
      </c>
      <c r="R603" s="185" t="s">
        <v>983</v>
      </c>
      <c r="S603" s="185" t="s">
        <v>1558</v>
      </c>
      <c r="T603"/>
      <c r="U603" t="str">
        <f>IF($L603&gt;0,VLOOKUP($E603,Valida!$A$1:$G$270,6,FALSE),IF($M603&gt;=0,VLOOKUP($E603,Valida!$A$1:$G$270,7,FALSE)))</f>
        <v>(+/-) Ajustes por disminuciones (incrementos) en otras cuentas por cobrar derivadas de las actividades de operación</v>
      </c>
      <c r="V603" s="190" t="str">
        <f>VLOOKUP(E603,Valida!$A$2:$K$271,4,FALSE)</f>
        <v>Trade and other receivables</v>
      </c>
      <c r="W603" s="185" t="s">
        <v>1944</v>
      </c>
      <c r="X603" s="185"/>
      <c r="Y603" s="185" t="s">
        <v>1789</v>
      </c>
      <c r="Z603"/>
    </row>
    <row r="604" spans="1:26">
      <c r="A604" s="185" t="s">
        <v>1895</v>
      </c>
      <c r="B604" s="185" t="s">
        <v>2226</v>
      </c>
      <c r="C604" s="185" t="s">
        <v>1991</v>
      </c>
      <c r="D604" s="185" t="s">
        <v>2227</v>
      </c>
      <c r="E604" s="185">
        <v>24081501</v>
      </c>
      <c r="F604" s="185" t="s">
        <v>747</v>
      </c>
      <c r="G604" s="185" t="s">
        <v>2228</v>
      </c>
      <c r="H604" s="185" t="s">
        <v>1628</v>
      </c>
      <c r="I604" s="258" t="str">
        <f t="shared" si="28"/>
        <v>2</v>
      </c>
      <c r="J604" s="221">
        <f t="shared" si="29"/>
        <v>-485422</v>
      </c>
      <c r="K604" s="258">
        <f t="shared" si="30"/>
        <v>2</v>
      </c>
      <c r="L604" s="188">
        <v>0</v>
      </c>
      <c r="M604" s="188">
        <v>485422</v>
      </c>
      <c r="N604" s="189">
        <v>800197268</v>
      </c>
      <c r="O604" t="s">
        <v>2226</v>
      </c>
      <c r="P604" s="187">
        <v>44990.861631944397</v>
      </c>
      <c r="Q604" s="186">
        <v>8169</v>
      </c>
      <c r="R604" s="185" t="s">
        <v>983</v>
      </c>
      <c r="S604" s="185" t="s">
        <v>1558</v>
      </c>
      <c r="T604"/>
      <c r="U604" t="str">
        <f>IF($L604&gt;0,VLOOKUP($E604,Valida!$A$1:$G$270,6,FALSE),IF($M604&gt;=0,VLOOKUP($E604,Valida!$A$1:$G$270,7,FALSE)))</f>
        <v>(+/-) Ajustes por el incremento (disminución) de cuentas por pagar de origen comercial</v>
      </c>
      <c r="V604" s="190" t="str">
        <f>VLOOKUP(E604,Valida!$A$2:$K$271,4,FALSE)</f>
        <v>Trade and other payables</v>
      </c>
      <c r="W604" s="185" t="s">
        <v>1944</v>
      </c>
      <c r="X604" s="185"/>
      <c r="Y604" s="185" t="s">
        <v>1789</v>
      </c>
      <c r="Z604"/>
    </row>
    <row r="605" spans="1:26">
      <c r="A605" s="185" t="s">
        <v>1895</v>
      </c>
      <c r="B605" s="185" t="s">
        <v>2226</v>
      </c>
      <c r="C605" s="185" t="s">
        <v>1991</v>
      </c>
      <c r="D605" s="185" t="s">
        <v>2227</v>
      </c>
      <c r="E605" s="185">
        <v>24081502</v>
      </c>
      <c r="F605" s="185" t="s">
        <v>750</v>
      </c>
      <c r="G605" s="185" t="s">
        <v>2228</v>
      </c>
      <c r="H605" s="185" t="s">
        <v>1628</v>
      </c>
      <c r="I605" s="258" t="str">
        <f t="shared" si="28"/>
        <v>2</v>
      </c>
      <c r="J605" s="221">
        <f t="shared" si="29"/>
        <v>-10697289.01</v>
      </c>
      <c r="K605" s="258">
        <f t="shared" si="30"/>
        <v>2</v>
      </c>
      <c r="L605" s="188">
        <v>0</v>
      </c>
      <c r="M605" s="188">
        <v>10697289.01</v>
      </c>
      <c r="N605" s="189">
        <v>800197268</v>
      </c>
      <c r="O605" t="s">
        <v>2226</v>
      </c>
      <c r="P605" s="187">
        <v>44990.861631944397</v>
      </c>
      <c r="Q605" s="186">
        <v>8170</v>
      </c>
      <c r="R605" s="185" t="s">
        <v>983</v>
      </c>
      <c r="S605" s="185" t="s">
        <v>1558</v>
      </c>
      <c r="T605"/>
      <c r="U605" t="str">
        <f>IF($L605&gt;0,VLOOKUP($E605,Valida!$A$1:$G$270,6,FALSE),IF($M605&gt;=0,VLOOKUP($E605,Valida!$A$1:$G$270,7,FALSE)))</f>
        <v>(+/-) Ajustes por el incremento (disminución) de cuentas por pagar de origen comercial</v>
      </c>
      <c r="V605" s="190" t="str">
        <f>VLOOKUP(E605,Valida!$A$2:$K$271,4,FALSE)</f>
        <v>Trade and other payables</v>
      </c>
      <c r="W605" s="185" t="s">
        <v>1944</v>
      </c>
      <c r="X605" s="185"/>
      <c r="Y605" s="185" t="s">
        <v>1789</v>
      </c>
      <c r="Z605"/>
    </row>
    <row r="606" spans="1:26">
      <c r="A606" s="185" t="s">
        <v>1895</v>
      </c>
      <c r="B606" s="185" t="s">
        <v>2226</v>
      </c>
      <c r="C606" s="185" t="s">
        <v>1991</v>
      </c>
      <c r="D606" s="185" t="s">
        <v>2227</v>
      </c>
      <c r="E606" s="185">
        <v>24081505</v>
      </c>
      <c r="F606" s="185" t="s">
        <v>756</v>
      </c>
      <c r="G606" s="185" t="s">
        <v>2228</v>
      </c>
      <c r="H606" s="185" t="s">
        <v>1628</v>
      </c>
      <c r="I606" s="258" t="str">
        <f t="shared" si="28"/>
        <v>2</v>
      </c>
      <c r="J606" s="221">
        <f t="shared" si="29"/>
        <v>-100066</v>
      </c>
      <c r="K606" s="258">
        <f t="shared" si="30"/>
        <v>2</v>
      </c>
      <c r="L606" s="188">
        <v>0</v>
      </c>
      <c r="M606" s="188">
        <v>100066</v>
      </c>
      <c r="N606" s="189">
        <v>800197268</v>
      </c>
      <c r="O606" t="s">
        <v>2226</v>
      </c>
      <c r="P606" s="187">
        <v>44990.861631944397</v>
      </c>
      <c r="Q606" s="186">
        <v>8171</v>
      </c>
      <c r="R606" s="185" t="s">
        <v>983</v>
      </c>
      <c r="S606" s="185" t="s">
        <v>1558</v>
      </c>
      <c r="T606"/>
      <c r="U606" t="str">
        <f>IF($L606&gt;0,VLOOKUP($E606,Valida!$A$1:$G$270,6,FALSE),IF($M606&gt;=0,VLOOKUP($E606,Valida!$A$1:$G$270,7,FALSE)))</f>
        <v>(+/-) Ajustes por el incremento (disminución) de cuentas por pagar de origen comercial</v>
      </c>
      <c r="V606" s="190" t="str">
        <f>VLOOKUP(E606,Valida!$A$2:$K$271,4,FALSE)</f>
        <v>Trade and other payables</v>
      </c>
      <c r="W606" s="185" t="s">
        <v>1944</v>
      </c>
      <c r="X606" s="185"/>
      <c r="Y606" s="185" t="s">
        <v>1789</v>
      </c>
      <c r="Z606"/>
    </row>
    <row r="607" spans="1:26">
      <c r="A607" s="185" t="s">
        <v>1895</v>
      </c>
      <c r="B607" s="185" t="s">
        <v>2226</v>
      </c>
      <c r="C607" s="185" t="s">
        <v>1991</v>
      </c>
      <c r="D607" s="185" t="s">
        <v>2227</v>
      </c>
      <c r="E607" s="185">
        <v>53059510</v>
      </c>
      <c r="F607" s="185" t="s">
        <v>1065</v>
      </c>
      <c r="G607" s="185" t="s">
        <v>2228</v>
      </c>
      <c r="H607" s="185" t="s">
        <v>1515</v>
      </c>
      <c r="I607" s="258" t="str">
        <f t="shared" si="28"/>
        <v>5</v>
      </c>
      <c r="J607" s="221">
        <f t="shared" si="29"/>
        <v>777.01</v>
      </c>
      <c r="K607" s="258">
        <f t="shared" si="30"/>
        <v>2</v>
      </c>
      <c r="L607" s="188">
        <v>777.01</v>
      </c>
      <c r="M607" s="188">
        <v>0</v>
      </c>
      <c r="N607" s="189">
        <v>800197268</v>
      </c>
      <c r="O607" t="s">
        <v>2226</v>
      </c>
      <c r="P607" s="187">
        <v>44990.861631944397</v>
      </c>
      <c r="Q607" s="186">
        <v>8172</v>
      </c>
      <c r="R607" s="185" t="s">
        <v>983</v>
      </c>
      <c r="S607" s="185" t="s">
        <v>1558</v>
      </c>
      <c r="T607"/>
      <c r="U607" t="str">
        <f>IF($L607&gt;0,VLOOKUP($E607,Valida!$A$1:$G$270,6,FALSE),IF($M607&gt;=0,VLOOKUP($E607,Valida!$A$1:$G$270,7,FALSE)))</f>
        <v>(+/-) Ganancia (pérdida)</v>
      </c>
      <c r="V607" s="190" t="str">
        <f>VLOOKUP(E607,Valida!$A$2:$K$271,4,FALSE)</f>
        <v>P&amp;L</v>
      </c>
      <c r="W607" s="185" t="s">
        <v>1944</v>
      </c>
      <c r="X607" s="185"/>
      <c r="Y607" s="185" t="s">
        <v>1789</v>
      </c>
      <c r="Z607"/>
    </row>
    <row r="608" spans="1:26">
      <c r="A608" s="185" t="s">
        <v>1895</v>
      </c>
      <c r="B608" s="185" t="s">
        <v>2068</v>
      </c>
      <c r="C608" s="185" t="s">
        <v>1952</v>
      </c>
      <c r="D608" s="185" t="s">
        <v>2069</v>
      </c>
      <c r="E608" s="185">
        <v>53050502</v>
      </c>
      <c r="F608" s="185" t="s">
        <v>1465</v>
      </c>
      <c r="G608" s="185" t="s">
        <v>1466</v>
      </c>
      <c r="H608" s="185" t="s">
        <v>1515</v>
      </c>
      <c r="I608" s="258" t="str">
        <f t="shared" si="28"/>
        <v>5</v>
      </c>
      <c r="J608" s="221">
        <f t="shared" si="29"/>
        <v>12990</v>
      </c>
      <c r="K608" s="258">
        <f t="shared" si="30"/>
        <v>2</v>
      </c>
      <c r="L608" s="188">
        <v>12990</v>
      </c>
      <c r="M608" s="188">
        <v>0</v>
      </c>
      <c r="N608" s="189">
        <v>890903938</v>
      </c>
      <c r="O608" t="s">
        <v>2068</v>
      </c>
      <c r="P608" s="187">
        <v>45006.455254629604</v>
      </c>
      <c r="Q608" s="186">
        <v>8748</v>
      </c>
      <c r="R608" s="185" t="s">
        <v>1827</v>
      </c>
      <c r="S608" s="185" t="s">
        <v>1580</v>
      </c>
      <c r="T608"/>
      <c r="U608" t="str">
        <f>IF($L608&gt;0,VLOOKUP($E608,Valida!$A$1:$G$270,6,FALSE),IF($M608&gt;=0,VLOOKUP($E608,Valida!$A$1:$G$270,7,FALSE)))</f>
        <v>(+/-) Ganancia (pérdida)</v>
      </c>
      <c r="V608" s="190" t="str">
        <f>VLOOKUP(E608,Valida!$A$2:$K$271,4,FALSE)</f>
        <v>P&amp;L</v>
      </c>
      <c r="W608" s="185" t="s">
        <v>1955</v>
      </c>
      <c r="X608" s="185"/>
      <c r="Y608" s="185" t="s">
        <v>1844</v>
      </c>
      <c r="Z608"/>
    </row>
    <row r="609" spans="1:26">
      <c r="A609" s="185" t="s">
        <v>1895</v>
      </c>
      <c r="B609" s="185" t="s">
        <v>2068</v>
      </c>
      <c r="C609" s="185" t="s">
        <v>1952</v>
      </c>
      <c r="D609" s="185" t="s">
        <v>2069</v>
      </c>
      <c r="E609" s="185">
        <v>112005</v>
      </c>
      <c r="F609" s="185" t="s">
        <v>24</v>
      </c>
      <c r="G609" s="185" t="s">
        <v>1466</v>
      </c>
      <c r="H609" s="185" t="s">
        <v>1628</v>
      </c>
      <c r="I609" s="258" t="str">
        <f t="shared" si="28"/>
        <v>1</v>
      </c>
      <c r="J609" s="221">
        <f t="shared" si="29"/>
        <v>-12990</v>
      </c>
      <c r="K609" s="258">
        <f t="shared" si="30"/>
        <v>2</v>
      </c>
      <c r="L609" s="188">
        <v>0</v>
      </c>
      <c r="M609" s="188">
        <v>12990</v>
      </c>
      <c r="N609" s="189">
        <v>890903938</v>
      </c>
      <c r="O609" t="s">
        <v>2068</v>
      </c>
      <c r="P609" s="187">
        <v>45006.455254629604</v>
      </c>
      <c r="Q609" s="186">
        <v>8749</v>
      </c>
      <c r="R609" s="185" t="s">
        <v>1827</v>
      </c>
      <c r="S609" s="185" t="s">
        <v>1580</v>
      </c>
      <c r="T609" t="s">
        <v>1894</v>
      </c>
      <c r="U609" t="str">
        <f>IF($L609&gt;0,VLOOKUP($E609,Valida!$A$1:$G$270,6,FALSE),IF($M609&gt;=0,VLOOKUP($E609,Valida!$A$1:$G$270,7,FALSE)))</f>
        <v>Disponible</v>
      </c>
      <c r="V609" s="190" t="str">
        <f>VLOOKUP(E609,Valida!$A$2:$K$271,4,FALSE)</f>
        <v>Cash and equivalents</v>
      </c>
      <c r="W609" s="185" t="s">
        <v>1955</v>
      </c>
      <c r="X609" s="185"/>
      <c r="Y609" s="185" t="s">
        <v>1844</v>
      </c>
      <c r="Z609"/>
    </row>
    <row r="610" spans="1:26">
      <c r="A610" s="185" t="s">
        <v>1895</v>
      </c>
      <c r="B610" s="185" t="s">
        <v>2068</v>
      </c>
      <c r="C610" s="185" t="s">
        <v>1952</v>
      </c>
      <c r="D610" s="185" t="s">
        <v>2069</v>
      </c>
      <c r="E610" s="185">
        <v>51159501</v>
      </c>
      <c r="F610" s="185" t="s">
        <v>1181</v>
      </c>
      <c r="G610" s="185" t="s">
        <v>1958</v>
      </c>
      <c r="H610" s="185" t="s">
        <v>1515</v>
      </c>
      <c r="I610" s="258" t="str">
        <f t="shared" si="28"/>
        <v>5</v>
      </c>
      <c r="J610" s="221">
        <f t="shared" si="29"/>
        <v>247558.92</v>
      </c>
      <c r="K610" s="258">
        <f t="shared" si="30"/>
        <v>2</v>
      </c>
      <c r="L610" s="188">
        <v>247558.92</v>
      </c>
      <c r="M610" s="188">
        <v>0</v>
      </c>
      <c r="N610" s="189">
        <v>890903938</v>
      </c>
      <c r="O610" t="s">
        <v>2068</v>
      </c>
      <c r="P610" s="187">
        <v>45006.455254629604</v>
      </c>
      <c r="Q610" s="186">
        <v>8750</v>
      </c>
      <c r="R610" s="185" t="s">
        <v>1827</v>
      </c>
      <c r="S610" s="185" t="s">
        <v>1580</v>
      </c>
      <c r="T610"/>
      <c r="U610" t="str">
        <f>IF($L610&gt;0,VLOOKUP($E610,Valida!$A$1:$G$270,6,FALSE),IF($M610&gt;=0,VLOOKUP($E610,Valida!$A$1:$G$270,7,FALSE)))</f>
        <v>(+/-) Ganancia (pérdida)</v>
      </c>
      <c r="V610" s="190" t="str">
        <f>VLOOKUP(E610,Valida!$A$2:$K$271,4,FALSE)</f>
        <v>P&amp;L</v>
      </c>
      <c r="W610" s="185" t="s">
        <v>1955</v>
      </c>
      <c r="X610" s="185"/>
      <c r="Y610" s="185" t="s">
        <v>1844</v>
      </c>
      <c r="Z610"/>
    </row>
    <row r="611" spans="1:26">
      <c r="A611" s="185" t="s">
        <v>1895</v>
      </c>
      <c r="B611" s="185" t="s">
        <v>2068</v>
      </c>
      <c r="C611" s="185" t="s">
        <v>1952</v>
      </c>
      <c r="D611" s="185" t="s">
        <v>2069</v>
      </c>
      <c r="E611" s="185">
        <v>112005</v>
      </c>
      <c r="F611" s="185" t="s">
        <v>24</v>
      </c>
      <c r="G611" s="185" t="s">
        <v>1958</v>
      </c>
      <c r="H611" s="185" t="s">
        <v>1628</v>
      </c>
      <c r="I611" s="258" t="str">
        <f t="shared" si="28"/>
        <v>1</v>
      </c>
      <c r="J611" s="221">
        <f t="shared" si="29"/>
        <v>-247558.92</v>
      </c>
      <c r="K611" s="258">
        <f t="shared" si="30"/>
        <v>2</v>
      </c>
      <c r="L611" s="188">
        <v>0</v>
      </c>
      <c r="M611" s="188">
        <v>247558.92</v>
      </c>
      <c r="N611" s="189">
        <v>890903938</v>
      </c>
      <c r="O611" t="s">
        <v>2068</v>
      </c>
      <c r="P611" s="187">
        <v>45006.455254629604</v>
      </c>
      <c r="Q611" s="186">
        <v>8751</v>
      </c>
      <c r="R611" s="185" t="s">
        <v>1827</v>
      </c>
      <c r="S611" s="185" t="s">
        <v>1580</v>
      </c>
      <c r="T611" t="s">
        <v>1894</v>
      </c>
      <c r="U611" t="str">
        <f>IF($L611&gt;0,VLOOKUP($E611,Valida!$A$1:$G$270,6,FALSE),IF($M611&gt;=0,VLOOKUP($E611,Valida!$A$1:$G$270,7,FALSE)))</f>
        <v>Disponible</v>
      </c>
      <c r="V611" s="190" t="str">
        <f>VLOOKUP(E611,Valida!$A$2:$K$271,4,FALSE)</f>
        <v>Cash and equivalents</v>
      </c>
      <c r="W611" s="185" t="s">
        <v>1955</v>
      </c>
      <c r="X611" s="185"/>
      <c r="Y611" s="185" t="s">
        <v>1844</v>
      </c>
      <c r="Z611"/>
    </row>
    <row r="612" spans="1:26">
      <c r="A612" s="185" t="s">
        <v>1895</v>
      </c>
      <c r="B612" s="185" t="s">
        <v>2229</v>
      </c>
      <c r="C612" s="185" t="s">
        <v>1960</v>
      </c>
      <c r="D612" s="185" t="s">
        <v>2069</v>
      </c>
      <c r="E612" s="185">
        <v>112005</v>
      </c>
      <c r="F612" s="185" t="s">
        <v>24</v>
      </c>
      <c r="G612" s="185" t="s">
        <v>1961</v>
      </c>
      <c r="H612" s="185" t="s">
        <v>1515</v>
      </c>
      <c r="I612" s="258" t="str">
        <f t="shared" si="28"/>
        <v>1</v>
      </c>
      <c r="J612" s="221">
        <f t="shared" si="29"/>
        <v>2323.64</v>
      </c>
      <c r="K612" s="258">
        <f t="shared" si="30"/>
        <v>2</v>
      </c>
      <c r="L612" s="188">
        <v>2323.64</v>
      </c>
      <c r="M612" s="188">
        <v>0</v>
      </c>
      <c r="N612" s="189">
        <v>890903938</v>
      </c>
      <c r="O612" t="s">
        <v>2229</v>
      </c>
      <c r="P612" s="187">
        <v>45006.455902777801</v>
      </c>
      <c r="Q612" s="186">
        <v>8752</v>
      </c>
      <c r="R612" s="185" t="s">
        <v>1827</v>
      </c>
      <c r="S612" s="185" t="s">
        <v>1580</v>
      </c>
      <c r="T612" t="s">
        <v>1894</v>
      </c>
      <c r="U612" t="str">
        <f>IF($L612&gt;0,VLOOKUP($E612,Valida!$A$1:$G$270,6,FALSE),IF($M612&gt;=0,VLOOKUP($E612,Valida!$A$1:$G$270,7,FALSE)))</f>
        <v>Disponible</v>
      </c>
      <c r="V612" s="190" t="str">
        <f>VLOOKUP(E612,Valida!$A$2:$K$271,4,FALSE)</f>
        <v>Cash and equivalents</v>
      </c>
      <c r="W612" s="185" t="s">
        <v>1955</v>
      </c>
      <c r="X612" s="185"/>
      <c r="Y612" s="185" t="s">
        <v>1844</v>
      </c>
      <c r="Z612"/>
    </row>
    <row r="613" spans="1:26">
      <c r="A613" s="185" t="s">
        <v>1895</v>
      </c>
      <c r="B613" s="185" t="s">
        <v>2229</v>
      </c>
      <c r="C613" s="185" t="s">
        <v>1960</v>
      </c>
      <c r="D613" s="185" t="s">
        <v>2069</v>
      </c>
      <c r="E613" s="185">
        <v>42100501</v>
      </c>
      <c r="F613" s="185" t="s">
        <v>1039</v>
      </c>
      <c r="G613" s="185" t="s">
        <v>1961</v>
      </c>
      <c r="H613" s="185" t="s">
        <v>1628</v>
      </c>
      <c r="I613" s="258" t="str">
        <f t="shared" si="28"/>
        <v>4</v>
      </c>
      <c r="J613" s="221">
        <f t="shared" si="29"/>
        <v>-2323.64</v>
      </c>
      <c r="K613" s="258">
        <f t="shared" si="30"/>
        <v>2</v>
      </c>
      <c r="L613" s="188">
        <v>0</v>
      </c>
      <c r="M613" s="188">
        <v>2323.64</v>
      </c>
      <c r="N613" s="189">
        <v>890903938</v>
      </c>
      <c r="O613" t="s">
        <v>2229</v>
      </c>
      <c r="P613" s="187">
        <v>45006.455902777801</v>
      </c>
      <c r="Q613" s="186">
        <v>8753</v>
      </c>
      <c r="R613" s="185" t="s">
        <v>1827</v>
      </c>
      <c r="S613" s="185" t="s">
        <v>1580</v>
      </c>
      <c r="T613"/>
      <c r="U613" t="str">
        <f>IF($L613&gt;0,VLOOKUP($E613,Valida!$A$1:$G$270,6,FALSE),IF($M613&gt;=0,VLOOKUP($E613,Valida!$A$1:$G$270,7,FALSE)))</f>
        <v>(+/-) Ganancia (pérdida)</v>
      </c>
      <c r="V613" s="190" t="str">
        <f>VLOOKUP(E613,Valida!$A$2:$K$271,4,FALSE)</f>
        <v>P&amp;L</v>
      </c>
      <c r="W613" s="185" t="s">
        <v>1955</v>
      </c>
      <c r="X613" s="185"/>
      <c r="Y613" s="185" t="s">
        <v>1844</v>
      </c>
      <c r="Z613"/>
    </row>
    <row r="614" spans="1:26">
      <c r="A614" s="185" t="s">
        <v>1895</v>
      </c>
      <c r="B614" s="185" t="s">
        <v>2230</v>
      </c>
      <c r="C614" s="185" t="s">
        <v>1785</v>
      </c>
      <c r="D614" s="185" t="s">
        <v>2231</v>
      </c>
      <c r="E614" s="185">
        <v>51602001</v>
      </c>
      <c r="F614" s="185" t="s">
        <v>416</v>
      </c>
      <c r="G614" s="185" t="s">
        <v>2232</v>
      </c>
      <c r="H614" s="185" t="s">
        <v>1515</v>
      </c>
      <c r="I614" s="258" t="str">
        <f t="shared" si="28"/>
        <v>5</v>
      </c>
      <c r="J614" s="221">
        <f t="shared" si="29"/>
        <v>1596762</v>
      </c>
      <c r="K614" s="258">
        <f t="shared" si="30"/>
        <v>2</v>
      </c>
      <c r="L614" s="188">
        <v>1596762</v>
      </c>
      <c r="M614" s="188">
        <v>0</v>
      </c>
      <c r="N614" s="189">
        <v>901513634</v>
      </c>
      <c r="O614" t="s">
        <v>2230</v>
      </c>
      <c r="P614" s="187">
        <v>45007.444664351897</v>
      </c>
      <c r="Q614" s="186">
        <v>8762</v>
      </c>
      <c r="R614" s="185" t="s">
        <v>6</v>
      </c>
      <c r="S614" s="185" t="s">
        <v>1518</v>
      </c>
      <c r="T614"/>
      <c r="U614" t="str">
        <f>IF($L614&gt;0,VLOOKUP($E614,Valida!$A$1:$G$270,6,FALSE),IF($M614&gt;=0,VLOOKUP($E614,Valida!$A$1:$G$270,7,FALSE)))</f>
        <v>(+/-) Ganancia (pérdida)</v>
      </c>
      <c r="V614" s="190" t="str">
        <f>VLOOKUP(E614,Valida!$A$2:$K$271,4,FALSE)</f>
        <v>P&amp;L</v>
      </c>
      <c r="W614" s="185" t="s">
        <v>1787</v>
      </c>
      <c r="X614" s="185" t="s">
        <v>1788</v>
      </c>
      <c r="Y614" s="185" t="s">
        <v>1789</v>
      </c>
      <c r="Z614"/>
    </row>
    <row r="615" spans="1:26">
      <c r="A615" s="185" t="s">
        <v>2054</v>
      </c>
      <c r="B615" s="185" t="s">
        <v>2233</v>
      </c>
      <c r="C615" s="185" t="s">
        <v>2045</v>
      </c>
      <c r="D615" s="185" t="s">
        <v>844</v>
      </c>
      <c r="E615" s="185">
        <v>23351001</v>
      </c>
      <c r="F615" s="185" t="s">
        <v>453</v>
      </c>
      <c r="G615" s="185" t="s">
        <v>2234</v>
      </c>
      <c r="H615" s="185" t="s">
        <v>1628</v>
      </c>
      <c r="I615" s="258" t="str">
        <f t="shared" si="28"/>
        <v>2</v>
      </c>
      <c r="J615" s="221">
        <f t="shared" si="29"/>
        <v>-37000</v>
      </c>
      <c r="K615" s="258">
        <f t="shared" si="30"/>
        <v>3</v>
      </c>
      <c r="L615" s="188">
        <v>0</v>
      </c>
      <c r="M615" s="188">
        <v>37000</v>
      </c>
      <c r="N615" s="189">
        <v>900180739</v>
      </c>
      <c r="O615" t="s">
        <v>2233</v>
      </c>
      <c r="P615" s="187">
        <v>45006.511898148201</v>
      </c>
      <c r="Q615" s="186">
        <v>8759</v>
      </c>
      <c r="R615" s="185" t="s">
        <v>6</v>
      </c>
      <c r="S615" s="185" t="s">
        <v>1594</v>
      </c>
      <c r="T615"/>
      <c r="U615" t="str">
        <f>IF($L615&gt;0,VLOOKUP($E615,Valida!$A$1:$G$270,6,FALSE),IF($M615&gt;=0,VLOOKUP($E615,Valida!$A$1:$G$270,7,FALSE)))</f>
        <v>(+/-) Ajustes por el incremento (disminución) de cuentas por pagar de origen comercial</v>
      </c>
      <c r="V615" s="190" t="str">
        <f>VLOOKUP(E615,Valida!$A$2:$K$271,4,FALSE)</f>
        <v>Trade and other payables</v>
      </c>
      <c r="W615" s="185"/>
      <c r="X615" s="185"/>
      <c r="Y615" s="185"/>
      <c r="Z615"/>
    </row>
    <row r="616" spans="1:26">
      <c r="A616" s="185" t="s">
        <v>2054</v>
      </c>
      <c r="B616" s="185" t="s">
        <v>2233</v>
      </c>
      <c r="C616" s="185" t="s">
        <v>2045</v>
      </c>
      <c r="D616" s="185" t="s">
        <v>844</v>
      </c>
      <c r="E616" s="185">
        <v>51409501</v>
      </c>
      <c r="F616" s="185" t="s">
        <v>1743</v>
      </c>
      <c r="G616" s="185" t="s">
        <v>2235</v>
      </c>
      <c r="H616" s="185" t="s">
        <v>1515</v>
      </c>
      <c r="I616" s="258" t="str">
        <f t="shared" si="28"/>
        <v>5</v>
      </c>
      <c r="J616" s="221">
        <f t="shared" si="29"/>
        <v>37000</v>
      </c>
      <c r="K616" s="258">
        <f t="shared" si="30"/>
        <v>3</v>
      </c>
      <c r="L616" s="188">
        <v>37000</v>
      </c>
      <c r="M616" s="188">
        <v>0</v>
      </c>
      <c r="N616" s="189">
        <v>900180739</v>
      </c>
      <c r="O616" t="s">
        <v>2233</v>
      </c>
      <c r="P616" s="187">
        <v>45006.511898148201</v>
      </c>
      <c r="Q616" s="186">
        <v>8760</v>
      </c>
      <c r="R616" s="185" t="s">
        <v>6</v>
      </c>
      <c r="S616" s="185" t="s">
        <v>1594</v>
      </c>
      <c r="T616"/>
      <c r="U616" t="str">
        <f>IF($L616&gt;0,VLOOKUP($E616,Valida!$A$1:$G$270,6,FALSE),IF($M616&gt;=0,VLOOKUP($E616,Valida!$A$1:$G$270,7,FALSE)))</f>
        <v>(+/-) Ganancia (pérdida)</v>
      </c>
      <c r="V616" s="190" t="str">
        <f>VLOOKUP(E616,Valida!$A$2:$K$271,4,FALSE)</f>
        <v>P&amp;L</v>
      </c>
      <c r="W616" s="185"/>
      <c r="X616" s="185"/>
      <c r="Y616" s="185"/>
      <c r="Z616"/>
    </row>
    <row r="617" spans="1:26">
      <c r="A617" s="185" t="s">
        <v>1895</v>
      </c>
      <c r="B617" s="185" t="s">
        <v>2230</v>
      </c>
      <c r="C617" s="185" t="s">
        <v>1785</v>
      </c>
      <c r="D617" s="185" t="s">
        <v>2231</v>
      </c>
      <c r="E617" s="185">
        <v>15922001</v>
      </c>
      <c r="F617" s="185" t="s">
        <v>416</v>
      </c>
      <c r="G617" s="185" t="s">
        <v>2232</v>
      </c>
      <c r="H617" s="185" t="s">
        <v>1628</v>
      </c>
      <c r="I617" s="258" t="str">
        <f t="shared" si="28"/>
        <v>1</v>
      </c>
      <c r="J617" s="221">
        <f t="shared" si="29"/>
        <v>-1596762</v>
      </c>
      <c r="K617" s="258">
        <f t="shared" si="30"/>
        <v>2</v>
      </c>
      <c r="L617" s="188">
        <v>0</v>
      </c>
      <c r="M617" s="188">
        <v>1596762</v>
      </c>
      <c r="N617" s="189">
        <v>901513634</v>
      </c>
      <c r="O617" t="s">
        <v>2230</v>
      </c>
      <c r="P617" s="187">
        <v>45007.444664351897</v>
      </c>
      <c r="Q617" s="186">
        <v>8763</v>
      </c>
      <c r="R617" s="185" t="s">
        <v>6</v>
      </c>
      <c r="S617" s="185" t="s">
        <v>1518</v>
      </c>
      <c r="T617"/>
      <c r="U617" t="str">
        <f>IF($L617&gt;0,VLOOKUP($E617,Valida!$A$1:$G$270,6,FALSE),IF($M617&gt;=0,VLOOKUP($E617,Valida!$A$1:$G$270,7,FALSE)))</f>
        <v>( + ) Ajustes por gastos de depreciación</v>
      </c>
      <c r="V617" s="190" t="str">
        <f>VLOOKUP(E617,Valida!$A$2:$K$271,4,FALSE)</f>
        <v>Depreciation</v>
      </c>
      <c r="W617" s="185" t="s">
        <v>1787</v>
      </c>
      <c r="X617" s="185" t="s">
        <v>1788</v>
      </c>
      <c r="Y617" s="185" t="s">
        <v>1789</v>
      </c>
      <c r="Z617"/>
    </row>
    <row r="618" spans="1:26">
      <c r="A618" s="185" t="s">
        <v>1895</v>
      </c>
      <c r="B618" s="185" t="s">
        <v>2230</v>
      </c>
      <c r="C618" s="185" t="s">
        <v>1785</v>
      </c>
      <c r="D618" s="185" t="s">
        <v>2231</v>
      </c>
      <c r="E618" s="185">
        <v>51602004</v>
      </c>
      <c r="F618" s="185" t="s">
        <v>404</v>
      </c>
      <c r="G618" s="185" t="s">
        <v>2236</v>
      </c>
      <c r="H618" s="185" t="s">
        <v>1515</v>
      </c>
      <c r="I618" s="258" t="str">
        <f t="shared" si="28"/>
        <v>5</v>
      </c>
      <c r="J618" s="221">
        <f t="shared" si="29"/>
        <v>163793</v>
      </c>
      <c r="K618" s="258">
        <f t="shared" si="30"/>
        <v>2</v>
      </c>
      <c r="L618" s="188">
        <v>163793</v>
      </c>
      <c r="M618" s="188">
        <v>0</v>
      </c>
      <c r="N618" s="189">
        <v>901513634</v>
      </c>
      <c r="O618" t="s">
        <v>2230</v>
      </c>
      <c r="P618" s="187">
        <v>45007.444664351897</v>
      </c>
      <c r="Q618" s="186">
        <v>8764</v>
      </c>
      <c r="R618" s="185" t="s">
        <v>6</v>
      </c>
      <c r="S618" s="185" t="s">
        <v>1518</v>
      </c>
      <c r="T618"/>
      <c r="U618" t="str">
        <f>IF($L618&gt;0,VLOOKUP($E618,Valida!$A$1:$G$270,6,FALSE),IF($M618&gt;=0,VLOOKUP($E618,Valida!$A$1:$G$270,7,FALSE)))</f>
        <v>(+/-) Ganancia (pérdida)</v>
      </c>
      <c r="V618" s="190" t="str">
        <f>VLOOKUP(E618,Valida!$A$2:$K$271,4,FALSE)</f>
        <v>P&amp;L</v>
      </c>
      <c r="W618" s="185" t="s">
        <v>1787</v>
      </c>
      <c r="X618" s="185" t="s">
        <v>1788</v>
      </c>
      <c r="Y618" s="185" t="s">
        <v>1789</v>
      </c>
      <c r="Z618"/>
    </row>
    <row r="619" spans="1:26">
      <c r="A619" s="185" t="s">
        <v>1895</v>
      </c>
      <c r="B619" s="185" t="s">
        <v>2230</v>
      </c>
      <c r="C619" s="185" t="s">
        <v>1785</v>
      </c>
      <c r="D619" s="185" t="s">
        <v>2231</v>
      </c>
      <c r="E619" s="185">
        <v>15922004</v>
      </c>
      <c r="F619" s="185" t="s">
        <v>404</v>
      </c>
      <c r="G619" s="185" t="s">
        <v>2236</v>
      </c>
      <c r="H619" s="185" t="s">
        <v>1628</v>
      </c>
      <c r="I619" s="258" t="str">
        <f t="shared" si="28"/>
        <v>1</v>
      </c>
      <c r="J619" s="221">
        <f t="shared" si="29"/>
        <v>-163793</v>
      </c>
      <c r="K619" s="258">
        <f t="shared" si="30"/>
        <v>2</v>
      </c>
      <c r="L619" s="188">
        <v>0</v>
      </c>
      <c r="M619" s="188">
        <v>163793</v>
      </c>
      <c r="N619" s="189">
        <v>901513634</v>
      </c>
      <c r="O619" t="s">
        <v>2230</v>
      </c>
      <c r="P619" s="187">
        <v>45007.444664351897</v>
      </c>
      <c r="Q619" s="186">
        <v>8765</v>
      </c>
      <c r="R619" s="185" t="s">
        <v>6</v>
      </c>
      <c r="S619" s="185" t="s">
        <v>1518</v>
      </c>
      <c r="T619"/>
      <c r="U619" t="str">
        <f>IF($L619&gt;0,VLOOKUP($E619,Valida!$A$1:$G$270,6,FALSE),IF($M619&gt;=0,VLOOKUP($E619,Valida!$A$1:$G$270,7,FALSE)))</f>
        <v>( + ) Ajustes por gastos de depreciación</v>
      </c>
      <c r="V619" s="190" t="str">
        <f>VLOOKUP(E619,Valida!$A$2:$K$271,4,FALSE)</f>
        <v>Depreciation</v>
      </c>
      <c r="W619" s="185" t="s">
        <v>1787</v>
      </c>
      <c r="X619" s="185" t="s">
        <v>1788</v>
      </c>
      <c r="Y619" s="185" t="s">
        <v>1789</v>
      </c>
      <c r="Z619"/>
    </row>
    <row r="620" spans="1:26">
      <c r="A620" s="185" t="s">
        <v>1799</v>
      </c>
      <c r="B620" s="185" t="s">
        <v>1987</v>
      </c>
      <c r="C620" s="185" t="s">
        <v>1785</v>
      </c>
      <c r="D620" s="185" t="s">
        <v>1988</v>
      </c>
      <c r="E620" s="185">
        <v>51602001</v>
      </c>
      <c r="F620" s="185" t="s">
        <v>416</v>
      </c>
      <c r="G620" s="185" t="s">
        <v>2237</v>
      </c>
      <c r="H620" s="185" t="s">
        <v>1515</v>
      </c>
      <c r="I620" s="258" t="str">
        <f t="shared" si="28"/>
        <v>5</v>
      </c>
      <c r="J620" s="221">
        <f t="shared" si="29"/>
        <v>1596762</v>
      </c>
      <c r="K620" s="258">
        <f t="shared" si="30"/>
        <v>1</v>
      </c>
      <c r="L620" s="188">
        <v>1596762</v>
      </c>
      <c r="M620" s="188">
        <v>0</v>
      </c>
      <c r="N620" s="189">
        <v>901513634</v>
      </c>
      <c r="O620" t="s">
        <v>1987</v>
      </c>
      <c r="P620" s="187">
        <v>45007</v>
      </c>
      <c r="Q620" s="186">
        <v>8766</v>
      </c>
      <c r="R620" s="185" t="s">
        <v>6</v>
      </c>
      <c r="S620" s="185" t="s">
        <v>1518</v>
      </c>
      <c r="T620"/>
      <c r="U620" t="str">
        <f>IF($L620&gt;0,VLOOKUP($E620,Valida!$A$1:$G$270,6,FALSE),IF($M620&gt;=0,VLOOKUP($E620,Valida!$A$1:$G$270,7,FALSE)))</f>
        <v>(+/-) Ganancia (pérdida)</v>
      </c>
      <c r="V620" s="190" t="str">
        <f>VLOOKUP(E620,Valida!$A$2:$K$271,4,FALSE)</f>
        <v>P&amp;L</v>
      </c>
      <c r="W620" s="185" t="s">
        <v>1787</v>
      </c>
      <c r="X620" s="185" t="s">
        <v>1788</v>
      </c>
      <c r="Y620" s="185" t="s">
        <v>1789</v>
      </c>
      <c r="Z620"/>
    </row>
    <row r="621" spans="1:26">
      <c r="A621" s="185" t="s">
        <v>1799</v>
      </c>
      <c r="B621" s="185" t="s">
        <v>1987</v>
      </c>
      <c r="C621" s="185" t="s">
        <v>1785</v>
      </c>
      <c r="D621" s="185" t="s">
        <v>1988</v>
      </c>
      <c r="E621" s="185">
        <v>15922001</v>
      </c>
      <c r="F621" s="185" t="s">
        <v>416</v>
      </c>
      <c r="G621" s="185" t="s">
        <v>2237</v>
      </c>
      <c r="H621" s="185" t="s">
        <v>1628</v>
      </c>
      <c r="I621" s="258" t="str">
        <f t="shared" si="28"/>
        <v>1</v>
      </c>
      <c r="J621" s="221">
        <f t="shared" si="29"/>
        <v>-1596762</v>
      </c>
      <c r="K621" s="258">
        <f t="shared" si="30"/>
        <v>1</v>
      </c>
      <c r="L621" s="188">
        <v>0</v>
      </c>
      <c r="M621" s="188">
        <v>1596762</v>
      </c>
      <c r="N621" s="189">
        <v>901513634</v>
      </c>
      <c r="O621" t="s">
        <v>1987</v>
      </c>
      <c r="P621" s="187">
        <v>45007</v>
      </c>
      <c r="Q621" s="186">
        <v>8767</v>
      </c>
      <c r="R621" s="185" t="s">
        <v>6</v>
      </c>
      <c r="S621" s="185" t="s">
        <v>1518</v>
      </c>
      <c r="T621"/>
      <c r="U621" t="str">
        <f>IF($L621&gt;0,VLOOKUP($E621,Valida!$A$1:$G$270,6,FALSE),IF($M621&gt;=0,VLOOKUP($E621,Valida!$A$1:$G$270,7,FALSE)))</f>
        <v>( + ) Ajustes por gastos de depreciación</v>
      </c>
      <c r="V621" s="190" t="str">
        <f>VLOOKUP(E621,Valida!$A$2:$K$271,4,FALSE)</f>
        <v>Depreciation</v>
      </c>
      <c r="W621" s="185" t="s">
        <v>1787</v>
      </c>
      <c r="X621" s="185" t="s">
        <v>1788</v>
      </c>
      <c r="Y621" s="185" t="s">
        <v>1789</v>
      </c>
      <c r="Z621"/>
    </row>
    <row r="622" spans="1:26">
      <c r="A622" s="185" t="s">
        <v>1799</v>
      </c>
      <c r="B622" s="185" t="s">
        <v>1987</v>
      </c>
      <c r="C622" s="185" t="s">
        <v>1785</v>
      </c>
      <c r="D622" s="185" t="s">
        <v>1988</v>
      </c>
      <c r="E622" s="185">
        <v>51602004</v>
      </c>
      <c r="F622" s="185" t="s">
        <v>404</v>
      </c>
      <c r="G622" s="185" t="s">
        <v>2237</v>
      </c>
      <c r="H622" s="185" t="s">
        <v>1515</v>
      </c>
      <c r="I622" s="258" t="str">
        <f t="shared" si="28"/>
        <v>5</v>
      </c>
      <c r="J622" s="221">
        <f t="shared" si="29"/>
        <v>163793</v>
      </c>
      <c r="K622" s="258">
        <f t="shared" si="30"/>
        <v>1</v>
      </c>
      <c r="L622" s="188">
        <v>163793</v>
      </c>
      <c r="M622" s="188">
        <v>0</v>
      </c>
      <c r="N622" s="189">
        <v>901513634</v>
      </c>
      <c r="O622" t="s">
        <v>1987</v>
      </c>
      <c r="P622" s="187">
        <v>45007</v>
      </c>
      <c r="Q622" s="186">
        <v>8768</v>
      </c>
      <c r="R622" s="185" t="s">
        <v>6</v>
      </c>
      <c r="S622" s="185" t="s">
        <v>1518</v>
      </c>
      <c r="T622"/>
      <c r="U622" t="str">
        <f>IF($L622&gt;0,VLOOKUP($E622,Valida!$A$1:$G$270,6,FALSE),IF($M622&gt;=0,VLOOKUP($E622,Valida!$A$1:$G$270,7,FALSE)))</f>
        <v>(+/-) Ganancia (pérdida)</v>
      </c>
      <c r="V622" s="190" t="str">
        <f>VLOOKUP(E622,Valida!$A$2:$K$271,4,FALSE)</f>
        <v>P&amp;L</v>
      </c>
      <c r="W622" s="185" t="s">
        <v>1787</v>
      </c>
      <c r="X622" s="185" t="s">
        <v>1788</v>
      </c>
      <c r="Y622" s="185" t="s">
        <v>1789</v>
      </c>
      <c r="Z622"/>
    </row>
    <row r="623" spans="1:26">
      <c r="A623" s="185" t="s">
        <v>1799</v>
      </c>
      <c r="B623" s="185" t="s">
        <v>1987</v>
      </c>
      <c r="C623" s="185" t="s">
        <v>1785</v>
      </c>
      <c r="D623" s="185" t="s">
        <v>1988</v>
      </c>
      <c r="E623" s="185">
        <v>15922004</v>
      </c>
      <c r="F623" s="185" t="s">
        <v>404</v>
      </c>
      <c r="G623" s="185" t="s">
        <v>2237</v>
      </c>
      <c r="H623" s="185" t="s">
        <v>1628</v>
      </c>
      <c r="I623" s="258" t="str">
        <f t="shared" si="28"/>
        <v>1</v>
      </c>
      <c r="J623" s="221">
        <f t="shared" si="29"/>
        <v>-163793</v>
      </c>
      <c r="K623" s="258">
        <f t="shared" si="30"/>
        <v>1</v>
      </c>
      <c r="L623" s="188">
        <v>0</v>
      </c>
      <c r="M623" s="188">
        <v>163793</v>
      </c>
      <c r="N623" s="189">
        <v>901513634</v>
      </c>
      <c r="O623" t="s">
        <v>1987</v>
      </c>
      <c r="P623" s="187">
        <v>45007</v>
      </c>
      <c r="Q623" s="186">
        <v>8769</v>
      </c>
      <c r="R623" s="185" t="s">
        <v>6</v>
      </c>
      <c r="S623" s="185" t="s">
        <v>1518</v>
      </c>
      <c r="T623"/>
      <c r="U623" t="str">
        <f>IF($L623&gt;0,VLOOKUP($E623,Valida!$A$1:$G$270,6,FALSE),IF($M623&gt;=0,VLOOKUP($E623,Valida!$A$1:$G$270,7,FALSE)))</f>
        <v>( + ) Ajustes por gastos de depreciación</v>
      </c>
      <c r="V623" s="190" t="str">
        <f>VLOOKUP(E623,Valida!$A$2:$K$271,4,FALSE)</f>
        <v>Depreciation</v>
      </c>
      <c r="W623" s="185" t="s">
        <v>1787</v>
      </c>
      <c r="X623" s="185" t="s">
        <v>1788</v>
      </c>
      <c r="Y623" s="185" t="s">
        <v>1789</v>
      </c>
      <c r="Z623"/>
    </row>
    <row r="624" spans="1:26">
      <c r="A624" s="185" t="s">
        <v>1895</v>
      </c>
      <c r="B624" s="185" t="s">
        <v>2238</v>
      </c>
      <c r="C624" s="185" t="s">
        <v>1785</v>
      </c>
      <c r="D624" s="185" t="s">
        <v>2239</v>
      </c>
      <c r="E624" s="185">
        <v>134525</v>
      </c>
      <c r="F624" s="185" t="s">
        <v>132</v>
      </c>
      <c r="G624" s="185" t="s">
        <v>2240</v>
      </c>
      <c r="H624" s="185" t="s">
        <v>1628</v>
      </c>
      <c r="I624" s="258" t="str">
        <f t="shared" si="28"/>
        <v>1</v>
      </c>
      <c r="J624" s="221">
        <f t="shared" si="29"/>
        <v>0</v>
      </c>
      <c r="K624" s="258">
        <f t="shared" si="30"/>
        <v>2</v>
      </c>
      <c r="L624" s="188">
        <v>0</v>
      </c>
      <c r="M624" s="188">
        <v>0</v>
      </c>
      <c r="N624" s="189">
        <v>374795</v>
      </c>
      <c r="O624" t="s">
        <v>2238</v>
      </c>
      <c r="P624" s="187">
        <v>45008.495023148098</v>
      </c>
      <c r="Q624" s="186">
        <v>8770</v>
      </c>
      <c r="R624" s="185"/>
      <c r="S624" s="185" t="s">
        <v>1544</v>
      </c>
      <c r="T624"/>
      <c r="U624" t="str">
        <f>IF($L624&gt;0,VLOOKUP($E624,Valida!$A$1:$G$270,6,FALSE),IF($M624&gt;=0,VLOOKUP($E624,Valida!$A$1:$G$270,7,FALSE)))</f>
        <v>(+/-) Ajustes por disminuciones (incrementos) en otras cuentas por cobrar derivadas de las actividades de operación</v>
      </c>
      <c r="V624" s="190" t="str">
        <f>VLOOKUP(E624,Valida!$A$2:$K$271,4,FALSE)</f>
        <v>Trade and other receivables</v>
      </c>
      <c r="W624" s="185" t="s">
        <v>1803</v>
      </c>
      <c r="X624" s="185"/>
      <c r="Y624" s="185"/>
      <c r="Z624"/>
    </row>
    <row r="625" spans="1:26">
      <c r="A625" s="185" t="s">
        <v>1895</v>
      </c>
      <c r="B625" s="185" t="s">
        <v>2238</v>
      </c>
      <c r="C625" s="185" t="s">
        <v>1785</v>
      </c>
      <c r="D625" s="185" t="s">
        <v>2239</v>
      </c>
      <c r="E625" s="185">
        <v>41559506</v>
      </c>
      <c r="F625" s="185" t="s">
        <v>1710</v>
      </c>
      <c r="G625" s="185" t="s">
        <v>2240</v>
      </c>
      <c r="H625" s="185" t="s">
        <v>1628</v>
      </c>
      <c r="I625" s="258" t="str">
        <f t="shared" si="28"/>
        <v>4</v>
      </c>
      <c r="J625" s="221">
        <f t="shared" si="29"/>
        <v>0</v>
      </c>
      <c r="K625" s="258">
        <f t="shared" si="30"/>
        <v>2</v>
      </c>
      <c r="L625" s="188">
        <v>0</v>
      </c>
      <c r="M625" s="188">
        <v>0</v>
      </c>
      <c r="N625" s="189">
        <v>374795</v>
      </c>
      <c r="O625" t="s">
        <v>2238</v>
      </c>
      <c r="P625" s="187">
        <v>45008.495023148098</v>
      </c>
      <c r="Q625" s="186">
        <v>8771</v>
      </c>
      <c r="R625" s="185"/>
      <c r="S625" s="185" t="s">
        <v>1544</v>
      </c>
      <c r="T625"/>
      <c r="U625" t="str">
        <f>IF($L625&gt;0,VLOOKUP($E625,Valida!$A$1:$G$270,6,FALSE),IF($M625&gt;=0,VLOOKUP($E625,Valida!$A$1:$G$270,7,FALSE)))</f>
        <v>(+/-) Ganancia (pérdida)</v>
      </c>
      <c r="V625" s="190" t="str">
        <f>VLOOKUP(E625,Valida!$A$2:$K$271,4,FALSE)</f>
        <v>P&amp;L</v>
      </c>
      <c r="W625" s="185" t="s">
        <v>1803</v>
      </c>
      <c r="X625" s="185"/>
      <c r="Y625" s="185"/>
      <c r="Z625"/>
    </row>
    <row r="626" spans="1:26">
      <c r="A626" s="185" t="s">
        <v>2241</v>
      </c>
      <c r="B626" s="185" t="s">
        <v>2242</v>
      </c>
      <c r="C626" s="185" t="s">
        <v>1785</v>
      </c>
      <c r="D626" s="185" t="s">
        <v>2243</v>
      </c>
      <c r="E626" s="185">
        <v>134525</v>
      </c>
      <c r="F626" s="185" t="s">
        <v>132</v>
      </c>
      <c r="G626" s="185" t="s">
        <v>2240</v>
      </c>
      <c r="H626" s="185" t="s">
        <v>1628</v>
      </c>
      <c r="I626" s="258" t="str">
        <f t="shared" si="28"/>
        <v>1</v>
      </c>
      <c r="J626" s="221">
        <f t="shared" si="29"/>
        <v>0</v>
      </c>
      <c r="K626" s="258">
        <f t="shared" si="30"/>
        <v>3</v>
      </c>
      <c r="L626" s="188">
        <v>0</v>
      </c>
      <c r="M626" s="188">
        <v>0</v>
      </c>
      <c r="N626" s="189">
        <v>374795</v>
      </c>
      <c r="O626" t="s">
        <v>2242</v>
      </c>
      <c r="P626" s="187">
        <v>45008.4980671296</v>
      </c>
      <c r="Q626" s="186">
        <v>8772</v>
      </c>
      <c r="R626" s="185"/>
      <c r="S626" s="185" t="s">
        <v>1544</v>
      </c>
      <c r="T626"/>
      <c r="U626" t="str">
        <f>IF($L626&gt;0,VLOOKUP($E626,Valida!$A$1:$G$270,6,FALSE),IF($M626&gt;=0,VLOOKUP($E626,Valida!$A$1:$G$270,7,FALSE)))</f>
        <v>(+/-) Ajustes por disminuciones (incrementos) en otras cuentas por cobrar derivadas de las actividades de operación</v>
      </c>
      <c r="V626" s="190" t="str">
        <f>VLOOKUP(E626,Valida!$A$2:$K$271,4,FALSE)</f>
        <v>Trade and other receivables</v>
      </c>
      <c r="W626" s="185" t="s">
        <v>1803</v>
      </c>
      <c r="X626" s="185"/>
      <c r="Y626" s="185"/>
      <c r="Z626"/>
    </row>
    <row r="627" spans="1:26">
      <c r="A627" s="185" t="s">
        <v>2241</v>
      </c>
      <c r="B627" s="185" t="s">
        <v>2242</v>
      </c>
      <c r="C627" s="185" t="s">
        <v>1785</v>
      </c>
      <c r="D627" s="185" t="s">
        <v>2243</v>
      </c>
      <c r="E627" s="185">
        <v>41559506</v>
      </c>
      <c r="F627" s="185" t="s">
        <v>1710</v>
      </c>
      <c r="G627" s="185" t="s">
        <v>2240</v>
      </c>
      <c r="H627" s="185" t="s">
        <v>1628</v>
      </c>
      <c r="I627" s="258" t="str">
        <f t="shared" si="28"/>
        <v>4</v>
      </c>
      <c r="J627" s="221">
        <f t="shared" si="29"/>
        <v>0</v>
      </c>
      <c r="K627" s="258">
        <f t="shared" si="30"/>
        <v>3</v>
      </c>
      <c r="L627" s="188">
        <v>0</v>
      </c>
      <c r="M627" s="188">
        <v>0</v>
      </c>
      <c r="N627" s="189">
        <v>374795</v>
      </c>
      <c r="O627" t="s">
        <v>2242</v>
      </c>
      <c r="P627" s="187">
        <v>45008.4980671296</v>
      </c>
      <c r="Q627" s="186">
        <v>8773</v>
      </c>
      <c r="R627" s="185"/>
      <c r="S627" s="185" t="s">
        <v>1544</v>
      </c>
      <c r="T627"/>
      <c r="U627" t="str">
        <f>IF($L627&gt;0,VLOOKUP($E627,Valida!$A$1:$G$270,6,FALSE),IF($M627&gt;=0,VLOOKUP($E627,Valida!$A$1:$G$270,7,FALSE)))</f>
        <v>(+/-) Ganancia (pérdida)</v>
      </c>
      <c r="V627" s="190" t="str">
        <f>VLOOKUP(E627,Valida!$A$2:$K$271,4,FALSE)</f>
        <v>P&amp;L</v>
      </c>
      <c r="W627" s="185" t="s">
        <v>1803</v>
      </c>
      <c r="X627" s="185"/>
      <c r="Y627" s="185"/>
      <c r="Z627"/>
    </row>
    <row r="628" spans="1:26">
      <c r="A628" s="185" t="s">
        <v>2054</v>
      </c>
      <c r="B628" s="185" t="s">
        <v>2244</v>
      </c>
      <c r="C628" s="185" t="s">
        <v>2045</v>
      </c>
      <c r="D628" s="185" t="s">
        <v>983</v>
      </c>
      <c r="E628" s="185">
        <v>23355007</v>
      </c>
      <c r="F628" s="185" t="s">
        <v>1638</v>
      </c>
      <c r="G628" s="185" t="s">
        <v>2245</v>
      </c>
      <c r="H628" s="185" t="s">
        <v>1628</v>
      </c>
      <c r="I628" s="258" t="str">
        <f t="shared" si="28"/>
        <v>2</v>
      </c>
      <c r="J628" s="221">
        <f t="shared" si="29"/>
        <v>-114998.91</v>
      </c>
      <c r="K628" s="258">
        <f t="shared" si="30"/>
        <v>3</v>
      </c>
      <c r="L628" s="188">
        <v>0</v>
      </c>
      <c r="M628" s="188">
        <v>114998.91</v>
      </c>
      <c r="N628" s="189">
        <v>444444001</v>
      </c>
      <c r="O628" t="s">
        <v>2246</v>
      </c>
      <c r="P628" s="187">
        <v>45009.318888888898</v>
      </c>
      <c r="Q628" s="186">
        <v>8778</v>
      </c>
      <c r="R628" s="185"/>
      <c r="S628" s="185" t="s">
        <v>1548</v>
      </c>
      <c r="T628"/>
      <c r="U628" t="str">
        <f>IF($L628&gt;0,VLOOKUP($E628,Valida!$A$1:$G$270,6,FALSE),IF($M628&gt;=0,VLOOKUP($E628,Valida!$A$1:$G$270,7,FALSE)))</f>
        <v>(+/-) Ajustes por el incremento (disminución) de cuentas por pagar de origen comercial</v>
      </c>
      <c r="V628" s="190" t="str">
        <f>VLOOKUP(E628,Valida!$A$2:$K$271,4,FALSE)</f>
        <v>Trade and other payables</v>
      </c>
      <c r="W628" s="185"/>
      <c r="X628" s="185"/>
      <c r="Y628" s="185"/>
      <c r="Z628"/>
    </row>
    <row r="629" spans="1:26">
      <c r="A629" s="185" t="s">
        <v>2054</v>
      </c>
      <c r="B629" s="185" t="s">
        <v>2244</v>
      </c>
      <c r="C629" s="185" t="s">
        <v>2045</v>
      </c>
      <c r="D629" s="185" t="s">
        <v>983</v>
      </c>
      <c r="E629" s="185">
        <v>51350504</v>
      </c>
      <c r="F629" s="185" t="s">
        <v>1638</v>
      </c>
      <c r="G629" s="185" t="s">
        <v>2247</v>
      </c>
      <c r="H629" s="185" t="s">
        <v>1515</v>
      </c>
      <c r="I629" s="258" t="str">
        <f t="shared" si="28"/>
        <v>5</v>
      </c>
      <c r="J629" s="221">
        <f t="shared" si="29"/>
        <v>114998.91</v>
      </c>
      <c r="K629" s="258">
        <f t="shared" si="30"/>
        <v>3</v>
      </c>
      <c r="L629" s="188">
        <v>114998.91</v>
      </c>
      <c r="M629" s="188">
        <v>0</v>
      </c>
      <c r="N629" s="189">
        <v>444444001</v>
      </c>
      <c r="O629" t="s">
        <v>2246</v>
      </c>
      <c r="P629" s="187">
        <v>45009.318888888898</v>
      </c>
      <c r="Q629" s="186">
        <v>8779</v>
      </c>
      <c r="R629" s="185"/>
      <c r="S629" s="185" t="s">
        <v>1548</v>
      </c>
      <c r="T629"/>
      <c r="U629" t="str">
        <f>IF($L629&gt;0,VLOOKUP($E629,Valida!$A$1:$G$270,6,FALSE),IF($M629&gt;=0,VLOOKUP($E629,Valida!$A$1:$G$270,7,FALSE)))</f>
        <v>(+/-) Ganancia (pérdida)</v>
      </c>
      <c r="V629" s="190" t="str">
        <f>VLOOKUP(E629,Valida!$A$2:$K$271,4,FALSE)</f>
        <v>P&amp;L</v>
      </c>
      <c r="W629" s="185"/>
      <c r="X629" s="185"/>
      <c r="Y629" s="185"/>
      <c r="Z629"/>
    </row>
    <row r="630" spans="1:26">
      <c r="A630" s="185" t="s">
        <v>2248</v>
      </c>
      <c r="B630" s="185" t="s">
        <v>2249</v>
      </c>
      <c r="C630" s="185" t="s">
        <v>1792</v>
      </c>
      <c r="D630" s="185" t="s">
        <v>2250</v>
      </c>
      <c r="E630" s="185">
        <v>51352002</v>
      </c>
      <c r="F630" s="185" t="s">
        <v>1270</v>
      </c>
      <c r="G630" s="185" t="s">
        <v>1825</v>
      </c>
      <c r="H630" s="185" t="s">
        <v>1515</v>
      </c>
      <c r="I630" s="258" t="str">
        <f t="shared" si="28"/>
        <v>5</v>
      </c>
      <c r="J630" s="221">
        <f t="shared" si="29"/>
        <v>1224400</v>
      </c>
      <c r="K630" s="258">
        <f t="shared" si="30"/>
        <v>3</v>
      </c>
      <c r="L630" s="188">
        <v>1224400</v>
      </c>
      <c r="M630" s="188">
        <v>0</v>
      </c>
      <c r="N630" s="189">
        <v>899999115</v>
      </c>
      <c r="O630" t="s">
        <v>2251</v>
      </c>
      <c r="P630" s="187">
        <v>45009.411874999998</v>
      </c>
      <c r="Q630" s="186">
        <v>8780</v>
      </c>
      <c r="R630" s="185" t="s">
        <v>1827</v>
      </c>
      <c r="S630" s="185" t="s">
        <v>1586</v>
      </c>
      <c r="T630"/>
      <c r="U630" t="str">
        <f>IF($L630&gt;0,VLOOKUP($E630,Valida!$A$1:$G$270,6,FALSE),IF($M630&gt;=0,VLOOKUP($E630,Valida!$A$1:$G$270,7,FALSE)))</f>
        <v>(+/-) Ganancia (pérdida)</v>
      </c>
      <c r="V630" s="190" t="str">
        <f>VLOOKUP(E630,Valida!$A$2:$K$271,4,FALSE)</f>
        <v>P&amp;L</v>
      </c>
      <c r="W630" s="185" t="s">
        <v>1828</v>
      </c>
      <c r="X630" s="185" t="s">
        <v>1829</v>
      </c>
      <c r="Y630" s="185" t="s">
        <v>1789</v>
      </c>
      <c r="Z630"/>
    </row>
    <row r="631" spans="1:26">
      <c r="A631" s="185" t="s">
        <v>2248</v>
      </c>
      <c r="B631" s="185" t="s">
        <v>2249</v>
      </c>
      <c r="C631" s="185" t="s">
        <v>1792</v>
      </c>
      <c r="D631" s="185" t="s">
        <v>2250</v>
      </c>
      <c r="E631" s="185">
        <v>24081002</v>
      </c>
      <c r="F631" s="185" t="s">
        <v>1687</v>
      </c>
      <c r="G631" s="185" t="s">
        <v>1830</v>
      </c>
      <c r="H631" s="185" t="s">
        <v>1515</v>
      </c>
      <c r="I631" s="258" t="str">
        <f t="shared" si="28"/>
        <v>2</v>
      </c>
      <c r="J631" s="221">
        <f t="shared" si="29"/>
        <v>232636</v>
      </c>
      <c r="K631" s="258">
        <f t="shared" si="30"/>
        <v>3</v>
      </c>
      <c r="L631" s="188">
        <v>232636</v>
      </c>
      <c r="M631" s="188">
        <v>0</v>
      </c>
      <c r="N631" s="189">
        <v>899999115</v>
      </c>
      <c r="O631" t="s">
        <v>2251</v>
      </c>
      <c r="P631" s="187">
        <v>45009.411874999998</v>
      </c>
      <c r="Q631" s="186">
        <v>8781</v>
      </c>
      <c r="R631" s="185" t="s">
        <v>1827</v>
      </c>
      <c r="S631" s="185" t="s">
        <v>1586</v>
      </c>
      <c r="T631"/>
      <c r="U631" t="str">
        <f>IF($L631&gt;0,VLOOKUP($E631,Valida!$A$1:$G$270,6,FALSE),IF($M631&gt;=0,VLOOKUP($E631,Valida!$A$1:$G$270,7,FALSE)))</f>
        <v>(+/-) Ajustes por el incremento (disminución) de cuentas por pagar de origen comercial</v>
      </c>
      <c r="V631" s="190" t="str">
        <f>VLOOKUP(E631,Valida!$A$2:$K$271,4,FALSE)</f>
        <v>Trade and other payables</v>
      </c>
      <c r="W631" s="185" t="s">
        <v>1828</v>
      </c>
      <c r="X631" s="185" t="s">
        <v>1829</v>
      </c>
      <c r="Y631" s="185" t="s">
        <v>1789</v>
      </c>
      <c r="Z631"/>
    </row>
    <row r="632" spans="1:26">
      <c r="A632" s="185" t="s">
        <v>2248</v>
      </c>
      <c r="B632" s="185" t="s">
        <v>2249</v>
      </c>
      <c r="C632" s="185" t="s">
        <v>1792</v>
      </c>
      <c r="D632" s="185" t="s">
        <v>2250</v>
      </c>
      <c r="E632" s="185">
        <v>23355006</v>
      </c>
      <c r="F632" s="185" t="s">
        <v>519</v>
      </c>
      <c r="G632" s="185" t="s">
        <v>1825</v>
      </c>
      <c r="H632" s="185" t="s">
        <v>1628</v>
      </c>
      <c r="I632" s="258" t="str">
        <f t="shared" si="28"/>
        <v>2</v>
      </c>
      <c r="J632" s="221">
        <f t="shared" si="29"/>
        <v>-1457036</v>
      </c>
      <c r="K632" s="258">
        <f t="shared" si="30"/>
        <v>3</v>
      </c>
      <c r="L632" s="188">
        <v>0</v>
      </c>
      <c r="M632" s="188">
        <v>1457036</v>
      </c>
      <c r="N632" s="189">
        <v>899999115</v>
      </c>
      <c r="O632" t="s">
        <v>2251</v>
      </c>
      <c r="P632" s="187">
        <v>45009.411874999998</v>
      </c>
      <c r="Q632" s="186">
        <v>8782</v>
      </c>
      <c r="R632" s="185" t="s">
        <v>1827</v>
      </c>
      <c r="S632" s="185" t="s">
        <v>1586</v>
      </c>
      <c r="T632"/>
      <c r="U632" t="str">
        <f>IF($L632&gt;0,VLOOKUP($E632,Valida!$A$1:$G$270,6,FALSE),IF($M632&gt;=0,VLOOKUP($E632,Valida!$A$1:$G$270,7,FALSE)))</f>
        <v>(+/-) Ajustes por el incremento (disminución) de cuentas por pagar de origen comercial</v>
      </c>
      <c r="V632" s="190" t="str">
        <f>VLOOKUP(E632,Valida!$A$2:$K$271,4,FALSE)</f>
        <v>Trade and other payables</v>
      </c>
      <c r="W632" s="185" t="s">
        <v>1828</v>
      </c>
      <c r="X632" s="185" t="s">
        <v>1829</v>
      </c>
      <c r="Y632" s="185" t="s">
        <v>1789</v>
      </c>
      <c r="Z632"/>
    </row>
    <row r="633" spans="1:26">
      <c r="A633" s="185" t="s">
        <v>2248</v>
      </c>
      <c r="B633" s="185" t="s">
        <v>2249</v>
      </c>
      <c r="C633" s="185" t="s">
        <v>1792</v>
      </c>
      <c r="D633" s="185" t="s">
        <v>2250</v>
      </c>
      <c r="E633" s="185">
        <v>53059510</v>
      </c>
      <c r="F633" s="185" t="s">
        <v>1065</v>
      </c>
      <c r="G633" s="185" t="s">
        <v>1825</v>
      </c>
      <c r="H633" s="185" t="s">
        <v>1628</v>
      </c>
      <c r="I633" s="258" t="str">
        <f t="shared" si="28"/>
        <v>5</v>
      </c>
      <c r="J633" s="221">
        <f t="shared" si="29"/>
        <v>0</v>
      </c>
      <c r="K633" s="258">
        <f t="shared" si="30"/>
        <v>3</v>
      </c>
      <c r="L633" s="188">
        <v>0</v>
      </c>
      <c r="M633" s="188">
        <v>0</v>
      </c>
      <c r="N633" s="189">
        <v>899999115</v>
      </c>
      <c r="O633" t="s">
        <v>2251</v>
      </c>
      <c r="P633" s="187">
        <v>45009.411874999998</v>
      </c>
      <c r="Q633" s="186">
        <v>8783</v>
      </c>
      <c r="R633" s="185" t="s">
        <v>1827</v>
      </c>
      <c r="S633" s="185" t="s">
        <v>1586</v>
      </c>
      <c r="T633"/>
      <c r="U633" t="str">
        <f>IF($L633&gt;0,VLOOKUP($E633,Valida!$A$1:$G$270,6,FALSE),IF($M633&gt;=0,VLOOKUP($E633,Valida!$A$1:$G$270,7,FALSE)))</f>
        <v>(+/-) Ganancia (pérdida)</v>
      </c>
      <c r="V633" s="190" t="str">
        <f>VLOOKUP(E633,Valida!$A$2:$K$271,4,FALSE)</f>
        <v>P&amp;L</v>
      </c>
      <c r="W633" s="185" t="s">
        <v>1828</v>
      </c>
      <c r="X633" s="185" t="s">
        <v>1829</v>
      </c>
      <c r="Y633" s="185" t="s">
        <v>1789</v>
      </c>
      <c r="Z633"/>
    </row>
    <row r="634" spans="1:26">
      <c r="A634" s="185" t="s">
        <v>2248</v>
      </c>
      <c r="B634" s="185" t="s">
        <v>2252</v>
      </c>
      <c r="C634" s="185" t="s">
        <v>1792</v>
      </c>
      <c r="D634" s="185" t="s">
        <v>2253</v>
      </c>
      <c r="E634" s="185">
        <v>51700503</v>
      </c>
      <c r="F634" s="185" t="s">
        <v>1397</v>
      </c>
      <c r="G634" s="185" t="s">
        <v>1818</v>
      </c>
      <c r="H634" s="185" t="s">
        <v>1515</v>
      </c>
      <c r="I634" s="258" t="str">
        <f t="shared" si="28"/>
        <v>5</v>
      </c>
      <c r="J634" s="221">
        <f t="shared" si="29"/>
        <v>330000</v>
      </c>
      <c r="K634" s="258">
        <f t="shared" si="30"/>
        <v>3</v>
      </c>
      <c r="L634" s="188">
        <v>330000</v>
      </c>
      <c r="M634" s="188">
        <v>0</v>
      </c>
      <c r="N634" s="189">
        <v>800042928</v>
      </c>
      <c r="O634" t="s">
        <v>2254</v>
      </c>
      <c r="P634" s="187">
        <v>45009.416261574101</v>
      </c>
      <c r="Q634" s="186">
        <v>8784</v>
      </c>
      <c r="R634" s="185" t="s">
        <v>6</v>
      </c>
      <c r="S634" s="185" t="s">
        <v>1554</v>
      </c>
      <c r="T634"/>
      <c r="U634" t="str">
        <f>IF($L634&gt;0,VLOOKUP($E634,Valida!$A$1:$G$270,6,FALSE),IF($M634&gt;=0,VLOOKUP($E634,Valida!$A$1:$G$270,7,FALSE)))</f>
        <v>(+/-) Ganancia (pérdida)</v>
      </c>
      <c r="V634" s="190" t="str">
        <f>VLOOKUP(E634,Valida!$A$2:$K$271,4,FALSE)</f>
        <v>P&amp;L</v>
      </c>
      <c r="W634" s="185" t="s">
        <v>1820</v>
      </c>
      <c r="X634" s="185" t="s">
        <v>1821</v>
      </c>
      <c r="Y634" s="185" t="s">
        <v>1789</v>
      </c>
      <c r="Z634"/>
    </row>
    <row r="635" spans="1:26">
      <c r="A635" s="185" t="s">
        <v>2248</v>
      </c>
      <c r="B635" s="185" t="s">
        <v>2252</v>
      </c>
      <c r="C635" s="185" t="s">
        <v>1792</v>
      </c>
      <c r="D635" s="185" t="s">
        <v>2253</v>
      </c>
      <c r="E635" s="185">
        <v>23359504</v>
      </c>
      <c r="F635" s="185" t="s">
        <v>553</v>
      </c>
      <c r="G635" s="185" t="s">
        <v>1818</v>
      </c>
      <c r="H635" s="185" t="s">
        <v>1628</v>
      </c>
      <c r="I635" s="258" t="str">
        <f t="shared" si="28"/>
        <v>2</v>
      </c>
      <c r="J635" s="221">
        <f t="shared" si="29"/>
        <v>-330000</v>
      </c>
      <c r="K635" s="258">
        <f t="shared" si="30"/>
        <v>3</v>
      </c>
      <c r="L635" s="188">
        <v>0</v>
      </c>
      <c r="M635" s="188">
        <v>330000</v>
      </c>
      <c r="N635" s="189">
        <v>800042928</v>
      </c>
      <c r="O635" t="s">
        <v>2254</v>
      </c>
      <c r="P635" s="187">
        <v>45009.416261574101</v>
      </c>
      <c r="Q635" s="186">
        <v>8785</v>
      </c>
      <c r="R635" s="185" t="s">
        <v>6</v>
      </c>
      <c r="S635" s="185" t="s">
        <v>1554</v>
      </c>
      <c r="T635"/>
      <c r="U635" t="str">
        <f>IF($L635&gt;0,VLOOKUP($E635,Valida!$A$1:$G$270,6,FALSE),IF($M635&gt;=0,VLOOKUP($E635,Valida!$A$1:$G$270,7,FALSE)))</f>
        <v>(+/-) Ajustes por el incremento (disminución) de cuentas por pagar de origen comercial</v>
      </c>
      <c r="V635" s="190" t="str">
        <f>VLOOKUP(E635,Valida!$A$2:$K$271,4,FALSE)</f>
        <v>Trade and other payables</v>
      </c>
      <c r="W635" s="185" t="s">
        <v>1820</v>
      </c>
      <c r="X635" s="185" t="s">
        <v>1821</v>
      </c>
      <c r="Y635" s="185" t="s">
        <v>1789</v>
      </c>
      <c r="Z635"/>
    </row>
    <row r="636" spans="1:26">
      <c r="A636" s="185" t="s">
        <v>2248</v>
      </c>
      <c r="B636" s="185" t="s">
        <v>2255</v>
      </c>
      <c r="C636" s="185" t="s">
        <v>1792</v>
      </c>
      <c r="D636" s="185" t="s">
        <v>2256</v>
      </c>
      <c r="E636" s="185">
        <v>51353501</v>
      </c>
      <c r="F636" s="185" t="s">
        <v>502</v>
      </c>
      <c r="G636" s="185" t="s">
        <v>1812</v>
      </c>
      <c r="H636" s="185" t="s">
        <v>1515</v>
      </c>
      <c r="I636" s="258" t="str">
        <f t="shared" si="28"/>
        <v>5</v>
      </c>
      <c r="J636" s="221">
        <f t="shared" si="29"/>
        <v>33749.39</v>
      </c>
      <c r="K636" s="258">
        <f t="shared" si="30"/>
        <v>3</v>
      </c>
      <c r="L636" s="188">
        <v>33749.39</v>
      </c>
      <c r="M636" s="188">
        <v>0</v>
      </c>
      <c r="N636" s="189">
        <v>800153993</v>
      </c>
      <c r="O636" t="s">
        <v>2257</v>
      </c>
      <c r="P636" s="187">
        <v>45009.417592592603</v>
      </c>
      <c r="Q636" s="186">
        <v>8786</v>
      </c>
      <c r="R636" s="185" t="s">
        <v>1814</v>
      </c>
      <c r="S636" s="185" t="s">
        <v>1556</v>
      </c>
      <c r="T636"/>
      <c r="U636" t="str">
        <f>IF($L636&gt;0,VLOOKUP($E636,Valida!$A$1:$G$270,6,FALSE),IF($M636&gt;=0,VLOOKUP($E636,Valida!$A$1:$G$270,7,FALSE)))</f>
        <v>(+/-) Ganancia (pérdida)</v>
      </c>
      <c r="V636" s="190" t="str">
        <f>VLOOKUP(E636,Valida!$A$2:$K$271,4,FALSE)</f>
        <v>P&amp;L</v>
      </c>
      <c r="W636" s="185" t="s">
        <v>1815</v>
      </c>
      <c r="X636" s="185"/>
      <c r="Y636" s="185" t="s">
        <v>1789</v>
      </c>
      <c r="Z636"/>
    </row>
    <row r="637" spans="1:26">
      <c r="A637" s="185" t="s">
        <v>2248</v>
      </c>
      <c r="B637" s="185" t="s">
        <v>2255</v>
      </c>
      <c r="C637" s="185" t="s">
        <v>1792</v>
      </c>
      <c r="D637" s="185" t="s">
        <v>2256</v>
      </c>
      <c r="E637" s="185">
        <v>23355001</v>
      </c>
      <c r="F637" s="185" t="s">
        <v>502</v>
      </c>
      <c r="G637" s="185" t="s">
        <v>1812</v>
      </c>
      <c r="H637" s="185" t="s">
        <v>1628</v>
      </c>
      <c r="I637" s="258" t="str">
        <f t="shared" si="28"/>
        <v>2</v>
      </c>
      <c r="J637" s="221">
        <f t="shared" si="29"/>
        <v>-48664.34</v>
      </c>
      <c r="K637" s="258">
        <f t="shared" si="30"/>
        <v>3</v>
      </c>
      <c r="L637" s="188">
        <v>0</v>
      </c>
      <c r="M637" s="188">
        <v>48664.34</v>
      </c>
      <c r="N637" s="189">
        <v>800153993</v>
      </c>
      <c r="O637" t="s">
        <v>2257</v>
      </c>
      <c r="P637" s="187">
        <v>45009.417592592603</v>
      </c>
      <c r="Q637" s="186">
        <v>8787</v>
      </c>
      <c r="R637" s="185" t="s">
        <v>1814</v>
      </c>
      <c r="S637" s="185" t="s">
        <v>1556</v>
      </c>
      <c r="T637"/>
      <c r="U637" t="str">
        <f>IF($L637&gt;0,VLOOKUP($E637,Valida!$A$1:$G$270,6,FALSE),IF($M637&gt;=0,VLOOKUP($E637,Valida!$A$1:$G$270,7,FALSE)))</f>
        <v>(+/-) Ajustes por el incremento (disminución) de cuentas por pagar de origen comercial</v>
      </c>
      <c r="V637" s="190" t="str">
        <f>VLOOKUP(E637,Valida!$A$2:$K$271,4,FALSE)</f>
        <v>Trade and other payables</v>
      </c>
      <c r="W637" s="185" t="s">
        <v>1815</v>
      </c>
      <c r="X637" s="185"/>
      <c r="Y637" s="185" t="s">
        <v>1789</v>
      </c>
      <c r="Z637"/>
    </row>
    <row r="638" spans="1:26">
      <c r="A638" s="185" t="s">
        <v>2248</v>
      </c>
      <c r="B638" s="185" t="s">
        <v>2255</v>
      </c>
      <c r="C638" s="185" t="s">
        <v>1792</v>
      </c>
      <c r="D638" s="185" t="s">
        <v>2256</v>
      </c>
      <c r="E638" s="185">
        <v>51353501</v>
      </c>
      <c r="F638" s="185" t="s">
        <v>502</v>
      </c>
      <c r="G638" s="185" t="s">
        <v>1812</v>
      </c>
      <c r="H638" s="185" t="s">
        <v>1515</v>
      </c>
      <c r="I638" s="258" t="str">
        <f t="shared" si="28"/>
        <v>5</v>
      </c>
      <c r="J638" s="221">
        <f t="shared" si="29"/>
        <v>6912.52</v>
      </c>
      <c r="K638" s="258">
        <f t="shared" si="30"/>
        <v>3</v>
      </c>
      <c r="L638" s="188">
        <v>6912.52</v>
      </c>
      <c r="M638" s="188">
        <v>0</v>
      </c>
      <c r="N638" s="189">
        <v>800153993</v>
      </c>
      <c r="O638" t="s">
        <v>2257</v>
      </c>
      <c r="P638" s="187">
        <v>45009.417592592603</v>
      </c>
      <c r="Q638" s="186">
        <v>8788</v>
      </c>
      <c r="R638" s="185" t="s">
        <v>1814</v>
      </c>
      <c r="S638" s="185" t="s">
        <v>1556</v>
      </c>
      <c r="T638"/>
      <c r="U638" t="str">
        <f>IF($L638&gt;0,VLOOKUP($E638,Valida!$A$1:$G$270,6,FALSE),IF($M638&gt;=0,VLOOKUP($E638,Valida!$A$1:$G$270,7,FALSE)))</f>
        <v>(+/-) Ganancia (pérdida)</v>
      </c>
      <c r="V638" s="190" t="str">
        <f>VLOOKUP(E638,Valida!$A$2:$K$271,4,FALSE)</f>
        <v>P&amp;L</v>
      </c>
      <c r="W638" s="185" t="s">
        <v>1815</v>
      </c>
      <c r="X638" s="185"/>
      <c r="Y638" s="185" t="s">
        <v>1789</v>
      </c>
      <c r="Z638"/>
    </row>
    <row r="639" spans="1:26">
      <c r="A639" s="185" t="s">
        <v>2248</v>
      </c>
      <c r="B639" s="185" t="s">
        <v>2255</v>
      </c>
      <c r="C639" s="185" t="s">
        <v>1792</v>
      </c>
      <c r="D639" s="185" t="s">
        <v>2256</v>
      </c>
      <c r="E639" s="185">
        <v>24081002</v>
      </c>
      <c r="F639" s="185" t="s">
        <v>1687</v>
      </c>
      <c r="G639" s="185" t="s">
        <v>1812</v>
      </c>
      <c r="H639" s="185" t="s">
        <v>1515</v>
      </c>
      <c r="I639" s="258" t="str">
        <f t="shared" si="28"/>
        <v>2</v>
      </c>
      <c r="J639" s="221">
        <f t="shared" si="29"/>
        <v>7725.76</v>
      </c>
      <c r="K639" s="258">
        <f t="shared" si="30"/>
        <v>3</v>
      </c>
      <c r="L639" s="188">
        <v>7725.76</v>
      </c>
      <c r="M639" s="188">
        <v>0</v>
      </c>
      <c r="N639" s="189">
        <v>800153993</v>
      </c>
      <c r="O639" t="s">
        <v>2257</v>
      </c>
      <c r="P639" s="187">
        <v>45009.417604166701</v>
      </c>
      <c r="Q639" s="186">
        <v>8789</v>
      </c>
      <c r="R639" s="185" t="s">
        <v>1814</v>
      </c>
      <c r="S639" s="185" t="s">
        <v>1556</v>
      </c>
      <c r="T639"/>
      <c r="U639" t="str">
        <f>IF($L639&gt;0,VLOOKUP($E639,Valida!$A$1:$G$270,6,FALSE),IF($M639&gt;=0,VLOOKUP($E639,Valida!$A$1:$G$270,7,FALSE)))</f>
        <v>(+/-) Ajustes por el incremento (disminución) de cuentas por pagar de origen comercial</v>
      </c>
      <c r="V639" s="190" t="str">
        <f>VLOOKUP(E639,Valida!$A$2:$K$271,4,FALSE)</f>
        <v>Trade and other payables</v>
      </c>
      <c r="W639" s="185" t="s">
        <v>1815</v>
      </c>
      <c r="X639" s="185"/>
      <c r="Y639" s="185" t="s">
        <v>1789</v>
      </c>
      <c r="Z639"/>
    </row>
    <row r="640" spans="1:26">
      <c r="A640" s="185" t="s">
        <v>2248</v>
      </c>
      <c r="B640" s="185" t="s">
        <v>2255</v>
      </c>
      <c r="C640" s="185" t="s">
        <v>1792</v>
      </c>
      <c r="D640" s="185" t="s">
        <v>2256</v>
      </c>
      <c r="E640" s="185">
        <v>51353501</v>
      </c>
      <c r="F640" s="185" t="s">
        <v>502</v>
      </c>
      <c r="G640" s="185" t="s">
        <v>1812</v>
      </c>
      <c r="H640" s="185" t="s">
        <v>1515</v>
      </c>
      <c r="I640" s="258" t="str">
        <f t="shared" si="28"/>
        <v>5</v>
      </c>
      <c r="J640" s="221">
        <f t="shared" si="29"/>
        <v>0.17</v>
      </c>
      <c r="K640" s="258">
        <f t="shared" si="30"/>
        <v>3</v>
      </c>
      <c r="L640" s="188">
        <v>0.17</v>
      </c>
      <c r="M640" s="188">
        <v>0</v>
      </c>
      <c r="N640" s="189">
        <v>800153993</v>
      </c>
      <c r="O640" t="s">
        <v>2257</v>
      </c>
      <c r="P640" s="187">
        <v>45009.417604166701</v>
      </c>
      <c r="Q640" s="186">
        <v>8790</v>
      </c>
      <c r="R640" s="185" t="s">
        <v>1814</v>
      </c>
      <c r="S640" s="185" t="s">
        <v>1556</v>
      </c>
      <c r="T640"/>
      <c r="U640" t="str">
        <f>IF($L640&gt;0,VLOOKUP($E640,Valida!$A$1:$G$270,6,FALSE),IF($M640&gt;=0,VLOOKUP($E640,Valida!$A$1:$G$270,7,FALSE)))</f>
        <v>(+/-) Ganancia (pérdida)</v>
      </c>
      <c r="V640" s="190" t="str">
        <f>VLOOKUP(E640,Valida!$A$2:$K$271,4,FALSE)</f>
        <v>P&amp;L</v>
      </c>
      <c r="W640" s="185" t="s">
        <v>1815</v>
      </c>
      <c r="X640" s="185"/>
      <c r="Y640" s="185" t="s">
        <v>1789</v>
      </c>
      <c r="Z640"/>
    </row>
    <row r="641" spans="1:26">
      <c r="A641" s="185" t="s">
        <v>2248</v>
      </c>
      <c r="B641" s="185" t="s">
        <v>2258</v>
      </c>
      <c r="C641" s="185" t="s">
        <v>1792</v>
      </c>
      <c r="D641" s="185" t="s">
        <v>2259</v>
      </c>
      <c r="E641" s="185">
        <v>51352002</v>
      </c>
      <c r="F641" s="185" t="s">
        <v>1270</v>
      </c>
      <c r="G641" s="185" t="s">
        <v>1825</v>
      </c>
      <c r="H641" s="185" t="s">
        <v>1515</v>
      </c>
      <c r="I641" s="258" t="str">
        <f t="shared" si="28"/>
        <v>5</v>
      </c>
      <c r="J641" s="221">
        <f t="shared" si="29"/>
        <v>3214000</v>
      </c>
      <c r="K641" s="258">
        <f t="shared" si="30"/>
        <v>3</v>
      </c>
      <c r="L641" s="188">
        <v>3214000</v>
      </c>
      <c r="M641" s="188">
        <v>0</v>
      </c>
      <c r="N641" s="189">
        <v>800153993</v>
      </c>
      <c r="O641" t="s">
        <v>2260</v>
      </c>
      <c r="P641" s="187">
        <v>45009.432094907403</v>
      </c>
      <c r="Q641" s="186">
        <v>8791</v>
      </c>
      <c r="R641" s="185" t="s">
        <v>1814</v>
      </c>
      <c r="S641" s="185" t="s">
        <v>1556</v>
      </c>
      <c r="T641"/>
      <c r="U641" t="str">
        <f>IF($L641&gt;0,VLOOKUP($E641,Valida!$A$1:$G$270,6,FALSE),IF($M641&gt;=0,VLOOKUP($E641,Valida!$A$1:$G$270,7,FALSE)))</f>
        <v>(+/-) Ganancia (pérdida)</v>
      </c>
      <c r="V641" s="190" t="str">
        <f>VLOOKUP(E641,Valida!$A$2:$K$271,4,FALSE)</f>
        <v>P&amp;L</v>
      </c>
      <c r="W641" s="185" t="s">
        <v>1815</v>
      </c>
      <c r="X641" s="185"/>
      <c r="Y641" s="185" t="s">
        <v>1789</v>
      </c>
      <c r="Z641"/>
    </row>
    <row r="642" spans="1:26">
      <c r="A642" s="185" t="s">
        <v>2248</v>
      </c>
      <c r="B642" s="185" t="s">
        <v>2258</v>
      </c>
      <c r="C642" s="185" t="s">
        <v>1792</v>
      </c>
      <c r="D642" s="185" t="s">
        <v>2259</v>
      </c>
      <c r="E642" s="185">
        <v>24081002</v>
      </c>
      <c r="F642" s="185" t="s">
        <v>1687</v>
      </c>
      <c r="G642" s="185" t="s">
        <v>1830</v>
      </c>
      <c r="H642" s="185" t="s">
        <v>1515</v>
      </c>
      <c r="I642" s="258" t="str">
        <f t="shared" si="28"/>
        <v>2</v>
      </c>
      <c r="J642" s="221">
        <f t="shared" si="29"/>
        <v>610660</v>
      </c>
      <c r="K642" s="258">
        <f t="shared" si="30"/>
        <v>3</v>
      </c>
      <c r="L642" s="188">
        <v>610660</v>
      </c>
      <c r="M642" s="188">
        <v>0</v>
      </c>
      <c r="N642" s="189">
        <v>800153993</v>
      </c>
      <c r="O642" t="s">
        <v>2260</v>
      </c>
      <c r="P642" s="187">
        <v>45009.432094907403</v>
      </c>
      <c r="Q642" s="186">
        <v>8792</v>
      </c>
      <c r="R642" s="185" t="s">
        <v>1814</v>
      </c>
      <c r="S642" s="185" t="s">
        <v>1556</v>
      </c>
      <c r="T642"/>
      <c r="U642" t="str">
        <f>IF($L642&gt;0,VLOOKUP($E642,Valida!$A$1:$G$270,6,FALSE),IF($M642&gt;=0,VLOOKUP($E642,Valida!$A$1:$G$270,7,FALSE)))</f>
        <v>(+/-) Ajustes por el incremento (disminución) de cuentas por pagar de origen comercial</v>
      </c>
      <c r="V642" s="190" t="str">
        <f>VLOOKUP(E642,Valida!$A$2:$K$271,4,FALSE)</f>
        <v>Trade and other payables</v>
      </c>
      <c r="W642" s="185" t="s">
        <v>1815</v>
      </c>
      <c r="X642" s="185"/>
      <c r="Y642" s="185" t="s">
        <v>1789</v>
      </c>
      <c r="Z642"/>
    </row>
    <row r="643" spans="1:26">
      <c r="A643" s="185" t="s">
        <v>2248</v>
      </c>
      <c r="B643" s="185" t="s">
        <v>2258</v>
      </c>
      <c r="C643" s="185" t="s">
        <v>1792</v>
      </c>
      <c r="D643" s="185" t="s">
        <v>2259</v>
      </c>
      <c r="E643" s="185">
        <v>23355006</v>
      </c>
      <c r="F643" s="185" t="s">
        <v>519</v>
      </c>
      <c r="G643" s="185" t="s">
        <v>1825</v>
      </c>
      <c r="H643" s="185" t="s">
        <v>1628</v>
      </c>
      <c r="I643" s="258" t="str">
        <f t="shared" ref="I643:I706" si="31">LEFT(E643,1)</f>
        <v>2</v>
      </c>
      <c r="J643" s="221">
        <f t="shared" ref="J643:J706" si="32">L643-M643</f>
        <v>-3824660</v>
      </c>
      <c r="K643" s="258">
        <f t="shared" ref="K643:K706" si="33">MONTH(A643)</f>
        <v>3</v>
      </c>
      <c r="L643" s="188">
        <v>0</v>
      </c>
      <c r="M643" s="188">
        <v>3824660</v>
      </c>
      <c r="N643" s="189">
        <v>800153993</v>
      </c>
      <c r="O643" t="s">
        <v>2260</v>
      </c>
      <c r="P643" s="187">
        <v>45009.432094907403</v>
      </c>
      <c r="Q643" s="186">
        <v>8793</v>
      </c>
      <c r="R643" s="185" t="s">
        <v>1814</v>
      </c>
      <c r="S643" s="185" t="s">
        <v>1556</v>
      </c>
      <c r="T643"/>
      <c r="U643" t="str">
        <f>IF($L643&gt;0,VLOOKUP($E643,Valida!$A$1:$G$270,6,FALSE),IF($M643&gt;=0,VLOOKUP($E643,Valida!$A$1:$G$270,7,FALSE)))</f>
        <v>(+/-) Ajustes por el incremento (disminución) de cuentas por pagar de origen comercial</v>
      </c>
      <c r="V643" s="190" t="str">
        <f>VLOOKUP(E643,Valida!$A$2:$K$271,4,FALSE)</f>
        <v>Trade and other payables</v>
      </c>
      <c r="W643" s="185" t="s">
        <v>1815</v>
      </c>
      <c r="X643" s="185"/>
      <c r="Y643" s="185" t="s">
        <v>1789</v>
      </c>
      <c r="Z643"/>
    </row>
    <row r="644" spans="1:26">
      <c r="A644" s="185" t="s">
        <v>2261</v>
      </c>
      <c r="B644" s="185" t="s">
        <v>2262</v>
      </c>
      <c r="C644" s="185" t="s">
        <v>1792</v>
      </c>
      <c r="D644" s="185" t="s">
        <v>2263</v>
      </c>
      <c r="E644" s="185">
        <v>51952502</v>
      </c>
      <c r="F644" s="185" t="s">
        <v>1414</v>
      </c>
      <c r="G644" s="185" t="s">
        <v>1862</v>
      </c>
      <c r="H644" s="185" t="s">
        <v>1515</v>
      </c>
      <c r="I644" s="258" t="str">
        <f t="shared" si="31"/>
        <v>5</v>
      </c>
      <c r="J644" s="221">
        <f t="shared" si="32"/>
        <v>107000</v>
      </c>
      <c r="K644" s="258">
        <f t="shared" si="33"/>
        <v>3</v>
      </c>
      <c r="L644" s="188">
        <v>107000</v>
      </c>
      <c r="M644" s="188">
        <v>0</v>
      </c>
      <c r="N644" s="189">
        <v>900424409</v>
      </c>
      <c r="O644" t="s">
        <v>2264</v>
      </c>
      <c r="P644" s="187">
        <v>45009.433009259301</v>
      </c>
      <c r="Q644" s="186">
        <v>8794</v>
      </c>
      <c r="R644" s="185" t="s">
        <v>844</v>
      </c>
      <c r="S644" s="185" t="s">
        <v>1598</v>
      </c>
      <c r="T644"/>
      <c r="U644" t="str">
        <f>IF($L644&gt;0,VLOOKUP($E644,Valida!$A$1:$G$270,6,FALSE),IF($M644&gt;=0,VLOOKUP($E644,Valida!$A$1:$G$270,7,FALSE)))</f>
        <v>(+/-) Ganancia (pérdida)</v>
      </c>
      <c r="V644" s="190" t="str">
        <f>VLOOKUP(E644,Valida!$A$2:$K$271,4,FALSE)</f>
        <v>P&amp;L</v>
      </c>
      <c r="W644" s="185" t="s">
        <v>1864</v>
      </c>
      <c r="X644" s="185" t="s">
        <v>1865</v>
      </c>
      <c r="Y644" s="185" t="s">
        <v>1789</v>
      </c>
      <c r="Z644"/>
    </row>
    <row r="645" spans="1:26">
      <c r="A645" s="185" t="s">
        <v>2261</v>
      </c>
      <c r="B645" s="185" t="s">
        <v>2262</v>
      </c>
      <c r="C645" s="185" t="s">
        <v>1792</v>
      </c>
      <c r="D645" s="185" t="s">
        <v>2263</v>
      </c>
      <c r="E645" s="185">
        <v>24081002</v>
      </c>
      <c r="F645" s="185" t="s">
        <v>1687</v>
      </c>
      <c r="G645" s="185" t="s">
        <v>1866</v>
      </c>
      <c r="H645" s="185" t="s">
        <v>1515</v>
      </c>
      <c r="I645" s="258" t="str">
        <f t="shared" si="31"/>
        <v>2</v>
      </c>
      <c r="J645" s="221">
        <f t="shared" si="32"/>
        <v>20330</v>
      </c>
      <c r="K645" s="258">
        <f t="shared" si="33"/>
        <v>3</v>
      </c>
      <c r="L645" s="188">
        <v>20330</v>
      </c>
      <c r="M645" s="188">
        <v>0</v>
      </c>
      <c r="N645" s="189">
        <v>900424409</v>
      </c>
      <c r="O645" t="s">
        <v>2264</v>
      </c>
      <c r="P645" s="187">
        <v>45009.433009259301</v>
      </c>
      <c r="Q645" s="186">
        <v>8795</v>
      </c>
      <c r="R645" s="185" t="s">
        <v>844</v>
      </c>
      <c r="S645" s="185" t="s">
        <v>1598</v>
      </c>
      <c r="T645"/>
      <c r="U645" t="str">
        <f>IF($L645&gt;0,VLOOKUP($E645,Valida!$A$1:$G$270,6,FALSE),IF($M645&gt;=0,VLOOKUP($E645,Valida!$A$1:$G$270,7,FALSE)))</f>
        <v>(+/-) Ajustes por el incremento (disminución) de cuentas por pagar de origen comercial</v>
      </c>
      <c r="V645" s="190" t="str">
        <f>VLOOKUP(E645,Valida!$A$2:$K$271,4,FALSE)</f>
        <v>Trade and other payables</v>
      </c>
      <c r="W645" s="185" t="s">
        <v>1864</v>
      </c>
      <c r="X645" s="185" t="s">
        <v>1865</v>
      </c>
      <c r="Y645" s="185" t="s">
        <v>1789</v>
      </c>
      <c r="Z645"/>
    </row>
    <row r="646" spans="1:26">
      <c r="A646" s="185" t="s">
        <v>2261</v>
      </c>
      <c r="B646" s="185" t="s">
        <v>2262</v>
      </c>
      <c r="C646" s="185" t="s">
        <v>1792</v>
      </c>
      <c r="D646" s="185" t="s">
        <v>2263</v>
      </c>
      <c r="E646" s="185">
        <v>23359502</v>
      </c>
      <c r="F646" s="185" t="s">
        <v>547</v>
      </c>
      <c r="G646" s="185" t="s">
        <v>1862</v>
      </c>
      <c r="H646" s="185" t="s">
        <v>1628</v>
      </c>
      <c r="I646" s="258" t="str">
        <f t="shared" si="31"/>
        <v>2</v>
      </c>
      <c r="J646" s="221">
        <f t="shared" si="32"/>
        <v>-122016</v>
      </c>
      <c r="K646" s="258">
        <f t="shared" si="33"/>
        <v>3</v>
      </c>
      <c r="L646" s="188">
        <v>0</v>
      </c>
      <c r="M646" s="188">
        <v>122016</v>
      </c>
      <c r="N646" s="189">
        <v>900424409</v>
      </c>
      <c r="O646" t="s">
        <v>2264</v>
      </c>
      <c r="P646" s="187">
        <v>45009.433009259301</v>
      </c>
      <c r="Q646" s="186">
        <v>8796</v>
      </c>
      <c r="R646" s="185" t="s">
        <v>844</v>
      </c>
      <c r="S646" s="185" t="s">
        <v>1598</v>
      </c>
      <c r="T646"/>
      <c r="U646" t="str">
        <f>IF($L646&gt;0,VLOOKUP($E646,Valida!$A$1:$G$270,6,FALSE),IF($M646&gt;=0,VLOOKUP($E646,Valida!$A$1:$G$270,7,FALSE)))</f>
        <v>(+/-) Ajustes por el incremento (disminución) de cuentas por pagar de origen comercial</v>
      </c>
      <c r="V646" s="190" t="str">
        <f>VLOOKUP(E646,Valida!$A$2:$K$271,4,FALSE)</f>
        <v>Trade and other payables</v>
      </c>
      <c r="W646" s="185" t="s">
        <v>1864</v>
      </c>
      <c r="X646" s="185" t="s">
        <v>1865</v>
      </c>
      <c r="Y646" s="185" t="s">
        <v>1789</v>
      </c>
      <c r="Z646"/>
    </row>
    <row r="647" spans="1:26">
      <c r="A647" s="185" t="s">
        <v>2261</v>
      </c>
      <c r="B647" s="185" t="s">
        <v>2262</v>
      </c>
      <c r="C647" s="185" t="s">
        <v>1792</v>
      </c>
      <c r="D647" s="185" t="s">
        <v>2263</v>
      </c>
      <c r="E647" s="185">
        <v>23653002</v>
      </c>
      <c r="F647" s="185" t="s">
        <v>241</v>
      </c>
      <c r="G647" s="185" t="s">
        <v>1867</v>
      </c>
      <c r="H647" s="185" t="s">
        <v>1628</v>
      </c>
      <c r="I647" s="258" t="str">
        <f t="shared" si="31"/>
        <v>2</v>
      </c>
      <c r="J647" s="221">
        <f t="shared" si="32"/>
        <v>-4280</v>
      </c>
      <c r="K647" s="258">
        <f t="shared" si="33"/>
        <v>3</v>
      </c>
      <c r="L647" s="188">
        <v>0</v>
      </c>
      <c r="M647" s="188">
        <v>4280</v>
      </c>
      <c r="N647" s="189">
        <v>900424409</v>
      </c>
      <c r="O647" t="s">
        <v>2264</v>
      </c>
      <c r="P647" s="187">
        <v>45009.433020833298</v>
      </c>
      <c r="Q647" s="186">
        <v>8797</v>
      </c>
      <c r="R647" s="185" t="s">
        <v>844</v>
      </c>
      <c r="S647" s="185" t="s">
        <v>1598</v>
      </c>
      <c r="T647"/>
      <c r="U647" t="str">
        <f>IF($L647&gt;0,VLOOKUP($E647,Valida!$A$1:$G$270,6,FALSE),IF($M647&gt;=0,VLOOKUP($E647,Valida!$A$1:$G$270,7,FALSE)))</f>
        <v>(+/-) Ajustes por el incremento (disminución) de cuentas por pagar de origen comercial</v>
      </c>
      <c r="V647" s="190" t="str">
        <f>VLOOKUP(E647,Valida!$A$2:$K$271,4,FALSE)</f>
        <v>Trade and other payables</v>
      </c>
      <c r="W647" s="185" t="s">
        <v>1864</v>
      </c>
      <c r="X647" s="185" t="s">
        <v>1865</v>
      </c>
      <c r="Y647" s="185" t="s">
        <v>1789</v>
      </c>
      <c r="Z647"/>
    </row>
    <row r="648" spans="1:26">
      <c r="A648" s="185" t="s">
        <v>2261</v>
      </c>
      <c r="B648" s="185" t="s">
        <v>2262</v>
      </c>
      <c r="C648" s="185" t="s">
        <v>1792</v>
      </c>
      <c r="D648" s="185" t="s">
        <v>2263</v>
      </c>
      <c r="E648" s="185">
        <v>23680503</v>
      </c>
      <c r="F648" s="185" t="s">
        <v>665</v>
      </c>
      <c r="G648" s="185" t="s">
        <v>1868</v>
      </c>
      <c r="H648" s="185" t="s">
        <v>1628</v>
      </c>
      <c r="I648" s="258" t="str">
        <f t="shared" si="31"/>
        <v>2</v>
      </c>
      <c r="J648" s="221">
        <f t="shared" si="32"/>
        <v>-1034</v>
      </c>
      <c r="K648" s="258">
        <f t="shared" si="33"/>
        <v>3</v>
      </c>
      <c r="L648" s="188">
        <v>0</v>
      </c>
      <c r="M648" s="188">
        <v>1034</v>
      </c>
      <c r="N648" s="189">
        <v>900424409</v>
      </c>
      <c r="O648" t="s">
        <v>2264</v>
      </c>
      <c r="P648" s="187">
        <v>45009.433020833298</v>
      </c>
      <c r="Q648" s="186">
        <v>8798</v>
      </c>
      <c r="R648" s="185" t="s">
        <v>844</v>
      </c>
      <c r="S648" s="185" t="s">
        <v>1598</v>
      </c>
      <c r="T648"/>
      <c r="U648" t="str">
        <f>IF($L648&gt;0,VLOOKUP($E648,Valida!$A$1:$G$270,6,FALSE),IF($M648&gt;=0,VLOOKUP($E648,Valida!$A$1:$G$270,7,FALSE)))</f>
        <v>(+/-) Ajustes por el incremento (disminución) de cuentas por pagar de origen comercial</v>
      </c>
      <c r="V648" s="190" t="str">
        <f>VLOOKUP(E648,Valida!$A$2:$K$271,4,FALSE)</f>
        <v>Trade and other payables</v>
      </c>
      <c r="W648" s="185" t="s">
        <v>1864</v>
      </c>
      <c r="X648" s="185" t="s">
        <v>1865</v>
      </c>
      <c r="Y648" s="185" t="s">
        <v>1789</v>
      </c>
      <c r="Z648"/>
    </row>
    <row r="649" spans="1:26">
      <c r="A649" s="185" t="s">
        <v>2265</v>
      </c>
      <c r="B649" s="185" t="s">
        <v>2266</v>
      </c>
      <c r="C649" s="185" t="s">
        <v>1897</v>
      </c>
      <c r="D649" s="185" t="s">
        <v>2267</v>
      </c>
      <c r="E649" s="185">
        <v>237005</v>
      </c>
      <c r="F649" s="185" t="s">
        <v>676</v>
      </c>
      <c r="G649" s="185" t="s">
        <v>2268</v>
      </c>
      <c r="H649" s="185" t="s">
        <v>1628</v>
      </c>
      <c r="I649" s="258" t="str">
        <f t="shared" si="31"/>
        <v>2</v>
      </c>
      <c r="J649" s="221">
        <f t="shared" si="32"/>
        <v>-60000</v>
      </c>
      <c r="K649" s="258">
        <f t="shared" si="33"/>
        <v>3</v>
      </c>
      <c r="L649" s="188">
        <v>0</v>
      </c>
      <c r="M649" s="188">
        <v>60000</v>
      </c>
      <c r="N649" s="189">
        <v>860066942</v>
      </c>
      <c r="O649" t="s">
        <v>2266</v>
      </c>
      <c r="P649" s="187">
        <v>45009</v>
      </c>
      <c r="Q649" s="186">
        <v>8799</v>
      </c>
      <c r="R649" s="185" t="s">
        <v>1814</v>
      </c>
      <c r="S649" s="185" t="s">
        <v>1574</v>
      </c>
      <c r="T649"/>
      <c r="U649" t="str">
        <f>IF($L649&gt;0,VLOOKUP($E649,Valida!$A$1:$G$270,6,FALSE),IF($M649&gt;=0,VLOOKUP($E649,Valida!$A$1:$G$270,7,FALSE)))</f>
        <v>(+/-) Ajustes por el incremento (disminución) de cuentas por pagar de origen comercial</v>
      </c>
      <c r="V649" s="190" t="str">
        <f>VLOOKUP(E649,Valida!$A$2:$K$271,4,FALSE)</f>
        <v>Trade and other payables</v>
      </c>
      <c r="W649" s="185" t="s">
        <v>1914</v>
      </c>
      <c r="X649" s="185" t="s">
        <v>1915</v>
      </c>
      <c r="Y649" s="185" t="s">
        <v>1789</v>
      </c>
      <c r="Z649"/>
    </row>
    <row r="650" spans="1:26">
      <c r="A650" s="185" t="s">
        <v>2265</v>
      </c>
      <c r="B650" s="185" t="s">
        <v>2266</v>
      </c>
      <c r="C650" s="185" t="s">
        <v>1897</v>
      </c>
      <c r="D650" s="185" t="s">
        <v>2267</v>
      </c>
      <c r="E650" s="185">
        <v>238030</v>
      </c>
      <c r="F650" s="185" t="s">
        <v>721</v>
      </c>
      <c r="G650" s="185" t="s">
        <v>2268</v>
      </c>
      <c r="H650" s="185" t="s">
        <v>1628</v>
      </c>
      <c r="I650" s="258" t="str">
        <f t="shared" si="31"/>
        <v>2</v>
      </c>
      <c r="J650" s="221">
        <f t="shared" si="32"/>
        <v>-60000</v>
      </c>
      <c r="K650" s="258">
        <f t="shared" si="33"/>
        <v>3</v>
      </c>
      <c r="L650" s="188">
        <v>0</v>
      </c>
      <c r="M650" s="188">
        <v>60000</v>
      </c>
      <c r="N650" s="189">
        <v>800224808</v>
      </c>
      <c r="O650" t="s">
        <v>2266</v>
      </c>
      <c r="P650" s="187">
        <v>45009</v>
      </c>
      <c r="Q650" s="186">
        <v>8800</v>
      </c>
      <c r="R650" s="185" t="s">
        <v>1827</v>
      </c>
      <c r="S650" s="185" t="s">
        <v>1662</v>
      </c>
      <c r="T650"/>
      <c r="U650" t="str">
        <f>IF($L650&gt;0,VLOOKUP($E650,Valida!$A$1:$G$270,6,FALSE),IF($M650&gt;=0,VLOOKUP($E650,Valida!$A$1:$G$270,7,FALSE)))</f>
        <v>(+/-) Ajustes por el incremento (disminución) de cuentas por pagar de origen comercial</v>
      </c>
      <c r="V650" s="190" t="str">
        <f>VLOOKUP(E650,Valida!$A$2:$K$271,4,FALSE)</f>
        <v>Trade and other payables</v>
      </c>
      <c r="W650" s="185" t="s">
        <v>1911</v>
      </c>
      <c r="X650" s="185"/>
      <c r="Y650" s="185" t="s">
        <v>1789</v>
      </c>
      <c r="Z650"/>
    </row>
    <row r="651" spans="1:26">
      <c r="A651" s="185" t="s">
        <v>2265</v>
      </c>
      <c r="B651" s="185" t="s">
        <v>2266</v>
      </c>
      <c r="C651" s="185" t="s">
        <v>1897</v>
      </c>
      <c r="D651" s="185" t="s">
        <v>2267</v>
      </c>
      <c r="E651" s="185">
        <v>510506</v>
      </c>
      <c r="F651" s="185" t="s">
        <v>1076</v>
      </c>
      <c r="G651" s="185" t="s">
        <v>2268</v>
      </c>
      <c r="H651" s="185" t="s">
        <v>1515</v>
      </c>
      <c r="I651" s="258" t="str">
        <f t="shared" si="31"/>
        <v>5</v>
      </c>
      <c r="J651" s="221">
        <f t="shared" si="32"/>
        <v>1160000</v>
      </c>
      <c r="K651" s="258">
        <f t="shared" si="33"/>
        <v>3</v>
      </c>
      <c r="L651" s="188">
        <v>1160000</v>
      </c>
      <c r="M651" s="188">
        <v>0</v>
      </c>
      <c r="N651" s="189">
        <v>1020842223</v>
      </c>
      <c r="O651" t="s">
        <v>2266</v>
      </c>
      <c r="P651" s="187">
        <v>45009</v>
      </c>
      <c r="Q651" s="186">
        <v>8801</v>
      </c>
      <c r="R651" s="185"/>
      <c r="S651" s="185" t="s">
        <v>1532</v>
      </c>
      <c r="T651"/>
      <c r="U651" t="str">
        <f>IF($L651&gt;0,VLOOKUP($E651,Valida!$A$1:$G$270,6,FALSE),IF($M651&gt;=0,VLOOKUP($E651,Valida!$A$1:$G$270,7,FALSE)))</f>
        <v>(+/-) Ganancia (pérdida)</v>
      </c>
      <c r="V651" s="190" t="str">
        <f>VLOOKUP(E651,Valida!$A$2:$K$271,4,FALSE)</f>
        <v>P&amp;L</v>
      </c>
      <c r="W651" s="185" t="s">
        <v>1900</v>
      </c>
      <c r="X651" s="185"/>
      <c r="Y651" s="185" t="s">
        <v>1789</v>
      </c>
      <c r="Z651"/>
    </row>
    <row r="652" spans="1:26">
      <c r="A652" s="185" t="s">
        <v>2265</v>
      </c>
      <c r="B652" s="185" t="s">
        <v>2266</v>
      </c>
      <c r="C652" s="185" t="s">
        <v>1897</v>
      </c>
      <c r="D652" s="185" t="s">
        <v>2267</v>
      </c>
      <c r="E652" s="185">
        <v>510527</v>
      </c>
      <c r="F652" s="185" t="s">
        <v>1089</v>
      </c>
      <c r="G652" s="185" t="s">
        <v>2268</v>
      </c>
      <c r="H652" s="185" t="s">
        <v>1515</v>
      </c>
      <c r="I652" s="258" t="str">
        <f t="shared" si="31"/>
        <v>5</v>
      </c>
      <c r="J652" s="221">
        <f t="shared" si="32"/>
        <v>135919</v>
      </c>
      <c r="K652" s="258">
        <f t="shared" si="33"/>
        <v>3</v>
      </c>
      <c r="L652" s="188">
        <v>135919</v>
      </c>
      <c r="M652" s="188">
        <v>0</v>
      </c>
      <c r="N652" s="189">
        <v>1020842223</v>
      </c>
      <c r="O652" t="s">
        <v>2266</v>
      </c>
      <c r="P652" s="187">
        <v>45009</v>
      </c>
      <c r="Q652" s="186">
        <v>8802</v>
      </c>
      <c r="R652" s="185"/>
      <c r="S652" s="185" t="s">
        <v>1532</v>
      </c>
      <c r="T652"/>
      <c r="U652" t="str">
        <f>IF($L652&gt;0,VLOOKUP($E652,Valida!$A$1:$G$270,6,FALSE),IF($M652&gt;=0,VLOOKUP($E652,Valida!$A$1:$G$270,7,FALSE)))</f>
        <v>(+/-) Ganancia (pérdida)</v>
      </c>
      <c r="V652" s="190" t="str">
        <f>VLOOKUP(E652,Valida!$A$2:$K$271,4,FALSE)</f>
        <v>P&amp;L</v>
      </c>
      <c r="W652" s="185" t="s">
        <v>1900</v>
      </c>
      <c r="X652" s="185"/>
      <c r="Y652" s="185" t="s">
        <v>1789</v>
      </c>
      <c r="Z652"/>
    </row>
    <row r="653" spans="1:26">
      <c r="A653" s="185" t="s">
        <v>2265</v>
      </c>
      <c r="B653" s="185" t="s">
        <v>2266</v>
      </c>
      <c r="C653" s="185" t="s">
        <v>1897</v>
      </c>
      <c r="D653" s="185" t="s">
        <v>2267</v>
      </c>
      <c r="E653" s="185">
        <v>510515</v>
      </c>
      <c r="F653" s="185" t="s">
        <v>1080</v>
      </c>
      <c r="G653" s="185" t="s">
        <v>2268</v>
      </c>
      <c r="H653" s="185" t="s">
        <v>1515</v>
      </c>
      <c r="I653" s="258" t="str">
        <f t="shared" si="31"/>
        <v>5</v>
      </c>
      <c r="J653" s="221">
        <f t="shared" si="32"/>
        <v>82500</v>
      </c>
      <c r="K653" s="258">
        <f t="shared" si="33"/>
        <v>3</v>
      </c>
      <c r="L653" s="188">
        <v>82500</v>
      </c>
      <c r="M653" s="188">
        <v>0</v>
      </c>
      <c r="N653" s="189">
        <v>1020842223</v>
      </c>
      <c r="O653" t="s">
        <v>2266</v>
      </c>
      <c r="P653" s="187">
        <v>45009</v>
      </c>
      <c r="Q653" s="186">
        <v>8803</v>
      </c>
      <c r="R653" s="185"/>
      <c r="S653" s="185" t="s">
        <v>1532</v>
      </c>
      <c r="T653"/>
      <c r="U653" t="str">
        <f>IF($L653&gt;0,VLOOKUP($E653,Valida!$A$1:$G$270,6,FALSE),IF($M653&gt;=0,VLOOKUP($E653,Valida!$A$1:$G$270,7,FALSE)))</f>
        <v>(+/-) Ganancia (pérdida)</v>
      </c>
      <c r="V653" s="190" t="str">
        <f>VLOOKUP(E653,Valida!$A$2:$K$271,4,FALSE)</f>
        <v>P&amp;L</v>
      </c>
      <c r="W653" s="185" t="s">
        <v>1900</v>
      </c>
      <c r="X653" s="185"/>
      <c r="Y653" s="185" t="s">
        <v>1789</v>
      </c>
      <c r="Z653"/>
    </row>
    <row r="654" spans="1:26">
      <c r="A654" s="185" t="s">
        <v>2265</v>
      </c>
      <c r="B654" s="185" t="s">
        <v>2266</v>
      </c>
      <c r="C654" s="185" t="s">
        <v>1897</v>
      </c>
      <c r="D654" s="185" t="s">
        <v>2267</v>
      </c>
      <c r="E654" s="185">
        <v>237005</v>
      </c>
      <c r="F654" s="185" t="s">
        <v>676</v>
      </c>
      <c r="G654" s="185" t="s">
        <v>2268</v>
      </c>
      <c r="H654" s="185" t="s">
        <v>1628</v>
      </c>
      <c r="I654" s="258" t="str">
        <f t="shared" si="31"/>
        <v>2</v>
      </c>
      <c r="J654" s="221">
        <f t="shared" si="32"/>
        <v>-49700</v>
      </c>
      <c r="K654" s="258">
        <f t="shared" si="33"/>
        <v>3</v>
      </c>
      <c r="L654" s="188">
        <v>0</v>
      </c>
      <c r="M654" s="188">
        <v>49700</v>
      </c>
      <c r="N654" s="189">
        <v>800251440</v>
      </c>
      <c r="O654" t="s">
        <v>2266</v>
      </c>
      <c r="P654" s="187">
        <v>45009</v>
      </c>
      <c r="Q654" s="186">
        <v>8804</v>
      </c>
      <c r="R654" s="185" t="s">
        <v>1901</v>
      </c>
      <c r="S654" s="185" t="s">
        <v>1560</v>
      </c>
      <c r="T654"/>
      <c r="U654" t="str">
        <f>IF($L654&gt;0,VLOOKUP($E654,Valida!$A$1:$G$270,6,FALSE),IF($M654&gt;=0,VLOOKUP($E654,Valida!$A$1:$G$270,7,FALSE)))</f>
        <v>(+/-) Ajustes por el incremento (disminución) de cuentas por pagar de origen comercial</v>
      </c>
      <c r="V654" s="190" t="str">
        <f>VLOOKUP(E654,Valida!$A$2:$K$271,4,FALSE)</f>
        <v>Trade and other payables</v>
      </c>
      <c r="W654" s="185" t="s">
        <v>1902</v>
      </c>
      <c r="X654" s="185" t="s">
        <v>1903</v>
      </c>
      <c r="Y654" s="185" t="s">
        <v>1789</v>
      </c>
      <c r="Z654"/>
    </row>
    <row r="655" spans="1:26">
      <c r="A655" s="185" t="s">
        <v>2265</v>
      </c>
      <c r="B655" s="185" t="s">
        <v>2266</v>
      </c>
      <c r="C655" s="185" t="s">
        <v>1897</v>
      </c>
      <c r="D655" s="185" t="s">
        <v>2267</v>
      </c>
      <c r="E655" s="185">
        <v>238030</v>
      </c>
      <c r="F655" s="185" t="s">
        <v>721</v>
      </c>
      <c r="G655" s="185" t="s">
        <v>2268</v>
      </c>
      <c r="H655" s="185" t="s">
        <v>1628</v>
      </c>
      <c r="I655" s="258" t="str">
        <f t="shared" si="31"/>
        <v>2</v>
      </c>
      <c r="J655" s="221">
        <f t="shared" si="32"/>
        <v>-49700</v>
      </c>
      <c r="K655" s="258">
        <f t="shared" si="33"/>
        <v>3</v>
      </c>
      <c r="L655" s="188">
        <v>0</v>
      </c>
      <c r="M655" s="188">
        <v>49700</v>
      </c>
      <c r="N655" s="189">
        <v>800224808</v>
      </c>
      <c r="O655" t="s">
        <v>2266</v>
      </c>
      <c r="P655" s="187">
        <v>45009</v>
      </c>
      <c r="Q655" s="186">
        <v>8805</v>
      </c>
      <c r="R655" s="185" t="s">
        <v>1827</v>
      </c>
      <c r="S655" s="185" t="s">
        <v>1662</v>
      </c>
      <c r="T655"/>
      <c r="U655" t="str">
        <f>IF($L655&gt;0,VLOOKUP($E655,Valida!$A$1:$G$270,6,FALSE),IF($M655&gt;=0,VLOOKUP($E655,Valida!$A$1:$G$270,7,FALSE)))</f>
        <v>(+/-) Ajustes por el incremento (disminución) de cuentas por pagar de origen comercial</v>
      </c>
      <c r="V655" s="190" t="str">
        <f>VLOOKUP(E655,Valida!$A$2:$K$271,4,FALSE)</f>
        <v>Trade and other payables</v>
      </c>
      <c r="W655" s="185" t="s">
        <v>1911</v>
      </c>
      <c r="X655" s="185"/>
      <c r="Y655" s="185" t="s">
        <v>1789</v>
      </c>
      <c r="Z655"/>
    </row>
    <row r="656" spans="1:26">
      <c r="A656" s="185" t="s">
        <v>2265</v>
      </c>
      <c r="B656" s="185" t="s">
        <v>2266</v>
      </c>
      <c r="C656" s="185" t="s">
        <v>1897</v>
      </c>
      <c r="D656" s="185" t="s">
        <v>2267</v>
      </c>
      <c r="E656" s="185">
        <v>510506</v>
      </c>
      <c r="F656" s="185" t="s">
        <v>1076</v>
      </c>
      <c r="G656" s="185" t="s">
        <v>2268</v>
      </c>
      <c r="H656" s="185" t="s">
        <v>1628</v>
      </c>
      <c r="I656" s="258" t="str">
        <f t="shared" si="31"/>
        <v>5</v>
      </c>
      <c r="J656" s="221">
        <f t="shared" si="32"/>
        <v>-10000</v>
      </c>
      <c r="K656" s="258">
        <f t="shared" si="33"/>
        <v>3</v>
      </c>
      <c r="L656" s="188">
        <v>0</v>
      </c>
      <c r="M656" s="188">
        <v>10000</v>
      </c>
      <c r="N656" s="189">
        <v>1020842223</v>
      </c>
      <c r="O656" t="s">
        <v>2266</v>
      </c>
      <c r="P656" s="187">
        <v>45009</v>
      </c>
      <c r="Q656" s="186">
        <v>8806</v>
      </c>
      <c r="R656" s="185"/>
      <c r="S656" s="185" t="s">
        <v>1532</v>
      </c>
      <c r="T656"/>
      <c r="U656" t="str">
        <f>IF($L656&gt;0,VLOOKUP($E656,Valida!$A$1:$G$270,6,FALSE),IF($M656&gt;=0,VLOOKUP($E656,Valida!$A$1:$G$270,7,FALSE)))</f>
        <v>(+/-) Ganancia (pérdida)</v>
      </c>
      <c r="V656" s="190" t="str">
        <f>VLOOKUP(E656,Valida!$A$2:$K$271,4,FALSE)</f>
        <v>P&amp;L</v>
      </c>
      <c r="W656" s="185" t="s">
        <v>1900</v>
      </c>
      <c r="X656" s="185"/>
      <c r="Y656" s="185" t="s">
        <v>1789</v>
      </c>
      <c r="Z656"/>
    </row>
    <row r="657" spans="1:26">
      <c r="A657" s="185" t="s">
        <v>2265</v>
      </c>
      <c r="B657" s="185" t="s">
        <v>2266</v>
      </c>
      <c r="C657" s="185" t="s">
        <v>1897</v>
      </c>
      <c r="D657" s="185" t="s">
        <v>2267</v>
      </c>
      <c r="E657" s="185">
        <v>510506</v>
      </c>
      <c r="F657" s="185" t="s">
        <v>1076</v>
      </c>
      <c r="G657" s="185" t="s">
        <v>2268</v>
      </c>
      <c r="H657" s="185" t="s">
        <v>1515</v>
      </c>
      <c r="I657" s="258" t="str">
        <f t="shared" si="31"/>
        <v>5</v>
      </c>
      <c r="J657" s="221">
        <f t="shared" si="32"/>
        <v>2053333</v>
      </c>
      <c r="K657" s="258">
        <f t="shared" si="33"/>
        <v>3</v>
      </c>
      <c r="L657" s="188">
        <v>2053333</v>
      </c>
      <c r="M657" s="188">
        <v>0</v>
      </c>
      <c r="N657" s="189">
        <v>80747504</v>
      </c>
      <c r="O657" t="s">
        <v>2266</v>
      </c>
      <c r="P657" s="187">
        <v>45009</v>
      </c>
      <c r="Q657" s="186">
        <v>8807</v>
      </c>
      <c r="R657" s="185"/>
      <c r="S657" s="185" t="s">
        <v>1562</v>
      </c>
      <c r="T657"/>
      <c r="U657" t="str">
        <f>IF($L657&gt;0,VLOOKUP($E657,Valida!$A$1:$G$270,6,FALSE),IF($M657&gt;=0,VLOOKUP($E657,Valida!$A$1:$G$270,7,FALSE)))</f>
        <v>(+/-) Ganancia (pérdida)</v>
      </c>
      <c r="V657" s="190" t="str">
        <f>VLOOKUP(E657,Valida!$A$2:$K$271,4,FALSE)</f>
        <v>P&amp;L</v>
      </c>
      <c r="W657" s="185" t="s">
        <v>1918</v>
      </c>
      <c r="X657" s="185"/>
      <c r="Y657" s="185" t="s">
        <v>1789</v>
      </c>
      <c r="Z657"/>
    </row>
    <row r="658" spans="1:26">
      <c r="A658" s="185" t="s">
        <v>2265</v>
      </c>
      <c r="B658" s="185" t="s">
        <v>2266</v>
      </c>
      <c r="C658" s="185" t="s">
        <v>1897</v>
      </c>
      <c r="D658" s="185" t="s">
        <v>2267</v>
      </c>
      <c r="E658" s="185">
        <v>510527</v>
      </c>
      <c r="F658" s="185" t="s">
        <v>1089</v>
      </c>
      <c r="G658" s="185" t="s">
        <v>2268</v>
      </c>
      <c r="H658" s="185" t="s">
        <v>1515</v>
      </c>
      <c r="I658" s="258" t="str">
        <f t="shared" si="31"/>
        <v>5</v>
      </c>
      <c r="J658" s="221">
        <f t="shared" si="32"/>
        <v>131232</v>
      </c>
      <c r="K658" s="258">
        <f t="shared" si="33"/>
        <v>3</v>
      </c>
      <c r="L658" s="188">
        <v>131232</v>
      </c>
      <c r="M658" s="188">
        <v>0</v>
      </c>
      <c r="N658" s="189">
        <v>80747504</v>
      </c>
      <c r="O658" t="s">
        <v>2266</v>
      </c>
      <c r="P658" s="187">
        <v>45009</v>
      </c>
      <c r="Q658" s="186">
        <v>8808</v>
      </c>
      <c r="R658" s="185"/>
      <c r="S658" s="185" t="s">
        <v>1562</v>
      </c>
      <c r="T658"/>
      <c r="U658" t="str">
        <f>IF($L658&gt;0,VLOOKUP($E658,Valida!$A$1:$G$270,6,FALSE),IF($M658&gt;=0,VLOOKUP($E658,Valida!$A$1:$G$270,7,FALSE)))</f>
        <v>(+/-) Ganancia (pérdida)</v>
      </c>
      <c r="V658" s="190" t="str">
        <f>VLOOKUP(E658,Valida!$A$2:$K$271,4,FALSE)</f>
        <v>P&amp;L</v>
      </c>
      <c r="W658" s="185" t="s">
        <v>1918</v>
      </c>
      <c r="X658" s="185"/>
      <c r="Y658" s="185" t="s">
        <v>1789</v>
      </c>
      <c r="Z658"/>
    </row>
    <row r="659" spans="1:26">
      <c r="A659" s="185" t="s">
        <v>2265</v>
      </c>
      <c r="B659" s="185" t="s">
        <v>2266</v>
      </c>
      <c r="C659" s="185" t="s">
        <v>1897</v>
      </c>
      <c r="D659" s="185" t="s">
        <v>2267</v>
      </c>
      <c r="E659" s="185">
        <v>510506</v>
      </c>
      <c r="F659" s="185" t="s">
        <v>1076</v>
      </c>
      <c r="G659" s="185" t="s">
        <v>2268</v>
      </c>
      <c r="H659" s="185" t="s">
        <v>1515</v>
      </c>
      <c r="I659" s="258" t="str">
        <f t="shared" si="31"/>
        <v>5</v>
      </c>
      <c r="J659" s="221">
        <f t="shared" si="32"/>
        <v>146667</v>
      </c>
      <c r="K659" s="258">
        <f t="shared" si="33"/>
        <v>3</v>
      </c>
      <c r="L659" s="188">
        <v>146667</v>
      </c>
      <c r="M659" s="188">
        <v>0</v>
      </c>
      <c r="N659" s="189">
        <v>80747504</v>
      </c>
      <c r="O659" t="s">
        <v>2266</v>
      </c>
      <c r="P659" s="187">
        <v>45009</v>
      </c>
      <c r="Q659" s="186">
        <v>8809</v>
      </c>
      <c r="R659" s="185"/>
      <c r="S659" s="185" t="s">
        <v>1562</v>
      </c>
      <c r="T659"/>
      <c r="U659" t="str">
        <f>IF($L659&gt;0,VLOOKUP($E659,Valida!$A$1:$G$270,6,FALSE),IF($M659&gt;=0,VLOOKUP($E659,Valida!$A$1:$G$270,7,FALSE)))</f>
        <v>(+/-) Ganancia (pérdida)</v>
      </c>
      <c r="V659" s="190" t="str">
        <f>VLOOKUP(E659,Valida!$A$2:$K$271,4,FALSE)</f>
        <v>P&amp;L</v>
      </c>
      <c r="W659" s="185" t="s">
        <v>1918</v>
      </c>
      <c r="X659" s="185"/>
      <c r="Y659" s="185" t="s">
        <v>1789</v>
      </c>
      <c r="Z659"/>
    </row>
    <row r="660" spans="1:26">
      <c r="A660" s="185" t="s">
        <v>2265</v>
      </c>
      <c r="B660" s="185" t="s">
        <v>2266</v>
      </c>
      <c r="C660" s="185" t="s">
        <v>1897</v>
      </c>
      <c r="D660" s="185" t="s">
        <v>2267</v>
      </c>
      <c r="E660" s="185">
        <v>237005</v>
      </c>
      <c r="F660" s="185" t="s">
        <v>676</v>
      </c>
      <c r="G660" s="185" t="s">
        <v>2268</v>
      </c>
      <c r="H660" s="185" t="s">
        <v>1628</v>
      </c>
      <c r="I660" s="258" t="str">
        <f t="shared" si="31"/>
        <v>2</v>
      </c>
      <c r="J660" s="221">
        <f t="shared" si="32"/>
        <v>-88000</v>
      </c>
      <c r="K660" s="258">
        <f t="shared" si="33"/>
        <v>3</v>
      </c>
      <c r="L660" s="188">
        <v>0</v>
      </c>
      <c r="M660" s="188">
        <v>88000</v>
      </c>
      <c r="N660" s="189">
        <v>900156264</v>
      </c>
      <c r="O660" t="s">
        <v>2266</v>
      </c>
      <c r="P660" s="187">
        <v>45009</v>
      </c>
      <c r="Q660" s="186">
        <v>8810</v>
      </c>
      <c r="R660" s="185" t="s">
        <v>433</v>
      </c>
      <c r="S660" s="185" t="s">
        <v>1654</v>
      </c>
      <c r="T660"/>
      <c r="U660" t="str">
        <f>IF($L660&gt;0,VLOOKUP($E660,Valida!$A$1:$G$270,6,FALSE),IF($M660&gt;=0,VLOOKUP($E660,Valida!$A$1:$G$270,7,FALSE)))</f>
        <v>(+/-) Ajustes por el incremento (disminución) de cuentas por pagar de origen comercial</v>
      </c>
      <c r="V660" s="190" t="str">
        <f>VLOOKUP(E660,Valida!$A$2:$K$271,4,FALSE)</f>
        <v>Trade and other payables</v>
      </c>
      <c r="W660" s="185" t="s">
        <v>1926</v>
      </c>
      <c r="X660" s="185" t="s">
        <v>1927</v>
      </c>
      <c r="Y660" s="185" t="s">
        <v>1789</v>
      </c>
      <c r="Z660"/>
    </row>
    <row r="661" spans="1:26">
      <c r="A661" s="185" t="s">
        <v>2265</v>
      </c>
      <c r="B661" s="185" t="s">
        <v>2266</v>
      </c>
      <c r="C661" s="185" t="s">
        <v>1897</v>
      </c>
      <c r="D661" s="185" t="s">
        <v>2267</v>
      </c>
      <c r="E661" s="185">
        <v>238030</v>
      </c>
      <c r="F661" s="185" t="s">
        <v>721</v>
      </c>
      <c r="G661" s="185" t="s">
        <v>2268</v>
      </c>
      <c r="H661" s="185" t="s">
        <v>1628</v>
      </c>
      <c r="I661" s="258" t="str">
        <f t="shared" si="31"/>
        <v>2</v>
      </c>
      <c r="J661" s="221">
        <f t="shared" si="32"/>
        <v>-88000</v>
      </c>
      <c r="K661" s="258">
        <f t="shared" si="33"/>
        <v>3</v>
      </c>
      <c r="L661" s="188">
        <v>0</v>
      </c>
      <c r="M661" s="188">
        <v>88000</v>
      </c>
      <c r="N661" s="189">
        <v>900950893</v>
      </c>
      <c r="O661" t="s">
        <v>2266</v>
      </c>
      <c r="P661" s="187">
        <v>45009</v>
      </c>
      <c r="Q661" s="186">
        <v>8811</v>
      </c>
      <c r="R661" s="185" t="s">
        <v>1519</v>
      </c>
      <c r="S661" s="185" t="s">
        <v>1668</v>
      </c>
      <c r="T661"/>
      <c r="U661" t="str">
        <f>IF($L661&gt;0,VLOOKUP($E661,Valida!$A$1:$G$270,6,FALSE),IF($M661&gt;=0,VLOOKUP($E661,Valida!$A$1:$G$270,7,FALSE)))</f>
        <v>(+/-) Ajustes por el incremento (disminución) de cuentas por pagar de origen comercial</v>
      </c>
      <c r="V661" s="190" t="str">
        <f>VLOOKUP(E661,Valida!$A$2:$K$271,4,FALSE)</f>
        <v>Trade and other payables</v>
      </c>
      <c r="W661" s="185" t="s">
        <v>1928</v>
      </c>
      <c r="X661" s="185"/>
      <c r="Y661" s="185" t="s">
        <v>1789</v>
      </c>
      <c r="Z661"/>
    </row>
    <row r="662" spans="1:26">
      <c r="A662" s="185" t="s">
        <v>2265</v>
      </c>
      <c r="B662" s="185" t="s">
        <v>2266</v>
      </c>
      <c r="C662" s="185" t="s">
        <v>1897</v>
      </c>
      <c r="D662" s="185" t="s">
        <v>2267</v>
      </c>
      <c r="E662" s="185">
        <v>510506</v>
      </c>
      <c r="F662" s="185" t="s">
        <v>1076</v>
      </c>
      <c r="G662" s="185" t="s">
        <v>2268</v>
      </c>
      <c r="H662" s="185" t="s">
        <v>1628</v>
      </c>
      <c r="I662" s="258" t="str">
        <f t="shared" si="31"/>
        <v>5</v>
      </c>
      <c r="J662" s="221">
        <f t="shared" si="32"/>
        <v>-42717</v>
      </c>
      <c r="K662" s="258">
        <f t="shared" si="33"/>
        <v>3</v>
      </c>
      <c r="L662" s="188">
        <v>0</v>
      </c>
      <c r="M662" s="188">
        <v>42717</v>
      </c>
      <c r="N662" s="189">
        <v>80747504</v>
      </c>
      <c r="O662" t="s">
        <v>2266</v>
      </c>
      <c r="P662" s="187">
        <v>45009</v>
      </c>
      <c r="Q662" s="186">
        <v>8812</v>
      </c>
      <c r="R662" s="185"/>
      <c r="S662" s="185" t="s">
        <v>1562</v>
      </c>
      <c r="T662"/>
      <c r="U662" t="str">
        <f>IF($L662&gt;0,VLOOKUP($E662,Valida!$A$1:$G$270,6,FALSE),IF($M662&gt;=0,VLOOKUP($E662,Valida!$A$1:$G$270,7,FALSE)))</f>
        <v>(+/-) Ganancia (pérdida)</v>
      </c>
      <c r="V662" s="190" t="str">
        <f>VLOOKUP(E662,Valida!$A$2:$K$271,4,FALSE)</f>
        <v>P&amp;L</v>
      </c>
      <c r="W662" s="185" t="s">
        <v>1918</v>
      </c>
      <c r="X662" s="185"/>
      <c r="Y662" s="185" t="s">
        <v>1789</v>
      </c>
      <c r="Z662"/>
    </row>
    <row r="663" spans="1:26">
      <c r="A663" s="185" t="s">
        <v>2265</v>
      </c>
      <c r="B663" s="185" t="s">
        <v>2266</v>
      </c>
      <c r="C663" s="185" t="s">
        <v>1897</v>
      </c>
      <c r="D663" s="185" t="s">
        <v>2267</v>
      </c>
      <c r="E663" s="185">
        <v>510506</v>
      </c>
      <c r="F663" s="185" t="s">
        <v>1076</v>
      </c>
      <c r="G663" s="185" t="s">
        <v>2268</v>
      </c>
      <c r="H663" s="185" t="s">
        <v>1515</v>
      </c>
      <c r="I663" s="258" t="str">
        <f t="shared" si="31"/>
        <v>5</v>
      </c>
      <c r="J663" s="221">
        <f t="shared" si="32"/>
        <v>1160000</v>
      </c>
      <c r="K663" s="258">
        <f t="shared" si="33"/>
        <v>3</v>
      </c>
      <c r="L663" s="188">
        <v>1160000</v>
      </c>
      <c r="M663" s="188">
        <v>0</v>
      </c>
      <c r="N663" s="189">
        <v>1130744136</v>
      </c>
      <c r="O663" t="s">
        <v>2266</v>
      </c>
      <c r="P663" s="187">
        <v>45009</v>
      </c>
      <c r="Q663" s="186">
        <v>8813</v>
      </c>
      <c r="R663" s="185"/>
      <c r="S663" s="185" t="s">
        <v>1538</v>
      </c>
      <c r="T663"/>
      <c r="U663" t="str">
        <f>IF($L663&gt;0,VLOOKUP($E663,Valida!$A$1:$G$270,6,FALSE),IF($M663&gt;=0,VLOOKUP($E663,Valida!$A$1:$G$270,7,FALSE)))</f>
        <v>(+/-) Ganancia (pérdida)</v>
      </c>
      <c r="V663" s="190" t="str">
        <f>VLOOKUP(E663,Valida!$A$2:$K$271,4,FALSE)</f>
        <v>P&amp;L</v>
      </c>
      <c r="W663" s="185" t="s">
        <v>1909</v>
      </c>
      <c r="X663" s="185" t="s">
        <v>1910</v>
      </c>
      <c r="Y663" s="185" t="s">
        <v>1789</v>
      </c>
      <c r="Z663"/>
    </row>
    <row r="664" spans="1:26">
      <c r="A664" s="185" t="s">
        <v>2265</v>
      </c>
      <c r="B664" s="185" t="s">
        <v>2266</v>
      </c>
      <c r="C664" s="185" t="s">
        <v>1897</v>
      </c>
      <c r="D664" s="185" t="s">
        <v>2267</v>
      </c>
      <c r="E664" s="185">
        <v>510527</v>
      </c>
      <c r="F664" s="185" t="s">
        <v>1089</v>
      </c>
      <c r="G664" s="185" t="s">
        <v>2268</v>
      </c>
      <c r="H664" s="185" t="s">
        <v>1515</v>
      </c>
      <c r="I664" s="258" t="str">
        <f t="shared" si="31"/>
        <v>5</v>
      </c>
      <c r="J664" s="221">
        <f t="shared" si="32"/>
        <v>140606</v>
      </c>
      <c r="K664" s="258">
        <f t="shared" si="33"/>
        <v>3</v>
      </c>
      <c r="L664" s="188">
        <v>140606</v>
      </c>
      <c r="M664" s="188">
        <v>0</v>
      </c>
      <c r="N664" s="189">
        <v>1130744136</v>
      </c>
      <c r="O664" t="s">
        <v>2266</v>
      </c>
      <c r="P664" s="187">
        <v>45009</v>
      </c>
      <c r="Q664" s="186">
        <v>8814</v>
      </c>
      <c r="R664" s="185"/>
      <c r="S664" s="185" t="s">
        <v>1538</v>
      </c>
      <c r="T664"/>
      <c r="U664" t="str">
        <f>IF($L664&gt;0,VLOOKUP($E664,Valida!$A$1:$G$270,6,FALSE),IF($M664&gt;=0,VLOOKUP($E664,Valida!$A$1:$G$270,7,FALSE)))</f>
        <v>(+/-) Ganancia (pérdida)</v>
      </c>
      <c r="V664" s="190" t="str">
        <f>VLOOKUP(E664,Valida!$A$2:$K$271,4,FALSE)</f>
        <v>P&amp;L</v>
      </c>
      <c r="W664" s="185" t="s">
        <v>1909</v>
      </c>
      <c r="X664" s="185" t="s">
        <v>1910</v>
      </c>
      <c r="Y664" s="185" t="s">
        <v>1789</v>
      </c>
      <c r="Z664"/>
    </row>
    <row r="665" spans="1:26">
      <c r="A665" s="185" t="s">
        <v>2265</v>
      </c>
      <c r="B665" s="185" t="s">
        <v>2266</v>
      </c>
      <c r="C665" s="185" t="s">
        <v>1897</v>
      </c>
      <c r="D665" s="185" t="s">
        <v>2267</v>
      </c>
      <c r="E665" s="185">
        <v>237005</v>
      </c>
      <c r="F665" s="185" t="s">
        <v>676</v>
      </c>
      <c r="G665" s="185" t="s">
        <v>2268</v>
      </c>
      <c r="H665" s="185" t="s">
        <v>1628</v>
      </c>
      <c r="I665" s="258" t="str">
        <f t="shared" si="31"/>
        <v>2</v>
      </c>
      <c r="J665" s="221">
        <f t="shared" si="32"/>
        <v>-46400</v>
      </c>
      <c r="K665" s="258">
        <f t="shared" si="33"/>
        <v>3</v>
      </c>
      <c r="L665" s="188">
        <v>0</v>
      </c>
      <c r="M665" s="188">
        <v>46400</v>
      </c>
      <c r="N665" s="189">
        <v>800088702</v>
      </c>
      <c r="O665" t="s">
        <v>2266</v>
      </c>
      <c r="P665" s="187">
        <v>45009</v>
      </c>
      <c r="Q665" s="186">
        <v>8815</v>
      </c>
      <c r="R665" s="185" t="s">
        <v>433</v>
      </c>
      <c r="S665" s="185" t="s">
        <v>1650</v>
      </c>
      <c r="T665"/>
      <c r="U665" t="str">
        <f>IF($L665&gt;0,VLOOKUP($E665,Valida!$A$1:$G$270,6,FALSE),IF($M665&gt;=0,VLOOKUP($E665,Valida!$A$1:$G$270,7,FALSE)))</f>
        <v>(+/-) Ajustes por el incremento (disminución) de cuentas por pagar de origen comercial</v>
      </c>
      <c r="V665" s="190" t="str">
        <f>VLOOKUP(E665,Valida!$A$2:$K$271,4,FALSE)</f>
        <v>Trade and other payables</v>
      </c>
      <c r="W665" s="185" t="s">
        <v>2269</v>
      </c>
      <c r="X665" s="185" t="s">
        <v>2270</v>
      </c>
      <c r="Y665" s="185" t="s">
        <v>1844</v>
      </c>
      <c r="Z665"/>
    </row>
    <row r="666" spans="1:26">
      <c r="A666" s="185" t="s">
        <v>2265</v>
      </c>
      <c r="B666" s="185" t="s">
        <v>2266</v>
      </c>
      <c r="C666" s="185" t="s">
        <v>1897</v>
      </c>
      <c r="D666" s="185" t="s">
        <v>2267</v>
      </c>
      <c r="E666" s="185">
        <v>238030</v>
      </c>
      <c r="F666" s="185" t="s">
        <v>721</v>
      </c>
      <c r="G666" s="185" t="s">
        <v>2268</v>
      </c>
      <c r="H666" s="185" t="s">
        <v>1628</v>
      </c>
      <c r="I666" s="258" t="str">
        <f t="shared" si="31"/>
        <v>2</v>
      </c>
      <c r="J666" s="221">
        <f t="shared" si="32"/>
        <v>-46400</v>
      </c>
      <c r="K666" s="258">
        <f t="shared" si="33"/>
        <v>3</v>
      </c>
      <c r="L666" s="188">
        <v>0</v>
      </c>
      <c r="M666" s="188">
        <v>46400</v>
      </c>
      <c r="N666" s="189">
        <v>800224808</v>
      </c>
      <c r="O666" t="s">
        <v>2266</v>
      </c>
      <c r="P666" s="187">
        <v>45009</v>
      </c>
      <c r="Q666" s="186">
        <v>8816</v>
      </c>
      <c r="R666" s="185" t="s">
        <v>1827</v>
      </c>
      <c r="S666" s="185" t="s">
        <v>1662</v>
      </c>
      <c r="T666"/>
      <c r="U666" t="str">
        <f>IF($L666&gt;0,VLOOKUP($E666,Valida!$A$1:$G$270,6,FALSE),IF($M666&gt;=0,VLOOKUP($E666,Valida!$A$1:$G$270,7,FALSE)))</f>
        <v>(+/-) Ajustes por el incremento (disminución) de cuentas por pagar de origen comercial</v>
      </c>
      <c r="V666" s="190" t="str">
        <f>VLOOKUP(E666,Valida!$A$2:$K$271,4,FALSE)</f>
        <v>Trade and other payables</v>
      </c>
      <c r="W666" s="185" t="s">
        <v>1911</v>
      </c>
      <c r="X666" s="185"/>
      <c r="Y666" s="185" t="s">
        <v>1789</v>
      </c>
      <c r="Z666"/>
    </row>
    <row r="667" spans="1:26">
      <c r="A667" s="185" t="s">
        <v>2265</v>
      </c>
      <c r="B667" s="185" t="s">
        <v>2266</v>
      </c>
      <c r="C667" s="185" t="s">
        <v>1897</v>
      </c>
      <c r="D667" s="185" t="s">
        <v>2267</v>
      </c>
      <c r="E667" s="185">
        <v>510506</v>
      </c>
      <c r="F667" s="185" t="s">
        <v>1076</v>
      </c>
      <c r="G667" s="185" t="s">
        <v>2268</v>
      </c>
      <c r="H667" s="185" t="s">
        <v>1515</v>
      </c>
      <c r="I667" s="258" t="str">
        <f t="shared" si="31"/>
        <v>5</v>
      </c>
      <c r="J667" s="221">
        <f t="shared" si="32"/>
        <v>1500000</v>
      </c>
      <c r="K667" s="258">
        <f t="shared" si="33"/>
        <v>3</v>
      </c>
      <c r="L667" s="188">
        <v>1500000</v>
      </c>
      <c r="M667" s="188">
        <v>0</v>
      </c>
      <c r="N667" s="189">
        <v>1010101811</v>
      </c>
      <c r="O667" t="s">
        <v>2266</v>
      </c>
      <c r="P667" s="187">
        <v>45009</v>
      </c>
      <c r="Q667" s="186">
        <v>8817</v>
      </c>
      <c r="R667" s="185"/>
      <c r="S667" s="185" t="s">
        <v>1528</v>
      </c>
      <c r="T667"/>
      <c r="U667" t="str">
        <f>IF($L667&gt;0,VLOOKUP($E667,Valida!$A$1:$G$270,6,FALSE),IF($M667&gt;=0,VLOOKUP($E667,Valida!$A$1:$G$270,7,FALSE)))</f>
        <v>(+/-) Ganancia (pérdida)</v>
      </c>
      <c r="V667" s="190" t="str">
        <f>VLOOKUP(E667,Valida!$A$2:$K$271,4,FALSE)</f>
        <v>P&amp;L</v>
      </c>
      <c r="W667" s="185" t="s">
        <v>1967</v>
      </c>
      <c r="X667" s="185"/>
      <c r="Y667" s="185" t="s">
        <v>1789</v>
      </c>
      <c r="Z667"/>
    </row>
    <row r="668" spans="1:26">
      <c r="A668" s="185" t="s">
        <v>2265</v>
      </c>
      <c r="B668" s="185" t="s">
        <v>2266</v>
      </c>
      <c r="C668" s="185" t="s">
        <v>1897</v>
      </c>
      <c r="D668" s="185" t="s">
        <v>2267</v>
      </c>
      <c r="E668" s="185">
        <v>510527</v>
      </c>
      <c r="F668" s="185" t="s">
        <v>1089</v>
      </c>
      <c r="G668" s="185" t="s">
        <v>2268</v>
      </c>
      <c r="H668" s="185" t="s">
        <v>1515</v>
      </c>
      <c r="I668" s="258" t="str">
        <f t="shared" si="31"/>
        <v>5</v>
      </c>
      <c r="J668" s="221">
        <f t="shared" si="32"/>
        <v>140606</v>
      </c>
      <c r="K668" s="258">
        <f t="shared" si="33"/>
        <v>3</v>
      </c>
      <c r="L668" s="188">
        <v>140606</v>
      </c>
      <c r="M668" s="188">
        <v>0</v>
      </c>
      <c r="N668" s="189">
        <v>1010101811</v>
      </c>
      <c r="O668" t="s">
        <v>2266</v>
      </c>
      <c r="P668" s="187">
        <v>45009</v>
      </c>
      <c r="Q668" s="186">
        <v>8818</v>
      </c>
      <c r="R668" s="185"/>
      <c r="S668" s="185" t="s">
        <v>1528</v>
      </c>
      <c r="T668"/>
      <c r="U668" t="str">
        <f>IF($L668&gt;0,VLOOKUP($E668,Valida!$A$1:$G$270,6,FALSE),IF($M668&gt;=0,VLOOKUP($E668,Valida!$A$1:$G$270,7,FALSE)))</f>
        <v>(+/-) Ganancia (pérdida)</v>
      </c>
      <c r="V668" s="190" t="str">
        <f>VLOOKUP(E668,Valida!$A$2:$K$271,4,FALSE)</f>
        <v>P&amp;L</v>
      </c>
      <c r="W668" s="185" t="s">
        <v>1967</v>
      </c>
      <c r="X668" s="185"/>
      <c r="Y668" s="185" t="s">
        <v>1789</v>
      </c>
      <c r="Z668"/>
    </row>
    <row r="669" spans="1:26">
      <c r="A669" s="185" t="s">
        <v>2265</v>
      </c>
      <c r="B669" s="185" t="s">
        <v>2266</v>
      </c>
      <c r="C669" s="185" t="s">
        <v>1897</v>
      </c>
      <c r="D669" s="185" t="s">
        <v>2267</v>
      </c>
      <c r="E669" s="185">
        <v>510506</v>
      </c>
      <c r="F669" s="185" t="s">
        <v>1076</v>
      </c>
      <c r="G669" s="185" t="s">
        <v>2268</v>
      </c>
      <c r="H669" s="185" t="s">
        <v>1515</v>
      </c>
      <c r="I669" s="258" t="str">
        <f t="shared" si="31"/>
        <v>5</v>
      </c>
      <c r="J669" s="221">
        <f t="shared" si="32"/>
        <v>1276000</v>
      </c>
      <c r="K669" s="258">
        <f t="shared" si="33"/>
        <v>3</v>
      </c>
      <c r="L669" s="188">
        <v>1276000</v>
      </c>
      <c r="M669" s="188">
        <v>0</v>
      </c>
      <c r="N669" s="189">
        <v>1000018061</v>
      </c>
      <c r="O669" t="s">
        <v>2266</v>
      </c>
      <c r="P669" s="187">
        <v>45009</v>
      </c>
      <c r="Q669" s="186">
        <v>8819</v>
      </c>
      <c r="R669" s="185"/>
      <c r="S669" s="185" t="s">
        <v>1522</v>
      </c>
      <c r="T669"/>
      <c r="U669" t="str">
        <f>IF($L669&gt;0,VLOOKUP($E669,Valida!$A$1:$G$270,6,FALSE),IF($M669&gt;=0,VLOOKUP($E669,Valida!$A$1:$G$270,7,FALSE)))</f>
        <v>(+/-) Ganancia (pérdida)</v>
      </c>
      <c r="V669" s="190" t="str">
        <f>VLOOKUP(E669,Valida!$A$2:$K$271,4,FALSE)</f>
        <v>P&amp;L</v>
      </c>
      <c r="W669" s="185" t="s">
        <v>1978</v>
      </c>
      <c r="X669" s="185"/>
      <c r="Y669" s="185" t="s">
        <v>1789</v>
      </c>
      <c r="Z669"/>
    </row>
    <row r="670" spans="1:26">
      <c r="A670" s="185" t="s">
        <v>2265</v>
      </c>
      <c r="B670" s="185" t="s">
        <v>2266</v>
      </c>
      <c r="C670" s="185" t="s">
        <v>1897</v>
      </c>
      <c r="D670" s="185" t="s">
        <v>2267</v>
      </c>
      <c r="E670" s="185">
        <v>510527</v>
      </c>
      <c r="F670" s="185" t="s">
        <v>1089</v>
      </c>
      <c r="G670" s="185" t="s">
        <v>2268</v>
      </c>
      <c r="H670" s="185" t="s">
        <v>1515</v>
      </c>
      <c r="I670" s="258" t="str">
        <f t="shared" si="31"/>
        <v>5</v>
      </c>
      <c r="J670" s="221">
        <f t="shared" si="32"/>
        <v>140606</v>
      </c>
      <c r="K670" s="258">
        <f t="shared" si="33"/>
        <v>3</v>
      </c>
      <c r="L670" s="188">
        <v>140606</v>
      </c>
      <c r="M670" s="188">
        <v>0</v>
      </c>
      <c r="N670" s="189">
        <v>1000018061</v>
      </c>
      <c r="O670" t="s">
        <v>2266</v>
      </c>
      <c r="P670" s="187">
        <v>45009</v>
      </c>
      <c r="Q670" s="186">
        <v>8820</v>
      </c>
      <c r="R670" s="185"/>
      <c r="S670" s="185" t="s">
        <v>1522</v>
      </c>
      <c r="T670"/>
      <c r="U670" t="str">
        <f>IF($L670&gt;0,VLOOKUP($E670,Valida!$A$1:$G$270,6,FALSE),IF($M670&gt;=0,VLOOKUP($E670,Valida!$A$1:$G$270,7,FALSE)))</f>
        <v>(+/-) Ganancia (pérdida)</v>
      </c>
      <c r="V670" s="190" t="str">
        <f>VLOOKUP(E670,Valida!$A$2:$K$271,4,FALSE)</f>
        <v>P&amp;L</v>
      </c>
      <c r="W670" s="185" t="s">
        <v>1978</v>
      </c>
      <c r="X670" s="185"/>
      <c r="Y670" s="185" t="s">
        <v>1789</v>
      </c>
      <c r="Z670"/>
    </row>
    <row r="671" spans="1:26">
      <c r="A671" s="185" t="s">
        <v>2265</v>
      </c>
      <c r="B671" s="185" t="s">
        <v>2266</v>
      </c>
      <c r="C671" s="185" t="s">
        <v>1897</v>
      </c>
      <c r="D671" s="185" t="s">
        <v>2267</v>
      </c>
      <c r="E671" s="185">
        <v>237005</v>
      </c>
      <c r="F671" s="185" t="s">
        <v>676</v>
      </c>
      <c r="G671" s="185" t="s">
        <v>2268</v>
      </c>
      <c r="H671" s="185" t="s">
        <v>1628</v>
      </c>
      <c r="I671" s="258" t="str">
        <f t="shared" si="31"/>
        <v>2</v>
      </c>
      <c r="J671" s="221">
        <f t="shared" si="32"/>
        <v>-51040</v>
      </c>
      <c r="K671" s="258">
        <f t="shared" si="33"/>
        <v>3</v>
      </c>
      <c r="L671" s="188">
        <v>0</v>
      </c>
      <c r="M671" s="188">
        <v>51040</v>
      </c>
      <c r="N671" s="189">
        <v>830003564</v>
      </c>
      <c r="O671" t="s">
        <v>2266</v>
      </c>
      <c r="P671" s="187">
        <v>45009</v>
      </c>
      <c r="Q671" s="186">
        <v>8821</v>
      </c>
      <c r="R671" s="185" t="s">
        <v>1814</v>
      </c>
      <c r="S671" s="185" t="s">
        <v>1652</v>
      </c>
      <c r="T671"/>
      <c r="U671" t="str">
        <f>IF($L671&gt;0,VLOOKUP($E671,Valida!$A$1:$G$270,6,FALSE),IF($M671&gt;=0,VLOOKUP($E671,Valida!$A$1:$G$270,7,FALSE)))</f>
        <v>(+/-) Ajustes por el incremento (disminución) de cuentas por pagar de origen comercial</v>
      </c>
      <c r="V671" s="190" t="str">
        <f>VLOOKUP(E671,Valida!$A$2:$K$271,4,FALSE)</f>
        <v>Trade and other payables</v>
      </c>
      <c r="W671" s="185" t="s">
        <v>1973</v>
      </c>
      <c r="X671" s="185" t="s">
        <v>1974</v>
      </c>
      <c r="Y671" s="185" t="s">
        <v>1789</v>
      </c>
      <c r="Z671"/>
    </row>
    <row r="672" spans="1:26">
      <c r="A672" s="185" t="s">
        <v>2265</v>
      </c>
      <c r="B672" s="185" t="s">
        <v>2266</v>
      </c>
      <c r="C672" s="185" t="s">
        <v>1897</v>
      </c>
      <c r="D672" s="185" t="s">
        <v>2267</v>
      </c>
      <c r="E672" s="185">
        <v>238030</v>
      </c>
      <c r="F672" s="185" t="s">
        <v>721</v>
      </c>
      <c r="G672" s="185" t="s">
        <v>2268</v>
      </c>
      <c r="H672" s="185" t="s">
        <v>1628</v>
      </c>
      <c r="I672" s="258" t="str">
        <f t="shared" si="31"/>
        <v>2</v>
      </c>
      <c r="J672" s="221">
        <f t="shared" si="32"/>
        <v>-51040</v>
      </c>
      <c r="K672" s="258">
        <f t="shared" si="33"/>
        <v>3</v>
      </c>
      <c r="L672" s="188">
        <v>0</v>
      </c>
      <c r="M672" s="188">
        <v>51040</v>
      </c>
      <c r="N672" s="189">
        <v>800149496</v>
      </c>
      <c r="O672" t="s">
        <v>2266</v>
      </c>
      <c r="P672" s="187">
        <v>45009</v>
      </c>
      <c r="Q672" s="186">
        <v>8822</v>
      </c>
      <c r="R672" s="185" t="s">
        <v>433</v>
      </c>
      <c r="S672" s="185" t="s">
        <v>1660</v>
      </c>
      <c r="T672"/>
      <c r="U672" t="str">
        <f>IF($L672&gt;0,VLOOKUP($E672,Valida!$A$1:$G$270,6,FALSE),IF($M672&gt;=0,VLOOKUP($E672,Valida!$A$1:$G$270,7,FALSE)))</f>
        <v>(+/-) Ajustes por el incremento (disminución) de cuentas por pagar de origen comercial</v>
      </c>
      <c r="V672" s="190" t="str">
        <f>VLOOKUP(E672,Valida!$A$2:$K$271,4,FALSE)</f>
        <v>Trade and other payables</v>
      </c>
      <c r="W672" s="185" t="s">
        <v>1979</v>
      </c>
      <c r="X672" s="185"/>
      <c r="Y672" s="185" t="s">
        <v>1789</v>
      </c>
      <c r="Z672"/>
    </row>
    <row r="673" spans="1:26">
      <c r="A673" s="185" t="s">
        <v>2265</v>
      </c>
      <c r="B673" s="185" t="s">
        <v>2266</v>
      </c>
      <c r="C673" s="185" t="s">
        <v>1897</v>
      </c>
      <c r="D673" s="185" t="s">
        <v>2267</v>
      </c>
      <c r="E673" s="185">
        <v>510506</v>
      </c>
      <c r="F673" s="185" t="s">
        <v>1076</v>
      </c>
      <c r="G673" s="185" t="s">
        <v>2268</v>
      </c>
      <c r="H673" s="185" t="s">
        <v>1628</v>
      </c>
      <c r="I673" s="258" t="str">
        <f t="shared" si="31"/>
        <v>5</v>
      </c>
      <c r="J673" s="221">
        <f t="shared" si="32"/>
        <v>-13292</v>
      </c>
      <c r="K673" s="258">
        <f t="shared" si="33"/>
        <v>3</v>
      </c>
      <c r="L673" s="188">
        <v>0</v>
      </c>
      <c r="M673" s="188">
        <v>13292</v>
      </c>
      <c r="N673" s="189">
        <v>1000018061</v>
      </c>
      <c r="O673" t="s">
        <v>2266</v>
      </c>
      <c r="P673" s="187">
        <v>45009</v>
      </c>
      <c r="Q673" s="186">
        <v>8823</v>
      </c>
      <c r="R673" s="185"/>
      <c r="S673" s="185" t="s">
        <v>1522</v>
      </c>
      <c r="T673"/>
      <c r="U673" t="str">
        <f>IF($L673&gt;0,VLOOKUP($E673,Valida!$A$1:$G$270,6,FALSE),IF($M673&gt;=0,VLOOKUP($E673,Valida!$A$1:$G$270,7,FALSE)))</f>
        <v>(+/-) Ganancia (pérdida)</v>
      </c>
      <c r="V673" s="190" t="str">
        <f>VLOOKUP(E673,Valida!$A$2:$K$271,4,FALSE)</f>
        <v>P&amp;L</v>
      </c>
      <c r="W673" s="185" t="s">
        <v>1978</v>
      </c>
      <c r="X673" s="185"/>
      <c r="Y673" s="185" t="s">
        <v>1789</v>
      </c>
      <c r="Z673"/>
    </row>
    <row r="674" spans="1:26">
      <c r="A674" s="185" t="s">
        <v>2265</v>
      </c>
      <c r="B674" s="185" t="s">
        <v>2266</v>
      </c>
      <c r="C674" s="185" t="s">
        <v>1897</v>
      </c>
      <c r="D674" s="185" t="s">
        <v>2267</v>
      </c>
      <c r="E674" s="185">
        <v>510506</v>
      </c>
      <c r="F674" s="185" t="s">
        <v>1076</v>
      </c>
      <c r="G674" s="185" t="s">
        <v>2268</v>
      </c>
      <c r="H674" s="185" t="s">
        <v>1515</v>
      </c>
      <c r="I674" s="258" t="str">
        <f t="shared" si="31"/>
        <v>5</v>
      </c>
      <c r="J674" s="221">
        <f t="shared" si="32"/>
        <v>1450000</v>
      </c>
      <c r="K674" s="258">
        <f t="shared" si="33"/>
        <v>3</v>
      </c>
      <c r="L674" s="188">
        <v>1450000</v>
      </c>
      <c r="M674" s="188">
        <v>0</v>
      </c>
      <c r="N674" s="189">
        <v>1000036375</v>
      </c>
      <c r="O674" t="s">
        <v>2266</v>
      </c>
      <c r="P674" s="187">
        <v>45009</v>
      </c>
      <c r="Q674" s="186">
        <v>8824</v>
      </c>
      <c r="R674" s="185"/>
      <c r="S674" s="185" t="s">
        <v>1524</v>
      </c>
      <c r="T674"/>
      <c r="U674" t="str">
        <f>IF($L674&gt;0,VLOOKUP($E674,Valida!$A$1:$G$270,6,FALSE),IF($M674&gt;=0,VLOOKUP($E674,Valida!$A$1:$G$270,7,FALSE)))</f>
        <v>(+/-) Ganancia (pérdida)</v>
      </c>
      <c r="V674" s="190" t="str">
        <f>VLOOKUP(E674,Valida!$A$2:$K$271,4,FALSE)</f>
        <v>P&amp;L</v>
      </c>
      <c r="W674" s="185" t="s">
        <v>1983</v>
      </c>
      <c r="X674" s="185"/>
      <c r="Y674" s="185" t="s">
        <v>1789</v>
      </c>
      <c r="Z674"/>
    </row>
    <row r="675" spans="1:26">
      <c r="A675" s="185" t="s">
        <v>2265</v>
      </c>
      <c r="B675" s="185" t="s">
        <v>2266</v>
      </c>
      <c r="C675" s="185" t="s">
        <v>1897</v>
      </c>
      <c r="D675" s="185" t="s">
        <v>2267</v>
      </c>
      <c r="E675" s="185">
        <v>510527</v>
      </c>
      <c r="F675" s="185" t="s">
        <v>1089</v>
      </c>
      <c r="G675" s="185" t="s">
        <v>2268</v>
      </c>
      <c r="H675" s="185" t="s">
        <v>1515</v>
      </c>
      <c r="I675" s="258" t="str">
        <f t="shared" si="31"/>
        <v>5</v>
      </c>
      <c r="J675" s="221">
        <f t="shared" si="32"/>
        <v>135919</v>
      </c>
      <c r="K675" s="258">
        <f t="shared" si="33"/>
        <v>3</v>
      </c>
      <c r="L675" s="188">
        <v>135919</v>
      </c>
      <c r="M675" s="188">
        <v>0</v>
      </c>
      <c r="N675" s="189">
        <v>1000036375</v>
      </c>
      <c r="O675" t="s">
        <v>2266</v>
      </c>
      <c r="P675" s="187">
        <v>45009</v>
      </c>
      <c r="Q675" s="186">
        <v>8825</v>
      </c>
      <c r="R675" s="185"/>
      <c r="S675" s="185" t="s">
        <v>1524</v>
      </c>
      <c r="T675"/>
      <c r="U675" t="str">
        <f>IF($L675&gt;0,VLOOKUP($E675,Valida!$A$1:$G$270,6,FALSE),IF($M675&gt;=0,VLOOKUP($E675,Valida!$A$1:$G$270,7,FALSE)))</f>
        <v>(+/-) Ganancia (pérdida)</v>
      </c>
      <c r="V675" s="190" t="str">
        <f>VLOOKUP(E675,Valida!$A$2:$K$271,4,FALSE)</f>
        <v>P&amp;L</v>
      </c>
      <c r="W675" s="185" t="s">
        <v>1983</v>
      </c>
      <c r="X675" s="185"/>
      <c r="Y675" s="185" t="s">
        <v>1789</v>
      </c>
      <c r="Z675"/>
    </row>
    <row r="676" spans="1:26">
      <c r="A676" s="185" t="s">
        <v>2265</v>
      </c>
      <c r="B676" s="185" t="s">
        <v>2266</v>
      </c>
      <c r="C676" s="185" t="s">
        <v>1897</v>
      </c>
      <c r="D676" s="185" t="s">
        <v>2267</v>
      </c>
      <c r="E676" s="185">
        <v>237005</v>
      </c>
      <c r="F676" s="185" t="s">
        <v>676</v>
      </c>
      <c r="G676" s="185" t="s">
        <v>2268</v>
      </c>
      <c r="H676" s="185" t="s">
        <v>1628</v>
      </c>
      <c r="I676" s="258" t="str">
        <f t="shared" si="31"/>
        <v>2</v>
      </c>
      <c r="J676" s="221">
        <f t="shared" si="32"/>
        <v>-58000</v>
      </c>
      <c r="K676" s="258">
        <f t="shared" si="33"/>
        <v>3</v>
      </c>
      <c r="L676" s="188">
        <v>0</v>
      </c>
      <c r="M676" s="188">
        <v>58000</v>
      </c>
      <c r="N676" s="189">
        <v>900156264</v>
      </c>
      <c r="O676" t="s">
        <v>2266</v>
      </c>
      <c r="P676" s="187">
        <v>45009</v>
      </c>
      <c r="Q676" s="186">
        <v>8826</v>
      </c>
      <c r="R676" s="185" t="s">
        <v>433</v>
      </c>
      <c r="S676" s="185" t="s">
        <v>1654</v>
      </c>
      <c r="T676"/>
      <c r="U676" t="str">
        <f>IF($L676&gt;0,VLOOKUP($E676,Valida!$A$1:$G$270,6,FALSE),IF($M676&gt;=0,VLOOKUP($E676,Valida!$A$1:$G$270,7,FALSE)))</f>
        <v>(+/-) Ajustes por el incremento (disminución) de cuentas por pagar de origen comercial</v>
      </c>
      <c r="V676" s="190" t="str">
        <f>VLOOKUP(E676,Valida!$A$2:$K$271,4,FALSE)</f>
        <v>Trade and other payables</v>
      </c>
      <c r="W676" s="185" t="s">
        <v>1926</v>
      </c>
      <c r="X676" s="185" t="s">
        <v>1927</v>
      </c>
      <c r="Y676" s="185" t="s">
        <v>1789</v>
      </c>
      <c r="Z676"/>
    </row>
    <row r="677" spans="1:26">
      <c r="A677" s="185" t="s">
        <v>2265</v>
      </c>
      <c r="B677" s="185" t="s">
        <v>2266</v>
      </c>
      <c r="C677" s="185" t="s">
        <v>1897</v>
      </c>
      <c r="D677" s="185" t="s">
        <v>2267</v>
      </c>
      <c r="E677" s="185">
        <v>238030</v>
      </c>
      <c r="F677" s="185" t="s">
        <v>721</v>
      </c>
      <c r="G677" s="185" t="s">
        <v>2268</v>
      </c>
      <c r="H677" s="185" t="s">
        <v>1628</v>
      </c>
      <c r="I677" s="258" t="str">
        <f t="shared" si="31"/>
        <v>2</v>
      </c>
      <c r="J677" s="221">
        <f t="shared" si="32"/>
        <v>-58000</v>
      </c>
      <c r="K677" s="258">
        <f t="shared" si="33"/>
        <v>3</v>
      </c>
      <c r="L677" s="188">
        <v>0</v>
      </c>
      <c r="M677" s="188">
        <v>58000</v>
      </c>
      <c r="N677" s="189">
        <v>800224808</v>
      </c>
      <c r="O677" t="s">
        <v>2266</v>
      </c>
      <c r="P677" s="187">
        <v>45009</v>
      </c>
      <c r="Q677" s="186">
        <v>8827</v>
      </c>
      <c r="R677" s="185" t="s">
        <v>1827</v>
      </c>
      <c r="S677" s="185" t="s">
        <v>1662</v>
      </c>
      <c r="T677"/>
      <c r="U677" t="str">
        <f>IF($L677&gt;0,VLOOKUP($E677,Valida!$A$1:$G$270,6,FALSE),IF($M677&gt;=0,VLOOKUP($E677,Valida!$A$1:$G$270,7,FALSE)))</f>
        <v>(+/-) Ajustes por el incremento (disminución) de cuentas por pagar de origen comercial</v>
      </c>
      <c r="V677" s="190" t="str">
        <f>VLOOKUP(E677,Valida!$A$2:$K$271,4,FALSE)</f>
        <v>Trade and other payables</v>
      </c>
      <c r="W677" s="185" t="s">
        <v>1911</v>
      </c>
      <c r="X677" s="185"/>
      <c r="Y677" s="185" t="s">
        <v>1789</v>
      </c>
      <c r="Z677"/>
    </row>
    <row r="678" spans="1:26">
      <c r="A678" s="185" t="s">
        <v>2265</v>
      </c>
      <c r="B678" s="185" t="s">
        <v>2266</v>
      </c>
      <c r="C678" s="185" t="s">
        <v>1897</v>
      </c>
      <c r="D678" s="185" t="s">
        <v>2267</v>
      </c>
      <c r="E678" s="185">
        <v>250505</v>
      </c>
      <c r="F678" s="185" t="s">
        <v>767</v>
      </c>
      <c r="G678" s="185" t="s">
        <v>2268</v>
      </c>
      <c r="H678" s="185" t="s">
        <v>1628</v>
      </c>
      <c r="I678" s="258" t="str">
        <f t="shared" si="31"/>
        <v>2</v>
      </c>
      <c r="J678" s="221">
        <f t="shared" si="32"/>
        <v>-1301234</v>
      </c>
      <c r="K678" s="258">
        <f t="shared" si="33"/>
        <v>3</v>
      </c>
      <c r="L678" s="188">
        <v>0</v>
      </c>
      <c r="M678" s="188">
        <v>1301234</v>
      </c>
      <c r="N678" s="189">
        <v>1000018061</v>
      </c>
      <c r="O678" t="s">
        <v>2266</v>
      </c>
      <c r="P678" s="187">
        <v>45009</v>
      </c>
      <c r="Q678" s="186">
        <v>8828</v>
      </c>
      <c r="R678" s="185"/>
      <c r="S678" s="185" t="s">
        <v>1522</v>
      </c>
      <c r="T678"/>
      <c r="U678" t="str">
        <f>IF($L678&gt;0,VLOOKUP($E678,Valida!$A$1:$G$270,6,FALSE),IF($M678&gt;=0,VLOOKUP($E678,Valida!$A$1:$G$270,7,FALSE)))</f>
        <v>(+/-) Ajustes por el incremento (disminución) de cuentas por pagar de origen comercial</v>
      </c>
      <c r="V678" s="190" t="str">
        <f>VLOOKUP(E678,Valida!$A$2:$K$271,4,FALSE)</f>
        <v>Trade and other payables</v>
      </c>
      <c r="W678" s="185" t="s">
        <v>1978</v>
      </c>
      <c r="X678" s="185"/>
      <c r="Y678" s="185" t="s">
        <v>1789</v>
      </c>
      <c r="Z678"/>
    </row>
    <row r="679" spans="1:26">
      <c r="A679" s="185" t="s">
        <v>2265</v>
      </c>
      <c r="B679" s="185" t="s">
        <v>2266</v>
      </c>
      <c r="C679" s="185" t="s">
        <v>1897</v>
      </c>
      <c r="D679" s="185" t="s">
        <v>2267</v>
      </c>
      <c r="E679" s="185">
        <v>250505</v>
      </c>
      <c r="F679" s="185" t="s">
        <v>767</v>
      </c>
      <c r="G679" s="185" t="s">
        <v>2268</v>
      </c>
      <c r="H679" s="185" t="s">
        <v>1628</v>
      </c>
      <c r="I679" s="258" t="str">
        <f t="shared" si="31"/>
        <v>2</v>
      </c>
      <c r="J679" s="221">
        <f t="shared" si="32"/>
        <v>-1469919</v>
      </c>
      <c r="K679" s="258">
        <f t="shared" si="33"/>
        <v>3</v>
      </c>
      <c r="L679" s="188">
        <v>0</v>
      </c>
      <c r="M679" s="188">
        <v>1469919</v>
      </c>
      <c r="N679" s="189">
        <v>1000036375</v>
      </c>
      <c r="O679" t="s">
        <v>2266</v>
      </c>
      <c r="P679" s="187">
        <v>45009</v>
      </c>
      <c r="Q679" s="186">
        <v>8829</v>
      </c>
      <c r="R679" s="185"/>
      <c r="S679" s="185" t="s">
        <v>1524</v>
      </c>
      <c r="T679"/>
      <c r="U679" t="str">
        <f>IF($L679&gt;0,VLOOKUP($E679,Valida!$A$1:$G$270,6,FALSE),IF($M679&gt;=0,VLOOKUP($E679,Valida!$A$1:$G$270,7,FALSE)))</f>
        <v>(+/-) Ajustes por el incremento (disminución) de cuentas por pagar de origen comercial</v>
      </c>
      <c r="V679" s="190" t="str">
        <f>VLOOKUP(E679,Valida!$A$2:$K$271,4,FALSE)</f>
        <v>Trade and other payables</v>
      </c>
      <c r="W679" s="185" t="s">
        <v>1983</v>
      </c>
      <c r="X679" s="185"/>
      <c r="Y679" s="185" t="s">
        <v>1789</v>
      </c>
      <c r="Z679"/>
    </row>
    <row r="680" spans="1:26">
      <c r="A680" s="185" t="s">
        <v>2265</v>
      </c>
      <c r="B680" s="185" t="s">
        <v>2266</v>
      </c>
      <c r="C680" s="185" t="s">
        <v>1897</v>
      </c>
      <c r="D680" s="185" t="s">
        <v>2267</v>
      </c>
      <c r="E680" s="185">
        <v>250505</v>
      </c>
      <c r="F680" s="185" t="s">
        <v>767</v>
      </c>
      <c r="G680" s="185" t="s">
        <v>2268</v>
      </c>
      <c r="H680" s="185" t="s">
        <v>1628</v>
      </c>
      <c r="I680" s="258" t="str">
        <f t="shared" si="31"/>
        <v>2</v>
      </c>
      <c r="J680" s="221">
        <f t="shared" si="32"/>
        <v>-1520606</v>
      </c>
      <c r="K680" s="258">
        <f t="shared" si="33"/>
        <v>3</v>
      </c>
      <c r="L680" s="188">
        <v>0</v>
      </c>
      <c r="M680" s="188">
        <v>1520606</v>
      </c>
      <c r="N680" s="189">
        <v>1010101811</v>
      </c>
      <c r="O680" t="s">
        <v>2266</v>
      </c>
      <c r="P680" s="187">
        <v>45009</v>
      </c>
      <c r="Q680" s="186">
        <v>8830</v>
      </c>
      <c r="R680" s="185"/>
      <c r="S680" s="185" t="s">
        <v>1528</v>
      </c>
      <c r="T680"/>
      <c r="U680" t="str">
        <f>IF($L680&gt;0,VLOOKUP($E680,Valida!$A$1:$G$270,6,FALSE),IF($M680&gt;=0,VLOOKUP($E680,Valida!$A$1:$G$270,7,FALSE)))</f>
        <v>(+/-) Ajustes por el incremento (disminución) de cuentas por pagar de origen comercial</v>
      </c>
      <c r="V680" s="190" t="str">
        <f>VLOOKUP(E680,Valida!$A$2:$K$271,4,FALSE)</f>
        <v>Trade and other payables</v>
      </c>
      <c r="W680" s="185" t="s">
        <v>1967</v>
      </c>
      <c r="X680" s="185"/>
      <c r="Y680" s="185" t="s">
        <v>1789</v>
      </c>
      <c r="Z680"/>
    </row>
    <row r="681" spans="1:26">
      <c r="A681" s="185" t="s">
        <v>2265</v>
      </c>
      <c r="B681" s="185" t="s">
        <v>2266</v>
      </c>
      <c r="C681" s="185" t="s">
        <v>1897</v>
      </c>
      <c r="D681" s="185" t="s">
        <v>2267</v>
      </c>
      <c r="E681" s="185">
        <v>250505</v>
      </c>
      <c r="F681" s="185" t="s">
        <v>767</v>
      </c>
      <c r="G681" s="185" t="s">
        <v>2268</v>
      </c>
      <c r="H681" s="185" t="s">
        <v>1628</v>
      </c>
      <c r="I681" s="258" t="str">
        <f t="shared" si="31"/>
        <v>2</v>
      </c>
      <c r="J681" s="221">
        <f t="shared" si="32"/>
        <v>-1269019</v>
      </c>
      <c r="K681" s="258">
        <f t="shared" si="33"/>
        <v>3</v>
      </c>
      <c r="L681" s="188">
        <v>0</v>
      </c>
      <c r="M681" s="188">
        <v>1269019</v>
      </c>
      <c r="N681" s="189">
        <v>1020842223</v>
      </c>
      <c r="O681" t="s">
        <v>2266</v>
      </c>
      <c r="P681" s="187">
        <v>45009</v>
      </c>
      <c r="Q681" s="186">
        <v>8831</v>
      </c>
      <c r="R681" s="185"/>
      <c r="S681" s="185" t="s">
        <v>1532</v>
      </c>
      <c r="T681"/>
      <c r="U681" t="str">
        <f>IF($L681&gt;0,VLOOKUP($E681,Valida!$A$1:$G$270,6,FALSE),IF($M681&gt;=0,VLOOKUP($E681,Valida!$A$1:$G$270,7,FALSE)))</f>
        <v>(+/-) Ajustes por el incremento (disminución) de cuentas por pagar de origen comercial</v>
      </c>
      <c r="V681" s="190" t="str">
        <f>VLOOKUP(E681,Valida!$A$2:$K$271,4,FALSE)</f>
        <v>Trade and other payables</v>
      </c>
      <c r="W681" s="185" t="s">
        <v>1900</v>
      </c>
      <c r="X681" s="185"/>
      <c r="Y681" s="185" t="s">
        <v>1789</v>
      </c>
      <c r="Z681"/>
    </row>
    <row r="682" spans="1:26">
      <c r="A682" s="185" t="s">
        <v>2265</v>
      </c>
      <c r="B682" s="185" t="s">
        <v>2266</v>
      </c>
      <c r="C682" s="185" t="s">
        <v>1897</v>
      </c>
      <c r="D682" s="185" t="s">
        <v>2267</v>
      </c>
      <c r="E682" s="185">
        <v>250505</v>
      </c>
      <c r="F682" s="185" t="s">
        <v>767</v>
      </c>
      <c r="G682" s="185" t="s">
        <v>2268</v>
      </c>
      <c r="H682" s="185" t="s">
        <v>1628</v>
      </c>
      <c r="I682" s="258" t="str">
        <f t="shared" si="31"/>
        <v>2</v>
      </c>
      <c r="J682" s="221">
        <f t="shared" si="32"/>
        <v>-1207806</v>
      </c>
      <c r="K682" s="258">
        <f t="shared" si="33"/>
        <v>3</v>
      </c>
      <c r="L682" s="188">
        <v>0</v>
      </c>
      <c r="M682" s="188">
        <v>1207806</v>
      </c>
      <c r="N682" s="189">
        <v>1130744136</v>
      </c>
      <c r="O682" t="s">
        <v>2266</v>
      </c>
      <c r="P682" s="187">
        <v>45009</v>
      </c>
      <c r="Q682" s="186">
        <v>8832</v>
      </c>
      <c r="R682" s="185"/>
      <c r="S682" s="185" t="s">
        <v>1538</v>
      </c>
      <c r="T682"/>
      <c r="U682" t="str">
        <f>IF($L682&gt;0,VLOOKUP($E682,Valida!$A$1:$G$270,6,FALSE),IF($M682&gt;=0,VLOOKUP($E682,Valida!$A$1:$G$270,7,FALSE)))</f>
        <v>(+/-) Ajustes por el incremento (disminución) de cuentas por pagar de origen comercial</v>
      </c>
      <c r="V682" s="190" t="str">
        <f>VLOOKUP(E682,Valida!$A$2:$K$271,4,FALSE)</f>
        <v>Trade and other payables</v>
      </c>
      <c r="W682" s="185" t="s">
        <v>1909</v>
      </c>
      <c r="X682" s="185" t="s">
        <v>1910</v>
      </c>
      <c r="Y682" s="185" t="s">
        <v>1789</v>
      </c>
      <c r="Z682"/>
    </row>
    <row r="683" spans="1:26">
      <c r="A683" s="185" t="s">
        <v>2265</v>
      </c>
      <c r="B683" s="185" t="s">
        <v>2266</v>
      </c>
      <c r="C683" s="185" t="s">
        <v>1897</v>
      </c>
      <c r="D683" s="185" t="s">
        <v>2267</v>
      </c>
      <c r="E683" s="185">
        <v>250505</v>
      </c>
      <c r="F683" s="185" t="s">
        <v>767</v>
      </c>
      <c r="G683" s="185" t="s">
        <v>2268</v>
      </c>
      <c r="H683" s="185" t="s">
        <v>1628</v>
      </c>
      <c r="I683" s="258" t="str">
        <f t="shared" si="31"/>
        <v>2</v>
      </c>
      <c r="J683" s="221">
        <f t="shared" si="32"/>
        <v>-2112515</v>
      </c>
      <c r="K683" s="258">
        <f t="shared" si="33"/>
        <v>3</v>
      </c>
      <c r="L683" s="188">
        <v>0</v>
      </c>
      <c r="M683" s="188">
        <v>2112515</v>
      </c>
      <c r="N683" s="189">
        <v>80747504</v>
      </c>
      <c r="O683" t="s">
        <v>2266</v>
      </c>
      <c r="P683" s="187">
        <v>45009</v>
      </c>
      <c r="Q683" s="186">
        <v>8833</v>
      </c>
      <c r="R683" s="185"/>
      <c r="S683" s="185" t="s">
        <v>1562</v>
      </c>
      <c r="T683"/>
      <c r="U683" t="str">
        <f>IF($L683&gt;0,VLOOKUP($E683,Valida!$A$1:$G$270,6,FALSE),IF($M683&gt;=0,VLOOKUP($E683,Valida!$A$1:$G$270,7,FALSE)))</f>
        <v>(+/-) Ajustes por el incremento (disminución) de cuentas por pagar de origen comercial</v>
      </c>
      <c r="V683" s="190" t="str">
        <f>VLOOKUP(E683,Valida!$A$2:$K$271,4,FALSE)</f>
        <v>Trade and other payables</v>
      </c>
      <c r="W683" s="185" t="s">
        <v>1918</v>
      </c>
      <c r="X683" s="185"/>
      <c r="Y683" s="185" t="s">
        <v>1789</v>
      </c>
      <c r="Z683"/>
    </row>
    <row r="684" spans="1:26">
      <c r="A684" s="185" t="s">
        <v>2265</v>
      </c>
      <c r="B684" s="185" t="s">
        <v>2040</v>
      </c>
      <c r="C684" s="185" t="s">
        <v>1897</v>
      </c>
      <c r="D684" s="185" t="s">
        <v>2041</v>
      </c>
      <c r="E684" s="185">
        <v>237006</v>
      </c>
      <c r="F684" s="185" t="s">
        <v>680</v>
      </c>
      <c r="G684" s="185" t="s">
        <v>2271</v>
      </c>
      <c r="H684" s="185" t="s">
        <v>1628</v>
      </c>
      <c r="I684" s="258" t="str">
        <f t="shared" si="31"/>
        <v>2</v>
      </c>
      <c r="J684" s="221">
        <f t="shared" si="32"/>
        <v>-6661</v>
      </c>
      <c r="K684" s="258">
        <f t="shared" si="33"/>
        <v>3</v>
      </c>
      <c r="L684" s="188">
        <v>0</v>
      </c>
      <c r="M684" s="188">
        <v>6661</v>
      </c>
      <c r="N684" s="189">
        <v>860002503</v>
      </c>
      <c r="O684" t="s">
        <v>2040</v>
      </c>
      <c r="P684" s="187">
        <v>45009</v>
      </c>
      <c r="Q684" s="186">
        <v>8834</v>
      </c>
      <c r="R684" s="185" t="s">
        <v>433</v>
      </c>
      <c r="S684" s="185" t="s">
        <v>1656</v>
      </c>
      <c r="T684"/>
      <c r="U684" t="str">
        <f>IF($L684&gt;0,VLOOKUP($E684,Valida!$A$1:$G$270,6,FALSE),IF($M684&gt;=0,VLOOKUP($E684,Valida!$A$1:$G$270,7,FALSE)))</f>
        <v>(+/-) Ajustes por el incremento (disminución) de cuentas por pagar de origen comercial</v>
      </c>
      <c r="V684" s="190" t="str">
        <f>VLOOKUP(E684,Valida!$A$2:$K$271,4,FALSE)</f>
        <v>Trade and other payables</v>
      </c>
      <c r="W684" s="185" t="s">
        <v>1912</v>
      </c>
      <c r="X684" s="185" t="s">
        <v>1913</v>
      </c>
      <c r="Y684" s="185" t="s">
        <v>1789</v>
      </c>
      <c r="Z684"/>
    </row>
    <row r="685" spans="1:26">
      <c r="A685" s="185" t="s">
        <v>2265</v>
      </c>
      <c r="B685" s="185" t="s">
        <v>2040</v>
      </c>
      <c r="C685" s="185" t="s">
        <v>1897</v>
      </c>
      <c r="D685" s="185" t="s">
        <v>2041</v>
      </c>
      <c r="E685" s="185">
        <v>237006</v>
      </c>
      <c r="F685" s="185" t="s">
        <v>680</v>
      </c>
      <c r="G685" s="185" t="s">
        <v>2271</v>
      </c>
      <c r="H685" s="185" t="s">
        <v>1628</v>
      </c>
      <c r="I685" s="258" t="str">
        <f t="shared" si="31"/>
        <v>2</v>
      </c>
      <c r="J685" s="221">
        <f t="shared" si="32"/>
        <v>-7569</v>
      </c>
      <c r="K685" s="258">
        <f t="shared" si="33"/>
        <v>3</v>
      </c>
      <c r="L685" s="188">
        <v>0</v>
      </c>
      <c r="M685" s="188">
        <v>7569</v>
      </c>
      <c r="N685" s="189">
        <v>860002503</v>
      </c>
      <c r="O685" t="s">
        <v>2040</v>
      </c>
      <c r="P685" s="187">
        <v>45009</v>
      </c>
      <c r="Q685" s="186">
        <v>8835</v>
      </c>
      <c r="R685" s="185" t="s">
        <v>433</v>
      </c>
      <c r="S685" s="185" t="s">
        <v>1656</v>
      </c>
      <c r="T685"/>
      <c r="U685" t="str">
        <f>IF($L685&gt;0,VLOOKUP($E685,Valida!$A$1:$G$270,6,FALSE),IF($M685&gt;=0,VLOOKUP($E685,Valida!$A$1:$G$270,7,FALSE)))</f>
        <v>(+/-) Ajustes por el incremento (disminución) de cuentas por pagar de origen comercial</v>
      </c>
      <c r="V685" s="190" t="str">
        <f>VLOOKUP(E685,Valida!$A$2:$K$271,4,FALSE)</f>
        <v>Trade and other payables</v>
      </c>
      <c r="W685" s="185" t="s">
        <v>1912</v>
      </c>
      <c r="X685" s="185" t="s">
        <v>1913</v>
      </c>
      <c r="Y685" s="185" t="s">
        <v>1789</v>
      </c>
      <c r="Z685"/>
    </row>
    <row r="686" spans="1:26">
      <c r="A686" s="185" t="s">
        <v>2265</v>
      </c>
      <c r="B686" s="185" t="s">
        <v>2040</v>
      </c>
      <c r="C686" s="185" t="s">
        <v>1897</v>
      </c>
      <c r="D686" s="185" t="s">
        <v>2041</v>
      </c>
      <c r="E686" s="185">
        <v>237006</v>
      </c>
      <c r="F686" s="185" t="s">
        <v>680</v>
      </c>
      <c r="G686" s="185" t="s">
        <v>2271</v>
      </c>
      <c r="H686" s="185" t="s">
        <v>1628</v>
      </c>
      <c r="I686" s="258" t="str">
        <f t="shared" si="31"/>
        <v>2</v>
      </c>
      <c r="J686" s="221">
        <f t="shared" si="32"/>
        <v>-7830</v>
      </c>
      <c r="K686" s="258">
        <f t="shared" si="33"/>
        <v>3</v>
      </c>
      <c r="L686" s="188">
        <v>0</v>
      </c>
      <c r="M686" s="188">
        <v>7830</v>
      </c>
      <c r="N686" s="189">
        <v>860002503</v>
      </c>
      <c r="O686" t="s">
        <v>2040</v>
      </c>
      <c r="P686" s="187">
        <v>45009</v>
      </c>
      <c r="Q686" s="186">
        <v>8836</v>
      </c>
      <c r="R686" s="185" t="s">
        <v>433</v>
      </c>
      <c r="S686" s="185" t="s">
        <v>1656</v>
      </c>
      <c r="T686"/>
      <c r="U686" t="str">
        <f>IF($L686&gt;0,VLOOKUP($E686,Valida!$A$1:$G$270,6,FALSE),IF($M686&gt;=0,VLOOKUP($E686,Valida!$A$1:$G$270,7,FALSE)))</f>
        <v>(+/-) Ajustes por el incremento (disminución) de cuentas por pagar de origen comercial</v>
      </c>
      <c r="V686" s="190" t="str">
        <f>VLOOKUP(E686,Valida!$A$2:$K$271,4,FALSE)</f>
        <v>Trade and other payables</v>
      </c>
      <c r="W686" s="185" t="s">
        <v>1912</v>
      </c>
      <c r="X686" s="185" t="s">
        <v>1913</v>
      </c>
      <c r="Y686" s="185" t="s">
        <v>1789</v>
      </c>
      <c r="Z686"/>
    </row>
    <row r="687" spans="1:26">
      <c r="A687" s="185" t="s">
        <v>2265</v>
      </c>
      <c r="B687" s="185" t="s">
        <v>2040</v>
      </c>
      <c r="C687" s="185" t="s">
        <v>1897</v>
      </c>
      <c r="D687" s="185" t="s">
        <v>2041</v>
      </c>
      <c r="E687" s="185">
        <v>237006</v>
      </c>
      <c r="F687" s="185" t="s">
        <v>680</v>
      </c>
      <c r="G687" s="185" t="s">
        <v>2271</v>
      </c>
      <c r="H687" s="185" t="s">
        <v>1628</v>
      </c>
      <c r="I687" s="258" t="str">
        <f t="shared" si="31"/>
        <v>2</v>
      </c>
      <c r="J687" s="221">
        <f t="shared" si="32"/>
        <v>-6055</v>
      </c>
      <c r="K687" s="258">
        <f t="shared" si="33"/>
        <v>3</v>
      </c>
      <c r="L687" s="188">
        <v>0</v>
      </c>
      <c r="M687" s="188">
        <v>6055</v>
      </c>
      <c r="N687" s="189">
        <v>860002503</v>
      </c>
      <c r="O687" t="s">
        <v>2040</v>
      </c>
      <c r="P687" s="187">
        <v>45009</v>
      </c>
      <c r="Q687" s="186">
        <v>8837</v>
      </c>
      <c r="R687" s="185" t="s">
        <v>433</v>
      </c>
      <c r="S687" s="185" t="s">
        <v>1656</v>
      </c>
      <c r="T687"/>
      <c r="U687" t="str">
        <f>IF($L687&gt;0,VLOOKUP($E687,Valida!$A$1:$G$270,6,FALSE),IF($M687&gt;=0,VLOOKUP($E687,Valida!$A$1:$G$270,7,FALSE)))</f>
        <v>(+/-) Ajustes por el incremento (disminución) de cuentas por pagar de origen comercial</v>
      </c>
      <c r="V687" s="190" t="str">
        <f>VLOOKUP(E687,Valida!$A$2:$K$271,4,FALSE)</f>
        <v>Trade and other payables</v>
      </c>
      <c r="W687" s="185" t="s">
        <v>1912</v>
      </c>
      <c r="X687" s="185" t="s">
        <v>1913</v>
      </c>
      <c r="Y687" s="185" t="s">
        <v>1789</v>
      </c>
      <c r="Z687"/>
    </row>
    <row r="688" spans="1:26">
      <c r="A688" s="185" t="s">
        <v>2265</v>
      </c>
      <c r="B688" s="185" t="s">
        <v>2040</v>
      </c>
      <c r="C688" s="185" t="s">
        <v>1897</v>
      </c>
      <c r="D688" s="185" t="s">
        <v>2041</v>
      </c>
      <c r="E688" s="185">
        <v>237006</v>
      </c>
      <c r="F688" s="185" t="s">
        <v>680</v>
      </c>
      <c r="G688" s="185" t="s">
        <v>2271</v>
      </c>
      <c r="H688" s="185" t="s">
        <v>1628</v>
      </c>
      <c r="I688" s="258" t="str">
        <f t="shared" si="31"/>
        <v>2</v>
      </c>
      <c r="J688" s="221">
        <f t="shared" si="32"/>
        <v>-6055</v>
      </c>
      <c r="K688" s="258">
        <f t="shared" si="33"/>
        <v>3</v>
      </c>
      <c r="L688" s="188">
        <v>0</v>
      </c>
      <c r="M688" s="188">
        <v>6055</v>
      </c>
      <c r="N688" s="189">
        <v>860002503</v>
      </c>
      <c r="O688" t="s">
        <v>2040</v>
      </c>
      <c r="P688" s="187">
        <v>45009</v>
      </c>
      <c r="Q688" s="186">
        <v>8838</v>
      </c>
      <c r="R688" s="185" t="s">
        <v>433</v>
      </c>
      <c r="S688" s="185" t="s">
        <v>1656</v>
      </c>
      <c r="T688"/>
      <c r="U688" t="str">
        <f>IF($L688&gt;0,VLOOKUP($E688,Valida!$A$1:$G$270,6,FALSE),IF($M688&gt;=0,VLOOKUP($E688,Valida!$A$1:$G$270,7,FALSE)))</f>
        <v>(+/-) Ajustes por el incremento (disminución) de cuentas por pagar de origen comercial</v>
      </c>
      <c r="V688" s="190" t="str">
        <f>VLOOKUP(E688,Valida!$A$2:$K$271,4,FALSE)</f>
        <v>Trade and other payables</v>
      </c>
      <c r="W688" s="185" t="s">
        <v>1912</v>
      </c>
      <c r="X688" s="185" t="s">
        <v>1913</v>
      </c>
      <c r="Y688" s="185" t="s">
        <v>1789</v>
      </c>
      <c r="Z688"/>
    </row>
    <row r="689" spans="1:26">
      <c r="A689" s="185" t="s">
        <v>2265</v>
      </c>
      <c r="B689" s="185" t="s">
        <v>2040</v>
      </c>
      <c r="C689" s="185" t="s">
        <v>1897</v>
      </c>
      <c r="D689" s="185" t="s">
        <v>2041</v>
      </c>
      <c r="E689" s="185">
        <v>237006</v>
      </c>
      <c r="F689" s="185" t="s">
        <v>680</v>
      </c>
      <c r="G689" s="185" t="s">
        <v>2271</v>
      </c>
      <c r="H689" s="185" t="s">
        <v>1628</v>
      </c>
      <c r="I689" s="258" t="str">
        <f t="shared" si="31"/>
        <v>2</v>
      </c>
      <c r="J689" s="221">
        <f t="shared" si="32"/>
        <v>-11484</v>
      </c>
      <c r="K689" s="258">
        <f t="shared" si="33"/>
        <v>3</v>
      </c>
      <c r="L689" s="188">
        <v>0</v>
      </c>
      <c r="M689" s="188">
        <v>11484</v>
      </c>
      <c r="N689" s="189">
        <v>860002503</v>
      </c>
      <c r="O689" t="s">
        <v>2040</v>
      </c>
      <c r="P689" s="187">
        <v>45009</v>
      </c>
      <c r="Q689" s="186">
        <v>8839</v>
      </c>
      <c r="R689" s="185" t="s">
        <v>433</v>
      </c>
      <c r="S689" s="185" t="s">
        <v>1656</v>
      </c>
      <c r="T689"/>
      <c r="U689" t="str">
        <f>IF($L689&gt;0,VLOOKUP($E689,Valida!$A$1:$G$270,6,FALSE),IF($M689&gt;=0,VLOOKUP($E689,Valida!$A$1:$G$270,7,FALSE)))</f>
        <v>(+/-) Ajustes por el incremento (disminución) de cuentas por pagar de origen comercial</v>
      </c>
      <c r="V689" s="190" t="str">
        <f>VLOOKUP(E689,Valida!$A$2:$K$271,4,FALSE)</f>
        <v>Trade and other payables</v>
      </c>
      <c r="W689" s="185" t="s">
        <v>1912</v>
      </c>
      <c r="X689" s="185" t="s">
        <v>1913</v>
      </c>
      <c r="Y689" s="185" t="s">
        <v>1789</v>
      </c>
      <c r="Z689"/>
    </row>
    <row r="690" spans="1:26">
      <c r="A690" s="185" t="s">
        <v>2265</v>
      </c>
      <c r="B690" s="185" t="s">
        <v>2040</v>
      </c>
      <c r="C690" s="185" t="s">
        <v>1897</v>
      </c>
      <c r="D690" s="185" t="s">
        <v>2041</v>
      </c>
      <c r="E690" s="185">
        <v>237010</v>
      </c>
      <c r="F690" s="185" t="s">
        <v>683</v>
      </c>
      <c r="G690" s="185" t="s">
        <v>2272</v>
      </c>
      <c r="H690" s="185" t="s">
        <v>1628</v>
      </c>
      <c r="I690" s="258" t="str">
        <f t="shared" si="31"/>
        <v>2</v>
      </c>
      <c r="J690" s="221">
        <f t="shared" si="32"/>
        <v>-173700</v>
      </c>
      <c r="K690" s="258">
        <f t="shared" si="33"/>
        <v>3</v>
      </c>
      <c r="L690" s="188">
        <v>0</v>
      </c>
      <c r="M690" s="188">
        <v>173700</v>
      </c>
      <c r="N690" s="189">
        <v>860066942</v>
      </c>
      <c r="O690" t="s">
        <v>2040</v>
      </c>
      <c r="P690" s="187">
        <v>45009</v>
      </c>
      <c r="Q690" s="186">
        <v>8845</v>
      </c>
      <c r="R690" s="185" t="s">
        <v>1814</v>
      </c>
      <c r="S690" s="185" t="s">
        <v>1574</v>
      </c>
      <c r="T690"/>
      <c r="U690" t="str">
        <f>IF($L690&gt;0,VLOOKUP($E690,Valida!$A$1:$G$270,6,FALSE),IF($M690&gt;=0,VLOOKUP($E690,Valida!$A$1:$G$270,7,FALSE)))</f>
        <v>(+/-) Ajustes por el incremento (disminución) de cuentas por pagar de origen comercial</v>
      </c>
      <c r="V690" s="190" t="str">
        <f>VLOOKUP(E690,Valida!$A$2:$K$271,4,FALSE)</f>
        <v>Trade and other payables</v>
      </c>
      <c r="W690" s="185" t="s">
        <v>1914</v>
      </c>
      <c r="X690" s="185" t="s">
        <v>1915</v>
      </c>
      <c r="Y690" s="185" t="s">
        <v>1789</v>
      </c>
      <c r="Z690"/>
    </row>
    <row r="691" spans="1:26">
      <c r="A691" s="185" t="s">
        <v>2265</v>
      </c>
      <c r="B691" s="185" t="s">
        <v>2040</v>
      </c>
      <c r="C691" s="185" t="s">
        <v>1897</v>
      </c>
      <c r="D691" s="185" t="s">
        <v>2041</v>
      </c>
      <c r="E691" s="185">
        <v>238030</v>
      </c>
      <c r="F691" s="185" t="s">
        <v>721</v>
      </c>
      <c r="G691" s="185" t="s">
        <v>2273</v>
      </c>
      <c r="H691" s="185" t="s">
        <v>1628</v>
      </c>
      <c r="I691" s="258" t="str">
        <f t="shared" si="31"/>
        <v>2</v>
      </c>
      <c r="J691" s="221">
        <f t="shared" si="32"/>
        <v>-153120</v>
      </c>
      <c r="K691" s="258">
        <f t="shared" si="33"/>
        <v>3</v>
      </c>
      <c r="L691" s="188">
        <v>0</v>
      </c>
      <c r="M691" s="188">
        <v>153120</v>
      </c>
      <c r="N691" s="189">
        <v>800149496</v>
      </c>
      <c r="O691" t="s">
        <v>2040</v>
      </c>
      <c r="P691" s="187">
        <v>45009</v>
      </c>
      <c r="Q691" s="186">
        <v>8846</v>
      </c>
      <c r="R691" s="185" t="s">
        <v>433</v>
      </c>
      <c r="S691" s="185" t="s">
        <v>1660</v>
      </c>
      <c r="T691"/>
      <c r="U691" t="str">
        <f>IF($L691&gt;0,VLOOKUP($E691,Valida!$A$1:$G$270,6,FALSE),IF($M691&gt;=0,VLOOKUP($E691,Valida!$A$1:$G$270,7,FALSE)))</f>
        <v>(+/-) Ajustes por el incremento (disminución) de cuentas por pagar de origen comercial</v>
      </c>
      <c r="V691" s="190" t="str">
        <f>VLOOKUP(E691,Valida!$A$2:$K$271,4,FALSE)</f>
        <v>Trade and other payables</v>
      </c>
      <c r="W691" s="185" t="s">
        <v>1979</v>
      </c>
      <c r="X691" s="185"/>
      <c r="Y691" s="185" t="s">
        <v>1789</v>
      </c>
      <c r="Z691"/>
    </row>
    <row r="692" spans="1:26">
      <c r="A692" s="185" t="s">
        <v>2265</v>
      </c>
      <c r="B692" s="185" t="s">
        <v>2040</v>
      </c>
      <c r="C692" s="185" t="s">
        <v>1897</v>
      </c>
      <c r="D692" s="185" t="s">
        <v>2041</v>
      </c>
      <c r="E692" s="185">
        <v>238030</v>
      </c>
      <c r="F692" s="185" t="s">
        <v>721</v>
      </c>
      <c r="G692" s="185" t="s">
        <v>2273</v>
      </c>
      <c r="H692" s="185" t="s">
        <v>1628</v>
      </c>
      <c r="I692" s="258" t="str">
        <f t="shared" si="31"/>
        <v>2</v>
      </c>
      <c r="J692" s="221">
        <f t="shared" si="32"/>
        <v>-174000</v>
      </c>
      <c r="K692" s="258">
        <f t="shared" si="33"/>
        <v>3</v>
      </c>
      <c r="L692" s="188">
        <v>0</v>
      </c>
      <c r="M692" s="188">
        <v>174000</v>
      </c>
      <c r="N692" s="189">
        <v>800224808</v>
      </c>
      <c r="O692" t="s">
        <v>2040</v>
      </c>
      <c r="P692" s="187">
        <v>45009</v>
      </c>
      <c r="Q692" s="186">
        <v>8847</v>
      </c>
      <c r="R692" s="185" t="s">
        <v>1827</v>
      </c>
      <c r="S692" s="185" t="s">
        <v>1662</v>
      </c>
      <c r="T692"/>
      <c r="U692" t="str">
        <f>IF($L692&gt;0,VLOOKUP($E692,Valida!$A$1:$G$270,6,FALSE),IF($M692&gt;=0,VLOOKUP($E692,Valida!$A$1:$G$270,7,FALSE)))</f>
        <v>(+/-) Ajustes por el incremento (disminución) de cuentas por pagar de origen comercial</v>
      </c>
      <c r="V692" s="190" t="str">
        <f>VLOOKUP(E692,Valida!$A$2:$K$271,4,FALSE)</f>
        <v>Trade and other payables</v>
      </c>
      <c r="W692" s="185" t="s">
        <v>1911</v>
      </c>
      <c r="X692" s="185"/>
      <c r="Y692" s="185" t="s">
        <v>1789</v>
      </c>
      <c r="Z692"/>
    </row>
    <row r="693" spans="1:26">
      <c r="A693" s="185" t="s">
        <v>2265</v>
      </c>
      <c r="B693" s="185" t="s">
        <v>2040</v>
      </c>
      <c r="C693" s="185" t="s">
        <v>1897</v>
      </c>
      <c r="D693" s="185" t="s">
        <v>2041</v>
      </c>
      <c r="E693" s="185">
        <v>238030</v>
      </c>
      <c r="F693" s="185" t="s">
        <v>721</v>
      </c>
      <c r="G693" s="185" t="s">
        <v>2273</v>
      </c>
      <c r="H693" s="185" t="s">
        <v>1628</v>
      </c>
      <c r="I693" s="258" t="str">
        <f t="shared" si="31"/>
        <v>2</v>
      </c>
      <c r="J693" s="221">
        <f t="shared" si="32"/>
        <v>-180000</v>
      </c>
      <c r="K693" s="258">
        <f t="shared" si="33"/>
        <v>3</v>
      </c>
      <c r="L693" s="188">
        <v>0</v>
      </c>
      <c r="M693" s="188">
        <v>180000</v>
      </c>
      <c r="N693" s="189">
        <v>800224808</v>
      </c>
      <c r="O693" t="s">
        <v>2040</v>
      </c>
      <c r="P693" s="187">
        <v>45009</v>
      </c>
      <c r="Q693" s="186">
        <v>8848</v>
      </c>
      <c r="R693" s="185" t="s">
        <v>1827</v>
      </c>
      <c r="S693" s="185" t="s">
        <v>1662</v>
      </c>
      <c r="T693"/>
      <c r="U693" t="str">
        <f>IF($L693&gt;0,VLOOKUP($E693,Valida!$A$1:$G$270,6,FALSE),IF($M693&gt;=0,VLOOKUP($E693,Valida!$A$1:$G$270,7,FALSE)))</f>
        <v>(+/-) Ajustes por el incremento (disminución) de cuentas por pagar de origen comercial</v>
      </c>
      <c r="V693" s="190" t="str">
        <f>VLOOKUP(E693,Valida!$A$2:$K$271,4,FALSE)</f>
        <v>Trade and other payables</v>
      </c>
      <c r="W693" s="185" t="s">
        <v>1911</v>
      </c>
      <c r="X693" s="185"/>
      <c r="Y693" s="185" t="s">
        <v>1789</v>
      </c>
      <c r="Z693"/>
    </row>
    <row r="694" spans="1:26">
      <c r="A694" s="185" t="s">
        <v>2265</v>
      </c>
      <c r="B694" s="185" t="s">
        <v>2040</v>
      </c>
      <c r="C694" s="185" t="s">
        <v>1897</v>
      </c>
      <c r="D694" s="185" t="s">
        <v>2041</v>
      </c>
      <c r="E694" s="185">
        <v>238030</v>
      </c>
      <c r="F694" s="185" t="s">
        <v>721</v>
      </c>
      <c r="G694" s="185" t="s">
        <v>2273</v>
      </c>
      <c r="H694" s="185" t="s">
        <v>1628</v>
      </c>
      <c r="I694" s="258" t="str">
        <f t="shared" si="31"/>
        <v>2</v>
      </c>
      <c r="J694" s="221">
        <f t="shared" si="32"/>
        <v>-149200</v>
      </c>
      <c r="K694" s="258">
        <f t="shared" si="33"/>
        <v>3</v>
      </c>
      <c r="L694" s="188">
        <v>0</v>
      </c>
      <c r="M694" s="188">
        <v>149200</v>
      </c>
      <c r="N694" s="189">
        <v>800224808</v>
      </c>
      <c r="O694" t="s">
        <v>2040</v>
      </c>
      <c r="P694" s="187">
        <v>45009</v>
      </c>
      <c r="Q694" s="186">
        <v>8849</v>
      </c>
      <c r="R694" s="185" t="s">
        <v>1827</v>
      </c>
      <c r="S694" s="185" t="s">
        <v>1662</v>
      </c>
      <c r="T694"/>
      <c r="U694" t="str">
        <f>IF($L694&gt;0,VLOOKUP($E694,Valida!$A$1:$G$270,6,FALSE),IF($M694&gt;=0,VLOOKUP($E694,Valida!$A$1:$G$270,7,FALSE)))</f>
        <v>(+/-) Ajustes por el incremento (disminución) de cuentas por pagar de origen comercial</v>
      </c>
      <c r="V694" s="190" t="str">
        <f>VLOOKUP(E694,Valida!$A$2:$K$271,4,FALSE)</f>
        <v>Trade and other payables</v>
      </c>
      <c r="W694" s="185" t="s">
        <v>1911</v>
      </c>
      <c r="X694" s="185"/>
      <c r="Y694" s="185" t="s">
        <v>1789</v>
      </c>
      <c r="Z694"/>
    </row>
    <row r="695" spans="1:26">
      <c r="A695" s="185" t="s">
        <v>2265</v>
      </c>
      <c r="B695" s="185" t="s">
        <v>2040</v>
      </c>
      <c r="C695" s="185" t="s">
        <v>1897</v>
      </c>
      <c r="D695" s="185" t="s">
        <v>2041</v>
      </c>
      <c r="E695" s="185">
        <v>238030</v>
      </c>
      <c r="F695" s="185" t="s">
        <v>721</v>
      </c>
      <c r="G695" s="185" t="s">
        <v>2273</v>
      </c>
      <c r="H695" s="185" t="s">
        <v>1628</v>
      </c>
      <c r="I695" s="258" t="str">
        <f t="shared" si="31"/>
        <v>2</v>
      </c>
      <c r="J695" s="221">
        <f t="shared" si="32"/>
        <v>-139200</v>
      </c>
      <c r="K695" s="258">
        <f t="shared" si="33"/>
        <v>3</v>
      </c>
      <c r="L695" s="188">
        <v>0</v>
      </c>
      <c r="M695" s="188">
        <v>139200</v>
      </c>
      <c r="N695" s="189">
        <v>800224808</v>
      </c>
      <c r="O695" t="s">
        <v>2040</v>
      </c>
      <c r="P695" s="187">
        <v>45009</v>
      </c>
      <c r="Q695" s="186">
        <v>8850</v>
      </c>
      <c r="R695" s="185" t="s">
        <v>1827</v>
      </c>
      <c r="S695" s="185" t="s">
        <v>1662</v>
      </c>
      <c r="T695"/>
      <c r="U695" t="str">
        <f>IF($L695&gt;0,VLOOKUP($E695,Valida!$A$1:$G$270,6,FALSE),IF($M695&gt;=0,VLOOKUP($E695,Valida!$A$1:$G$270,7,FALSE)))</f>
        <v>(+/-) Ajustes por el incremento (disminución) de cuentas por pagar de origen comercial</v>
      </c>
      <c r="V695" s="190" t="str">
        <f>VLOOKUP(E695,Valida!$A$2:$K$271,4,FALSE)</f>
        <v>Trade and other payables</v>
      </c>
      <c r="W695" s="185" t="s">
        <v>1911</v>
      </c>
      <c r="X695" s="185"/>
      <c r="Y695" s="185" t="s">
        <v>1789</v>
      </c>
      <c r="Z695"/>
    </row>
    <row r="696" spans="1:26">
      <c r="A696" s="185" t="s">
        <v>2265</v>
      </c>
      <c r="B696" s="185" t="s">
        <v>2040</v>
      </c>
      <c r="C696" s="185" t="s">
        <v>1897</v>
      </c>
      <c r="D696" s="185" t="s">
        <v>2041</v>
      </c>
      <c r="E696" s="185">
        <v>238030</v>
      </c>
      <c r="F696" s="185" t="s">
        <v>721</v>
      </c>
      <c r="G696" s="185" t="s">
        <v>2273</v>
      </c>
      <c r="H696" s="185" t="s">
        <v>1628</v>
      </c>
      <c r="I696" s="258" t="str">
        <f t="shared" si="31"/>
        <v>2</v>
      </c>
      <c r="J696" s="221">
        <f t="shared" si="32"/>
        <v>-264000</v>
      </c>
      <c r="K696" s="258">
        <f t="shared" si="33"/>
        <v>3</v>
      </c>
      <c r="L696" s="188">
        <v>0</v>
      </c>
      <c r="M696" s="188">
        <v>264000</v>
      </c>
      <c r="N696" s="189">
        <v>900950893</v>
      </c>
      <c r="O696" t="s">
        <v>2040</v>
      </c>
      <c r="P696" s="187">
        <v>45009</v>
      </c>
      <c r="Q696" s="186">
        <v>8851</v>
      </c>
      <c r="R696" s="185" t="s">
        <v>1519</v>
      </c>
      <c r="S696" s="185" t="s">
        <v>1668</v>
      </c>
      <c r="T696"/>
      <c r="U696" t="str">
        <f>IF($L696&gt;0,VLOOKUP($E696,Valida!$A$1:$G$270,6,FALSE),IF($M696&gt;=0,VLOOKUP($E696,Valida!$A$1:$G$270,7,FALSE)))</f>
        <v>(+/-) Ajustes por el incremento (disminución) de cuentas por pagar de origen comercial</v>
      </c>
      <c r="V696" s="190" t="str">
        <f>VLOOKUP(E696,Valida!$A$2:$K$271,4,FALSE)</f>
        <v>Trade and other payables</v>
      </c>
      <c r="W696" s="185" t="s">
        <v>1928</v>
      </c>
      <c r="X696" s="185"/>
      <c r="Y696" s="185" t="s">
        <v>1789</v>
      </c>
      <c r="Z696"/>
    </row>
    <row r="697" spans="1:26">
      <c r="A697" s="185" t="s">
        <v>2265</v>
      </c>
      <c r="B697" s="185" t="s">
        <v>2040</v>
      </c>
      <c r="C697" s="185" t="s">
        <v>1897</v>
      </c>
      <c r="D697" s="185" t="s">
        <v>2041</v>
      </c>
      <c r="E697" s="185">
        <v>251010</v>
      </c>
      <c r="F697" s="185" t="s">
        <v>776</v>
      </c>
      <c r="G697" s="185" t="s">
        <v>2274</v>
      </c>
      <c r="H697" s="185" t="s">
        <v>1628</v>
      </c>
      <c r="I697" s="258" t="str">
        <f t="shared" si="31"/>
        <v>2</v>
      </c>
      <c r="J697" s="221">
        <f t="shared" si="32"/>
        <v>-118003</v>
      </c>
      <c r="K697" s="258">
        <f t="shared" si="33"/>
        <v>3</v>
      </c>
      <c r="L697" s="188">
        <v>0</v>
      </c>
      <c r="M697" s="188">
        <v>118003</v>
      </c>
      <c r="N697" s="189">
        <v>1000018061</v>
      </c>
      <c r="O697" t="s">
        <v>2040</v>
      </c>
      <c r="P697" s="187">
        <v>45009</v>
      </c>
      <c r="Q697" s="186">
        <v>8852</v>
      </c>
      <c r="R697" s="185"/>
      <c r="S697" s="185" t="s">
        <v>1522</v>
      </c>
      <c r="T697"/>
      <c r="U697" t="str">
        <f>IF($L697&gt;0,VLOOKUP($E697,Valida!$A$1:$G$270,6,FALSE),IF($M697&gt;=0,VLOOKUP($E697,Valida!$A$1:$G$270,7,FALSE)))</f>
        <v>(+/-) Ajustes por el incremento (disminución) de cuentas por pagar de origen comercial</v>
      </c>
      <c r="V697" s="190" t="str">
        <f>VLOOKUP(E697,Valida!$A$2:$K$271,4,FALSE)</f>
        <v>Trade and other payables</v>
      </c>
      <c r="W697" s="185" t="s">
        <v>1978</v>
      </c>
      <c r="X697" s="185"/>
      <c r="Y697" s="185" t="s">
        <v>1789</v>
      </c>
      <c r="Z697"/>
    </row>
    <row r="698" spans="1:26">
      <c r="A698" s="185" t="s">
        <v>2265</v>
      </c>
      <c r="B698" s="185" t="s">
        <v>2040</v>
      </c>
      <c r="C698" s="185" t="s">
        <v>1897</v>
      </c>
      <c r="D698" s="185" t="s">
        <v>2041</v>
      </c>
      <c r="E698" s="185">
        <v>251010</v>
      </c>
      <c r="F698" s="185" t="s">
        <v>776</v>
      </c>
      <c r="G698" s="185" t="s">
        <v>2274</v>
      </c>
      <c r="H698" s="185" t="s">
        <v>1628</v>
      </c>
      <c r="I698" s="258" t="str">
        <f t="shared" si="31"/>
        <v>2</v>
      </c>
      <c r="J698" s="221">
        <f t="shared" si="32"/>
        <v>-132107</v>
      </c>
      <c r="K698" s="258">
        <f t="shared" si="33"/>
        <v>3</v>
      </c>
      <c r="L698" s="188">
        <v>0</v>
      </c>
      <c r="M698" s="188">
        <v>132107</v>
      </c>
      <c r="N698" s="189">
        <v>1000036375</v>
      </c>
      <c r="O698" t="s">
        <v>2040</v>
      </c>
      <c r="P698" s="187">
        <v>45009</v>
      </c>
      <c r="Q698" s="186">
        <v>8853</v>
      </c>
      <c r="R698" s="185"/>
      <c r="S698" s="185" t="s">
        <v>1524</v>
      </c>
      <c r="T698"/>
      <c r="U698" t="str">
        <f>IF($L698&gt;0,VLOOKUP($E698,Valida!$A$1:$G$270,6,FALSE),IF($M698&gt;=0,VLOOKUP($E698,Valida!$A$1:$G$270,7,FALSE)))</f>
        <v>(+/-) Ajustes por el incremento (disminución) de cuentas por pagar de origen comercial</v>
      </c>
      <c r="V698" s="190" t="str">
        <f>VLOOKUP(E698,Valida!$A$2:$K$271,4,FALSE)</f>
        <v>Trade and other payables</v>
      </c>
      <c r="W698" s="185" t="s">
        <v>1983</v>
      </c>
      <c r="X698" s="185"/>
      <c r="Y698" s="185" t="s">
        <v>1789</v>
      </c>
      <c r="Z698"/>
    </row>
    <row r="699" spans="1:26">
      <c r="A699" s="185" t="s">
        <v>2265</v>
      </c>
      <c r="B699" s="185" t="s">
        <v>2040</v>
      </c>
      <c r="C699" s="185" t="s">
        <v>1897</v>
      </c>
      <c r="D699" s="185" t="s">
        <v>2041</v>
      </c>
      <c r="E699" s="185">
        <v>251010</v>
      </c>
      <c r="F699" s="185" t="s">
        <v>776</v>
      </c>
      <c r="G699" s="185" t="s">
        <v>2274</v>
      </c>
      <c r="H699" s="185" t="s">
        <v>1628</v>
      </c>
      <c r="I699" s="258" t="str">
        <f t="shared" si="31"/>
        <v>2</v>
      </c>
      <c r="J699" s="221">
        <f t="shared" si="32"/>
        <v>-136662</v>
      </c>
      <c r="K699" s="258">
        <f t="shared" si="33"/>
        <v>3</v>
      </c>
      <c r="L699" s="188">
        <v>0</v>
      </c>
      <c r="M699" s="188">
        <v>136662</v>
      </c>
      <c r="N699" s="189">
        <v>1010101811</v>
      </c>
      <c r="O699" t="s">
        <v>2040</v>
      </c>
      <c r="P699" s="187">
        <v>45009</v>
      </c>
      <c r="Q699" s="186">
        <v>8854</v>
      </c>
      <c r="R699" s="185"/>
      <c r="S699" s="185" t="s">
        <v>1528</v>
      </c>
      <c r="T699"/>
      <c r="U699" t="str">
        <f>IF($L699&gt;0,VLOOKUP($E699,Valida!$A$1:$G$270,6,FALSE),IF($M699&gt;=0,VLOOKUP($E699,Valida!$A$1:$G$270,7,FALSE)))</f>
        <v>(+/-) Ajustes por el incremento (disminución) de cuentas por pagar de origen comercial</v>
      </c>
      <c r="V699" s="190" t="str">
        <f>VLOOKUP(E699,Valida!$A$2:$K$271,4,FALSE)</f>
        <v>Trade and other payables</v>
      </c>
      <c r="W699" s="185" t="s">
        <v>1967</v>
      </c>
      <c r="X699" s="185"/>
      <c r="Y699" s="185" t="s">
        <v>1789</v>
      </c>
      <c r="Z699"/>
    </row>
    <row r="700" spans="1:26">
      <c r="A700" s="185" t="s">
        <v>2265</v>
      </c>
      <c r="B700" s="185" t="s">
        <v>2040</v>
      </c>
      <c r="C700" s="185" t="s">
        <v>1897</v>
      </c>
      <c r="D700" s="185" t="s">
        <v>2041</v>
      </c>
      <c r="E700" s="185">
        <v>251010</v>
      </c>
      <c r="F700" s="185" t="s">
        <v>776</v>
      </c>
      <c r="G700" s="185" t="s">
        <v>2274</v>
      </c>
      <c r="H700" s="185" t="s">
        <v>1628</v>
      </c>
      <c r="I700" s="258" t="str">
        <f t="shared" si="31"/>
        <v>2</v>
      </c>
      <c r="J700" s="221">
        <f t="shared" si="32"/>
        <v>-107950</v>
      </c>
      <c r="K700" s="258">
        <f t="shared" si="33"/>
        <v>3</v>
      </c>
      <c r="L700" s="188">
        <v>0</v>
      </c>
      <c r="M700" s="188">
        <v>107950</v>
      </c>
      <c r="N700" s="189">
        <v>1020842223</v>
      </c>
      <c r="O700" t="s">
        <v>2040</v>
      </c>
      <c r="P700" s="187">
        <v>45009</v>
      </c>
      <c r="Q700" s="186">
        <v>8855</v>
      </c>
      <c r="R700" s="185"/>
      <c r="S700" s="185" t="s">
        <v>1532</v>
      </c>
      <c r="T700"/>
      <c r="U700" t="str">
        <f>IF($L700&gt;0,VLOOKUP($E700,Valida!$A$1:$G$270,6,FALSE),IF($M700&gt;=0,VLOOKUP($E700,Valida!$A$1:$G$270,7,FALSE)))</f>
        <v>(+/-) Ajustes por el incremento (disminución) de cuentas por pagar de origen comercial</v>
      </c>
      <c r="V700" s="190" t="str">
        <f>VLOOKUP(E700,Valida!$A$2:$K$271,4,FALSE)</f>
        <v>Trade and other payables</v>
      </c>
      <c r="W700" s="185" t="s">
        <v>1900</v>
      </c>
      <c r="X700" s="185"/>
      <c r="Y700" s="185" t="s">
        <v>1789</v>
      </c>
      <c r="Z700"/>
    </row>
    <row r="701" spans="1:26">
      <c r="A701" s="185" t="s">
        <v>2265</v>
      </c>
      <c r="B701" s="185" t="s">
        <v>2040</v>
      </c>
      <c r="C701" s="185" t="s">
        <v>1897</v>
      </c>
      <c r="D701" s="185" t="s">
        <v>2041</v>
      </c>
      <c r="E701" s="185">
        <v>251010</v>
      </c>
      <c r="F701" s="185" t="s">
        <v>776</v>
      </c>
      <c r="G701" s="185" t="s">
        <v>2274</v>
      </c>
      <c r="H701" s="185" t="s">
        <v>1628</v>
      </c>
      <c r="I701" s="258" t="str">
        <f t="shared" si="31"/>
        <v>2</v>
      </c>
      <c r="J701" s="221">
        <f t="shared" si="32"/>
        <v>-108340</v>
      </c>
      <c r="K701" s="258">
        <f t="shared" si="33"/>
        <v>3</v>
      </c>
      <c r="L701" s="188">
        <v>0</v>
      </c>
      <c r="M701" s="188">
        <v>108340</v>
      </c>
      <c r="N701" s="189">
        <v>1130744136</v>
      </c>
      <c r="O701" t="s">
        <v>2040</v>
      </c>
      <c r="P701" s="187">
        <v>45009</v>
      </c>
      <c r="Q701" s="186">
        <v>8856</v>
      </c>
      <c r="R701" s="185"/>
      <c r="S701" s="185" t="s">
        <v>1538</v>
      </c>
      <c r="T701"/>
      <c r="U701" t="str">
        <f>IF($L701&gt;0,VLOOKUP($E701,Valida!$A$1:$G$270,6,FALSE),IF($M701&gt;=0,VLOOKUP($E701,Valida!$A$1:$G$270,7,FALSE)))</f>
        <v>(+/-) Ajustes por el incremento (disminución) de cuentas por pagar de origen comercial</v>
      </c>
      <c r="V701" s="190" t="str">
        <f>VLOOKUP(E701,Valida!$A$2:$K$271,4,FALSE)</f>
        <v>Trade and other payables</v>
      </c>
      <c r="W701" s="185" t="s">
        <v>1909</v>
      </c>
      <c r="X701" s="185" t="s">
        <v>1910</v>
      </c>
      <c r="Y701" s="185" t="s">
        <v>1789</v>
      </c>
      <c r="Z701"/>
    </row>
    <row r="702" spans="1:26">
      <c r="A702" s="185" t="s">
        <v>2265</v>
      </c>
      <c r="B702" s="185" t="s">
        <v>2040</v>
      </c>
      <c r="C702" s="185" t="s">
        <v>1897</v>
      </c>
      <c r="D702" s="185" t="s">
        <v>2041</v>
      </c>
      <c r="E702" s="185">
        <v>251010</v>
      </c>
      <c r="F702" s="185" t="s">
        <v>776</v>
      </c>
      <c r="G702" s="185" t="s">
        <v>2274</v>
      </c>
      <c r="H702" s="185" t="s">
        <v>1628</v>
      </c>
      <c r="I702" s="258" t="str">
        <f t="shared" si="31"/>
        <v>2</v>
      </c>
      <c r="J702" s="221">
        <f t="shared" si="32"/>
        <v>-194192</v>
      </c>
      <c r="K702" s="258">
        <f t="shared" si="33"/>
        <v>3</v>
      </c>
      <c r="L702" s="188">
        <v>0</v>
      </c>
      <c r="M702" s="188">
        <v>194192</v>
      </c>
      <c r="N702" s="189">
        <v>80747504</v>
      </c>
      <c r="O702" t="s">
        <v>2040</v>
      </c>
      <c r="P702" s="187">
        <v>45009</v>
      </c>
      <c r="Q702" s="186">
        <v>8857</v>
      </c>
      <c r="R702" s="185"/>
      <c r="S702" s="185" t="s">
        <v>1562</v>
      </c>
      <c r="T702"/>
      <c r="U702" t="str">
        <f>IF($L702&gt;0,VLOOKUP($E702,Valida!$A$1:$G$270,6,FALSE),IF($M702&gt;=0,VLOOKUP($E702,Valida!$A$1:$G$270,7,FALSE)))</f>
        <v>(+/-) Ajustes por el incremento (disminución) de cuentas por pagar de origen comercial</v>
      </c>
      <c r="V702" s="190" t="str">
        <f>VLOOKUP(E702,Valida!$A$2:$K$271,4,FALSE)</f>
        <v>Trade and other payables</v>
      </c>
      <c r="W702" s="185" t="s">
        <v>1918</v>
      </c>
      <c r="X702" s="185"/>
      <c r="Y702" s="185" t="s">
        <v>1789</v>
      </c>
      <c r="Z702"/>
    </row>
    <row r="703" spans="1:26">
      <c r="A703" s="185" t="s">
        <v>2265</v>
      </c>
      <c r="B703" s="185" t="s">
        <v>2040</v>
      </c>
      <c r="C703" s="185" t="s">
        <v>1897</v>
      </c>
      <c r="D703" s="185" t="s">
        <v>2041</v>
      </c>
      <c r="E703" s="185">
        <v>251505</v>
      </c>
      <c r="F703" s="185" t="s">
        <v>779</v>
      </c>
      <c r="G703" s="185" t="s">
        <v>2275</v>
      </c>
      <c r="H703" s="185" t="s">
        <v>1628</v>
      </c>
      <c r="I703" s="258" t="str">
        <f t="shared" si="31"/>
        <v>2</v>
      </c>
      <c r="J703" s="221">
        <f t="shared" si="32"/>
        <v>-16406</v>
      </c>
      <c r="K703" s="258">
        <f t="shared" si="33"/>
        <v>3</v>
      </c>
      <c r="L703" s="188">
        <v>0</v>
      </c>
      <c r="M703" s="188">
        <v>16406</v>
      </c>
      <c r="N703" s="189">
        <v>800224808</v>
      </c>
      <c r="O703" t="s">
        <v>2040</v>
      </c>
      <c r="P703" s="187">
        <v>45009</v>
      </c>
      <c r="Q703" s="186">
        <v>8858</v>
      </c>
      <c r="R703" s="185" t="s">
        <v>1827</v>
      </c>
      <c r="S703" s="185" t="s">
        <v>1662</v>
      </c>
      <c r="T703"/>
      <c r="U703" t="str">
        <f>IF($L703&gt;0,VLOOKUP($E703,Valida!$A$1:$G$270,6,FALSE),IF($M703&gt;=0,VLOOKUP($E703,Valida!$A$1:$G$270,7,FALSE)))</f>
        <v>(+/-) Ajustes por el incremento (disminución) de cuentas por pagar de origen comercial</v>
      </c>
      <c r="V703" s="190" t="str">
        <f>VLOOKUP(E703,Valida!$A$2:$K$271,4,FALSE)</f>
        <v>Trade and other payables</v>
      </c>
      <c r="W703" s="185" t="s">
        <v>1911</v>
      </c>
      <c r="X703" s="185"/>
      <c r="Y703" s="185" t="s">
        <v>1789</v>
      </c>
      <c r="Z703"/>
    </row>
    <row r="704" spans="1:26">
      <c r="A704" s="185" t="s">
        <v>2265</v>
      </c>
      <c r="B704" s="185" t="s">
        <v>2040</v>
      </c>
      <c r="C704" s="185" t="s">
        <v>1897</v>
      </c>
      <c r="D704" s="185" t="s">
        <v>2041</v>
      </c>
      <c r="E704" s="185">
        <v>251505</v>
      </c>
      <c r="F704" s="185" t="s">
        <v>779</v>
      </c>
      <c r="G704" s="185" t="s">
        <v>2275</v>
      </c>
      <c r="H704" s="185" t="s">
        <v>1628</v>
      </c>
      <c r="I704" s="258" t="str">
        <f t="shared" si="31"/>
        <v>2</v>
      </c>
      <c r="J704" s="221">
        <f t="shared" si="32"/>
        <v>-15859</v>
      </c>
      <c r="K704" s="258">
        <f t="shared" si="33"/>
        <v>3</v>
      </c>
      <c r="L704" s="188">
        <v>0</v>
      </c>
      <c r="M704" s="188">
        <v>15859</v>
      </c>
      <c r="N704" s="189">
        <v>800224808</v>
      </c>
      <c r="O704" t="s">
        <v>2040</v>
      </c>
      <c r="P704" s="187">
        <v>45009</v>
      </c>
      <c r="Q704" s="186">
        <v>8859</v>
      </c>
      <c r="R704" s="185" t="s">
        <v>1827</v>
      </c>
      <c r="S704" s="185" t="s">
        <v>1662</v>
      </c>
      <c r="T704"/>
      <c r="U704" t="str">
        <f>IF($L704&gt;0,VLOOKUP($E704,Valida!$A$1:$G$270,6,FALSE),IF($M704&gt;=0,VLOOKUP($E704,Valida!$A$1:$G$270,7,FALSE)))</f>
        <v>(+/-) Ajustes por el incremento (disminución) de cuentas por pagar de origen comercial</v>
      </c>
      <c r="V704" s="190" t="str">
        <f>VLOOKUP(E704,Valida!$A$2:$K$271,4,FALSE)</f>
        <v>Trade and other payables</v>
      </c>
      <c r="W704" s="185" t="s">
        <v>1911</v>
      </c>
      <c r="X704" s="185"/>
      <c r="Y704" s="185" t="s">
        <v>1789</v>
      </c>
      <c r="Z704"/>
    </row>
    <row r="705" spans="1:26">
      <c r="A705" s="185" t="s">
        <v>2265</v>
      </c>
      <c r="B705" s="185" t="s">
        <v>2040</v>
      </c>
      <c r="C705" s="185" t="s">
        <v>1897</v>
      </c>
      <c r="D705" s="185" t="s">
        <v>2041</v>
      </c>
      <c r="E705" s="185">
        <v>251505</v>
      </c>
      <c r="F705" s="185" t="s">
        <v>779</v>
      </c>
      <c r="G705" s="185" t="s">
        <v>2275</v>
      </c>
      <c r="H705" s="185" t="s">
        <v>1628</v>
      </c>
      <c r="I705" s="258" t="str">
        <f t="shared" si="31"/>
        <v>2</v>
      </c>
      <c r="J705" s="221">
        <f t="shared" si="32"/>
        <v>-13006</v>
      </c>
      <c r="K705" s="258">
        <f t="shared" si="33"/>
        <v>3</v>
      </c>
      <c r="L705" s="188">
        <v>0</v>
      </c>
      <c r="M705" s="188">
        <v>13006</v>
      </c>
      <c r="N705" s="189">
        <v>800224808</v>
      </c>
      <c r="O705" t="s">
        <v>2040</v>
      </c>
      <c r="P705" s="187">
        <v>45009</v>
      </c>
      <c r="Q705" s="186">
        <v>8860</v>
      </c>
      <c r="R705" s="185" t="s">
        <v>1827</v>
      </c>
      <c r="S705" s="185" t="s">
        <v>1662</v>
      </c>
      <c r="T705"/>
      <c r="U705" t="str">
        <f>IF($L705&gt;0,VLOOKUP($E705,Valida!$A$1:$G$270,6,FALSE),IF($M705&gt;=0,VLOOKUP($E705,Valida!$A$1:$G$270,7,FALSE)))</f>
        <v>(+/-) Ajustes por el incremento (disminución) de cuentas por pagar de origen comercial</v>
      </c>
      <c r="V705" s="190" t="str">
        <f>VLOOKUP(E705,Valida!$A$2:$K$271,4,FALSE)</f>
        <v>Trade and other payables</v>
      </c>
      <c r="W705" s="185" t="s">
        <v>1911</v>
      </c>
      <c r="X705" s="185"/>
      <c r="Y705" s="185" t="s">
        <v>1789</v>
      </c>
      <c r="Z705"/>
    </row>
    <row r="706" spans="1:26">
      <c r="A706" s="185" t="s">
        <v>2265</v>
      </c>
      <c r="B706" s="185" t="s">
        <v>2040</v>
      </c>
      <c r="C706" s="185" t="s">
        <v>1897</v>
      </c>
      <c r="D706" s="185" t="s">
        <v>2041</v>
      </c>
      <c r="E706" s="185">
        <v>251505</v>
      </c>
      <c r="F706" s="185" t="s">
        <v>779</v>
      </c>
      <c r="G706" s="185" t="s">
        <v>2275</v>
      </c>
      <c r="H706" s="185" t="s">
        <v>1628</v>
      </c>
      <c r="I706" s="258" t="str">
        <f t="shared" si="31"/>
        <v>2</v>
      </c>
      <c r="J706" s="221">
        <f t="shared" si="32"/>
        <v>-23312</v>
      </c>
      <c r="K706" s="258">
        <f t="shared" si="33"/>
        <v>3</v>
      </c>
      <c r="L706" s="188">
        <v>0</v>
      </c>
      <c r="M706" s="188">
        <v>23312</v>
      </c>
      <c r="N706" s="189">
        <v>800224808</v>
      </c>
      <c r="O706" t="s">
        <v>2040</v>
      </c>
      <c r="P706" s="187">
        <v>45009</v>
      </c>
      <c r="Q706" s="186">
        <v>8861</v>
      </c>
      <c r="R706" s="185" t="s">
        <v>1827</v>
      </c>
      <c r="S706" s="185" t="s">
        <v>1662</v>
      </c>
      <c r="T706"/>
      <c r="U706" t="str">
        <f>IF($L706&gt;0,VLOOKUP($E706,Valida!$A$1:$G$270,6,FALSE),IF($M706&gt;=0,VLOOKUP($E706,Valida!$A$1:$G$270,7,FALSE)))</f>
        <v>(+/-) Ajustes por el incremento (disminución) de cuentas por pagar de origen comercial</v>
      </c>
      <c r="V706" s="190" t="str">
        <f>VLOOKUP(E706,Valida!$A$2:$K$271,4,FALSE)</f>
        <v>Trade and other payables</v>
      </c>
      <c r="W706" s="185" t="s">
        <v>1911</v>
      </c>
      <c r="X706" s="185"/>
      <c r="Y706" s="185" t="s">
        <v>1789</v>
      </c>
      <c r="Z706"/>
    </row>
    <row r="707" spans="1:26">
      <c r="A707" s="185" t="s">
        <v>2265</v>
      </c>
      <c r="B707" s="185" t="s">
        <v>2040</v>
      </c>
      <c r="C707" s="185" t="s">
        <v>1897</v>
      </c>
      <c r="D707" s="185" t="s">
        <v>2041</v>
      </c>
      <c r="E707" s="185">
        <v>251505</v>
      </c>
      <c r="F707" s="185" t="s">
        <v>779</v>
      </c>
      <c r="G707" s="185" t="s">
        <v>2275</v>
      </c>
      <c r="H707" s="185" t="s">
        <v>1628</v>
      </c>
      <c r="I707" s="258" t="str">
        <f t="shared" ref="I707:I770" si="34">LEFT(E707,1)</f>
        <v>2</v>
      </c>
      <c r="J707" s="221">
        <f t="shared" ref="J707:J770" si="35">L707-M707</f>
        <v>-12959</v>
      </c>
      <c r="K707" s="258">
        <f t="shared" ref="K707:K770" si="36">MONTH(A707)</f>
        <v>3</v>
      </c>
      <c r="L707" s="188">
        <v>0</v>
      </c>
      <c r="M707" s="188">
        <v>12959</v>
      </c>
      <c r="N707" s="189">
        <v>800224808</v>
      </c>
      <c r="O707" t="s">
        <v>2040</v>
      </c>
      <c r="P707" s="187">
        <v>45009</v>
      </c>
      <c r="Q707" s="186">
        <v>8862</v>
      </c>
      <c r="R707" s="185" t="s">
        <v>1827</v>
      </c>
      <c r="S707" s="185" t="s">
        <v>1662</v>
      </c>
      <c r="T707"/>
      <c r="U707" t="str">
        <f>IF($L707&gt;0,VLOOKUP($E707,Valida!$A$1:$G$270,6,FALSE),IF($M707&gt;=0,VLOOKUP($E707,Valida!$A$1:$G$270,7,FALSE)))</f>
        <v>(+/-) Ajustes por el incremento (disminución) de cuentas por pagar de origen comercial</v>
      </c>
      <c r="V707" s="190" t="str">
        <f>VLOOKUP(E707,Valida!$A$2:$K$271,4,FALSE)</f>
        <v>Trade and other payables</v>
      </c>
      <c r="W707" s="185" t="s">
        <v>1911</v>
      </c>
      <c r="X707" s="185"/>
      <c r="Y707" s="185" t="s">
        <v>1789</v>
      </c>
      <c r="Z707"/>
    </row>
    <row r="708" spans="1:26">
      <c r="A708" s="185" t="s">
        <v>2265</v>
      </c>
      <c r="B708" s="185" t="s">
        <v>2040</v>
      </c>
      <c r="C708" s="185" t="s">
        <v>1897</v>
      </c>
      <c r="D708" s="185" t="s">
        <v>2041</v>
      </c>
      <c r="E708" s="185">
        <v>251505</v>
      </c>
      <c r="F708" s="185" t="s">
        <v>779</v>
      </c>
      <c r="G708" s="185" t="s">
        <v>2275</v>
      </c>
      <c r="H708" s="185" t="s">
        <v>1628</v>
      </c>
      <c r="I708" s="258" t="str">
        <f t="shared" si="34"/>
        <v>2</v>
      </c>
      <c r="J708" s="221">
        <f t="shared" si="35"/>
        <v>-14166</v>
      </c>
      <c r="K708" s="258">
        <f t="shared" si="36"/>
        <v>3</v>
      </c>
      <c r="L708" s="188">
        <v>0</v>
      </c>
      <c r="M708" s="188">
        <v>14166</v>
      </c>
      <c r="N708" s="189">
        <v>800227940</v>
      </c>
      <c r="O708" t="s">
        <v>2040</v>
      </c>
      <c r="P708" s="187">
        <v>45009</v>
      </c>
      <c r="Q708" s="186">
        <v>8863</v>
      </c>
      <c r="R708" s="185"/>
      <c r="S708" s="185" t="s">
        <v>1664</v>
      </c>
      <c r="T708"/>
      <c r="U708" t="str">
        <f>IF($L708&gt;0,VLOOKUP($E708,Valida!$A$1:$G$270,6,FALSE),IF($M708&gt;=0,VLOOKUP($E708,Valida!$A$1:$G$270,7,FALSE)))</f>
        <v>(+/-) Ajustes por el incremento (disminución) de cuentas por pagar de origen comercial</v>
      </c>
      <c r="V708" s="190" t="str">
        <f>VLOOKUP(E708,Valida!$A$2:$K$271,4,FALSE)</f>
        <v>Trade and other payables</v>
      </c>
      <c r="W708" s="185"/>
      <c r="X708" s="185"/>
      <c r="Y708" s="185"/>
      <c r="Z708"/>
    </row>
    <row r="709" spans="1:26">
      <c r="A709" s="185" t="s">
        <v>2265</v>
      </c>
      <c r="B709" s="185" t="s">
        <v>2040</v>
      </c>
      <c r="C709" s="185" t="s">
        <v>1897</v>
      </c>
      <c r="D709" s="185" t="s">
        <v>2041</v>
      </c>
      <c r="E709" s="185">
        <v>252005</v>
      </c>
      <c r="F709" s="185" t="s">
        <v>783</v>
      </c>
      <c r="G709" s="185" t="s">
        <v>2276</v>
      </c>
      <c r="H709" s="185" t="s">
        <v>1628</v>
      </c>
      <c r="I709" s="258" t="str">
        <f t="shared" si="34"/>
        <v>2</v>
      </c>
      <c r="J709" s="221">
        <f t="shared" si="35"/>
        <v>-118003</v>
      </c>
      <c r="K709" s="258">
        <f t="shared" si="36"/>
        <v>3</v>
      </c>
      <c r="L709" s="188">
        <v>0</v>
      </c>
      <c r="M709" s="188">
        <v>118003</v>
      </c>
      <c r="N709" s="189">
        <v>1000018061</v>
      </c>
      <c r="O709" t="s">
        <v>2040</v>
      </c>
      <c r="P709" s="187">
        <v>45009</v>
      </c>
      <c r="Q709" s="186">
        <v>8864</v>
      </c>
      <c r="R709" s="185"/>
      <c r="S709" s="185" t="s">
        <v>1522</v>
      </c>
      <c r="T709"/>
      <c r="U709" t="str">
        <f>IF($L709&gt;0,VLOOKUP($E709,Valida!$A$1:$G$270,6,FALSE),IF($M709&gt;=0,VLOOKUP($E709,Valida!$A$1:$G$270,7,FALSE)))</f>
        <v>(+/-) Ajustes por el incremento (disminución) de cuentas por pagar de origen comercial</v>
      </c>
      <c r="V709" s="190" t="str">
        <f>VLOOKUP(E709,Valida!$A$2:$K$271,4,FALSE)</f>
        <v>Trade and other payables</v>
      </c>
      <c r="W709" s="185" t="s">
        <v>1978</v>
      </c>
      <c r="X709" s="185"/>
      <c r="Y709" s="185" t="s">
        <v>1789</v>
      </c>
      <c r="Z709"/>
    </row>
    <row r="710" spans="1:26">
      <c r="A710" s="185" t="s">
        <v>2265</v>
      </c>
      <c r="B710" s="185" t="s">
        <v>2040</v>
      </c>
      <c r="C710" s="185" t="s">
        <v>1897</v>
      </c>
      <c r="D710" s="185" t="s">
        <v>2041</v>
      </c>
      <c r="E710" s="185">
        <v>252005</v>
      </c>
      <c r="F710" s="185" t="s">
        <v>783</v>
      </c>
      <c r="G710" s="185" t="s">
        <v>2276</v>
      </c>
      <c r="H710" s="185" t="s">
        <v>1628</v>
      </c>
      <c r="I710" s="258" t="str">
        <f t="shared" si="34"/>
        <v>2</v>
      </c>
      <c r="J710" s="221">
        <f t="shared" si="35"/>
        <v>-132107</v>
      </c>
      <c r="K710" s="258">
        <f t="shared" si="36"/>
        <v>3</v>
      </c>
      <c r="L710" s="188">
        <v>0</v>
      </c>
      <c r="M710" s="188">
        <v>132107</v>
      </c>
      <c r="N710" s="189">
        <v>1000036375</v>
      </c>
      <c r="O710" t="s">
        <v>2040</v>
      </c>
      <c r="P710" s="187">
        <v>45009</v>
      </c>
      <c r="Q710" s="186">
        <v>8865</v>
      </c>
      <c r="R710" s="185"/>
      <c r="S710" s="185" t="s">
        <v>1524</v>
      </c>
      <c r="T710"/>
      <c r="U710" t="str">
        <f>IF($L710&gt;0,VLOOKUP($E710,Valida!$A$1:$G$270,6,FALSE),IF($M710&gt;=0,VLOOKUP($E710,Valida!$A$1:$G$270,7,FALSE)))</f>
        <v>(+/-) Ajustes por el incremento (disminución) de cuentas por pagar de origen comercial</v>
      </c>
      <c r="V710" s="190" t="str">
        <f>VLOOKUP(E710,Valida!$A$2:$K$271,4,FALSE)</f>
        <v>Trade and other payables</v>
      </c>
      <c r="W710" s="185" t="s">
        <v>1983</v>
      </c>
      <c r="X710" s="185"/>
      <c r="Y710" s="185" t="s">
        <v>1789</v>
      </c>
      <c r="Z710"/>
    </row>
    <row r="711" spans="1:26">
      <c r="A711" s="185" t="s">
        <v>2265</v>
      </c>
      <c r="B711" s="185" t="s">
        <v>2040</v>
      </c>
      <c r="C711" s="185" t="s">
        <v>1897</v>
      </c>
      <c r="D711" s="185" t="s">
        <v>2041</v>
      </c>
      <c r="E711" s="185">
        <v>252005</v>
      </c>
      <c r="F711" s="185" t="s">
        <v>783</v>
      </c>
      <c r="G711" s="185" t="s">
        <v>2276</v>
      </c>
      <c r="H711" s="185" t="s">
        <v>1628</v>
      </c>
      <c r="I711" s="258" t="str">
        <f t="shared" si="34"/>
        <v>2</v>
      </c>
      <c r="J711" s="221">
        <f t="shared" si="35"/>
        <v>-136662</v>
      </c>
      <c r="K711" s="258">
        <f t="shared" si="36"/>
        <v>3</v>
      </c>
      <c r="L711" s="188">
        <v>0</v>
      </c>
      <c r="M711" s="188">
        <v>136662</v>
      </c>
      <c r="N711" s="189">
        <v>1010101811</v>
      </c>
      <c r="O711" t="s">
        <v>2040</v>
      </c>
      <c r="P711" s="187">
        <v>45009</v>
      </c>
      <c r="Q711" s="186">
        <v>8866</v>
      </c>
      <c r="R711" s="185"/>
      <c r="S711" s="185" t="s">
        <v>1528</v>
      </c>
      <c r="T711"/>
      <c r="U711" t="str">
        <f>IF($L711&gt;0,VLOOKUP($E711,Valida!$A$1:$G$270,6,FALSE),IF($M711&gt;=0,VLOOKUP($E711,Valida!$A$1:$G$270,7,FALSE)))</f>
        <v>(+/-) Ajustes por el incremento (disminución) de cuentas por pagar de origen comercial</v>
      </c>
      <c r="V711" s="190" t="str">
        <f>VLOOKUP(E711,Valida!$A$2:$K$271,4,FALSE)</f>
        <v>Trade and other payables</v>
      </c>
      <c r="W711" s="185" t="s">
        <v>1967</v>
      </c>
      <c r="X711" s="185"/>
      <c r="Y711" s="185" t="s">
        <v>1789</v>
      </c>
      <c r="Z711"/>
    </row>
    <row r="712" spans="1:26">
      <c r="A712" s="185" t="s">
        <v>2265</v>
      </c>
      <c r="B712" s="185" t="s">
        <v>2040</v>
      </c>
      <c r="C712" s="185" t="s">
        <v>1897</v>
      </c>
      <c r="D712" s="185" t="s">
        <v>2041</v>
      </c>
      <c r="E712" s="185">
        <v>252005</v>
      </c>
      <c r="F712" s="185" t="s">
        <v>783</v>
      </c>
      <c r="G712" s="185" t="s">
        <v>2276</v>
      </c>
      <c r="H712" s="185" t="s">
        <v>1628</v>
      </c>
      <c r="I712" s="258" t="str">
        <f t="shared" si="34"/>
        <v>2</v>
      </c>
      <c r="J712" s="221">
        <f t="shared" si="35"/>
        <v>-107950</v>
      </c>
      <c r="K712" s="258">
        <f t="shared" si="36"/>
        <v>3</v>
      </c>
      <c r="L712" s="188">
        <v>0</v>
      </c>
      <c r="M712" s="188">
        <v>107950</v>
      </c>
      <c r="N712" s="189">
        <v>1020842223</v>
      </c>
      <c r="O712" t="s">
        <v>2040</v>
      </c>
      <c r="P712" s="187">
        <v>45009</v>
      </c>
      <c r="Q712" s="186">
        <v>8867</v>
      </c>
      <c r="R712" s="185"/>
      <c r="S712" s="185" t="s">
        <v>1532</v>
      </c>
      <c r="T712"/>
      <c r="U712" t="str">
        <f>IF($L712&gt;0,VLOOKUP($E712,Valida!$A$1:$G$270,6,FALSE),IF($M712&gt;=0,VLOOKUP($E712,Valida!$A$1:$G$270,7,FALSE)))</f>
        <v>(+/-) Ajustes por el incremento (disminución) de cuentas por pagar de origen comercial</v>
      </c>
      <c r="V712" s="190" t="str">
        <f>VLOOKUP(E712,Valida!$A$2:$K$271,4,FALSE)</f>
        <v>Trade and other payables</v>
      </c>
      <c r="W712" s="185" t="s">
        <v>1900</v>
      </c>
      <c r="X712" s="185"/>
      <c r="Y712" s="185" t="s">
        <v>1789</v>
      </c>
      <c r="Z712"/>
    </row>
    <row r="713" spans="1:26">
      <c r="A713" s="185" t="s">
        <v>2265</v>
      </c>
      <c r="B713" s="185" t="s">
        <v>2040</v>
      </c>
      <c r="C713" s="185" t="s">
        <v>1897</v>
      </c>
      <c r="D713" s="185" t="s">
        <v>2041</v>
      </c>
      <c r="E713" s="185">
        <v>252005</v>
      </c>
      <c r="F713" s="185" t="s">
        <v>783</v>
      </c>
      <c r="G713" s="185" t="s">
        <v>2276</v>
      </c>
      <c r="H713" s="185" t="s">
        <v>1628</v>
      </c>
      <c r="I713" s="258" t="str">
        <f t="shared" si="34"/>
        <v>2</v>
      </c>
      <c r="J713" s="221">
        <f t="shared" si="35"/>
        <v>-108340</v>
      </c>
      <c r="K713" s="258">
        <f t="shared" si="36"/>
        <v>3</v>
      </c>
      <c r="L713" s="188">
        <v>0</v>
      </c>
      <c r="M713" s="188">
        <v>108340</v>
      </c>
      <c r="N713" s="189">
        <v>1130744136</v>
      </c>
      <c r="O713" t="s">
        <v>2040</v>
      </c>
      <c r="P713" s="187">
        <v>45009</v>
      </c>
      <c r="Q713" s="186">
        <v>8868</v>
      </c>
      <c r="R713" s="185"/>
      <c r="S713" s="185" t="s">
        <v>1538</v>
      </c>
      <c r="T713"/>
      <c r="U713" t="str">
        <f>IF($L713&gt;0,VLOOKUP($E713,Valida!$A$1:$G$270,6,FALSE),IF($M713&gt;=0,VLOOKUP($E713,Valida!$A$1:$G$270,7,FALSE)))</f>
        <v>(+/-) Ajustes por el incremento (disminución) de cuentas por pagar de origen comercial</v>
      </c>
      <c r="V713" s="190" t="str">
        <f>VLOOKUP(E713,Valida!$A$2:$K$271,4,FALSE)</f>
        <v>Trade and other payables</v>
      </c>
      <c r="W713" s="185" t="s">
        <v>1909</v>
      </c>
      <c r="X713" s="185" t="s">
        <v>1910</v>
      </c>
      <c r="Y713" s="185" t="s">
        <v>1789</v>
      </c>
      <c r="Z713"/>
    </row>
    <row r="714" spans="1:26">
      <c r="A714" s="185" t="s">
        <v>2265</v>
      </c>
      <c r="B714" s="185" t="s">
        <v>2040</v>
      </c>
      <c r="C714" s="185" t="s">
        <v>1897</v>
      </c>
      <c r="D714" s="185" t="s">
        <v>2041</v>
      </c>
      <c r="E714" s="185">
        <v>252005</v>
      </c>
      <c r="F714" s="185" t="s">
        <v>783</v>
      </c>
      <c r="G714" s="185" t="s">
        <v>2276</v>
      </c>
      <c r="H714" s="185" t="s">
        <v>1628</v>
      </c>
      <c r="I714" s="258" t="str">
        <f t="shared" si="34"/>
        <v>2</v>
      </c>
      <c r="J714" s="221">
        <f t="shared" si="35"/>
        <v>-194192</v>
      </c>
      <c r="K714" s="258">
        <f t="shared" si="36"/>
        <v>3</v>
      </c>
      <c r="L714" s="188">
        <v>0</v>
      </c>
      <c r="M714" s="188">
        <v>194192</v>
      </c>
      <c r="N714" s="189">
        <v>80747504</v>
      </c>
      <c r="O714" t="s">
        <v>2040</v>
      </c>
      <c r="P714" s="187">
        <v>45009</v>
      </c>
      <c r="Q714" s="186">
        <v>8869</v>
      </c>
      <c r="R714" s="185"/>
      <c r="S714" s="185" t="s">
        <v>1562</v>
      </c>
      <c r="T714"/>
      <c r="U714" t="str">
        <f>IF($L714&gt;0,VLOOKUP($E714,Valida!$A$1:$G$270,6,FALSE),IF($M714&gt;=0,VLOOKUP($E714,Valida!$A$1:$G$270,7,FALSE)))</f>
        <v>(+/-) Ajustes por el incremento (disminución) de cuentas por pagar de origen comercial</v>
      </c>
      <c r="V714" s="190" t="str">
        <f>VLOOKUP(E714,Valida!$A$2:$K$271,4,FALSE)</f>
        <v>Trade and other payables</v>
      </c>
      <c r="W714" s="185" t="s">
        <v>1918</v>
      </c>
      <c r="X714" s="185"/>
      <c r="Y714" s="185" t="s">
        <v>1789</v>
      </c>
      <c r="Z714"/>
    </row>
    <row r="715" spans="1:26">
      <c r="A715" s="185" t="s">
        <v>2265</v>
      </c>
      <c r="B715" s="185" t="s">
        <v>2040</v>
      </c>
      <c r="C715" s="185" t="s">
        <v>1897</v>
      </c>
      <c r="D715" s="185" t="s">
        <v>2041</v>
      </c>
      <c r="E715" s="185">
        <v>252505</v>
      </c>
      <c r="F715" s="185" t="s">
        <v>787</v>
      </c>
      <c r="G715" s="185" t="s">
        <v>2277</v>
      </c>
      <c r="H715" s="185" t="s">
        <v>1628</v>
      </c>
      <c r="I715" s="258" t="str">
        <f t="shared" si="34"/>
        <v>2</v>
      </c>
      <c r="J715" s="221">
        <f t="shared" si="35"/>
        <v>-53209</v>
      </c>
      <c r="K715" s="258">
        <f t="shared" si="36"/>
        <v>3</v>
      </c>
      <c r="L715" s="188">
        <v>0</v>
      </c>
      <c r="M715" s="188">
        <v>53209</v>
      </c>
      <c r="N715" s="189">
        <v>1000018061</v>
      </c>
      <c r="O715" t="s">
        <v>2040</v>
      </c>
      <c r="P715" s="187">
        <v>45009</v>
      </c>
      <c r="Q715" s="186">
        <v>8870</v>
      </c>
      <c r="R715" s="185"/>
      <c r="S715" s="185" t="s">
        <v>1522</v>
      </c>
      <c r="T715"/>
      <c r="U715" t="str">
        <f>IF($L715&gt;0,VLOOKUP($E715,Valida!$A$1:$G$270,6,FALSE),IF($M715&gt;=0,VLOOKUP($E715,Valida!$A$1:$G$270,7,FALSE)))</f>
        <v>(+/-) Ajustes por el incremento (disminución) de cuentas por pagar de origen comercial</v>
      </c>
      <c r="V715" s="190" t="str">
        <f>VLOOKUP(E715,Valida!$A$2:$K$271,4,FALSE)</f>
        <v>Trade and other payables</v>
      </c>
      <c r="W715" s="185" t="s">
        <v>1978</v>
      </c>
      <c r="X715" s="185"/>
      <c r="Y715" s="185" t="s">
        <v>1789</v>
      </c>
      <c r="Z715"/>
    </row>
    <row r="716" spans="1:26">
      <c r="A716" s="185" t="s">
        <v>2265</v>
      </c>
      <c r="B716" s="185" t="s">
        <v>2040</v>
      </c>
      <c r="C716" s="185" t="s">
        <v>1897</v>
      </c>
      <c r="D716" s="185" t="s">
        <v>2041</v>
      </c>
      <c r="E716" s="185">
        <v>252505</v>
      </c>
      <c r="F716" s="185" t="s">
        <v>787</v>
      </c>
      <c r="G716" s="185" t="s">
        <v>2277</v>
      </c>
      <c r="H716" s="185" t="s">
        <v>1628</v>
      </c>
      <c r="I716" s="258" t="str">
        <f t="shared" si="34"/>
        <v>2</v>
      </c>
      <c r="J716" s="221">
        <f t="shared" si="35"/>
        <v>-60465</v>
      </c>
      <c r="K716" s="258">
        <f t="shared" si="36"/>
        <v>3</v>
      </c>
      <c r="L716" s="188">
        <v>0</v>
      </c>
      <c r="M716" s="188">
        <v>60465</v>
      </c>
      <c r="N716" s="189">
        <v>1000036375</v>
      </c>
      <c r="O716" t="s">
        <v>2040</v>
      </c>
      <c r="P716" s="187">
        <v>45009</v>
      </c>
      <c r="Q716" s="186">
        <v>8871</v>
      </c>
      <c r="R716" s="185"/>
      <c r="S716" s="185" t="s">
        <v>1524</v>
      </c>
      <c r="T716"/>
      <c r="U716" t="str">
        <f>IF($L716&gt;0,VLOOKUP($E716,Valida!$A$1:$G$270,6,FALSE),IF($M716&gt;=0,VLOOKUP($E716,Valida!$A$1:$G$270,7,FALSE)))</f>
        <v>(+/-) Ajustes por el incremento (disminución) de cuentas por pagar de origen comercial</v>
      </c>
      <c r="V716" s="190" t="str">
        <f>VLOOKUP(E716,Valida!$A$2:$K$271,4,FALSE)</f>
        <v>Trade and other payables</v>
      </c>
      <c r="W716" s="185" t="s">
        <v>1983</v>
      </c>
      <c r="X716" s="185"/>
      <c r="Y716" s="185" t="s">
        <v>1789</v>
      </c>
      <c r="Z716"/>
    </row>
    <row r="717" spans="1:26">
      <c r="A717" s="185" t="s">
        <v>2265</v>
      </c>
      <c r="B717" s="185" t="s">
        <v>2040</v>
      </c>
      <c r="C717" s="185" t="s">
        <v>1897</v>
      </c>
      <c r="D717" s="185" t="s">
        <v>2041</v>
      </c>
      <c r="E717" s="185">
        <v>252505</v>
      </c>
      <c r="F717" s="185" t="s">
        <v>787</v>
      </c>
      <c r="G717" s="185" t="s">
        <v>2277</v>
      </c>
      <c r="H717" s="185" t="s">
        <v>1628</v>
      </c>
      <c r="I717" s="258" t="str">
        <f t="shared" si="34"/>
        <v>2</v>
      </c>
      <c r="J717" s="221">
        <f t="shared" si="35"/>
        <v>-62550</v>
      </c>
      <c r="K717" s="258">
        <f t="shared" si="36"/>
        <v>3</v>
      </c>
      <c r="L717" s="188">
        <v>0</v>
      </c>
      <c r="M717" s="188">
        <v>62550</v>
      </c>
      <c r="N717" s="189">
        <v>1010101811</v>
      </c>
      <c r="O717" t="s">
        <v>2040</v>
      </c>
      <c r="P717" s="187">
        <v>45009</v>
      </c>
      <c r="Q717" s="186">
        <v>8872</v>
      </c>
      <c r="R717" s="185"/>
      <c r="S717" s="185" t="s">
        <v>1528</v>
      </c>
      <c r="T717"/>
      <c r="U717" t="str">
        <f>IF($L717&gt;0,VLOOKUP($E717,Valida!$A$1:$G$270,6,FALSE),IF($M717&gt;=0,VLOOKUP($E717,Valida!$A$1:$G$270,7,FALSE)))</f>
        <v>(+/-) Ajustes por el incremento (disminución) de cuentas por pagar de origen comercial</v>
      </c>
      <c r="V717" s="190" t="str">
        <f>VLOOKUP(E717,Valida!$A$2:$K$271,4,FALSE)</f>
        <v>Trade and other payables</v>
      </c>
      <c r="W717" s="185" t="s">
        <v>1967</v>
      </c>
      <c r="X717" s="185"/>
      <c r="Y717" s="185" t="s">
        <v>1789</v>
      </c>
      <c r="Z717"/>
    </row>
    <row r="718" spans="1:26">
      <c r="A718" s="185" t="s">
        <v>2265</v>
      </c>
      <c r="B718" s="185" t="s">
        <v>2040</v>
      </c>
      <c r="C718" s="185" t="s">
        <v>1897</v>
      </c>
      <c r="D718" s="185" t="s">
        <v>2041</v>
      </c>
      <c r="E718" s="185">
        <v>252505</v>
      </c>
      <c r="F718" s="185" t="s">
        <v>787</v>
      </c>
      <c r="G718" s="185" t="s">
        <v>2277</v>
      </c>
      <c r="H718" s="185" t="s">
        <v>1628</v>
      </c>
      <c r="I718" s="258" t="str">
        <f t="shared" si="34"/>
        <v>2</v>
      </c>
      <c r="J718" s="221">
        <f t="shared" si="35"/>
        <v>-48372</v>
      </c>
      <c r="K718" s="258">
        <f t="shared" si="36"/>
        <v>3</v>
      </c>
      <c r="L718" s="188">
        <v>0</v>
      </c>
      <c r="M718" s="188">
        <v>48372</v>
      </c>
      <c r="N718" s="189">
        <v>1020842223</v>
      </c>
      <c r="O718" t="s">
        <v>2040</v>
      </c>
      <c r="P718" s="187">
        <v>45009</v>
      </c>
      <c r="Q718" s="186">
        <v>8873</v>
      </c>
      <c r="R718" s="185"/>
      <c r="S718" s="185" t="s">
        <v>1532</v>
      </c>
      <c r="T718"/>
      <c r="U718" t="str">
        <f>IF($L718&gt;0,VLOOKUP($E718,Valida!$A$1:$G$270,6,FALSE),IF($M718&gt;=0,VLOOKUP($E718,Valida!$A$1:$G$270,7,FALSE)))</f>
        <v>(+/-) Ajustes por el incremento (disminución) de cuentas por pagar de origen comercial</v>
      </c>
      <c r="V718" s="190" t="str">
        <f>VLOOKUP(E718,Valida!$A$2:$K$271,4,FALSE)</f>
        <v>Trade and other payables</v>
      </c>
      <c r="W718" s="185" t="s">
        <v>1900</v>
      </c>
      <c r="X718" s="185"/>
      <c r="Y718" s="185" t="s">
        <v>1789</v>
      </c>
      <c r="Z718"/>
    </row>
    <row r="719" spans="1:26">
      <c r="A719" s="185" t="s">
        <v>2265</v>
      </c>
      <c r="B719" s="185" t="s">
        <v>2040</v>
      </c>
      <c r="C719" s="185" t="s">
        <v>1897</v>
      </c>
      <c r="D719" s="185" t="s">
        <v>2041</v>
      </c>
      <c r="E719" s="185">
        <v>252505</v>
      </c>
      <c r="F719" s="185" t="s">
        <v>787</v>
      </c>
      <c r="G719" s="185" t="s">
        <v>2277</v>
      </c>
      <c r="H719" s="185" t="s">
        <v>1628</v>
      </c>
      <c r="I719" s="258" t="str">
        <f t="shared" si="34"/>
        <v>2</v>
      </c>
      <c r="J719" s="221">
        <f t="shared" si="35"/>
        <v>-48372</v>
      </c>
      <c r="K719" s="258">
        <f t="shared" si="36"/>
        <v>3</v>
      </c>
      <c r="L719" s="188">
        <v>0</v>
      </c>
      <c r="M719" s="188">
        <v>48372</v>
      </c>
      <c r="N719" s="189">
        <v>1130744136</v>
      </c>
      <c r="O719" t="s">
        <v>2040</v>
      </c>
      <c r="P719" s="187">
        <v>45009</v>
      </c>
      <c r="Q719" s="186">
        <v>8874</v>
      </c>
      <c r="R719" s="185"/>
      <c r="S719" s="185" t="s">
        <v>1538</v>
      </c>
      <c r="T719"/>
      <c r="U719" t="str">
        <f>IF($L719&gt;0,VLOOKUP($E719,Valida!$A$1:$G$270,6,FALSE),IF($M719&gt;=0,VLOOKUP($E719,Valida!$A$1:$G$270,7,FALSE)))</f>
        <v>(+/-) Ajustes por el incremento (disminución) de cuentas por pagar de origen comercial</v>
      </c>
      <c r="V719" s="190" t="str">
        <f>VLOOKUP(E719,Valida!$A$2:$K$271,4,FALSE)</f>
        <v>Trade and other payables</v>
      </c>
      <c r="W719" s="185" t="s">
        <v>1909</v>
      </c>
      <c r="X719" s="185" t="s">
        <v>1910</v>
      </c>
      <c r="Y719" s="185" t="s">
        <v>1789</v>
      </c>
      <c r="Z719"/>
    </row>
    <row r="720" spans="1:26">
      <c r="A720" s="185" t="s">
        <v>2265</v>
      </c>
      <c r="B720" s="185" t="s">
        <v>2040</v>
      </c>
      <c r="C720" s="185" t="s">
        <v>1897</v>
      </c>
      <c r="D720" s="185" t="s">
        <v>2041</v>
      </c>
      <c r="E720" s="185">
        <v>252505</v>
      </c>
      <c r="F720" s="185" t="s">
        <v>787</v>
      </c>
      <c r="G720" s="185" t="s">
        <v>2277</v>
      </c>
      <c r="H720" s="185" t="s">
        <v>1628</v>
      </c>
      <c r="I720" s="258" t="str">
        <f t="shared" si="34"/>
        <v>2</v>
      </c>
      <c r="J720" s="221">
        <f t="shared" si="35"/>
        <v>-91740</v>
      </c>
      <c r="K720" s="258">
        <f t="shared" si="36"/>
        <v>3</v>
      </c>
      <c r="L720" s="188">
        <v>0</v>
      </c>
      <c r="M720" s="188">
        <v>91740</v>
      </c>
      <c r="N720" s="189">
        <v>80747504</v>
      </c>
      <c r="O720" t="s">
        <v>2040</v>
      </c>
      <c r="P720" s="187">
        <v>45009</v>
      </c>
      <c r="Q720" s="186">
        <v>8875</v>
      </c>
      <c r="R720" s="185"/>
      <c r="S720" s="185" t="s">
        <v>1562</v>
      </c>
      <c r="T720"/>
      <c r="U720" t="str">
        <f>IF($L720&gt;0,VLOOKUP($E720,Valida!$A$1:$G$270,6,FALSE),IF($M720&gt;=0,VLOOKUP($E720,Valida!$A$1:$G$270,7,FALSE)))</f>
        <v>(+/-) Ajustes por el incremento (disminución) de cuentas por pagar de origen comercial</v>
      </c>
      <c r="V720" s="190" t="str">
        <f>VLOOKUP(E720,Valida!$A$2:$K$271,4,FALSE)</f>
        <v>Trade and other payables</v>
      </c>
      <c r="W720" s="185" t="s">
        <v>1918</v>
      </c>
      <c r="X720" s="185"/>
      <c r="Y720" s="185" t="s">
        <v>1789</v>
      </c>
      <c r="Z720"/>
    </row>
    <row r="721" spans="1:26">
      <c r="A721" s="185" t="s">
        <v>2265</v>
      </c>
      <c r="B721" s="185" t="s">
        <v>2040</v>
      </c>
      <c r="C721" s="185" t="s">
        <v>1897</v>
      </c>
      <c r="D721" s="185" t="s">
        <v>2041</v>
      </c>
      <c r="E721" s="185">
        <v>510530</v>
      </c>
      <c r="F721" s="185" t="s">
        <v>813</v>
      </c>
      <c r="G721" s="185" t="s">
        <v>2274</v>
      </c>
      <c r="H721" s="185" t="s">
        <v>1515</v>
      </c>
      <c r="I721" s="258" t="str">
        <f t="shared" si="34"/>
        <v>5</v>
      </c>
      <c r="J721" s="221">
        <f t="shared" si="35"/>
        <v>118003</v>
      </c>
      <c r="K721" s="258">
        <f t="shared" si="36"/>
        <v>3</v>
      </c>
      <c r="L721" s="188">
        <v>118003</v>
      </c>
      <c r="M721" s="188">
        <v>0</v>
      </c>
      <c r="N721" s="189">
        <v>1000018061</v>
      </c>
      <c r="O721" t="s">
        <v>2040</v>
      </c>
      <c r="P721" s="187">
        <v>45009</v>
      </c>
      <c r="Q721" s="186">
        <v>8876</v>
      </c>
      <c r="R721" s="185"/>
      <c r="S721" s="185" t="s">
        <v>1522</v>
      </c>
      <c r="T721"/>
      <c r="U721" t="str">
        <f>IF($L721&gt;0,VLOOKUP($E721,Valida!$A$1:$G$270,6,FALSE),IF($M721&gt;=0,VLOOKUP($E721,Valida!$A$1:$G$270,7,FALSE)))</f>
        <v>(+/-) Ganancia (pérdida)</v>
      </c>
      <c r="V721" s="190" t="str">
        <f>VLOOKUP(E721,Valida!$A$2:$K$271,4,FALSE)</f>
        <v>P&amp;L</v>
      </c>
      <c r="W721" s="185" t="s">
        <v>1978</v>
      </c>
      <c r="X721" s="185"/>
      <c r="Y721" s="185" t="s">
        <v>1789</v>
      </c>
      <c r="Z721"/>
    </row>
    <row r="722" spans="1:26">
      <c r="A722" s="185" t="s">
        <v>2265</v>
      </c>
      <c r="B722" s="185" t="s">
        <v>2040</v>
      </c>
      <c r="C722" s="185" t="s">
        <v>1897</v>
      </c>
      <c r="D722" s="185" t="s">
        <v>2041</v>
      </c>
      <c r="E722" s="185">
        <v>510530</v>
      </c>
      <c r="F722" s="185" t="s">
        <v>813</v>
      </c>
      <c r="G722" s="185" t="s">
        <v>2274</v>
      </c>
      <c r="H722" s="185" t="s">
        <v>1515</v>
      </c>
      <c r="I722" s="258" t="str">
        <f t="shared" si="34"/>
        <v>5</v>
      </c>
      <c r="J722" s="221">
        <f t="shared" si="35"/>
        <v>132107</v>
      </c>
      <c r="K722" s="258">
        <f t="shared" si="36"/>
        <v>3</v>
      </c>
      <c r="L722" s="188">
        <v>132107</v>
      </c>
      <c r="M722" s="188">
        <v>0</v>
      </c>
      <c r="N722" s="189">
        <v>1000036375</v>
      </c>
      <c r="O722" t="s">
        <v>2040</v>
      </c>
      <c r="P722" s="187">
        <v>45009</v>
      </c>
      <c r="Q722" s="186">
        <v>8877</v>
      </c>
      <c r="R722" s="185"/>
      <c r="S722" s="185" t="s">
        <v>1524</v>
      </c>
      <c r="T722"/>
      <c r="U722" t="str">
        <f>IF($L722&gt;0,VLOOKUP($E722,Valida!$A$1:$G$270,6,FALSE),IF($M722&gt;=0,VLOOKUP($E722,Valida!$A$1:$G$270,7,FALSE)))</f>
        <v>(+/-) Ganancia (pérdida)</v>
      </c>
      <c r="V722" s="190" t="str">
        <f>VLOOKUP(E722,Valida!$A$2:$K$271,4,FALSE)</f>
        <v>P&amp;L</v>
      </c>
      <c r="W722" s="185" t="s">
        <v>1983</v>
      </c>
      <c r="X722" s="185"/>
      <c r="Y722" s="185" t="s">
        <v>1789</v>
      </c>
      <c r="Z722"/>
    </row>
    <row r="723" spans="1:26">
      <c r="A723" s="185" t="s">
        <v>2265</v>
      </c>
      <c r="B723" s="185" t="s">
        <v>2040</v>
      </c>
      <c r="C723" s="185" t="s">
        <v>1897</v>
      </c>
      <c r="D723" s="185" t="s">
        <v>2041</v>
      </c>
      <c r="E723" s="185">
        <v>510530</v>
      </c>
      <c r="F723" s="185" t="s">
        <v>813</v>
      </c>
      <c r="G723" s="185" t="s">
        <v>2274</v>
      </c>
      <c r="H723" s="185" t="s">
        <v>1515</v>
      </c>
      <c r="I723" s="258" t="str">
        <f t="shared" si="34"/>
        <v>5</v>
      </c>
      <c r="J723" s="221">
        <f t="shared" si="35"/>
        <v>136662</v>
      </c>
      <c r="K723" s="258">
        <f t="shared" si="36"/>
        <v>3</v>
      </c>
      <c r="L723" s="188">
        <v>136662</v>
      </c>
      <c r="M723" s="188">
        <v>0</v>
      </c>
      <c r="N723" s="189">
        <v>1010101811</v>
      </c>
      <c r="O723" t="s">
        <v>2040</v>
      </c>
      <c r="P723" s="187">
        <v>45009</v>
      </c>
      <c r="Q723" s="186">
        <v>8878</v>
      </c>
      <c r="R723" s="185"/>
      <c r="S723" s="185" t="s">
        <v>1528</v>
      </c>
      <c r="T723"/>
      <c r="U723" t="str">
        <f>IF($L723&gt;0,VLOOKUP($E723,Valida!$A$1:$G$270,6,FALSE),IF($M723&gt;=0,VLOOKUP($E723,Valida!$A$1:$G$270,7,FALSE)))</f>
        <v>(+/-) Ganancia (pérdida)</v>
      </c>
      <c r="V723" s="190" t="str">
        <f>VLOOKUP(E723,Valida!$A$2:$K$271,4,FALSE)</f>
        <v>P&amp;L</v>
      </c>
      <c r="W723" s="185" t="s">
        <v>1967</v>
      </c>
      <c r="X723" s="185"/>
      <c r="Y723" s="185" t="s">
        <v>1789</v>
      </c>
      <c r="Z723"/>
    </row>
    <row r="724" spans="1:26">
      <c r="A724" s="185" t="s">
        <v>2265</v>
      </c>
      <c r="B724" s="185" t="s">
        <v>2040</v>
      </c>
      <c r="C724" s="185" t="s">
        <v>1897</v>
      </c>
      <c r="D724" s="185" t="s">
        <v>2041</v>
      </c>
      <c r="E724" s="185">
        <v>510530</v>
      </c>
      <c r="F724" s="185" t="s">
        <v>813</v>
      </c>
      <c r="G724" s="185" t="s">
        <v>2274</v>
      </c>
      <c r="H724" s="185" t="s">
        <v>1515</v>
      </c>
      <c r="I724" s="258" t="str">
        <f t="shared" si="34"/>
        <v>5</v>
      </c>
      <c r="J724" s="221">
        <f t="shared" si="35"/>
        <v>107950</v>
      </c>
      <c r="K724" s="258">
        <f t="shared" si="36"/>
        <v>3</v>
      </c>
      <c r="L724" s="188">
        <v>107950</v>
      </c>
      <c r="M724" s="188">
        <v>0</v>
      </c>
      <c r="N724" s="189">
        <v>1020842223</v>
      </c>
      <c r="O724" t="s">
        <v>2040</v>
      </c>
      <c r="P724" s="187">
        <v>45009</v>
      </c>
      <c r="Q724" s="186">
        <v>8879</v>
      </c>
      <c r="R724" s="185"/>
      <c r="S724" s="185" t="s">
        <v>1532</v>
      </c>
      <c r="T724"/>
      <c r="U724" t="str">
        <f>IF($L724&gt;0,VLOOKUP($E724,Valida!$A$1:$G$270,6,FALSE),IF($M724&gt;=0,VLOOKUP($E724,Valida!$A$1:$G$270,7,FALSE)))</f>
        <v>(+/-) Ganancia (pérdida)</v>
      </c>
      <c r="V724" s="190" t="str">
        <f>VLOOKUP(E724,Valida!$A$2:$K$271,4,FALSE)</f>
        <v>P&amp;L</v>
      </c>
      <c r="W724" s="185" t="s">
        <v>1900</v>
      </c>
      <c r="X724" s="185"/>
      <c r="Y724" s="185" t="s">
        <v>1789</v>
      </c>
      <c r="Z724"/>
    </row>
    <row r="725" spans="1:26">
      <c r="A725" s="185" t="s">
        <v>2265</v>
      </c>
      <c r="B725" s="185" t="s">
        <v>2040</v>
      </c>
      <c r="C725" s="185" t="s">
        <v>1897</v>
      </c>
      <c r="D725" s="185" t="s">
        <v>2041</v>
      </c>
      <c r="E725" s="185">
        <v>510530</v>
      </c>
      <c r="F725" s="185" t="s">
        <v>813</v>
      </c>
      <c r="G725" s="185" t="s">
        <v>2274</v>
      </c>
      <c r="H725" s="185" t="s">
        <v>1515</v>
      </c>
      <c r="I725" s="258" t="str">
        <f t="shared" si="34"/>
        <v>5</v>
      </c>
      <c r="J725" s="221">
        <f t="shared" si="35"/>
        <v>108340</v>
      </c>
      <c r="K725" s="258">
        <f t="shared" si="36"/>
        <v>3</v>
      </c>
      <c r="L725" s="188">
        <v>108340</v>
      </c>
      <c r="M725" s="188">
        <v>0</v>
      </c>
      <c r="N725" s="189">
        <v>1130744136</v>
      </c>
      <c r="O725" t="s">
        <v>2040</v>
      </c>
      <c r="P725" s="187">
        <v>45009</v>
      </c>
      <c r="Q725" s="186">
        <v>8880</v>
      </c>
      <c r="R725" s="185"/>
      <c r="S725" s="185" t="s">
        <v>1538</v>
      </c>
      <c r="T725"/>
      <c r="U725" t="str">
        <f>IF($L725&gt;0,VLOOKUP($E725,Valida!$A$1:$G$270,6,FALSE),IF($M725&gt;=0,VLOOKUP($E725,Valida!$A$1:$G$270,7,FALSE)))</f>
        <v>(+/-) Ganancia (pérdida)</v>
      </c>
      <c r="V725" s="190" t="str">
        <f>VLOOKUP(E725,Valida!$A$2:$K$271,4,FALSE)</f>
        <v>P&amp;L</v>
      </c>
      <c r="W725" s="185" t="s">
        <v>1909</v>
      </c>
      <c r="X725" s="185" t="s">
        <v>1910</v>
      </c>
      <c r="Y725" s="185" t="s">
        <v>1789</v>
      </c>
      <c r="Z725"/>
    </row>
    <row r="726" spans="1:26">
      <c r="A726" s="185" t="s">
        <v>2265</v>
      </c>
      <c r="B726" s="185" t="s">
        <v>2040</v>
      </c>
      <c r="C726" s="185" t="s">
        <v>1897</v>
      </c>
      <c r="D726" s="185" t="s">
        <v>2041</v>
      </c>
      <c r="E726" s="185">
        <v>510530</v>
      </c>
      <c r="F726" s="185" t="s">
        <v>813</v>
      </c>
      <c r="G726" s="185" t="s">
        <v>2274</v>
      </c>
      <c r="H726" s="185" t="s">
        <v>1515</v>
      </c>
      <c r="I726" s="258" t="str">
        <f t="shared" si="34"/>
        <v>5</v>
      </c>
      <c r="J726" s="221">
        <f t="shared" si="35"/>
        <v>194192</v>
      </c>
      <c r="K726" s="258">
        <f t="shared" si="36"/>
        <v>3</v>
      </c>
      <c r="L726" s="188">
        <v>194192</v>
      </c>
      <c r="M726" s="188">
        <v>0</v>
      </c>
      <c r="N726" s="189">
        <v>80747504</v>
      </c>
      <c r="O726" t="s">
        <v>2040</v>
      </c>
      <c r="P726" s="187">
        <v>45009</v>
      </c>
      <c r="Q726" s="186">
        <v>8881</v>
      </c>
      <c r="R726" s="185"/>
      <c r="S726" s="185" t="s">
        <v>1562</v>
      </c>
      <c r="T726"/>
      <c r="U726" t="str">
        <f>IF($L726&gt;0,VLOOKUP($E726,Valida!$A$1:$G$270,6,FALSE),IF($M726&gt;=0,VLOOKUP($E726,Valida!$A$1:$G$270,7,FALSE)))</f>
        <v>(+/-) Ganancia (pérdida)</v>
      </c>
      <c r="V726" s="190" t="str">
        <f>VLOOKUP(E726,Valida!$A$2:$K$271,4,FALSE)</f>
        <v>P&amp;L</v>
      </c>
      <c r="W726" s="185" t="s">
        <v>1918</v>
      </c>
      <c r="X726" s="185"/>
      <c r="Y726" s="185" t="s">
        <v>1789</v>
      </c>
      <c r="Z726"/>
    </row>
    <row r="727" spans="1:26">
      <c r="A727" s="185" t="s">
        <v>2265</v>
      </c>
      <c r="B727" s="185" t="s">
        <v>2040</v>
      </c>
      <c r="C727" s="185" t="s">
        <v>1897</v>
      </c>
      <c r="D727" s="185" t="s">
        <v>2041</v>
      </c>
      <c r="E727" s="185">
        <v>510533</v>
      </c>
      <c r="F727" s="185" t="s">
        <v>779</v>
      </c>
      <c r="G727" s="185" t="s">
        <v>2275</v>
      </c>
      <c r="H727" s="185" t="s">
        <v>1515</v>
      </c>
      <c r="I727" s="258" t="str">
        <f t="shared" si="34"/>
        <v>5</v>
      </c>
      <c r="J727" s="221">
        <f t="shared" si="35"/>
        <v>14166</v>
      </c>
      <c r="K727" s="258">
        <f t="shared" si="36"/>
        <v>3</v>
      </c>
      <c r="L727" s="188">
        <v>14166</v>
      </c>
      <c r="M727" s="188">
        <v>0</v>
      </c>
      <c r="N727" s="189">
        <v>1000018061</v>
      </c>
      <c r="O727" t="s">
        <v>2040</v>
      </c>
      <c r="P727" s="187">
        <v>45009</v>
      </c>
      <c r="Q727" s="186">
        <v>8882</v>
      </c>
      <c r="R727" s="185"/>
      <c r="S727" s="185" t="s">
        <v>1522</v>
      </c>
      <c r="T727"/>
      <c r="U727" t="str">
        <f>IF($L727&gt;0,VLOOKUP($E727,Valida!$A$1:$G$270,6,FALSE),IF($M727&gt;=0,VLOOKUP($E727,Valida!$A$1:$G$270,7,FALSE)))</f>
        <v>(+/-) Ganancia (pérdida)</v>
      </c>
      <c r="V727" s="190" t="str">
        <f>VLOOKUP(E727,Valida!$A$2:$K$271,4,FALSE)</f>
        <v>P&amp;L</v>
      </c>
      <c r="W727" s="185" t="s">
        <v>1978</v>
      </c>
      <c r="X727" s="185"/>
      <c r="Y727" s="185" t="s">
        <v>1789</v>
      </c>
      <c r="Z727"/>
    </row>
    <row r="728" spans="1:26">
      <c r="A728" s="185" t="s">
        <v>2265</v>
      </c>
      <c r="B728" s="185" t="s">
        <v>2040</v>
      </c>
      <c r="C728" s="185" t="s">
        <v>1897</v>
      </c>
      <c r="D728" s="185" t="s">
        <v>2041</v>
      </c>
      <c r="E728" s="185">
        <v>510533</v>
      </c>
      <c r="F728" s="185" t="s">
        <v>779</v>
      </c>
      <c r="G728" s="185" t="s">
        <v>2275</v>
      </c>
      <c r="H728" s="185" t="s">
        <v>1515</v>
      </c>
      <c r="I728" s="258" t="str">
        <f t="shared" si="34"/>
        <v>5</v>
      </c>
      <c r="J728" s="221">
        <f t="shared" si="35"/>
        <v>15859</v>
      </c>
      <c r="K728" s="258">
        <f t="shared" si="36"/>
        <v>3</v>
      </c>
      <c r="L728" s="188">
        <v>15859</v>
      </c>
      <c r="M728" s="188">
        <v>0</v>
      </c>
      <c r="N728" s="189">
        <v>1000036375</v>
      </c>
      <c r="O728" t="s">
        <v>2040</v>
      </c>
      <c r="P728" s="187">
        <v>45009</v>
      </c>
      <c r="Q728" s="186">
        <v>8883</v>
      </c>
      <c r="R728" s="185"/>
      <c r="S728" s="185" t="s">
        <v>1524</v>
      </c>
      <c r="T728"/>
      <c r="U728" t="str">
        <f>IF($L728&gt;0,VLOOKUP($E728,Valida!$A$1:$G$270,6,FALSE),IF($M728&gt;=0,VLOOKUP($E728,Valida!$A$1:$G$270,7,FALSE)))</f>
        <v>(+/-) Ganancia (pérdida)</v>
      </c>
      <c r="V728" s="190" t="str">
        <f>VLOOKUP(E728,Valida!$A$2:$K$271,4,FALSE)</f>
        <v>P&amp;L</v>
      </c>
      <c r="W728" s="185" t="s">
        <v>1983</v>
      </c>
      <c r="X728" s="185"/>
      <c r="Y728" s="185" t="s">
        <v>1789</v>
      </c>
      <c r="Z728"/>
    </row>
    <row r="729" spans="1:26">
      <c r="A729" s="185" t="s">
        <v>2265</v>
      </c>
      <c r="B729" s="185" t="s">
        <v>2040</v>
      </c>
      <c r="C729" s="185" t="s">
        <v>1897</v>
      </c>
      <c r="D729" s="185" t="s">
        <v>2041</v>
      </c>
      <c r="E729" s="185">
        <v>510533</v>
      </c>
      <c r="F729" s="185" t="s">
        <v>779</v>
      </c>
      <c r="G729" s="185" t="s">
        <v>2275</v>
      </c>
      <c r="H729" s="185" t="s">
        <v>1515</v>
      </c>
      <c r="I729" s="258" t="str">
        <f t="shared" si="34"/>
        <v>5</v>
      </c>
      <c r="J729" s="221">
        <f t="shared" si="35"/>
        <v>16406</v>
      </c>
      <c r="K729" s="258">
        <f t="shared" si="36"/>
        <v>3</v>
      </c>
      <c r="L729" s="188">
        <v>16406</v>
      </c>
      <c r="M729" s="188">
        <v>0</v>
      </c>
      <c r="N729" s="189">
        <v>1010101811</v>
      </c>
      <c r="O729" t="s">
        <v>2040</v>
      </c>
      <c r="P729" s="187">
        <v>45009</v>
      </c>
      <c r="Q729" s="186">
        <v>8884</v>
      </c>
      <c r="R729" s="185"/>
      <c r="S729" s="185" t="s">
        <v>1528</v>
      </c>
      <c r="T729"/>
      <c r="U729" t="str">
        <f>IF($L729&gt;0,VLOOKUP($E729,Valida!$A$1:$G$270,6,FALSE),IF($M729&gt;=0,VLOOKUP($E729,Valida!$A$1:$G$270,7,FALSE)))</f>
        <v>(+/-) Ganancia (pérdida)</v>
      </c>
      <c r="V729" s="190" t="str">
        <f>VLOOKUP(E729,Valida!$A$2:$K$271,4,FALSE)</f>
        <v>P&amp;L</v>
      </c>
      <c r="W729" s="185" t="s">
        <v>1967</v>
      </c>
      <c r="X729" s="185"/>
      <c r="Y729" s="185" t="s">
        <v>1789</v>
      </c>
      <c r="Z729"/>
    </row>
    <row r="730" spans="1:26">
      <c r="A730" s="185" t="s">
        <v>2265</v>
      </c>
      <c r="B730" s="185" t="s">
        <v>2040</v>
      </c>
      <c r="C730" s="185" t="s">
        <v>1897</v>
      </c>
      <c r="D730" s="185" t="s">
        <v>2041</v>
      </c>
      <c r="E730" s="185">
        <v>510533</v>
      </c>
      <c r="F730" s="185" t="s">
        <v>779</v>
      </c>
      <c r="G730" s="185" t="s">
        <v>2275</v>
      </c>
      <c r="H730" s="185" t="s">
        <v>1515</v>
      </c>
      <c r="I730" s="258" t="str">
        <f t="shared" si="34"/>
        <v>5</v>
      </c>
      <c r="J730" s="221">
        <f t="shared" si="35"/>
        <v>12959</v>
      </c>
      <c r="K730" s="258">
        <f t="shared" si="36"/>
        <v>3</v>
      </c>
      <c r="L730" s="188">
        <v>12959</v>
      </c>
      <c r="M730" s="188">
        <v>0</v>
      </c>
      <c r="N730" s="189">
        <v>1020842223</v>
      </c>
      <c r="O730" t="s">
        <v>2040</v>
      </c>
      <c r="P730" s="187">
        <v>45009</v>
      </c>
      <c r="Q730" s="186">
        <v>8885</v>
      </c>
      <c r="R730" s="185"/>
      <c r="S730" s="185" t="s">
        <v>1532</v>
      </c>
      <c r="T730"/>
      <c r="U730" t="str">
        <f>IF($L730&gt;0,VLOOKUP($E730,Valida!$A$1:$G$270,6,FALSE),IF($M730&gt;=0,VLOOKUP($E730,Valida!$A$1:$G$270,7,FALSE)))</f>
        <v>(+/-) Ganancia (pérdida)</v>
      </c>
      <c r="V730" s="190" t="str">
        <f>VLOOKUP(E730,Valida!$A$2:$K$271,4,FALSE)</f>
        <v>P&amp;L</v>
      </c>
      <c r="W730" s="185" t="s">
        <v>1900</v>
      </c>
      <c r="X730" s="185"/>
      <c r="Y730" s="185" t="s">
        <v>1789</v>
      </c>
      <c r="Z730"/>
    </row>
    <row r="731" spans="1:26">
      <c r="A731" s="185" t="s">
        <v>2265</v>
      </c>
      <c r="B731" s="185" t="s">
        <v>2040</v>
      </c>
      <c r="C731" s="185" t="s">
        <v>1897</v>
      </c>
      <c r="D731" s="185" t="s">
        <v>2041</v>
      </c>
      <c r="E731" s="185">
        <v>510533</v>
      </c>
      <c r="F731" s="185" t="s">
        <v>779</v>
      </c>
      <c r="G731" s="185" t="s">
        <v>2275</v>
      </c>
      <c r="H731" s="185" t="s">
        <v>1515</v>
      </c>
      <c r="I731" s="258" t="str">
        <f t="shared" si="34"/>
        <v>5</v>
      </c>
      <c r="J731" s="221">
        <f t="shared" si="35"/>
        <v>13006</v>
      </c>
      <c r="K731" s="258">
        <f t="shared" si="36"/>
        <v>3</v>
      </c>
      <c r="L731" s="188">
        <v>13006</v>
      </c>
      <c r="M731" s="188">
        <v>0</v>
      </c>
      <c r="N731" s="189">
        <v>1130744136</v>
      </c>
      <c r="O731" t="s">
        <v>2040</v>
      </c>
      <c r="P731" s="187">
        <v>45009</v>
      </c>
      <c r="Q731" s="186">
        <v>8886</v>
      </c>
      <c r="R731" s="185"/>
      <c r="S731" s="185" t="s">
        <v>1538</v>
      </c>
      <c r="T731"/>
      <c r="U731" t="str">
        <f>IF($L731&gt;0,VLOOKUP($E731,Valida!$A$1:$G$270,6,FALSE),IF($M731&gt;=0,VLOOKUP($E731,Valida!$A$1:$G$270,7,FALSE)))</f>
        <v>(+/-) Ganancia (pérdida)</v>
      </c>
      <c r="V731" s="190" t="str">
        <f>VLOOKUP(E731,Valida!$A$2:$K$271,4,FALSE)</f>
        <v>P&amp;L</v>
      </c>
      <c r="W731" s="185" t="s">
        <v>1909</v>
      </c>
      <c r="X731" s="185" t="s">
        <v>1910</v>
      </c>
      <c r="Y731" s="185" t="s">
        <v>1789</v>
      </c>
      <c r="Z731"/>
    </row>
    <row r="732" spans="1:26">
      <c r="A732" s="185" t="s">
        <v>2265</v>
      </c>
      <c r="B732" s="185" t="s">
        <v>2040</v>
      </c>
      <c r="C732" s="185" t="s">
        <v>1897</v>
      </c>
      <c r="D732" s="185" t="s">
        <v>2041</v>
      </c>
      <c r="E732" s="185">
        <v>510533</v>
      </c>
      <c r="F732" s="185" t="s">
        <v>779</v>
      </c>
      <c r="G732" s="185" t="s">
        <v>2275</v>
      </c>
      <c r="H732" s="185" t="s">
        <v>1515</v>
      </c>
      <c r="I732" s="258" t="str">
        <f t="shared" si="34"/>
        <v>5</v>
      </c>
      <c r="J732" s="221">
        <f t="shared" si="35"/>
        <v>23312</v>
      </c>
      <c r="K732" s="258">
        <f t="shared" si="36"/>
        <v>3</v>
      </c>
      <c r="L732" s="188">
        <v>23312</v>
      </c>
      <c r="M732" s="188">
        <v>0</v>
      </c>
      <c r="N732" s="189">
        <v>80747504</v>
      </c>
      <c r="O732" t="s">
        <v>2040</v>
      </c>
      <c r="P732" s="187">
        <v>45009</v>
      </c>
      <c r="Q732" s="186">
        <v>8887</v>
      </c>
      <c r="R732" s="185"/>
      <c r="S732" s="185" t="s">
        <v>1562</v>
      </c>
      <c r="T732"/>
      <c r="U732" t="str">
        <f>IF($L732&gt;0,VLOOKUP($E732,Valida!$A$1:$G$270,6,FALSE),IF($M732&gt;=0,VLOOKUP($E732,Valida!$A$1:$G$270,7,FALSE)))</f>
        <v>(+/-) Ganancia (pérdida)</v>
      </c>
      <c r="V732" s="190" t="str">
        <f>VLOOKUP(E732,Valida!$A$2:$K$271,4,FALSE)</f>
        <v>P&amp;L</v>
      </c>
      <c r="W732" s="185" t="s">
        <v>1918</v>
      </c>
      <c r="X732" s="185"/>
      <c r="Y732" s="185" t="s">
        <v>1789</v>
      </c>
      <c r="Z732"/>
    </row>
    <row r="733" spans="1:26">
      <c r="A733" s="185" t="s">
        <v>2265</v>
      </c>
      <c r="B733" s="185" t="s">
        <v>2040</v>
      </c>
      <c r="C733" s="185" t="s">
        <v>1897</v>
      </c>
      <c r="D733" s="185" t="s">
        <v>2041</v>
      </c>
      <c r="E733" s="185">
        <v>510536</v>
      </c>
      <c r="F733" s="185" t="s">
        <v>783</v>
      </c>
      <c r="G733" s="185" t="s">
        <v>2276</v>
      </c>
      <c r="H733" s="185" t="s">
        <v>1515</v>
      </c>
      <c r="I733" s="258" t="str">
        <f t="shared" si="34"/>
        <v>5</v>
      </c>
      <c r="J733" s="221">
        <f t="shared" si="35"/>
        <v>118003</v>
      </c>
      <c r="K733" s="258">
        <f t="shared" si="36"/>
        <v>3</v>
      </c>
      <c r="L733" s="188">
        <v>118003</v>
      </c>
      <c r="M733" s="188">
        <v>0</v>
      </c>
      <c r="N733" s="189">
        <v>1000018061</v>
      </c>
      <c r="O733" t="s">
        <v>2040</v>
      </c>
      <c r="P733" s="187">
        <v>45009</v>
      </c>
      <c r="Q733" s="186">
        <v>8888</v>
      </c>
      <c r="R733" s="185"/>
      <c r="S733" s="185" t="s">
        <v>1522</v>
      </c>
      <c r="T733"/>
      <c r="U733" t="str">
        <f>IF($L733&gt;0,VLOOKUP($E733,Valida!$A$1:$G$270,6,FALSE),IF($M733&gt;=0,VLOOKUP($E733,Valida!$A$1:$G$270,7,FALSE)))</f>
        <v>(+/-) Ganancia (pérdida)</v>
      </c>
      <c r="V733" s="190" t="str">
        <f>VLOOKUP(E733,Valida!$A$2:$K$271,4,FALSE)</f>
        <v>P&amp;L</v>
      </c>
      <c r="W733" s="185" t="s">
        <v>1978</v>
      </c>
      <c r="X733" s="185"/>
      <c r="Y733" s="185" t="s">
        <v>1789</v>
      </c>
      <c r="Z733"/>
    </row>
    <row r="734" spans="1:26">
      <c r="A734" s="185" t="s">
        <v>2265</v>
      </c>
      <c r="B734" s="185" t="s">
        <v>2040</v>
      </c>
      <c r="C734" s="185" t="s">
        <v>1897</v>
      </c>
      <c r="D734" s="185" t="s">
        <v>2041</v>
      </c>
      <c r="E734" s="185">
        <v>510536</v>
      </c>
      <c r="F734" s="185" t="s">
        <v>783</v>
      </c>
      <c r="G734" s="185" t="s">
        <v>2276</v>
      </c>
      <c r="H734" s="185" t="s">
        <v>1515</v>
      </c>
      <c r="I734" s="258" t="str">
        <f t="shared" si="34"/>
        <v>5</v>
      </c>
      <c r="J734" s="221">
        <f t="shared" si="35"/>
        <v>132107</v>
      </c>
      <c r="K734" s="258">
        <f t="shared" si="36"/>
        <v>3</v>
      </c>
      <c r="L734" s="188">
        <v>132107</v>
      </c>
      <c r="M734" s="188">
        <v>0</v>
      </c>
      <c r="N734" s="189">
        <v>1000036375</v>
      </c>
      <c r="O734" t="s">
        <v>2040</v>
      </c>
      <c r="P734" s="187">
        <v>45009</v>
      </c>
      <c r="Q734" s="186">
        <v>8889</v>
      </c>
      <c r="R734" s="185"/>
      <c r="S734" s="185" t="s">
        <v>1524</v>
      </c>
      <c r="T734"/>
      <c r="U734" t="str">
        <f>IF($L734&gt;0,VLOOKUP($E734,Valida!$A$1:$G$270,6,FALSE),IF($M734&gt;=0,VLOOKUP($E734,Valida!$A$1:$G$270,7,FALSE)))</f>
        <v>(+/-) Ganancia (pérdida)</v>
      </c>
      <c r="V734" s="190" t="str">
        <f>VLOOKUP(E734,Valida!$A$2:$K$271,4,FALSE)</f>
        <v>P&amp;L</v>
      </c>
      <c r="W734" s="185" t="s">
        <v>1983</v>
      </c>
      <c r="X734" s="185"/>
      <c r="Y734" s="185" t="s">
        <v>1789</v>
      </c>
      <c r="Z734"/>
    </row>
    <row r="735" spans="1:26">
      <c r="A735" s="185" t="s">
        <v>2265</v>
      </c>
      <c r="B735" s="185" t="s">
        <v>2040</v>
      </c>
      <c r="C735" s="185" t="s">
        <v>1897</v>
      </c>
      <c r="D735" s="185" t="s">
        <v>2041</v>
      </c>
      <c r="E735" s="185">
        <v>510536</v>
      </c>
      <c r="F735" s="185" t="s">
        <v>783</v>
      </c>
      <c r="G735" s="185" t="s">
        <v>2276</v>
      </c>
      <c r="H735" s="185" t="s">
        <v>1515</v>
      </c>
      <c r="I735" s="258" t="str">
        <f t="shared" si="34"/>
        <v>5</v>
      </c>
      <c r="J735" s="221">
        <f t="shared" si="35"/>
        <v>136662</v>
      </c>
      <c r="K735" s="258">
        <f t="shared" si="36"/>
        <v>3</v>
      </c>
      <c r="L735" s="188">
        <v>136662</v>
      </c>
      <c r="M735" s="188">
        <v>0</v>
      </c>
      <c r="N735" s="189">
        <v>1010101811</v>
      </c>
      <c r="O735" t="s">
        <v>2040</v>
      </c>
      <c r="P735" s="187">
        <v>45009</v>
      </c>
      <c r="Q735" s="186">
        <v>8890</v>
      </c>
      <c r="R735" s="185"/>
      <c r="S735" s="185" t="s">
        <v>1528</v>
      </c>
      <c r="T735"/>
      <c r="U735" t="str">
        <f>IF($L735&gt;0,VLOOKUP($E735,Valida!$A$1:$G$270,6,FALSE),IF($M735&gt;=0,VLOOKUP($E735,Valida!$A$1:$G$270,7,FALSE)))</f>
        <v>(+/-) Ganancia (pérdida)</v>
      </c>
      <c r="V735" s="190" t="str">
        <f>VLOOKUP(E735,Valida!$A$2:$K$271,4,FALSE)</f>
        <v>P&amp;L</v>
      </c>
      <c r="W735" s="185" t="s">
        <v>1967</v>
      </c>
      <c r="X735" s="185"/>
      <c r="Y735" s="185" t="s">
        <v>1789</v>
      </c>
      <c r="Z735"/>
    </row>
    <row r="736" spans="1:26">
      <c r="A736" s="185" t="s">
        <v>2265</v>
      </c>
      <c r="B736" s="185" t="s">
        <v>2040</v>
      </c>
      <c r="C736" s="185" t="s">
        <v>1897</v>
      </c>
      <c r="D736" s="185" t="s">
        <v>2041</v>
      </c>
      <c r="E736" s="185">
        <v>510536</v>
      </c>
      <c r="F736" s="185" t="s">
        <v>783</v>
      </c>
      <c r="G736" s="185" t="s">
        <v>2276</v>
      </c>
      <c r="H736" s="185" t="s">
        <v>1515</v>
      </c>
      <c r="I736" s="258" t="str">
        <f t="shared" si="34"/>
        <v>5</v>
      </c>
      <c r="J736" s="221">
        <f t="shared" si="35"/>
        <v>107950</v>
      </c>
      <c r="K736" s="258">
        <f t="shared" si="36"/>
        <v>3</v>
      </c>
      <c r="L736" s="188">
        <v>107950</v>
      </c>
      <c r="M736" s="188">
        <v>0</v>
      </c>
      <c r="N736" s="189">
        <v>1020842223</v>
      </c>
      <c r="O736" t="s">
        <v>2040</v>
      </c>
      <c r="P736" s="187">
        <v>45009</v>
      </c>
      <c r="Q736" s="186">
        <v>8891</v>
      </c>
      <c r="R736" s="185"/>
      <c r="S736" s="185" t="s">
        <v>1532</v>
      </c>
      <c r="T736"/>
      <c r="U736" t="str">
        <f>IF($L736&gt;0,VLOOKUP($E736,Valida!$A$1:$G$270,6,FALSE),IF($M736&gt;=0,VLOOKUP($E736,Valida!$A$1:$G$270,7,FALSE)))</f>
        <v>(+/-) Ganancia (pérdida)</v>
      </c>
      <c r="V736" s="190" t="str">
        <f>VLOOKUP(E736,Valida!$A$2:$K$271,4,FALSE)</f>
        <v>P&amp;L</v>
      </c>
      <c r="W736" s="185" t="s">
        <v>1900</v>
      </c>
      <c r="X736" s="185"/>
      <c r="Y736" s="185" t="s">
        <v>1789</v>
      </c>
      <c r="Z736"/>
    </row>
    <row r="737" spans="1:26">
      <c r="A737" s="185" t="s">
        <v>2265</v>
      </c>
      <c r="B737" s="185" t="s">
        <v>2040</v>
      </c>
      <c r="C737" s="185" t="s">
        <v>1897</v>
      </c>
      <c r="D737" s="185" t="s">
        <v>2041</v>
      </c>
      <c r="E737" s="185">
        <v>510536</v>
      </c>
      <c r="F737" s="185" t="s">
        <v>783</v>
      </c>
      <c r="G737" s="185" t="s">
        <v>2276</v>
      </c>
      <c r="H737" s="185" t="s">
        <v>1515</v>
      </c>
      <c r="I737" s="258" t="str">
        <f t="shared" si="34"/>
        <v>5</v>
      </c>
      <c r="J737" s="221">
        <f t="shared" si="35"/>
        <v>108340</v>
      </c>
      <c r="K737" s="258">
        <f t="shared" si="36"/>
        <v>3</v>
      </c>
      <c r="L737" s="188">
        <v>108340</v>
      </c>
      <c r="M737" s="188">
        <v>0</v>
      </c>
      <c r="N737" s="189">
        <v>1130744136</v>
      </c>
      <c r="O737" t="s">
        <v>2040</v>
      </c>
      <c r="P737" s="187">
        <v>45009</v>
      </c>
      <c r="Q737" s="186">
        <v>8892</v>
      </c>
      <c r="R737" s="185"/>
      <c r="S737" s="185" t="s">
        <v>1538</v>
      </c>
      <c r="T737"/>
      <c r="U737" t="str">
        <f>IF($L737&gt;0,VLOOKUP($E737,Valida!$A$1:$G$270,6,FALSE),IF($M737&gt;=0,VLOOKUP($E737,Valida!$A$1:$G$270,7,FALSE)))</f>
        <v>(+/-) Ganancia (pérdida)</v>
      </c>
      <c r="V737" s="190" t="str">
        <f>VLOOKUP(E737,Valida!$A$2:$K$271,4,FALSE)</f>
        <v>P&amp;L</v>
      </c>
      <c r="W737" s="185" t="s">
        <v>1909</v>
      </c>
      <c r="X737" s="185" t="s">
        <v>1910</v>
      </c>
      <c r="Y737" s="185" t="s">
        <v>1789</v>
      </c>
      <c r="Z737"/>
    </row>
    <row r="738" spans="1:26">
      <c r="A738" s="185" t="s">
        <v>2265</v>
      </c>
      <c r="B738" s="185" t="s">
        <v>2040</v>
      </c>
      <c r="C738" s="185" t="s">
        <v>1897</v>
      </c>
      <c r="D738" s="185" t="s">
        <v>2041</v>
      </c>
      <c r="E738" s="185">
        <v>510536</v>
      </c>
      <c r="F738" s="185" t="s">
        <v>783</v>
      </c>
      <c r="G738" s="185" t="s">
        <v>2276</v>
      </c>
      <c r="H738" s="185" t="s">
        <v>1515</v>
      </c>
      <c r="I738" s="258" t="str">
        <f t="shared" si="34"/>
        <v>5</v>
      </c>
      <c r="J738" s="221">
        <f t="shared" si="35"/>
        <v>194192</v>
      </c>
      <c r="K738" s="258">
        <f t="shared" si="36"/>
        <v>3</v>
      </c>
      <c r="L738" s="188">
        <v>194192</v>
      </c>
      <c r="M738" s="188">
        <v>0</v>
      </c>
      <c r="N738" s="189">
        <v>80747504</v>
      </c>
      <c r="O738" t="s">
        <v>2040</v>
      </c>
      <c r="P738" s="187">
        <v>45009</v>
      </c>
      <c r="Q738" s="186">
        <v>8893</v>
      </c>
      <c r="R738" s="185"/>
      <c r="S738" s="185" t="s">
        <v>1562</v>
      </c>
      <c r="T738"/>
      <c r="U738" t="str">
        <f>IF($L738&gt;0,VLOOKUP($E738,Valida!$A$1:$G$270,6,FALSE),IF($M738&gt;=0,VLOOKUP($E738,Valida!$A$1:$G$270,7,FALSE)))</f>
        <v>(+/-) Ganancia (pérdida)</v>
      </c>
      <c r="V738" s="190" t="str">
        <f>VLOOKUP(E738,Valida!$A$2:$K$271,4,FALSE)</f>
        <v>P&amp;L</v>
      </c>
      <c r="W738" s="185" t="s">
        <v>1918</v>
      </c>
      <c r="X738" s="185"/>
      <c r="Y738" s="185" t="s">
        <v>1789</v>
      </c>
      <c r="Z738"/>
    </row>
    <row r="739" spans="1:26">
      <c r="A739" s="185" t="s">
        <v>2265</v>
      </c>
      <c r="B739" s="185" t="s">
        <v>2040</v>
      </c>
      <c r="C739" s="185" t="s">
        <v>1897</v>
      </c>
      <c r="D739" s="185" t="s">
        <v>2041</v>
      </c>
      <c r="E739" s="185">
        <v>510539</v>
      </c>
      <c r="F739" s="185" t="s">
        <v>818</v>
      </c>
      <c r="G739" s="185" t="s">
        <v>2277</v>
      </c>
      <c r="H739" s="185" t="s">
        <v>1515</v>
      </c>
      <c r="I739" s="258" t="str">
        <f t="shared" si="34"/>
        <v>5</v>
      </c>
      <c r="J739" s="221">
        <f t="shared" si="35"/>
        <v>53209</v>
      </c>
      <c r="K739" s="258">
        <f t="shared" si="36"/>
        <v>3</v>
      </c>
      <c r="L739" s="188">
        <v>53209</v>
      </c>
      <c r="M739" s="188">
        <v>0</v>
      </c>
      <c r="N739" s="189">
        <v>1000018061</v>
      </c>
      <c r="O739" t="s">
        <v>2040</v>
      </c>
      <c r="P739" s="187">
        <v>45009</v>
      </c>
      <c r="Q739" s="186">
        <v>8894</v>
      </c>
      <c r="R739" s="185"/>
      <c r="S739" s="185" t="s">
        <v>1522</v>
      </c>
      <c r="T739"/>
      <c r="U739" t="str">
        <f>IF($L739&gt;0,VLOOKUP($E739,Valida!$A$1:$G$270,6,FALSE),IF($M739&gt;=0,VLOOKUP($E739,Valida!$A$1:$G$270,7,FALSE)))</f>
        <v>(+/-) Ganancia (pérdida)</v>
      </c>
      <c r="V739" s="190" t="str">
        <f>VLOOKUP(E739,Valida!$A$2:$K$271,4,FALSE)</f>
        <v>P&amp;L</v>
      </c>
      <c r="W739" s="185" t="s">
        <v>1978</v>
      </c>
      <c r="X739" s="185"/>
      <c r="Y739" s="185" t="s">
        <v>1789</v>
      </c>
      <c r="Z739"/>
    </row>
    <row r="740" spans="1:26">
      <c r="A740" s="185" t="s">
        <v>2265</v>
      </c>
      <c r="B740" s="185" t="s">
        <v>2040</v>
      </c>
      <c r="C740" s="185" t="s">
        <v>1897</v>
      </c>
      <c r="D740" s="185" t="s">
        <v>2041</v>
      </c>
      <c r="E740" s="185">
        <v>510539</v>
      </c>
      <c r="F740" s="185" t="s">
        <v>818</v>
      </c>
      <c r="G740" s="185" t="s">
        <v>2277</v>
      </c>
      <c r="H740" s="185" t="s">
        <v>1515</v>
      </c>
      <c r="I740" s="258" t="str">
        <f t="shared" si="34"/>
        <v>5</v>
      </c>
      <c r="J740" s="221">
        <f t="shared" si="35"/>
        <v>60465</v>
      </c>
      <c r="K740" s="258">
        <f t="shared" si="36"/>
        <v>3</v>
      </c>
      <c r="L740" s="188">
        <v>60465</v>
      </c>
      <c r="M740" s="188">
        <v>0</v>
      </c>
      <c r="N740" s="189">
        <v>1000036375</v>
      </c>
      <c r="O740" t="s">
        <v>2040</v>
      </c>
      <c r="P740" s="187">
        <v>45009</v>
      </c>
      <c r="Q740" s="186">
        <v>8895</v>
      </c>
      <c r="R740" s="185"/>
      <c r="S740" s="185" t="s">
        <v>1524</v>
      </c>
      <c r="T740"/>
      <c r="U740" t="str">
        <f>IF($L740&gt;0,VLOOKUP($E740,Valida!$A$1:$G$270,6,FALSE),IF($M740&gt;=0,VLOOKUP($E740,Valida!$A$1:$G$270,7,FALSE)))</f>
        <v>(+/-) Ganancia (pérdida)</v>
      </c>
      <c r="V740" s="190" t="str">
        <f>VLOOKUP(E740,Valida!$A$2:$K$271,4,FALSE)</f>
        <v>P&amp;L</v>
      </c>
      <c r="W740" s="185" t="s">
        <v>1983</v>
      </c>
      <c r="X740" s="185"/>
      <c r="Y740" s="185" t="s">
        <v>1789</v>
      </c>
      <c r="Z740"/>
    </row>
    <row r="741" spans="1:26">
      <c r="A741" s="185" t="s">
        <v>2265</v>
      </c>
      <c r="B741" s="185" t="s">
        <v>2040</v>
      </c>
      <c r="C741" s="185" t="s">
        <v>1897</v>
      </c>
      <c r="D741" s="185" t="s">
        <v>2041</v>
      </c>
      <c r="E741" s="185">
        <v>510539</v>
      </c>
      <c r="F741" s="185" t="s">
        <v>818</v>
      </c>
      <c r="G741" s="185" t="s">
        <v>2277</v>
      </c>
      <c r="H741" s="185" t="s">
        <v>1515</v>
      </c>
      <c r="I741" s="258" t="str">
        <f t="shared" si="34"/>
        <v>5</v>
      </c>
      <c r="J741" s="221">
        <f t="shared" si="35"/>
        <v>62550</v>
      </c>
      <c r="K741" s="258">
        <f t="shared" si="36"/>
        <v>3</v>
      </c>
      <c r="L741" s="188">
        <v>62550</v>
      </c>
      <c r="M741" s="188">
        <v>0</v>
      </c>
      <c r="N741" s="189">
        <v>1010101811</v>
      </c>
      <c r="O741" t="s">
        <v>2040</v>
      </c>
      <c r="P741" s="187">
        <v>45009</v>
      </c>
      <c r="Q741" s="186">
        <v>8896</v>
      </c>
      <c r="R741" s="185"/>
      <c r="S741" s="185" t="s">
        <v>1528</v>
      </c>
      <c r="T741"/>
      <c r="U741" t="str">
        <f>IF($L741&gt;0,VLOOKUP($E741,Valida!$A$1:$G$270,6,FALSE),IF($M741&gt;=0,VLOOKUP($E741,Valida!$A$1:$G$270,7,FALSE)))</f>
        <v>(+/-) Ganancia (pérdida)</v>
      </c>
      <c r="V741" s="190" t="str">
        <f>VLOOKUP(E741,Valida!$A$2:$K$271,4,FALSE)</f>
        <v>P&amp;L</v>
      </c>
      <c r="W741" s="185" t="s">
        <v>1967</v>
      </c>
      <c r="X741" s="185"/>
      <c r="Y741" s="185" t="s">
        <v>1789</v>
      </c>
      <c r="Z741"/>
    </row>
    <row r="742" spans="1:26">
      <c r="A742" s="185" t="s">
        <v>2265</v>
      </c>
      <c r="B742" s="185" t="s">
        <v>2040</v>
      </c>
      <c r="C742" s="185" t="s">
        <v>1897</v>
      </c>
      <c r="D742" s="185" t="s">
        <v>2041</v>
      </c>
      <c r="E742" s="185">
        <v>510539</v>
      </c>
      <c r="F742" s="185" t="s">
        <v>818</v>
      </c>
      <c r="G742" s="185" t="s">
        <v>2277</v>
      </c>
      <c r="H742" s="185" t="s">
        <v>1515</v>
      </c>
      <c r="I742" s="258" t="str">
        <f t="shared" si="34"/>
        <v>5</v>
      </c>
      <c r="J742" s="221">
        <f t="shared" si="35"/>
        <v>48372</v>
      </c>
      <c r="K742" s="258">
        <f t="shared" si="36"/>
        <v>3</v>
      </c>
      <c r="L742" s="188">
        <v>48372</v>
      </c>
      <c r="M742" s="188">
        <v>0</v>
      </c>
      <c r="N742" s="189">
        <v>1020842223</v>
      </c>
      <c r="O742" t="s">
        <v>2040</v>
      </c>
      <c r="P742" s="187">
        <v>45009</v>
      </c>
      <c r="Q742" s="186">
        <v>8897</v>
      </c>
      <c r="R742" s="185"/>
      <c r="S742" s="185" t="s">
        <v>1532</v>
      </c>
      <c r="T742"/>
      <c r="U742" t="str">
        <f>IF($L742&gt;0,VLOOKUP($E742,Valida!$A$1:$G$270,6,FALSE),IF($M742&gt;=0,VLOOKUP($E742,Valida!$A$1:$G$270,7,FALSE)))</f>
        <v>(+/-) Ganancia (pérdida)</v>
      </c>
      <c r="V742" s="190" t="str">
        <f>VLOOKUP(E742,Valida!$A$2:$K$271,4,FALSE)</f>
        <v>P&amp;L</v>
      </c>
      <c r="W742" s="185" t="s">
        <v>1900</v>
      </c>
      <c r="X742" s="185"/>
      <c r="Y742" s="185" t="s">
        <v>1789</v>
      </c>
      <c r="Z742"/>
    </row>
    <row r="743" spans="1:26">
      <c r="A743" s="185" t="s">
        <v>2265</v>
      </c>
      <c r="B743" s="185" t="s">
        <v>2040</v>
      </c>
      <c r="C743" s="185" t="s">
        <v>1897</v>
      </c>
      <c r="D743" s="185" t="s">
        <v>2041</v>
      </c>
      <c r="E743" s="185">
        <v>510539</v>
      </c>
      <c r="F743" s="185" t="s">
        <v>818</v>
      </c>
      <c r="G743" s="185" t="s">
        <v>2277</v>
      </c>
      <c r="H743" s="185" t="s">
        <v>1515</v>
      </c>
      <c r="I743" s="258" t="str">
        <f t="shared" si="34"/>
        <v>5</v>
      </c>
      <c r="J743" s="221">
        <f t="shared" si="35"/>
        <v>48372</v>
      </c>
      <c r="K743" s="258">
        <f t="shared" si="36"/>
        <v>3</v>
      </c>
      <c r="L743" s="188">
        <v>48372</v>
      </c>
      <c r="M743" s="188">
        <v>0</v>
      </c>
      <c r="N743" s="189">
        <v>1130744136</v>
      </c>
      <c r="O743" t="s">
        <v>2040</v>
      </c>
      <c r="P743" s="187">
        <v>45009</v>
      </c>
      <c r="Q743" s="186">
        <v>8898</v>
      </c>
      <c r="R743" s="185"/>
      <c r="S743" s="185" t="s">
        <v>1538</v>
      </c>
      <c r="T743"/>
      <c r="U743" t="str">
        <f>IF($L743&gt;0,VLOOKUP($E743,Valida!$A$1:$G$270,6,FALSE),IF($M743&gt;=0,VLOOKUP($E743,Valida!$A$1:$G$270,7,FALSE)))</f>
        <v>(+/-) Ganancia (pérdida)</v>
      </c>
      <c r="V743" s="190" t="str">
        <f>VLOOKUP(E743,Valida!$A$2:$K$271,4,FALSE)</f>
        <v>P&amp;L</v>
      </c>
      <c r="W743" s="185" t="s">
        <v>1909</v>
      </c>
      <c r="X743" s="185" t="s">
        <v>1910</v>
      </c>
      <c r="Y743" s="185" t="s">
        <v>1789</v>
      </c>
      <c r="Z743"/>
    </row>
    <row r="744" spans="1:26">
      <c r="A744" s="185" t="s">
        <v>2265</v>
      </c>
      <c r="B744" s="185" t="s">
        <v>2040</v>
      </c>
      <c r="C744" s="185" t="s">
        <v>1897</v>
      </c>
      <c r="D744" s="185" t="s">
        <v>2041</v>
      </c>
      <c r="E744" s="185">
        <v>510539</v>
      </c>
      <c r="F744" s="185" t="s">
        <v>818</v>
      </c>
      <c r="G744" s="185" t="s">
        <v>2277</v>
      </c>
      <c r="H744" s="185" t="s">
        <v>1515</v>
      </c>
      <c r="I744" s="258" t="str">
        <f t="shared" si="34"/>
        <v>5</v>
      </c>
      <c r="J744" s="221">
        <f t="shared" si="35"/>
        <v>91740</v>
      </c>
      <c r="K744" s="258">
        <f t="shared" si="36"/>
        <v>3</v>
      </c>
      <c r="L744" s="188">
        <v>91740</v>
      </c>
      <c r="M744" s="188">
        <v>0</v>
      </c>
      <c r="N744" s="189">
        <v>80747504</v>
      </c>
      <c r="O744" t="s">
        <v>2040</v>
      </c>
      <c r="P744" s="187">
        <v>45009</v>
      </c>
      <c r="Q744" s="186">
        <v>8899</v>
      </c>
      <c r="R744" s="185"/>
      <c r="S744" s="185" t="s">
        <v>1562</v>
      </c>
      <c r="T744"/>
      <c r="U744" t="str">
        <f>IF($L744&gt;0,VLOOKUP($E744,Valida!$A$1:$G$270,6,FALSE),IF($M744&gt;=0,VLOOKUP($E744,Valida!$A$1:$G$270,7,FALSE)))</f>
        <v>(+/-) Ganancia (pérdida)</v>
      </c>
      <c r="V744" s="190" t="str">
        <f>VLOOKUP(E744,Valida!$A$2:$K$271,4,FALSE)</f>
        <v>P&amp;L</v>
      </c>
      <c r="W744" s="185" t="s">
        <v>1918</v>
      </c>
      <c r="X744" s="185"/>
      <c r="Y744" s="185" t="s">
        <v>1789</v>
      </c>
      <c r="Z744"/>
    </row>
    <row r="745" spans="1:26">
      <c r="A745" s="185" t="s">
        <v>2265</v>
      </c>
      <c r="B745" s="185" t="s">
        <v>2040</v>
      </c>
      <c r="C745" s="185" t="s">
        <v>1897</v>
      </c>
      <c r="D745" s="185" t="s">
        <v>2041</v>
      </c>
      <c r="E745" s="185">
        <v>510568</v>
      </c>
      <c r="F745" s="185" t="s">
        <v>680</v>
      </c>
      <c r="G745" s="185" t="s">
        <v>2271</v>
      </c>
      <c r="H745" s="185" t="s">
        <v>1515</v>
      </c>
      <c r="I745" s="258" t="str">
        <f t="shared" si="34"/>
        <v>5</v>
      </c>
      <c r="J745" s="221">
        <f t="shared" si="35"/>
        <v>6661</v>
      </c>
      <c r="K745" s="258">
        <f t="shared" si="36"/>
        <v>3</v>
      </c>
      <c r="L745" s="188">
        <v>6661</v>
      </c>
      <c r="M745" s="188">
        <v>0</v>
      </c>
      <c r="N745" s="189">
        <v>1000018061</v>
      </c>
      <c r="O745" t="s">
        <v>2040</v>
      </c>
      <c r="P745" s="187">
        <v>45009</v>
      </c>
      <c r="Q745" s="186">
        <v>8900</v>
      </c>
      <c r="R745" s="185"/>
      <c r="S745" s="185" t="s">
        <v>1522</v>
      </c>
      <c r="T745"/>
      <c r="U745" t="str">
        <f>IF($L745&gt;0,VLOOKUP($E745,Valida!$A$1:$G$270,6,FALSE),IF($M745&gt;=0,VLOOKUP($E745,Valida!$A$1:$G$270,7,FALSE)))</f>
        <v>(+/-) Ganancia (pérdida)</v>
      </c>
      <c r="V745" s="190" t="str">
        <f>VLOOKUP(E745,Valida!$A$2:$K$271,4,FALSE)</f>
        <v>P&amp;L</v>
      </c>
      <c r="W745" s="185" t="s">
        <v>1978</v>
      </c>
      <c r="X745" s="185"/>
      <c r="Y745" s="185" t="s">
        <v>1789</v>
      </c>
      <c r="Z745"/>
    </row>
    <row r="746" spans="1:26">
      <c r="A746" s="185" t="s">
        <v>2265</v>
      </c>
      <c r="B746" s="185" t="s">
        <v>2040</v>
      </c>
      <c r="C746" s="185" t="s">
        <v>1897</v>
      </c>
      <c r="D746" s="185" t="s">
        <v>2041</v>
      </c>
      <c r="E746" s="185">
        <v>510568</v>
      </c>
      <c r="F746" s="185" t="s">
        <v>680</v>
      </c>
      <c r="G746" s="185" t="s">
        <v>2271</v>
      </c>
      <c r="H746" s="185" t="s">
        <v>1515</v>
      </c>
      <c r="I746" s="258" t="str">
        <f t="shared" si="34"/>
        <v>5</v>
      </c>
      <c r="J746" s="221">
        <f t="shared" si="35"/>
        <v>7569</v>
      </c>
      <c r="K746" s="258">
        <f t="shared" si="36"/>
        <v>3</v>
      </c>
      <c r="L746" s="188">
        <v>7569</v>
      </c>
      <c r="M746" s="188">
        <v>0</v>
      </c>
      <c r="N746" s="189">
        <v>1000036375</v>
      </c>
      <c r="O746" t="s">
        <v>2040</v>
      </c>
      <c r="P746" s="187">
        <v>45009</v>
      </c>
      <c r="Q746" s="186">
        <v>8901</v>
      </c>
      <c r="R746" s="185"/>
      <c r="S746" s="185" t="s">
        <v>1524</v>
      </c>
      <c r="T746"/>
      <c r="U746" t="str">
        <f>IF($L746&gt;0,VLOOKUP($E746,Valida!$A$1:$G$270,6,FALSE),IF($M746&gt;=0,VLOOKUP($E746,Valida!$A$1:$G$270,7,FALSE)))</f>
        <v>(+/-) Ganancia (pérdida)</v>
      </c>
      <c r="V746" s="190" t="str">
        <f>VLOOKUP(E746,Valida!$A$2:$K$271,4,FALSE)</f>
        <v>P&amp;L</v>
      </c>
      <c r="W746" s="185" t="s">
        <v>1983</v>
      </c>
      <c r="X746" s="185"/>
      <c r="Y746" s="185" t="s">
        <v>1789</v>
      </c>
      <c r="Z746"/>
    </row>
    <row r="747" spans="1:26">
      <c r="A747" s="185" t="s">
        <v>2265</v>
      </c>
      <c r="B747" s="185" t="s">
        <v>2040</v>
      </c>
      <c r="C747" s="185" t="s">
        <v>1897</v>
      </c>
      <c r="D747" s="185" t="s">
        <v>2041</v>
      </c>
      <c r="E747" s="185">
        <v>510568</v>
      </c>
      <c r="F747" s="185" t="s">
        <v>680</v>
      </c>
      <c r="G747" s="185" t="s">
        <v>2271</v>
      </c>
      <c r="H747" s="185" t="s">
        <v>1515</v>
      </c>
      <c r="I747" s="258" t="str">
        <f t="shared" si="34"/>
        <v>5</v>
      </c>
      <c r="J747" s="221">
        <f t="shared" si="35"/>
        <v>7830</v>
      </c>
      <c r="K747" s="258">
        <f t="shared" si="36"/>
        <v>3</v>
      </c>
      <c r="L747" s="188">
        <v>7830</v>
      </c>
      <c r="M747" s="188">
        <v>0</v>
      </c>
      <c r="N747" s="189">
        <v>1010101811</v>
      </c>
      <c r="O747" t="s">
        <v>2040</v>
      </c>
      <c r="P747" s="187">
        <v>45009</v>
      </c>
      <c r="Q747" s="186">
        <v>8902</v>
      </c>
      <c r="R747" s="185"/>
      <c r="S747" s="185" t="s">
        <v>1528</v>
      </c>
      <c r="T747"/>
      <c r="U747" t="str">
        <f>IF($L747&gt;0,VLOOKUP($E747,Valida!$A$1:$G$270,6,FALSE),IF($M747&gt;=0,VLOOKUP($E747,Valida!$A$1:$G$270,7,FALSE)))</f>
        <v>(+/-) Ganancia (pérdida)</v>
      </c>
      <c r="V747" s="190" t="str">
        <f>VLOOKUP(E747,Valida!$A$2:$K$271,4,FALSE)</f>
        <v>P&amp;L</v>
      </c>
      <c r="W747" s="185" t="s">
        <v>1967</v>
      </c>
      <c r="X747" s="185"/>
      <c r="Y747" s="185" t="s">
        <v>1789</v>
      </c>
      <c r="Z747"/>
    </row>
    <row r="748" spans="1:26">
      <c r="A748" s="185" t="s">
        <v>2265</v>
      </c>
      <c r="B748" s="185" t="s">
        <v>2040</v>
      </c>
      <c r="C748" s="185" t="s">
        <v>1897</v>
      </c>
      <c r="D748" s="185" t="s">
        <v>2041</v>
      </c>
      <c r="E748" s="185">
        <v>510568</v>
      </c>
      <c r="F748" s="185" t="s">
        <v>680</v>
      </c>
      <c r="G748" s="185" t="s">
        <v>2271</v>
      </c>
      <c r="H748" s="185" t="s">
        <v>1515</v>
      </c>
      <c r="I748" s="258" t="str">
        <f t="shared" si="34"/>
        <v>5</v>
      </c>
      <c r="J748" s="221">
        <f t="shared" si="35"/>
        <v>6055</v>
      </c>
      <c r="K748" s="258">
        <f t="shared" si="36"/>
        <v>3</v>
      </c>
      <c r="L748" s="188">
        <v>6055</v>
      </c>
      <c r="M748" s="188">
        <v>0</v>
      </c>
      <c r="N748" s="189">
        <v>1020842223</v>
      </c>
      <c r="O748" t="s">
        <v>2040</v>
      </c>
      <c r="P748" s="187">
        <v>45009</v>
      </c>
      <c r="Q748" s="186">
        <v>8903</v>
      </c>
      <c r="R748" s="185"/>
      <c r="S748" s="185" t="s">
        <v>1532</v>
      </c>
      <c r="T748"/>
      <c r="U748" t="str">
        <f>IF($L748&gt;0,VLOOKUP($E748,Valida!$A$1:$G$270,6,FALSE),IF($M748&gt;=0,VLOOKUP($E748,Valida!$A$1:$G$270,7,FALSE)))</f>
        <v>(+/-) Ganancia (pérdida)</v>
      </c>
      <c r="V748" s="190" t="str">
        <f>VLOOKUP(E748,Valida!$A$2:$K$271,4,FALSE)</f>
        <v>P&amp;L</v>
      </c>
      <c r="W748" s="185" t="s">
        <v>1900</v>
      </c>
      <c r="X748" s="185"/>
      <c r="Y748" s="185" t="s">
        <v>1789</v>
      </c>
      <c r="Z748"/>
    </row>
    <row r="749" spans="1:26">
      <c r="A749" s="185" t="s">
        <v>2265</v>
      </c>
      <c r="B749" s="185" t="s">
        <v>2040</v>
      </c>
      <c r="C749" s="185" t="s">
        <v>1897</v>
      </c>
      <c r="D749" s="185" t="s">
        <v>2041</v>
      </c>
      <c r="E749" s="185">
        <v>510568</v>
      </c>
      <c r="F749" s="185" t="s">
        <v>680</v>
      </c>
      <c r="G749" s="185" t="s">
        <v>2271</v>
      </c>
      <c r="H749" s="185" t="s">
        <v>1515</v>
      </c>
      <c r="I749" s="258" t="str">
        <f t="shared" si="34"/>
        <v>5</v>
      </c>
      <c r="J749" s="221">
        <f t="shared" si="35"/>
        <v>6055</v>
      </c>
      <c r="K749" s="258">
        <f t="shared" si="36"/>
        <v>3</v>
      </c>
      <c r="L749" s="188">
        <v>6055</v>
      </c>
      <c r="M749" s="188">
        <v>0</v>
      </c>
      <c r="N749" s="189">
        <v>1130744136</v>
      </c>
      <c r="O749" t="s">
        <v>2040</v>
      </c>
      <c r="P749" s="187">
        <v>45009</v>
      </c>
      <c r="Q749" s="186">
        <v>8904</v>
      </c>
      <c r="R749" s="185"/>
      <c r="S749" s="185" t="s">
        <v>1538</v>
      </c>
      <c r="T749"/>
      <c r="U749" t="str">
        <f>IF($L749&gt;0,VLOOKUP($E749,Valida!$A$1:$G$270,6,FALSE),IF($M749&gt;=0,VLOOKUP($E749,Valida!$A$1:$G$270,7,FALSE)))</f>
        <v>(+/-) Ganancia (pérdida)</v>
      </c>
      <c r="V749" s="190" t="str">
        <f>VLOOKUP(E749,Valida!$A$2:$K$271,4,FALSE)</f>
        <v>P&amp;L</v>
      </c>
      <c r="W749" s="185" t="s">
        <v>1909</v>
      </c>
      <c r="X749" s="185" t="s">
        <v>1910</v>
      </c>
      <c r="Y749" s="185" t="s">
        <v>1789</v>
      </c>
      <c r="Z749"/>
    </row>
    <row r="750" spans="1:26">
      <c r="A750" s="185" t="s">
        <v>2265</v>
      </c>
      <c r="B750" s="185" t="s">
        <v>2040</v>
      </c>
      <c r="C750" s="185" t="s">
        <v>1897</v>
      </c>
      <c r="D750" s="185" t="s">
        <v>2041</v>
      </c>
      <c r="E750" s="185">
        <v>510568</v>
      </c>
      <c r="F750" s="185" t="s">
        <v>680</v>
      </c>
      <c r="G750" s="185" t="s">
        <v>2271</v>
      </c>
      <c r="H750" s="185" t="s">
        <v>1515</v>
      </c>
      <c r="I750" s="258" t="str">
        <f t="shared" si="34"/>
        <v>5</v>
      </c>
      <c r="J750" s="221">
        <f t="shared" si="35"/>
        <v>11484</v>
      </c>
      <c r="K750" s="258">
        <f t="shared" si="36"/>
        <v>3</v>
      </c>
      <c r="L750" s="188">
        <v>11484</v>
      </c>
      <c r="M750" s="188">
        <v>0</v>
      </c>
      <c r="N750" s="189">
        <v>80747504</v>
      </c>
      <c r="O750" t="s">
        <v>2040</v>
      </c>
      <c r="P750" s="187">
        <v>45009</v>
      </c>
      <c r="Q750" s="186">
        <v>8905</v>
      </c>
      <c r="R750" s="185"/>
      <c r="S750" s="185" t="s">
        <v>1562</v>
      </c>
      <c r="T750"/>
      <c r="U750" t="str">
        <f>IF($L750&gt;0,VLOOKUP($E750,Valida!$A$1:$G$270,6,FALSE),IF($M750&gt;=0,VLOOKUP($E750,Valida!$A$1:$G$270,7,FALSE)))</f>
        <v>(+/-) Ganancia (pérdida)</v>
      </c>
      <c r="V750" s="190" t="str">
        <f>VLOOKUP(E750,Valida!$A$2:$K$271,4,FALSE)</f>
        <v>P&amp;L</v>
      </c>
      <c r="W750" s="185" t="s">
        <v>1918</v>
      </c>
      <c r="X750" s="185"/>
      <c r="Y750" s="185" t="s">
        <v>1789</v>
      </c>
      <c r="Z750"/>
    </row>
    <row r="751" spans="1:26">
      <c r="A751" s="185" t="s">
        <v>2265</v>
      </c>
      <c r="B751" s="185" t="s">
        <v>2040</v>
      </c>
      <c r="C751" s="185" t="s">
        <v>1897</v>
      </c>
      <c r="D751" s="185" t="s">
        <v>2041</v>
      </c>
      <c r="E751" s="185">
        <v>510570</v>
      </c>
      <c r="F751" s="185" t="s">
        <v>1116</v>
      </c>
      <c r="G751" s="185" t="s">
        <v>2273</v>
      </c>
      <c r="H751" s="185" t="s">
        <v>1515</v>
      </c>
      <c r="I751" s="258" t="str">
        <f t="shared" si="34"/>
        <v>5</v>
      </c>
      <c r="J751" s="221">
        <f t="shared" si="35"/>
        <v>153120</v>
      </c>
      <c r="K751" s="258">
        <f t="shared" si="36"/>
        <v>3</v>
      </c>
      <c r="L751" s="188">
        <v>153120</v>
      </c>
      <c r="M751" s="188">
        <v>0</v>
      </c>
      <c r="N751" s="189">
        <v>1000018061</v>
      </c>
      <c r="O751" t="s">
        <v>2040</v>
      </c>
      <c r="P751" s="187">
        <v>45009</v>
      </c>
      <c r="Q751" s="186">
        <v>8906</v>
      </c>
      <c r="R751" s="185"/>
      <c r="S751" s="185" t="s">
        <v>1522</v>
      </c>
      <c r="T751"/>
      <c r="U751" t="str">
        <f>IF($L751&gt;0,VLOOKUP($E751,Valida!$A$1:$G$270,6,FALSE),IF($M751&gt;=0,VLOOKUP($E751,Valida!$A$1:$G$270,7,FALSE)))</f>
        <v>(+/-) Ganancia (pérdida)</v>
      </c>
      <c r="V751" s="190" t="str">
        <f>VLOOKUP(E751,Valida!$A$2:$K$271,4,FALSE)</f>
        <v>P&amp;L</v>
      </c>
      <c r="W751" s="185" t="s">
        <v>1978</v>
      </c>
      <c r="X751" s="185"/>
      <c r="Y751" s="185" t="s">
        <v>1789</v>
      </c>
      <c r="Z751"/>
    </row>
    <row r="752" spans="1:26">
      <c r="A752" s="185" t="s">
        <v>2265</v>
      </c>
      <c r="B752" s="185" t="s">
        <v>2040</v>
      </c>
      <c r="C752" s="185" t="s">
        <v>1897</v>
      </c>
      <c r="D752" s="185" t="s">
        <v>2041</v>
      </c>
      <c r="E752" s="185">
        <v>510570</v>
      </c>
      <c r="F752" s="185" t="s">
        <v>1116</v>
      </c>
      <c r="G752" s="185" t="s">
        <v>2273</v>
      </c>
      <c r="H752" s="185" t="s">
        <v>1515</v>
      </c>
      <c r="I752" s="258" t="str">
        <f t="shared" si="34"/>
        <v>5</v>
      </c>
      <c r="J752" s="221">
        <f t="shared" si="35"/>
        <v>174000</v>
      </c>
      <c r="K752" s="258">
        <f t="shared" si="36"/>
        <v>3</v>
      </c>
      <c r="L752" s="188">
        <v>174000</v>
      </c>
      <c r="M752" s="188">
        <v>0</v>
      </c>
      <c r="N752" s="189">
        <v>1000036375</v>
      </c>
      <c r="O752" t="s">
        <v>2040</v>
      </c>
      <c r="P752" s="187">
        <v>45009</v>
      </c>
      <c r="Q752" s="186">
        <v>8907</v>
      </c>
      <c r="R752" s="185"/>
      <c r="S752" s="185" t="s">
        <v>1524</v>
      </c>
      <c r="T752"/>
      <c r="U752" t="str">
        <f>IF($L752&gt;0,VLOOKUP($E752,Valida!$A$1:$G$270,6,FALSE),IF($M752&gt;=0,VLOOKUP($E752,Valida!$A$1:$G$270,7,FALSE)))</f>
        <v>(+/-) Ganancia (pérdida)</v>
      </c>
      <c r="V752" s="190" t="str">
        <f>VLOOKUP(E752,Valida!$A$2:$K$271,4,FALSE)</f>
        <v>P&amp;L</v>
      </c>
      <c r="W752" s="185" t="s">
        <v>1983</v>
      </c>
      <c r="X752" s="185"/>
      <c r="Y752" s="185" t="s">
        <v>1789</v>
      </c>
      <c r="Z752"/>
    </row>
    <row r="753" spans="1:26">
      <c r="A753" s="185" t="s">
        <v>2265</v>
      </c>
      <c r="B753" s="185" t="s">
        <v>2040</v>
      </c>
      <c r="C753" s="185" t="s">
        <v>1897</v>
      </c>
      <c r="D753" s="185" t="s">
        <v>2041</v>
      </c>
      <c r="E753" s="185">
        <v>510570</v>
      </c>
      <c r="F753" s="185" t="s">
        <v>1116</v>
      </c>
      <c r="G753" s="185" t="s">
        <v>2273</v>
      </c>
      <c r="H753" s="185" t="s">
        <v>1515</v>
      </c>
      <c r="I753" s="258" t="str">
        <f t="shared" si="34"/>
        <v>5</v>
      </c>
      <c r="J753" s="221">
        <f t="shared" si="35"/>
        <v>180000</v>
      </c>
      <c r="K753" s="258">
        <f t="shared" si="36"/>
        <v>3</v>
      </c>
      <c r="L753" s="188">
        <v>180000</v>
      </c>
      <c r="M753" s="188">
        <v>0</v>
      </c>
      <c r="N753" s="189">
        <v>1010101811</v>
      </c>
      <c r="O753" t="s">
        <v>2040</v>
      </c>
      <c r="P753" s="187">
        <v>45009</v>
      </c>
      <c r="Q753" s="186">
        <v>8908</v>
      </c>
      <c r="R753" s="185"/>
      <c r="S753" s="185" t="s">
        <v>1528</v>
      </c>
      <c r="T753"/>
      <c r="U753" t="str">
        <f>IF($L753&gt;0,VLOOKUP($E753,Valida!$A$1:$G$270,6,FALSE),IF($M753&gt;=0,VLOOKUP($E753,Valida!$A$1:$G$270,7,FALSE)))</f>
        <v>(+/-) Ganancia (pérdida)</v>
      </c>
      <c r="V753" s="190" t="str">
        <f>VLOOKUP(E753,Valida!$A$2:$K$271,4,FALSE)</f>
        <v>P&amp;L</v>
      </c>
      <c r="W753" s="185" t="s">
        <v>1967</v>
      </c>
      <c r="X753" s="185"/>
      <c r="Y753" s="185" t="s">
        <v>1789</v>
      </c>
      <c r="Z753"/>
    </row>
    <row r="754" spans="1:26">
      <c r="A754" s="185" t="s">
        <v>2265</v>
      </c>
      <c r="B754" s="185" t="s">
        <v>2040</v>
      </c>
      <c r="C754" s="185" t="s">
        <v>1897</v>
      </c>
      <c r="D754" s="185" t="s">
        <v>2041</v>
      </c>
      <c r="E754" s="185">
        <v>510570</v>
      </c>
      <c r="F754" s="185" t="s">
        <v>1116</v>
      </c>
      <c r="G754" s="185" t="s">
        <v>2273</v>
      </c>
      <c r="H754" s="185" t="s">
        <v>1515</v>
      </c>
      <c r="I754" s="258" t="str">
        <f t="shared" si="34"/>
        <v>5</v>
      </c>
      <c r="J754" s="221">
        <f t="shared" si="35"/>
        <v>149200</v>
      </c>
      <c r="K754" s="258">
        <f t="shared" si="36"/>
        <v>3</v>
      </c>
      <c r="L754" s="188">
        <v>149200</v>
      </c>
      <c r="M754" s="188">
        <v>0</v>
      </c>
      <c r="N754" s="189">
        <v>1020842223</v>
      </c>
      <c r="O754" t="s">
        <v>2040</v>
      </c>
      <c r="P754" s="187">
        <v>45009</v>
      </c>
      <c r="Q754" s="186">
        <v>8909</v>
      </c>
      <c r="R754" s="185"/>
      <c r="S754" s="185" t="s">
        <v>1532</v>
      </c>
      <c r="T754"/>
      <c r="U754" t="str">
        <f>IF($L754&gt;0,VLOOKUP($E754,Valida!$A$1:$G$270,6,FALSE),IF($M754&gt;=0,VLOOKUP($E754,Valida!$A$1:$G$270,7,FALSE)))</f>
        <v>(+/-) Ganancia (pérdida)</v>
      </c>
      <c r="V754" s="190" t="str">
        <f>VLOOKUP(E754,Valida!$A$2:$K$271,4,FALSE)</f>
        <v>P&amp;L</v>
      </c>
      <c r="W754" s="185" t="s">
        <v>1900</v>
      </c>
      <c r="X754" s="185"/>
      <c r="Y754" s="185" t="s">
        <v>1789</v>
      </c>
      <c r="Z754"/>
    </row>
    <row r="755" spans="1:26">
      <c r="A755" s="185" t="s">
        <v>2265</v>
      </c>
      <c r="B755" s="185" t="s">
        <v>2040</v>
      </c>
      <c r="C755" s="185" t="s">
        <v>1897</v>
      </c>
      <c r="D755" s="185" t="s">
        <v>2041</v>
      </c>
      <c r="E755" s="185">
        <v>510570</v>
      </c>
      <c r="F755" s="185" t="s">
        <v>1116</v>
      </c>
      <c r="G755" s="185" t="s">
        <v>2273</v>
      </c>
      <c r="H755" s="185" t="s">
        <v>1515</v>
      </c>
      <c r="I755" s="258" t="str">
        <f t="shared" si="34"/>
        <v>5</v>
      </c>
      <c r="J755" s="221">
        <f t="shared" si="35"/>
        <v>139200</v>
      </c>
      <c r="K755" s="258">
        <f t="shared" si="36"/>
        <v>3</v>
      </c>
      <c r="L755" s="188">
        <v>139200</v>
      </c>
      <c r="M755" s="188">
        <v>0</v>
      </c>
      <c r="N755" s="189">
        <v>1130744136</v>
      </c>
      <c r="O755" t="s">
        <v>2040</v>
      </c>
      <c r="P755" s="187">
        <v>45009</v>
      </c>
      <c r="Q755" s="186">
        <v>8910</v>
      </c>
      <c r="R755" s="185"/>
      <c r="S755" s="185" t="s">
        <v>1538</v>
      </c>
      <c r="T755"/>
      <c r="U755" t="str">
        <f>IF($L755&gt;0,VLOOKUP($E755,Valida!$A$1:$G$270,6,FALSE),IF($M755&gt;=0,VLOOKUP($E755,Valida!$A$1:$G$270,7,FALSE)))</f>
        <v>(+/-) Ganancia (pérdida)</v>
      </c>
      <c r="V755" s="190" t="str">
        <f>VLOOKUP(E755,Valida!$A$2:$K$271,4,FALSE)</f>
        <v>P&amp;L</v>
      </c>
      <c r="W755" s="185" t="s">
        <v>1909</v>
      </c>
      <c r="X755" s="185" t="s">
        <v>1910</v>
      </c>
      <c r="Y755" s="185" t="s">
        <v>1789</v>
      </c>
      <c r="Z755"/>
    </row>
    <row r="756" spans="1:26">
      <c r="A756" s="185" t="s">
        <v>2265</v>
      </c>
      <c r="B756" s="185" t="s">
        <v>2040</v>
      </c>
      <c r="C756" s="185" t="s">
        <v>1897</v>
      </c>
      <c r="D756" s="185" t="s">
        <v>2041</v>
      </c>
      <c r="E756" s="185">
        <v>510570</v>
      </c>
      <c r="F756" s="185" t="s">
        <v>1116</v>
      </c>
      <c r="G756" s="185" t="s">
        <v>2273</v>
      </c>
      <c r="H756" s="185" t="s">
        <v>1515</v>
      </c>
      <c r="I756" s="258" t="str">
        <f t="shared" si="34"/>
        <v>5</v>
      </c>
      <c r="J756" s="221">
        <f t="shared" si="35"/>
        <v>264000</v>
      </c>
      <c r="K756" s="258">
        <f t="shared" si="36"/>
        <v>3</v>
      </c>
      <c r="L756" s="188">
        <v>264000</v>
      </c>
      <c r="M756" s="188">
        <v>0</v>
      </c>
      <c r="N756" s="189">
        <v>80747504</v>
      </c>
      <c r="O756" t="s">
        <v>2040</v>
      </c>
      <c r="P756" s="187">
        <v>45009</v>
      </c>
      <c r="Q756" s="186">
        <v>8911</v>
      </c>
      <c r="R756" s="185"/>
      <c r="S756" s="185" t="s">
        <v>1562</v>
      </c>
      <c r="T756"/>
      <c r="U756" t="str">
        <f>IF($L756&gt;0,VLOOKUP($E756,Valida!$A$1:$G$270,6,FALSE),IF($M756&gt;=0,VLOOKUP($E756,Valida!$A$1:$G$270,7,FALSE)))</f>
        <v>(+/-) Ganancia (pérdida)</v>
      </c>
      <c r="V756" s="190" t="str">
        <f>VLOOKUP(E756,Valida!$A$2:$K$271,4,FALSE)</f>
        <v>P&amp;L</v>
      </c>
      <c r="W756" s="185" t="s">
        <v>1918</v>
      </c>
      <c r="X756" s="185"/>
      <c r="Y756" s="185" t="s">
        <v>1789</v>
      </c>
      <c r="Z756"/>
    </row>
    <row r="757" spans="1:26">
      <c r="A757" s="185" t="s">
        <v>2265</v>
      </c>
      <c r="B757" s="185" t="s">
        <v>2040</v>
      </c>
      <c r="C757" s="185" t="s">
        <v>1897</v>
      </c>
      <c r="D757" s="185" t="s">
        <v>2041</v>
      </c>
      <c r="E757" s="185">
        <v>510572</v>
      </c>
      <c r="F757" s="185" t="s">
        <v>1118</v>
      </c>
      <c r="G757" s="185" t="s">
        <v>2278</v>
      </c>
      <c r="H757" s="185" t="s">
        <v>1515</v>
      </c>
      <c r="I757" s="258" t="str">
        <f t="shared" si="34"/>
        <v>5</v>
      </c>
      <c r="J757" s="221">
        <f t="shared" si="35"/>
        <v>25500</v>
      </c>
      <c r="K757" s="258">
        <f t="shared" si="36"/>
        <v>3</v>
      </c>
      <c r="L757" s="188">
        <v>25500</v>
      </c>
      <c r="M757" s="188">
        <v>0</v>
      </c>
      <c r="N757" s="189">
        <v>860066942</v>
      </c>
      <c r="O757" t="s">
        <v>2040</v>
      </c>
      <c r="P757" s="187">
        <v>45009</v>
      </c>
      <c r="Q757" s="186">
        <v>8912</v>
      </c>
      <c r="R757" s="185" t="s">
        <v>1814</v>
      </c>
      <c r="S757" s="185" t="s">
        <v>1574</v>
      </c>
      <c r="T757"/>
      <c r="U757" t="str">
        <f>IF($L757&gt;0,VLOOKUP($E757,Valida!$A$1:$G$270,6,FALSE),IF($M757&gt;=0,VLOOKUP($E757,Valida!$A$1:$G$270,7,FALSE)))</f>
        <v>(+/-) Ganancia (pérdida)</v>
      </c>
      <c r="V757" s="190" t="str">
        <f>VLOOKUP(E757,Valida!$A$2:$K$271,4,FALSE)</f>
        <v>P&amp;L</v>
      </c>
      <c r="W757" s="185" t="s">
        <v>1914</v>
      </c>
      <c r="X757" s="185" t="s">
        <v>1915</v>
      </c>
      <c r="Y757" s="185" t="s">
        <v>1789</v>
      </c>
      <c r="Z757"/>
    </row>
    <row r="758" spans="1:26">
      <c r="A758" s="185" t="s">
        <v>2265</v>
      </c>
      <c r="B758" s="185" t="s">
        <v>2040</v>
      </c>
      <c r="C758" s="185" t="s">
        <v>1897</v>
      </c>
      <c r="D758" s="185" t="s">
        <v>2041</v>
      </c>
      <c r="E758" s="185">
        <v>510572</v>
      </c>
      <c r="F758" s="185" t="s">
        <v>1118</v>
      </c>
      <c r="G758" s="185" t="s">
        <v>2279</v>
      </c>
      <c r="H758" s="185" t="s">
        <v>1515</v>
      </c>
      <c r="I758" s="258" t="str">
        <f t="shared" si="34"/>
        <v>5</v>
      </c>
      <c r="J758" s="221">
        <f t="shared" si="35"/>
        <v>29000</v>
      </c>
      <c r="K758" s="258">
        <f t="shared" si="36"/>
        <v>3</v>
      </c>
      <c r="L758" s="188">
        <v>29000</v>
      </c>
      <c r="M758" s="188">
        <v>0</v>
      </c>
      <c r="N758" s="189">
        <v>860066942</v>
      </c>
      <c r="O758" t="s">
        <v>2040</v>
      </c>
      <c r="P758" s="187">
        <v>45009</v>
      </c>
      <c r="Q758" s="186">
        <v>8913</v>
      </c>
      <c r="R758" s="185" t="s">
        <v>1814</v>
      </c>
      <c r="S758" s="185" t="s">
        <v>1574</v>
      </c>
      <c r="T758"/>
      <c r="U758" t="str">
        <f>IF($L758&gt;0,VLOOKUP($E758,Valida!$A$1:$G$270,6,FALSE),IF($M758&gt;=0,VLOOKUP($E758,Valida!$A$1:$G$270,7,FALSE)))</f>
        <v>(+/-) Ganancia (pérdida)</v>
      </c>
      <c r="V758" s="190" t="str">
        <f>VLOOKUP(E758,Valida!$A$2:$K$271,4,FALSE)</f>
        <v>P&amp;L</v>
      </c>
      <c r="W758" s="185" t="s">
        <v>1914</v>
      </c>
      <c r="X758" s="185" t="s">
        <v>1915</v>
      </c>
      <c r="Y758" s="185" t="s">
        <v>1789</v>
      </c>
      <c r="Z758"/>
    </row>
    <row r="759" spans="1:26">
      <c r="A759" s="185" t="s">
        <v>2265</v>
      </c>
      <c r="B759" s="185" t="s">
        <v>2040</v>
      </c>
      <c r="C759" s="185" t="s">
        <v>1897</v>
      </c>
      <c r="D759" s="185" t="s">
        <v>2041</v>
      </c>
      <c r="E759" s="185">
        <v>510572</v>
      </c>
      <c r="F759" s="185" t="s">
        <v>1118</v>
      </c>
      <c r="G759" s="185" t="s">
        <v>2280</v>
      </c>
      <c r="H759" s="185" t="s">
        <v>1515</v>
      </c>
      <c r="I759" s="258" t="str">
        <f t="shared" si="34"/>
        <v>5</v>
      </c>
      <c r="J759" s="221">
        <f t="shared" si="35"/>
        <v>30000</v>
      </c>
      <c r="K759" s="258">
        <f t="shared" si="36"/>
        <v>3</v>
      </c>
      <c r="L759" s="188">
        <v>30000</v>
      </c>
      <c r="M759" s="188">
        <v>0</v>
      </c>
      <c r="N759" s="189">
        <v>860066942</v>
      </c>
      <c r="O759" t="s">
        <v>2040</v>
      </c>
      <c r="P759" s="187">
        <v>45009</v>
      </c>
      <c r="Q759" s="186">
        <v>8914</v>
      </c>
      <c r="R759" s="185" t="s">
        <v>1814</v>
      </c>
      <c r="S759" s="185" t="s">
        <v>1574</v>
      </c>
      <c r="T759"/>
      <c r="U759" t="str">
        <f>IF($L759&gt;0,VLOOKUP($E759,Valida!$A$1:$G$270,6,FALSE),IF($M759&gt;=0,VLOOKUP($E759,Valida!$A$1:$G$270,7,FALSE)))</f>
        <v>(+/-) Ganancia (pérdida)</v>
      </c>
      <c r="V759" s="190" t="str">
        <f>VLOOKUP(E759,Valida!$A$2:$K$271,4,FALSE)</f>
        <v>P&amp;L</v>
      </c>
      <c r="W759" s="185" t="s">
        <v>1914</v>
      </c>
      <c r="X759" s="185" t="s">
        <v>1915</v>
      </c>
      <c r="Y759" s="185" t="s">
        <v>1789</v>
      </c>
      <c r="Z759"/>
    </row>
    <row r="760" spans="1:26">
      <c r="A760" s="185" t="s">
        <v>2265</v>
      </c>
      <c r="B760" s="185" t="s">
        <v>2040</v>
      </c>
      <c r="C760" s="185" t="s">
        <v>1897</v>
      </c>
      <c r="D760" s="185" t="s">
        <v>2041</v>
      </c>
      <c r="E760" s="185">
        <v>510572</v>
      </c>
      <c r="F760" s="185" t="s">
        <v>1118</v>
      </c>
      <c r="G760" s="185" t="s">
        <v>2281</v>
      </c>
      <c r="H760" s="185" t="s">
        <v>1515</v>
      </c>
      <c r="I760" s="258" t="str">
        <f t="shared" si="34"/>
        <v>5</v>
      </c>
      <c r="J760" s="221">
        <f t="shared" si="35"/>
        <v>24900</v>
      </c>
      <c r="K760" s="258">
        <f t="shared" si="36"/>
        <v>3</v>
      </c>
      <c r="L760" s="188">
        <v>24900</v>
      </c>
      <c r="M760" s="188">
        <v>0</v>
      </c>
      <c r="N760" s="189">
        <v>860066942</v>
      </c>
      <c r="O760" t="s">
        <v>2040</v>
      </c>
      <c r="P760" s="187">
        <v>45009</v>
      </c>
      <c r="Q760" s="186">
        <v>8915</v>
      </c>
      <c r="R760" s="185" t="s">
        <v>1814</v>
      </c>
      <c r="S760" s="185" t="s">
        <v>1574</v>
      </c>
      <c r="T760"/>
      <c r="U760" t="str">
        <f>IF($L760&gt;0,VLOOKUP($E760,Valida!$A$1:$G$270,6,FALSE),IF($M760&gt;=0,VLOOKUP($E760,Valida!$A$1:$G$270,7,FALSE)))</f>
        <v>(+/-) Ganancia (pérdida)</v>
      </c>
      <c r="V760" s="190" t="str">
        <f>VLOOKUP(E760,Valida!$A$2:$K$271,4,FALSE)</f>
        <v>P&amp;L</v>
      </c>
      <c r="W760" s="185" t="s">
        <v>1914</v>
      </c>
      <c r="X760" s="185" t="s">
        <v>1915</v>
      </c>
      <c r="Y760" s="185" t="s">
        <v>1789</v>
      </c>
      <c r="Z760"/>
    </row>
    <row r="761" spans="1:26">
      <c r="A761" s="185" t="s">
        <v>2265</v>
      </c>
      <c r="B761" s="185" t="s">
        <v>2040</v>
      </c>
      <c r="C761" s="185" t="s">
        <v>1897</v>
      </c>
      <c r="D761" s="185" t="s">
        <v>2041</v>
      </c>
      <c r="E761" s="185">
        <v>510572</v>
      </c>
      <c r="F761" s="185" t="s">
        <v>1118</v>
      </c>
      <c r="G761" s="185" t="s">
        <v>2282</v>
      </c>
      <c r="H761" s="185" t="s">
        <v>1515</v>
      </c>
      <c r="I761" s="258" t="str">
        <f t="shared" si="34"/>
        <v>5</v>
      </c>
      <c r="J761" s="221">
        <f t="shared" si="35"/>
        <v>23200</v>
      </c>
      <c r="K761" s="258">
        <f t="shared" si="36"/>
        <v>3</v>
      </c>
      <c r="L761" s="188">
        <v>23200</v>
      </c>
      <c r="M761" s="188">
        <v>0</v>
      </c>
      <c r="N761" s="189">
        <v>860066942</v>
      </c>
      <c r="O761" t="s">
        <v>2040</v>
      </c>
      <c r="P761" s="187">
        <v>45009</v>
      </c>
      <c r="Q761" s="186">
        <v>8916</v>
      </c>
      <c r="R761" s="185" t="s">
        <v>1814</v>
      </c>
      <c r="S761" s="185" t="s">
        <v>1574</v>
      </c>
      <c r="T761"/>
      <c r="U761" t="str">
        <f>IF($L761&gt;0,VLOOKUP($E761,Valida!$A$1:$G$270,6,FALSE),IF($M761&gt;=0,VLOOKUP($E761,Valida!$A$1:$G$270,7,FALSE)))</f>
        <v>(+/-) Ganancia (pérdida)</v>
      </c>
      <c r="V761" s="190" t="str">
        <f>VLOOKUP(E761,Valida!$A$2:$K$271,4,FALSE)</f>
        <v>P&amp;L</v>
      </c>
      <c r="W761" s="185" t="s">
        <v>1914</v>
      </c>
      <c r="X761" s="185" t="s">
        <v>1915</v>
      </c>
      <c r="Y761" s="185" t="s">
        <v>1789</v>
      </c>
      <c r="Z761"/>
    </row>
    <row r="762" spans="1:26">
      <c r="A762" s="185" t="s">
        <v>2265</v>
      </c>
      <c r="B762" s="185" t="s">
        <v>2040</v>
      </c>
      <c r="C762" s="185" t="s">
        <v>1897</v>
      </c>
      <c r="D762" s="185" t="s">
        <v>2041</v>
      </c>
      <c r="E762" s="185">
        <v>510572</v>
      </c>
      <c r="F762" s="185" t="s">
        <v>1118</v>
      </c>
      <c r="G762" s="185" t="s">
        <v>2283</v>
      </c>
      <c r="H762" s="185" t="s">
        <v>1515</v>
      </c>
      <c r="I762" s="258" t="str">
        <f t="shared" si="34"/>
        <v>5</v>
      </c>
      <c r="J762" s="221">
        <f t="shared" si="35"/>
        <v>41100</v>
      </c>
      <c r="K762" s="258">
        <f t="shared" si="36"/>
        <v>3</v>
      </c>
      <c r="L762" s="188">
        <v>41100</v>
      </c>
      <c r="M762" s="188">
        <v>0</v>
      </c>
      <c r="N762" s="189">
        <v>860066942</v>
      </c>
      <c r="O762" t="s">
        <v>2040</v>
      </c>
      <c r="P762" s="187">
        <v>45009</v>
      </c>
      <c r="Q762" s="186">
        <v>8917</v>
      </c>
      <c r="R762" s="185" t="s">
        <v>1814</v>
      </c>
      <c r="S762" s="185" t="s">
        <v>1574</v>
      </c>
      <c r="T762"/>
      <c r="U762" t="str">
        <f>IF($L762&gt;0,VLOOKUP($E762,Valida!$A$1:$G$270,6,FALSE),IF($M762&gt;=0,VLOOKUP($E762,Valida!$A$1:$G$270,7,FALSE)))</f>
        <v>(+/-) Ganancia (pérdida)</v>
      </c>
      <c r="V762" s="190" t="str">
        <f>VLOOKUP(E762,Valida!$A$2:$K$271,4,FALSE)</f>
        <v>P&amp;L</v>
      </c>
      <c r="W762" s="185" t="s">
        <v>1914</v>
      </c>
      <c r="X762" s="185" t="s">
        <v>1915</v>
      </c>
      <c r="Y762" s="185" t="s">
        <v>1789</v>
      </c>
      <c r="Z762"/>
    </row>
    <row r="763" spans="1:26">
      <c r="A763" s="185" t="s">
        <v>2261</v>
      </c>
      <c r="B763" s="185" t="s">
        <v>2284</v>
      </c>
      <c r="C763" s="185" t="s">
        <v>1792</v>
      </c>
      <c r="D763" s="185" t="s">
        <v>2285</v>
      </c>
      <c r="E763" s="185">
        <v>51352002</v>
      </c>
      <c r="F763" s="185" t="s">
        <v>1270</v>
      </c>
      <c r="G763" s="185" t="s">
        <v>1825</v>
      </c>
      <c r="H763" s="185" t="s">
        <v>1515</v>
      </c>
      <c r="I763" s="258" t="str">
        <f t="shared" si="34"/>
        <v>5</v>
      </c>
      <c r="J763" s="221">
        <f t="shared" si="35"/>
        <v>589372</v>
      </c>
      <c r="K763" s="258">
        <f t="shared" si="36"/>
        <v>3</v>
      </c>
      <c r="L763" s="188">
        <v>589372</v>
      </c>
      <c r="M763" s="188">
        <v>0</v>
      </c>
      <c r="N763" s="189">
        <v>900092385</v>
      </c>
      <c r="O763" t="s">
        <v>2286</v>
      </c>
      <c r="P763" s="187">
        <v>45009.500370370399</v>
      </c>
      <c r="Q763" s="186">
        <v>8918</v>
      </c>
      <c r="R763" s="185" t="s">
        <v>1841</v>
      </c>
      <c r="S763" s="185" t="s">
        <v>1590</v>
      </c>
      <c r="T763"/>
      <c r="U763" t="str">
        <f>IF($L763&gt;0,VLOOKUP($E763,Valida!$A$1:$G$270,6,FALSE),IF($M763&gt;=0,VLOOKUP($E763,Valida!$A$1:$G$270,7,FALSE)))</f>
        <v>(+/-) Ganancia (pérdida)</v>
      </c>
      <c r="V763" s="190" t="str">
        <f>VLOOKUP(E763,Valida!$A$2:$K$271,4,FALSE)</f>
        <v>P&amp;L</v>
      </c>
      <c r="W763" s="185" t="s">
        <v>1842</v>
      </c>
      <c r="X763" s="185" t="s">
        <v>1843</v>
      </c>
      <c r="Y763" s="185" t="s">
        <v>1844</v>
      </c>
      <c r="Z763"/>
    </row>
    <row r="764" spans="1:26">
      <c r="A764" s="185" t="s">
        <v>2261</v>
      </c>
      <c r="B764" s="185" t="s">
        <v>2284</v>
      </c>
      <c r="C764" s="185" t="s">
        <v>1792</v>
      </c>
      <c r="D764" s="185" t="s">
        <v>2285</v>
      </c>
      <c r="E764" s="185">
        <v>24081002</v>
      </c>
      <c r="F764" s="185" t="s">
        <v>1687</v>
      </c>
      <c r="G764" s="185" t="s">
        <v>1830</v>
      </c>
      <c r="H764" s="185" t="s">
        <v>1515</v>
      </c>
      <c r="I764" s="258" t="str">
        <f t="shared" si="34"/>
        <v>2</v>
      </c>
      <c r="J764" s="221">
        <f t="shared" si="35"/>
        <v>111981</v>
      </c>
      <c r="K764" s="258">
        <f t="shared" si="36"/>
        <v>3</v>
      </c>
      <c r="L764" s="188">
        <v>111981</v>
      </c>
      <c r="M764" s="188">
        <v>0</v>
      </c>
      <c r="N764" s="189">
        <v>900092385</v>
      </c>
      <c r="O764" t="s">
        <v>2286</v>
      </c>
      <c r="P764" s="187">
        <v>45009.500370370399</v>
      </c>
      <c r="Q764" s="186">
        <v>8919</v>
      </c>
      <c r="R764" s="185" t="s">
        <v>1841</v>
      </c>
      <c r="S764" s="185" t="s">
        <v>1590</v>
      </c>
      <c r="T764"/>
      <c r="U764" t="str">
        <f>IF($L764&gt;0,VLOOKUP($E764,Valida!$A$1:$G$270,6,FALSE),IF($M764&gt;=0,VLOOKUP($E764,Valida!$A$1:$G$270,7,FALSE)))</f>
        <v>(+/-) Ajustes por el incremento (disminución) de cuentas por pagar de origen comercial</v>
      </c>
      <c r="V764" s="190" t="str">
        <f>VLOOKUP(E764,Valida!$A$2:$K$271,4,FALSE)</f>
        <v>Trade and other payables</v>
      </c>
      <c r="W764" s="185" t="s">
        <v>1842</v>
      </c>
      <c r="X764" s="185" t="s">
        <v>1843</v>
      </c>
      <c r="Y764" s="185" t="s">
        <v>1844</v>
      </c>
      <c r="Z764"/>
    </row>
    <row r="765" spans="1:26">
      <c r="A765" s="185" t="s">
        <v>2261</v>
      </c>
      <c r="B765" s="185" t="s">
        <v>2284</v>
      </c>
      <c r="C765" s="185" t="s">
        <v>1792</v>
      </c>
      <c r="D765" s="185" t="s">
        <v>2285</v>
      </c>
      <c r="E765" s="185">
        <v>23355006</v>
      </c>
      <c r="F765" s="185" t="s">
        <v>519</v>
      </c>
      <c r="G765" s="185" t="s">
        <v>1825</v>
      </c>
      <c r="H765" s="185" t="s">
        <v>1628</v>
      </c>
      <c r="I765" s="258" t="str">
        <f t="shared" si="34"/>
        <v>2</v>
      </c>
      <c r="J765" s="221">
        <f t="shared" si="35"/>
        <v>-729327</v>
      </c>
      <c r="K765" s="258">
        <f t="shared" si="36"/>
        <v>3</v>
      </c>
      <c r="L765" s="188">
        <v>0</v>
      </c>
      <c r="M765" s="188">
        <v>729327</v>
      </c>
      <c r="N765" s="189">
        <v>900092385</v>
      </c>
      <c r="O765" t="s">
        <v>2286</v>
      </c>
      <c r="P765" s="187">
        <v>45009.500370370399</v>
      </c>
      <c r="Q765" s="186">
        <v>8920</v>
      </c>
      <c r="R765" s="185" t="s">
        <v>1841</v>
      </c>
      <c r="S765" s="185" t="s">
        <v>1590</v>
      </c>
      <c r="T765"/>
      <c r="U765" t="str">
        <f>IF($L765&gt;0,VLOOKUP($E765,Valida!$A$1:$G$270,6,FALSE),IF($M765&gt;=0,VLOOKUP($E765,Valida!$A$1:$G$270,7,FALSE)))</f>
        <v>(+/-) Ajustes por el incremento (disminución) de cuentas por pagar de origen comercial</v>
      </c>
      <c r="V765" s="190" t="str">
        <f>VLOOKUP(E765,Valida!$A$2:$K$271,4,FALSE)</f>
        <v>Trade and other payables</v>
      </c>
      <c r="W765" s="185" t="s">
        <v>1842</v>
      </c>
      <c r="X765" s="185" t="s">
        <v>1843</v>
      </c>
      <c r="Y765" s="185" t="s">
        <v>1844</v>
      </c>
      <c r="Z765"/>
    </row>
    <row r="766" spans="1:26">
      <c r="A766" s="185" t="s">
        <v>2261</v>
      </c>
      <c r="B766" s="185" t="s">
        <v>2284</v>
      </c>
      <c r="C766" s="185" t="s">
        <v>1792</v>
      </c>
      <c r="D766" s="185" t="s">
        <v>2285</v>
      </c>
      <c r="E766" s="185">
        <v>53052001</v>
      </c>
      <c r="F766" s="185" t="s">
        <v>1749</v>
      </c>
      <c r="G766" s="185" t="s">
        <v>1830</v>
      </c>
      <c r="H766" s="185" t="s">
        <v>1515</v>
      </c>
      <c r="I766" s="258" t="str">
        <f t="shared" si="34"/>
        <v>5</v>
      </c>
      <c r="J766" s="221">
        <f t="shared" si="35"/>
        <v>27974</v>
      </c>
      <c r="K766" s="258">
        <f t="shared" si="36"/>
        <v>3</v>
      </c>
      <c r="L766" s="188">
        <v>27974</v>
      </c>
      <c r="M766" s="188">
        <v>0</v>
      </c>
      <c r="N766" s="189">
        <v>900092385</v>
      </c>
      <c r="O766" t="s">
        <v>2286</v>
      </c>
      <c r="P766" s="187">
        <v>45009.500381944403</v>
      </c>
      <c r="Q766" s="186">
        <v>8921</v>
      </c>
      <c r="R766" s="185" t="s">
        <v>1841</v>
      </c>
      <c r="S766" s="185" t="s">
        <v>1590</v>
      </c>
      <c r="T766"/>
      <c r="U766" t="str">
        <f>IF($L766&gt;0,VLOOKUP($E766,Valida!$A$1:$G$270,6,FALSE),IF($M766&gt;=0,VLOOKUP($E766,Valida!$A$1:$G$270,7,FALSE)))</f>
        <v>(+/-) Ganancia (pérdida)</v>
      </c>
      <c r="V766" s="190" t="str">
        <f>VLOOKUP(E766,Valida!$A$2:$K$271,4,FALSE)</f>
        <v>P&amp;L</v>
      </c>
      <c r="W766" s="185" t="s">
        <v>1842</v>
      </c>
      <c r="X766" s="185" t="s">
        <v>1843</v>
      </c>
      <c r="Y766" s="185" t="s">
        <v>1844</v>
      </c>
      <c r="Z766"/>
    </row>
    <row r="767" spans="1:26">
      <c r="A767" s="185" t="s">
        <v>2261</v>
      </c>
      <c r="B767" s="185" t="s">
        <v>2287</v>
      </c>
      <c r="C767" s="185" t="s">
        <v>1792</v>
      </c>
      <c r="D767" s="185" t="s">
        <v>2288</v>
      </c>
      <c r="E767" s="185">
        <v>51353001</v>
      </c>
      <c r="F767" s="185" t="s">
        <v>516</v>
      </c>
      <c r="G767" s="185" t="s">
        <v>1833</v>
      </c>
      <c r="H767" s="185" t="s">
        <v>1515</v>
      </c>
      <c r="I767" s="258" t="str">
        <f t="shared" si="34"/>
        <v>5</v>
      </c>
      <c r="J767" s="221">
        <f t="shared" si="35"/>
        <v>4382540</v>
      </c>
      <c r="K767" s="258">
        <f t="shared" si="36"/>
        <v>3</v>
      </c>
      <c r="L767" s="188">
        <v>4382540</v>
      </c>
      <c r="M767" s="188">
        <v>0</v>
      </c>
      <c r="N767" s="189">
        <v>860063875</v>
      </c>
      <c r="O767" t="s">
        <v>2289</v>
      </c>
      <c r="P767" s="187">
        <v>45009.502500000002</v>
      </c>
      <c r="Q767" s="186">
        <v>8922</v>
      </c>
      <c r="R767" s="185" t="s">
        <v>1827</v>
      </c>
      <c r="S767" s="185" t="s">
        <v>1572</v>
      </c>
      <c r="T767"/>
      <c r="U767" t="str">
        <f>IF($L767&gt;0,VLOOKUP($E767,Valida!$A$1:$G$270,6,FALSE),IF($M767&gt;=0,VLOOKUP($E767,Valida!$A$1:$G$270,7,FALSE)))</f>
        <v>(+/-) Ganancia (pérdida)</v>
      </c>
      <c r="V767" s="190" t="str">
        <f>VLOOKUP(E767,Valida!$A$2:$K$271,4,FALSE)</f>
        <v>P&amp;L</v>
      </c>
      <c r="W767" s="185" t="s">
        <v>1835</v>
      </c>
      <c r="X767" s="185"/>
      <c r="Y767" s="185" t="s">
        <v>1789</v>
      </c>
      <c r="Z767"/>
    </row>
    <row r="768" spans="1:26">
      <c r="A768" s="185" t="s">
        <v>2261</v>
      </c>
      <c r="B768" s="185" t="s">
        <v>2287</v>
      </c>
      <c r="C768" s="185" t="s">
        <v>1792</v>
      </c>
      <c r="D768" s="185" t="s">
        <v>2288</v>
      </c>
      <c r="E768" s="185">
        <v>51350502</v>
      </c>
      <c r="F768" s="185" t="s">
        <v>1738</v>
      </c>
      <c r="G768" s="185" t="s">
        <v>1833</v>
      </c>
      <c r="H768" s="185" t="s">
        <v>1515</v>
      </c>
      <c r="I768" s="258" t="str">
        <f t="shared" si="34"/>
        <v>5</v>
      </c>
      <c r="J768" s="221">
        <f t="shared" si="35"/>
        <v>52620</v>
      </c>
      <c r="K768" s="258">
        <f t="shared" si="36"/>
        <v>3</v>
      </c>
      <c r="L768" s="188">
        <v>52620</v>
      </c>
      <c r="M768" s="188">
        <v>0</v>
      </c>
      <c r="N768" s="189">
        <v>901145808</v>
      </c>
      <c r="O768" t="s">
        <v>2289</v>
      </c>
      <c r="P768" s="187">
        <v>45009.502500000002</v>
      </c>
      <c r="Q768" s="186">
        <v>8923</v>
      </c>
      <c r="R768" s="185" t="s">
        <v>1067</v>
      </c>
      <c r="S768" s="185" t="s">
        <v>1740</v>
      </c>
      <c r="T768"/>
      <c r="U768" t="str">
        <f>IF($L768&gt;0,VLOOKUP($E768,Valida!$A$1:$G$270,6,FALSE),IF($M768&gt;=0,VLOOKUP($E768,Valida!$A$1:$G$270,7,FALSE)))</f>
        <v>(+/-) Ganancia (pérdida)</v>
      </c>
      <c r="V768" s="190" t="str">
        <f>VLOOKUP(E768,Valida!$A$2:$K$271,4,FALSE)</f>
        <v>P&amp;L</v>
      </c>
      <c r="W768" s="185" t="s">
        <v>1836</v>
      </c>
      <c r="X768" s="185" t="s">
        <v>1837</v>
      </c>
      <c r="Y768" s="185" t="s">
        <v>1789</v>
      </c>
      <c r="Z768"/>
    </row>
    <row r="769" spans="1:26">
      <c r="A769" s="185" t="s">
        <v>2261</v>
      </c>
      <c r="B769" s="185" t="s">
        <v>2287</v>
      </c>
      <c r="C769" s="185" t="s">
        <v>1792</v>
      </c>
      <c r="D769" s="185" t="s">
        <v>2288</v>
      </c>
      <c r="E769" s="185">
        <v>23355005</v>
      </c>
      <c r="F769" s="185" t="s">
        <v>516</v>
      </c>
      <c r="G769" s="185" t="s">
        <v>1833</v>
      </c>
      <c r="H769" s="185" t="s">
        <v>1628</v>
      </c>
      <c r="I769" s="258" t="str">
        <f t="shared" si="34"/>
        <v>2</v>
      </c>
      <c r="J769" s="221">
        <f t="shared" si="35"/>
        <v>-4435160</v>
      </c>
      <c r="K769" s="258">
        <f t="shared" si="36"/>
        <v>3</v>
      </c>
      <c r="L769" s="188">
        <v>0</v>
      </c>
      <c r="M769" s="188">
        <v>4435160</v>
      </c>
      <c r="N769" s="189">
        <v>860063875</v>
      </c>
      <c r="O769" t="s">
        <v>2289</v>
      </c>
      <c r="P769" s="187">
        <v>45009.502500000002</v>
      </c>
      <c r="Q769" s="186">
        <v>8924</v>
      </c>
      <c r="R769" s="185" t="s">
        <v>1827</v>
      </c>
      <c r="S769" s="185" t="s">
        <v>1572</v>
      </c>
      <c r="T769"/>
      <c r="U769" t="str">
        <f>IF($L769&gt;0,VLOOKUP($E769,Valida!$A$1:$G$270,6,FALSE),IF($M769&gt;=0,VLOOKUP($E769,Valida!$A$1:$G$270,7,FALSE)))</f>
        <v>(+/-) Ajustes por el incremento (disminución) de cuentas por pagar de origen comercial</v>
      </c>
      <c r="V769" s="190" t="str">
        <f>VLOOKUP(E769,Valida!$A$2:$K$271,4,FALSE)</f>
        <v>Trade and other payables</v>
      </c>
      <c r="W769" s="185" t="s">
        <v>1835</v>
      </c>
      <c r="X769" s="185"/>
      <c r="Y769" s="185" t="s">
        <v>1789</v>
      </c>
      <c r="Z769"/>
    </row>
    <row r="770" spans="1:26">
      <c r="A770" s="185" t="s">
        <v>2261</v>
      </c>
      <c r="B770" s="185" t="s">
        <v>2287</v>
      </c>
      <c r="C770" s="185" t="s">
        <v>1792</v>
      </c>
      <c r="D770" s="185" t="s">
        <v>2288</v>
      </c>
      <c r="E770" s="185">
        <v>53059510</v>
      </c>
      <c r="F770" s="185" t="s">
        <v>1065</v>
      </c>
      <c r="G770" s="185" t="s">
        <v>1833</v>
      </c>
      <c r="H770" s="185" t="s">
        <v>1628</v>
      </c>
      <c r="I770" s="258" t="str">
        <f t="shared" si="34"/>
        <v>5</v>
      </c>
      <c r="J770" s="221">
        <f t="shared" si="35"/>
        <v>0</v>
      </c>
      <c r="K770" s="258">
        <f t="shared" si="36"/>
        <v>3</v>
      </c>
      <c r="L770" s="188">
        <v>0</v>
      </c>
      <c r="M770" s="188">
        <v>0</v>
      </c>
      <c r="N770" s="189">
        <v>860063875</v>
      </c>
      <c r="O770" t="s">
        <v>2289</v>
      </c>
      <c r="P770" s="187">
        <v>45009.502500000002</v>
      </c>
      <c r="Q770" s="186">
        <v>8925</v>
      </c>
      <c r="R770" s="185" t="s">
        <v>1827</v>
      </c>
      <c r="S770" s="185" t="s">
        <v>1572</v>
      </c>
      <c r="T770"/>
      <c r="U770" t="str">
        <f>IF($L770&gt;0,VLOOKUP($E770,Valida!$A$1:$G$270,6,FALSE),IF($M770&gt;=0,VLOOKUP($E770,Valida!$A$1:$G$270,7,FALSE)))</f>
        <v>(+/-) Ganancia (pérdida)</v>
      </c>
      <c r="V770" s="190" t="str">
        <f>VLOOKUP(E770,Valida!$A$2:$K$271,4,FALSE)</f>
        <v>P&amp;L</v>
      </c>
      <c r="W770" s="185" t="s">
        <v>1835</v>
      </c>
      <c r="X770" s="185"/>
      <c r="Y770" s="185" t="s">
        <v>1789</v>
      </c>
      <c r="Z770"/>
    </row>
    <row r="771" spans="1:26">
      <c r="A771" s="185" t="s">
        <v>2290</v>
      </c>
      <c r="B771" s="185" t="s">
        <v>2291</v>
      </c>
      <c r="C771" s="185" t="s">
        <v>1792</v>
      </c>
      <c r="D771" s="185" t="s">
        <v>2292</v>
      </c>
      <c r="E771" s="185">
        <v>51201001</v>
      </c>
      <c r="F771" s="185" t="s">
        <v>1189</v>
      </c>
      <c r="G771" s="185" t="s">
        <v>2293</v>
      </c>
      <c r="H771" s="185" t="s">
        <v>1515</v>
      </c>
      <c r="I771" s="258" t="str">
        <f t="shared" ref="I771:I834" si="37">LEFT(E771,1)</f>
        <v>5</v>
      </c>
      <c r="J771" s="221">
        <f t="shared" ref="J771:J834" si="38">L771-M771</f>
        <v>12750000</v>
      </c>
      <c r="K771" s="258">
        <f t="shared" ref="K771:K834" si="39">MONTH(A771)</f>
        <v>3</v>
      </c>
      <c r="L771" s="188">
        <v>12750000</v>
      </c>
      <c r="M771" s="188">
        <v>0</v>
      </c>
      <c r="N771" s="189">
        <v>900471482</v>
      </c>
      <c r="O771" t="s">
        <v>2294</v>
      </c>
      <c r="P771" s="187">
        <v>45009.506701388898</v>
      </c>
      <c r="Q771" s="186">
        <v>8926</v>
      </c>
      <c r="R771" s="185" t="s">
        <v>6</v>
      </c>
      <c r="S771" s="185" t="s">
        <v>1600</v>
      </c>
      <c r="T771"/>
      <c r="U771" t="str">
        <f>IF($L771&gt;0,VLOOKUP($E771,Valida!$A$1:$G$270,6,FALSE),IF($M771&gt;=0,VLOOKUP($E771,Valida!$A$1:$G$270,7,FALSE)))</f>
        <v>(+/-) Ganancia (pérdida)</v>
      </c>
      <c r="V771" s="190" t="str">
        <f>VLOOKUP(E771,Valida!$A$2:$K$271,4,FALSE)</f>
        <v>P&amp;L</v>
      </c>
      <c r="W771" s="185" t="s">
        <v>1853</v>
      </c>
      <c r="X771" s="185" t="s">
        <v>1854</v>
      </c>
      <c r="Y771" s="185" t="s">
        <v>1789</v>
      </c>
      <c r="Z771"/>
    </row>
    <row r="772" spans="1:26">
      <c r="A772" s="185" t="s">
        <v>2290</v>
      </c>
      <c r="B772" s="185" t="s">
        <v>2291</v>
      </c>
      <c r="C772" s="185" t="s">
        <v>1792</v>
      </c>
      <c r="D772" s="185" t="s">
        <v>2292</v>
      </c>
      <c r="E772" s="185">
        <v>24081002</v>
      </c>
      <c r="F772" s="185" t="s">
        <v>1687</v>
      </c>
      <c r="G772" s="185" t="s">
        <v>2293</v>
      </c>
      <c r="H772" s="185" t="s">
        <v>1515</v>
      </c>
      <c r="I772" s="258" t="str">
        <f t="shared" si="37"/>
        <v>2</v>
      </c>
      <c r="J772" s="221">
        <f t="shared" si="38"/>
        <v>2422500</v>
      </c>
      <c r="K772" s="258">
        <f t="shared" si="39"/>
        <v>3</v>
      </c>
      <c r="L772" s="188">
        <v>2422500</v>
      </c>
      <c r="M772" s="188">
        <v>0</v>
      </c>
      <c r="N772" s="189">
        <v>900471482</v>
      </c>
      <c r="O772" t="s">
        <v>2294</v>
      </c>
      <c r="P772" s="187">
        <v>45009.506701388898</v>
      </c>
      <c r="Q772" s="186">
        <v>8927</v>
      </c>
      <c r="R772" s="185" t="s">
        <v>6</v>
      </c>
      <c r="S772" s="185" t="s">
        <v>1600</v>
      </c>
      <c r="T772"/>
      <c r="U772" t="str">
        <f>IF($L772&gt;0,VLOOKUP($E772,Valida!$A$1:$G$270,6,FALSE),IF($M772&gt;=0,VLOOKUP($E772,Valida!$A$1:$G$270,7,FALSE)))</f>
        <v>(+/-) Ajustes por el incremento (disminución) de cuentas por pagar de origen comercial</v>
      </c>
      <c r="V772" s="190" t="str">
        <f>VLOOKUP(E772,Valida!$A$2:$K$271,4,FALSE)</f>
        <v>Trade and other payables</v>
      </c>
      <c r="W772" s="185" t="s">
        <v>1853</v>
      </c>
      <c r="X772" s="185" t="s">
        <v>1854</v>
      </c>
      <c r="Y772" s="185" t="s">
        <v>1789</v>
      </c>
      <c r="Z772"/>
    </row>
    <row r="773" spans="1:26">
      <c r="A773" s="185" t="s">
        <v>2290</v>
      </c>
      <c r="B773" s="185" t="s">
        <v>2291</v>
      </c>
      <c r="C773" s="185" t="s">
        <v>1792</v>
      </c>
      <c r="D773" s="185" t="s">
        <v>2292</v>
      </c>
      <c r="E773" s="185">
        <v>23653001</v>
      </c>
      <c r="F773" s="185" t="s">
        <v>611</v>
      </c>
      <c r="G773" s="185" t="s">
        <v>2293</v>
      </c>
      <c r="H773" s="185" t="s">
        <v>1628</v>
      </c>
      <c r="I773" s="258" t="str">
        <f t="shared" si="37"/>
        <v>2</v>
      </c>
      <c r="J773" s="221">
        <f t="shared" si="38"/>
        <v>-446250</v>
      </c>
      <c r="K773" s="258">
        <f t="shared" si="39"/>
        <v>3</v>
      </c>
      <c r="L773" s="188">
        <v>0</v>
      </c>
      <c r="M773" s="188">
        <v>446250</v>
      </c>
      <c r="N773" s="189">
        <v>900471482</v>
      </c>
      <c r="O773" t="s">
        <v>2294</v>
      </c>
      <c r="P773" s="187">
        <v>45009.506701388898</v>
      </c>
      <c r="Q773" s="186">
        <v>8928</v>
      </c>
      <c r="R773" s="185" t="s">
        <v>6</v>
      </c>
      <c r="S773" s="185" t="s">
        <v>1600</v>
      </c>
      <c r="T773"/>
      <c r="U773" t="str">
        <f>IF($L773&gt;0,VLOOKUP($E773,Valida!$A$1:$G$270,6,FALSE),IF($M773&gt;=0,VLOOKUP($E773,Valida!$A$1:$G$270,7,FALSE)))</f>
        <v>(+/-) Ajustes por el incremento (disminución) de cuentas por pagar de origen comercial</v>
      </c>
      <c r="V773" s="190" t="str">
        <f>VLOOKUP(E773,Valida!$A$2:$K$271,4,FALSE)</f>
        <v>Trade and other payables</v>
      </c>
      <c r="W773" s="185" t="s">
        <v>1853</v>
      </c>
      <c r="X773" s="185" t="s">
        <v>1854</v>
      </c>
      <c r="Y773" s="185" t="s">
        <v>1789</v>
      </c>
      <c r="Z773"/>
    </row>
    <row r="774" spans="1:26">
      <c r="A774" s="185" t="s">
        <v>2290</v>
      </c>
      <c r="B774" s="185" t="s">
        <v>2291</v>
      </c>
      <c r="C774" s="185" t="s">
        <v>1792</v>
      </c>
      <c r="D774" s="185" t="s">
        <v>2292</v>
      </c>
      <c r="E774" s="185">
        <v>23680503</v>
      </c>
      <c r="F774" s="185" t="s">
        <v>665</v>
      </c>
      <c r="G774" s="185" t="s">
        <v>2293</v>
      </c>
      <c r="H774" s="185" t="s">
        <v>1628</v>
      </c>
      <c r="I774" s="258" t="str">
        <f t="shared" si="37"/>
        <v>2</v>
      </c>
      <c r="J774" s="221">
        <f t="shared" si="38"/>
        <v>-123165</v>
      </c>
      <c r="K774" s="258">
        <f t="shared" si="39"/>
        <v>3</v>
      </c>
      <c r="L774" s="188">
        <v>0</v>
      </c>
      <c r="M774" s="188">
        <v>123165</v>
      </c>
      <c r="N774" s="189">
        <v>900471482</v>
      </c>
      <c r="O774" t="s">
        <v>2294</v>
      </c>
      <c r="P774" s="187">
        <v>45009.506701388898</v>
      </c>
      <c r="Q774" s="186">
        <v>8929</v>
      </c>
      <c r="R774" s="185" t="s">
        <v>6</v>
      </c>
      <c r="S774" s="185" t="s">
        <v>1600</v>
      </c>
      <c r="T774"/>
      <c r="U774" t="str">
        <f>IF($L774&gt;0,VLOOKUP($E774,Valida!$A$1:$G$270,6,FALSE),IF($M774&gt;=0,VLOOKUP($E774,Valida!$A$1:$G$270,7,FALSE)))</f>
        <v>(+/-) Ajustes por el incremento (disminución) de cuentas por pagar de origen comercial</v>
      </c>
      <c r="V774" s="190" t="str">
        <f>VLOOKUP(E774,Valida!$A$2:$K$271,4,FALSE)</f>
        <v>Trade and other payables</v>
      </c>
      <c r="W774" s="185" t="s">
        <v>1853</v>
      </c>
      <c r="X774" s="185" t="s">
        <v>1854</v>
      </c>
      <c r="Y774" s="185" t="s">
        <v>1789</v>
      </c>
      <c r="Z774"/>
    </row>
    <row r="775" spans="1:26">
      <c r="A775" s="185" t="s">
        <v>2290</v>
      </c>
      <c r="B775" s="185" t="s">
        <v>2291</v>
      </c>
      <c r="C775" s="185" t="s">
        <v>1792</v>
      </c>
      <c r="D775" s="185" t="s">
        <v>2292</v>
      </c>
      <c r="E775" s="185">
        <v>23354001</v>
      </c>
      <c r="F775" s="185" t="s">
        <v>484</v>
      </c>
      <c r="G775" s="185" t="s">
        <v>2293</v>
      </c>
      <c r="H775" s="185" t="s">
        <v>1628</v>
      </c>
      <c r="I775" s="258" t="str">
        <f t="shared" si="37"/>
        <v>2</v>
      </c>
      <c r="J775" s="221">
        <f t="shared" si="38"/>
        <v>-14603085</v>
      </c>
      <c r="K775" s="258">
        <f t="shared" si="39"/>
        <v>3</v>
      </c>
      <c r="L775" s="188">
        <v>0</v>
      </c>
      <c r="M775" s="188">
        <v>14603085</v>
      </c>
      <c r="N775" s="189">
        <v>900471482</v>
      </c>
      <c r="O775" t="s">
        <v>2294</v>
      </c>
      <c r="P775" s="187">
        <v>45009.506701388898</v>
      </c>
      <c r="Q775" s="186">
        <v>8930</v>
      </c>
      <c r="R775" s="185" t="s">
        <v>6</v>
      </c>
      <c r="S775" s="185" t="s">
        <v>1600</v>
      </c>
      <c r="T775"/>
      <c r="U775" t="str">
        <f>IF($L775&gt;0,VLOOKUP($E775,Valida!$A$1:$G$270,6,FALSE),IF($M775&gt;=0,VLOOKUP($E775,Valida!$A$1:$G$270,7,FALSE)))</f>
        <v>(+/-) Ajustes por el incremento (disminución) de cuentas por pagar de origen comercial</v>
      </c>
      <c r="V775" s="190" t="str">
        <f>VLOOKUP(E775,Valida!$A$2:$K$271,4,FALSE)</f>
        <v>Trade and other payables</v>
      </c>
      <c r="W775" s="185" t="s">
        <v>1853</v>
      </c>
      <c r="X775" s="185" t="s">
        <v>1854</v>
      </c>
      <c r="Y775" s="185" t="s">
        <v>1789</v>
      </c>
      <c r="Z775"/>
    </row>
    <row r="776" spans="1:26">
      <c r="A776" s="185" t="s">
        <v>2054</v>
      </c>
      <c r="B776" s="185" t="s">
        <v>2295</v>
      </c>
      <c r="C776" s="185" t="s">
        <v>1792</v>
      </c>
      <c r="D776" s="185" t="s">
        <v>2296</v>
      </c>
      <c r="E776" s="185">
        <v>51952501</v>
      </c>
      <c r="F776" s="185" t="s">
        <v>1412</v>
      </c>
      <c r="G776" s="185" t="s">
        <v>1412</v>
      </c>
      <c r="H776" s="185" t="s">
        <v>1515</v>
      </c>
      <c r="I776" s="258" t="str">
        <f t="shared" si="37"/>
        <v>5</v>
      </c>
      <c r="J776" s="221">
        <f t="shared" si="38"/>
        <v>1331735</v>
      </c>
      <c r="K776" s="258">
        <f t="shared" si="39"/>
        <v>3</v>
      </c>
      <c r="L776" s="188">
        <v>1331735</v>
      </c>
      <c r="M776" s="188">
        <v>0</v>
      </c>
      <c r="N776" s="189">
        <v>830062853</v>
      </c>
      <c r="O776" t="s">
        <v>2297</v>
      </c>
      <c r="P776" s="187">
        <v>45009.517581018503</v>
      </c>
      <c r="Q776" s="186">
        <v>8931</v>
      </c>
      <c r="R776" s="185" t="s">
        <v>433</v>
      </c>
      <c r="S776" s="185" t="s">
        <v>1564</v>
      </c>
      <c r="T776"/>
      <c r="U776" t="str">
        <f>IF($L776&gt;0,VLOOKUP($E776,Valida!$A$1:$G$270,6,FALSE),IF($M776&gt;=0,VLOOKUP($E776,Valida!$A$1:$G$270,7,FALSE)))</f>
        <v>(+/-) Ganancia (pérdida)</v>
      </c>
      <c r="V776" s="190" t="str">
        <f>VLOOKUP(E776,Valida!$A$2:$K$271,4,FALSE)</f>
        <v>P&amp;L</v>
      </c>
      <c r="W776" s="185" t="s">
        <v>2024</v>
      </c>
      <c r="X776" s="185" t="s">
        <v>2025</v>
      </c>
      <c r="Y776" s="185" t="s">
        <v>1789</v>
      </c>
      <c r="Z776"/>
    </row>
    <row r="777" spans="1:26">
      <c r="A777" s="185" t="s">
        <v>2054</v>
      </c>
      <c r="B777" s="185" t="s">
        <v>2295</v>
      </c>
      <c r="C777" s="185" t="s">
        <v>1792</v>
      </c>
      <c r="D777" s="185" t="s">
        <v>2296</v>
      </c>
      <c r="E777" s="185">
        <v>24081001</v>
      </c>
      <c r="F777" s="185" t="s">
        <v>1670</v>
      </c>
      <c r="G777" s="185" t="s">
        <v>1412</v>
      </c>
      <c r="H777" s="185" t="s">
        <v>1515</v>
      </c>
      <c r="I777" s="258" t="str">
        <f t="shared" si="37"/>
        <v>2</v>
      </c>
      <c r="J777" s="221">
        <f t="shared" si="38"/>
        <v>253030</v>
      </c>
      <c r="K777" s="258">
        <f t="shared" si="39"/>
        <v>3</v>
      </c>
      <c r="L777" s="188">
        <v>253030</v>
      </c>
      <c r="M777" s="188">
        <v>0</v>
      </c>
      <c r="N777" s="189">
        <v>830062853</v>
      </c>
      <c r="O777" t="s">
        <v>2297</v>
      </c>
      <c r="P777" s="187">
        <v>45009.517581018503</v>
      </c>
      <c r="Q777" s="186">
        <v>8932</v>
      </c>
      <c r="R777" s="185" t="s">
        <v>433</v>
      </c>
      <c r="S777" s="185" t="s">
        <v>1564</v>
      </c>
      <c r="T777"/>
      <c r="U777" t="str">
        <f>IF($L777&gt;0,VLOOKUP($E777,Valida!$A$1:$G$270,6,FALSE),IF($M777&gt;=0,VLOOKUP($E777,Valida!$A$1:$G$270,7,FALSE)))</f>
        <v>(+/-) Ajustes por el incremento (disminución) de cuentas por pagar de origen comercial</v>
      </c>
      <c r="V777" s="190" t="str">
        <f>VLOOKUP(E777,Valida!$A$2:$K$271,4,FALSE)</f>
        <v>Trade and other payables</v>
      </c>
      <c r="W777" s="185" t="s">
        <v>2024</v>
      </c>
      <c r="X777" s="185" t="s">
        <v>2025</v>
      </c>
      <c r="Y777" s="185" t="s">
        <v>1789</v>
      </c>
      <c r="Z777"/>
    </row>
    <row r="778" spans="1:26">
      <c r="A778" s="185" t="s">
        <v>2054</v>
      </c>
      <c r="B778" s="185" t="s">
        <v>2295</v>
      </c>
      <c r="C778" s="185" t="s">
        <v>1792</v>
      </c>
      <c r="D778" s="185" t="s">
        <v>2296</v>
      </c>
      <c r="E778" s="185">
        <v>51952502</v>
      </c>
      <c r="F778" s="185" t="s">
        <v>1414</v>
      </c>
      <c r="G778" s="185" t="s">
        <v>1414</v>
      </c>
      <c r="H778" s="185" t="s">
        <v>1515</v>
      </c>
      <c r="I778" s="258" t="str">
        <f t="shared" si="37"/>
        <v>5</v>
      </c>
      <c r="J778" s="221">
        <f t="shared" si="38"/>
        <v>1739591</v>
      </c>
      <c r="K778" s="258">
        <f t="shared" si="39"/>
        <v>3</v>
      </c>
      <c r="L778" s="188">
        <v>1739591</v>
      </c>
      <c r="M778" s="188">
        <v>0</v>
      </c>
      <c r="N778" s="189">
        <v>830062853</v>
      </c>
      <c r="O778" t="s">
        <v>2297</v>
      </c>
      <c r="P778" s="187">
        <v>45009.517581018503</v>
      </c>
      <c r="Q778" s="186">
        <v>8933</v>
      </c>
      <c r="R778" s="185" t="s">
        <v>433</v>
      </c>
      <c r="S778" s="185" t="s">
        <v>1564</v>
      </c>
      <c r="T778"/>
      <c r="U778" t="str">
        <f>IF($L778&gt;0,VLOOKUP($E778,Valida!$A$1:$G$270,6,FALSE),IF($M778&gt;=0,VLOOKUP($E778,Valida!$A$1:$G$270,7,FALSE)))</f>
        <v>(+/-) Ganancia (pérdida)</v>
      </c>
      <c r="V778" s="190" t="str">
        <f>VLOOKUP(E778,Valida!$A$2:$K$271,4,FALSE)</f>
        <v>P&amp;L</v>
      </c>
      <c r="W778" s="185" t="s">
        <v>2024</v>
      </c>
      <c r="X778" s="185" t="s">
        <v>2025</v>
      </c>
      <c r="Y778" s="185" t="s">
        <v>1789</v>
      </c>
      <c r="Z778"/>
    </row>
    <row r="779" spans="1:26">
      <c r="A779" s="185" t="s">
        <v>2054</v>
      </c>
      <c r="B779" s="185" t="s">
        <v>2295</v>
      </c>
      <c r="C779" s="185" t="s">
        <v>1792</v>
      </c>
      <c r="D779" s="185" t="s">
        <v>2296</v>
      </c>
      <c r="E779" s="185">
        <v>24081005</v>
      </c>
      <c r="F779" s="185" t="s">
        <v>1688</v>
      </c>
      <c r="G779" s="185" t="s">
        <v>1414</v>
      </c>
      <c r="H779" s="185" t="s">
        <v>1515</v>
      </c>
      <c r="I779" s="258" t="str">
        <f t="shared" si="37"/>
        <v>2</v>
      </c>
      <c r="J779" s="221">
        <f t="shared" si="38"/>
        <v>86979</v>
      </c>
      <c r="K779" s="258">
        <f t="shared" si="39"/>
        <v>3</v>
      </c>
      <c r="L779" s="188">
        <v>86979</v>
      </c>
      <c r="M779" s="188">
        <v>0</v>
      </c>
      <c r="N779" s="189">
        <v>830062853</v>
      </c>
      <c r="O779" t="s">
        <v>2297</v>
      </c>
      <c r="P779" s="187">
        <v>45009.517581018503</v>
      </c>
      <c r="Q779" s="186">
        <v>8934</v>
      </c>
      <c r="R779" s="185" t="s">
        <v>433</v>
      </c>
      <c r="S779" s="185" t="s">
        <v>1564</v>
      </c>
      <c r="T779"/>
      <c r="U779" t="str">
        <f>IF($L779&gt;0,VLOOKUP($E779,Valida!$A$1:$G$270,6,FALSE),IF($M779&gt;=0,VLOOKUP($E779,Valida!$A$1:$G$270,7,FALSE)))</f>
        <v>(+/-) Ajustes por el incremento (disminución) de cuentas por pagar de origen comercial</v>
      </c>
      <c r="V779" s="190" t="str">
        <f>VLOOKUP(E779,Valida!$A$2:$K$271,4,FALSE)</f>
        <v>Trade and other payables</v>
      </c>
      <c r="W779" s="185" t="s">
        <v>2024</v>
      </c>
      <c r="X779" s="185" t="s">
        <v>2025</v>
      </c>
      <c r="Y779" s="185" t="s">
        <v>1789</v>
      </c>
      <c r="Z779"/>
    </row>
    <row r="780" spans="1:26">
      <c r="A780" s="185" t="s">
        <v>2054</v>
      </c>
      <c r="B780" s="185" t="s">
        <v>2295</v>
      </c>
      <c r="C780" s="185" t="s">
        <v>1792</v>
      </c>
      <c r="D780" s="185" t="s">
        <v>2296</v>
      </c>
      <c r="E780" s="185">
        <v>51952502</v>
      </c>
      <c r="F780" s="185" t="s">
        <v>1414</v>
      </c>
      <c r="G780" s="185" t="s">
        <v>1414</v>
      </c>
      <c r="H780" s="185" t="s">
        <v>1628</v>
      </c>
      <c r="I780" s="258" t="str">
        <f t="shared" si="37"/>
        <v>5</v>
      </c>
      <c r="J780" s="221">
        <f t="shared" si="38"/>
        <v>0</v>
      </c>
      <c r="K780" s="258">
        <f t="shared" si="39"/>
        <v>3</v>
      </c>
      <c r="L780" s="188">
        <v>0</v>
      </c>
      <c r="M780" s="188">
        <v>0</v>
      </c>
      <c r="N780" s="189">
        <v>830062853</v>
      </c>
      <c r="O780" t="s">
        <v>2297</v>
      </c>
      <c r="P780" s="187">
        <v>45009.517581018503</v>
      </c>
      <c r="Q780" s="186">
        <v>8935</v>
      </c>
      <c r="R780" s="185" t="s">
        <v>433</v>
      </c>
      <c r="S780" s="185" t="s">
        <v>1564</v>
      </c>
      <c r="T780"/>
      <c r="U780" t="str">
        <f>IF($L780&gt;0,VLOOKUP($E780,Valida!$A$1:$G$270,6,FALSE),IF($M780&gt;=0,VLOOKUP($E780,Valida!$A$1:$G$270,7,FALSE)))</f>
        <v>(+/-) Ganancia (pérdida)</v>
      </c>
      <c r="V780" s="190" t="str">
        <f>VLOOKUP(E780,Valida!$A$2:$K$271,4,FALSE)</f>
        <v>P&amp;L</v>
      </c>
      <c r="W780" s="185" t="s">
        <v>2024</v>
      </c>
      <c r="X780" s="185" t="s">
        <v>2025</v>
      </c>
      <c r="Y780" s="185" t="s">
        <v>1789</v>
      </c>
      <c r="Z780"/>
    </row>
    <row r="781" spans="1:26">
      <c r="A781" s="185" t="s">
        <v>2054</v>
      </c>
      <c r="B781" s="185" t="s">
        <v>2295</v>
      </c>
      <c r="C781" s="185" t="s">
        <v>1792</v>
      </c>
      <c r="D781" s="185" t="s">
        <v>2296</v>
      </c>
      <c r="E781" s="185">
        <v>24081001</v>
      </c>
      <c r="F781" s="185" t="s">
        <v>1670</v>
      </c>
      <c r="G781" s="185" t="s">
        <v>1414</v>
      </c>
      <c r="H781" s="185" t="s">
        <v>1628</v>
      </c>
      <c r="I781" s="258" t="str">
        <f t="shared" si="37"/>
        <v>2</v>
      </c>
      <c r="J781" s="221">
        <f t="shared" si="38"/>
        <v>0</v>
      </c>
      <c r="K781" s="258">
        <f t="shared" si="39"/>
        <v>3</v>
      </c>
      <c r="L781" s="188">
        <v>0</v>
      </c>
      <c r="M781" s="188">
        <v>0</v>
      </c>
      <c r="N781" s="189">
        <v>830062853</v>
      </c>
      <c r="O781" t="s">
        <v>2297</v>
      </c>
      <c r="P781" s="187">
        <v>45009.517581018503</v>
      </c>
      <c r="Q781" s="186">
        <v>8936</v>
      </c>
      <c r="R781" s="185" t="s">
        <v>433</v>
      </c>
      <c r="S781" s="185" t="s">
        <v>1564</v>
      </c>
      <c r="T781"/>
      <c r="U781" t="str">
        <f>IF($L781&gt;0,VLOOKUP($E781,Valida!$A$1:$G$270,6,FALSE),IF($M781&gt;=0,VLOOKUP($E781,Valida!$A$1:$G$270,7,FALSE)))</f>
        <v>(+/-) Ajustes por el incremento (disminución) de cuentas por pagar de origen comercial</v>
      </c>
      <c r="V781" s="190" t="str">
        <f>VLOOKUP(E781,Valida!$A$2:$K$271,4,FALSE)</f>
        <v>Trade and other payables</v>
      </c>
      <c r="W781" s="185" t="s">
        <v>2024</v>
      </c>
      <c r="X781" s="185" t="s">
        <v>2025</v>
      </c>
      <c r="Y781" s="185" t="s">
        <v>1789</v>
      </c>
      <c r="Z781"/>
    </row>
    <row r="782" spans="1:26">
      <c r="A782" s="185" t="s">
        <v>2054</v>
      </c>
      <c r="B782" s="185" t="s">
        <v>2295</v>
      </c>
      <c r="C782" s="185" t="s">
        <v>1792</v>
      </c>
      <c r="D782" s="185" t="s">
        <v>2296</v>
      </c>
      <c r="E782" s="185">
        <v>23654001</v>
      </c>
      <c r="F782" s="185" t="s">
        <v>622</v>
      </c>
      <c r="G782" s="185" t="s">
        <v>622</v>
      </c>
      <c r="H782" s="185" t="s">
        <v>1628</v>
      </c>
      <c r="I782" s="258" t="str">
        <f t="shared" si="37"/>
        <v>2</v>
      </c>
      <c r="J782" s="221">
        <f t="shared" si="38"/>
        <v>-76783</v>
      </c>
      <c r="K782" s="258">
        <f t="shared" si="39"/>
        <v>3</v>
      </c>
      <c r="L782" s="188">
        <v>0</v>
      </c>
      <c r="M782" s="188">
        <v>76783</v>
      </c>
      <c r="N782" s="189">
        <v>830062853</v>
      </c>
      <c r="O782" t="s">
        <v>2297</v>
      </c>
      <c r="P782" s="187">
        <v>45009.517581018503</v>
      </c>
      <c r="Q782" s="186">
        <v>8937</v>
      </c>
      <c r="R782" s="185" t="s">
        <v>433</v>
      </c>
      <c r="S782" s="185" t="s">
        <v>1564</v>
      </c>
      <c r="T782"/>
      <c r="U782" t="str">
        <f>IF($L782&gt;0,VLOOKUP($E782,Valida!$A$1:$G$270,6,FALSE),IF($M782&gt;=0,VLOOKUP($E782,Valida!$A$1:$G$270,7,FALSE)))</f>
        <v>(+/-) Ajustes por el incremento (disminución) de cuentas por pagar de origen comercial</v>
      </c>
      <c r="V782" s="190" t="str">
        <f>VLOOKUP(E782,Valida!$A$2:$K$271,4,FALSE)</f>
        <v>Trade and other payables</v>
      </c>
      <c r="W782" s="185" t="s">
        <v>2024</v>
      </c>
      <c r="X782" s="185" t="s">
        <v>2025</v>
      </c>
      <c r="Y782" s="185" t="s">
        <v>1789</v>
      </c>
      <c r="Z782"/>
    </row>
    <row r="783" spans="1:26">
      <c r="A783" s="185" t="s">
        <v>2054</v>
      </c>
      <c r="B783" s="185" t="s">
        <v>2295</v>
      </c>
      <c r="C783" s="185" t="s">
        <v>1792</v>
      </c>
      <c r="D783" s="185" t="s">
        <v>2296</v>
      </c>
      <c r="E783" s="185">
        <v>23680504</v>
      </c>
      <c r="F783" s="185" t="s">
        <v>668</v>
      </c>
      <c r="G783" s="185" t="s">
        <v>547</v>
      </c>
      <c r="H783" s="185" t="s">
        <v>1628</v>
      </c>
      <c r="I783" s="258" t="str">
        <f t="shared" si="37"/>
        <v>2</v>
      </c>
      <c r="J783" s="221">
        <f t="shared" si="38"/>
        <v>-29669</v>
      </c>
      <c r="K783" s="258">
        <f t="shared" si="39"/>
        <v>3</v>
      </c>
      <c r="L783" s="188">
        <v>0</v>
      </c>
      <c r="M783" s="188">
        <v>29669</v>
      </c>
      <c r="N783" s="189">
        <v>830062853</v>
      </c>
      <c r="O783" t="s">
        <v>2297</v>
      </c>
      <c r="P783" s="187">
        <v>45009.517581018503</v>
      </c>
      <c r="Q783" s="186">
        <v>8938</v>
      </c>
      <c r="R783" s="185" t="s">
        <v>433</v>
      </c>
      <c r="S783" s="185" t="s">
        <v>1564</v>
      </c>
      <c r="T783"/>
      <c r="U783" t="str">
        <f>IF($L783&gt;0,VLOOKUP($E783,Valida!$A$1:$G$270,6,FALSE),IF($M783&gt;=0,VLOOKUP($E783,Valida!$A$1:$G$270,7,FALSE)))</f>
        <v>(+/-) Ajustes por el incremento (disminución) de cuentas por pagar de origen comercial</v>
      </c>
      <c r="V783" s="190" t="str">
        <f>VLOOKUP(E783,Valida!$A$2:$K$271,4,FALSE)</f>
        <v>Trade and other payables</v>
      </c>
      <c r="W783" s="185" t="s">
        <v>2024</v>
      </c>
      <c r="X783" s="185" t="s">
        <v>2025</v>
      </c>
      <c r="Y783" s="185" t="s">
        <v>1789</v>
      </c>
      <c r="Z783"/>
    </row>
    <row r="784" spans="1:26">
      <c r="A784" s="185" t="s">
        <v>2054</v>
      </c>
      <c r="B784" s="185" t="s">
        <v>2295</v>
      </c>
      <c r="C784" s="185" t="s">
        <v>1792</v>
      </c>
      <c r="D784" s="185" t="s">
        <v>2296</v>
      </c>
      <c r="E784" s="185">
        <v>23359502</v>
      </c>
      <c r="F784" s="185" t="s">
        <v>547</v>
      </c>
      <c r="G784" s="185" t="s">
        <v>547</v>
      </c>
      <c r="H784" s="185" t="s">
        <v>1628</v>
      </c>
      <c r="I784" s="258" t="str">
        <f t="shared" si="37"/>
        <v>2</v>
      </c>
      <c r="J784" s="221">
        <f t="shared" si="38"/>
        <v>-3304883</v>
      </c>
      <c r="K784" s="258">
        <f t="shared" si="39"/>
        <v>3</v>
      </c>
      <c r="L784" s="188">
        <v>0</v>
      </c>
      <c r="M784" s="188">
        <v>3304883</v>
      </c>
      <c r="N784" s="189">
        <v>830062853</v>
      </c>
      <c r="O784" t="s">
        <v>2297</v>
      </c>
      <c r="P784" s="187">
        <v>45009.517592592601</v>
      </c>
      <c r="Q784" s="186">
        <v>8939</v>
      </c>
      <c r="R784" s="185" t="s">
        <v>433</v>
      </c>
      <c r="S784" s="185" t="s">
        <v>1564</v>
      </c>
      <c r="T784"/>
      <c r="U784" t="str">
        <f>IF($L784&gt;0,VLOOKUP($E784,Valida!$A$1:$G$270,6,FALSE),IF($M784&gt;=0,VLOOKUP($E784,Valida!$A$1:$G$270,7,FALSE)))</f>
        <v>(+/-) Ajustes por el incremento (disminución) de cuentas por pagar de origen comercial</v>
      </c>
      <c r="V784" s="190" t="str">
        <f>VLOOKUP(E784,Valida!$A$2:$K$271,4,FALSE)</f>
        <v>Trade and other payables</v>
      </c>
      <c r="W784" s="185" t="s">
        <v>2024</v>
      </c>
      <c r="X784" s="185" t="s">
        <v>2025</v>
      </c>
      <c r="Y784" s="185" t="s">
        <v>1789</v>
      </c>
      <c r="Z784"/>
    </row>
    <row r="785" spans="1:26">
      <c r="A785" s="185" t="s">
        <v>2298</v>
      </c>
      <c r="B785" s="185" t="s">
        <v>2299</v>
      </c>
      <c r="C785" s="185" t="s">
        <v>1785</v>
      </c>
      <c r="D785" s="185" t="s">
        <v>2300</v>
      </c>
      <c r="E785" s="185">
        <v>51602001</v>
      </c>
      <c r="F785" s="185" t="s">
        <v>416</v>
      </c>
      <c r="G785" s="185" t="s">
        <v>2232</v>
      </c>
      <c r="H785" s="185" t="s">
        <v>1515</v>
      </c>
      <c r="I785" s="258" t="str">
        <f t="shared" si="37"/>
        <v>5</v>
      </c>
      <c r="J785" s="221">
        <f t="shared" si="38"/>
        <v>1596762</v>
      </c>
      <c r="K785" s="258">
        <f t="shared" si="39"/>
        <v>3</v>
      </c>
      <c r="L785" s="188">
        <v>1596762</v>
      </c>
      <c r="M785" s="188">
        <v>0</v>
      </c>
      <c r="N785" s="189">
        <v>901513634</v>
      </c>
      <c r="O785" t="s">
        <v>2299</v>
      </c>
      <c r="P785" s="187">
        <v>45012.447361111103</v>
      </c>
      <c r="Q785" s="186">
        <v>8940</v>
      </c>
      <c r="R785" s="185" t="s">
        <v>6</v>
      </c>
      <c r="S785" s="185" t="s">
        <v>1518</v>
      </c>
      <c r="T785"/>
      <c r="U785" t="str">
        <f>IF($L785&gt;0,VLOOKUP($E785,Valida!$A$1:$G$270,6,FALSE),IF($M785&gt;=0,VLOOKUP($E785,Valida!$A$1:$G$270,7,FALSE)))</f>
        <v>(+/-) Ganancia (pérdida)</v>
      </c>
      <c r="V785" s="190" t="str">
        <f>VLOOKUP(E785,Valida!$A$2:$K$271,4,FALSE)</f>
        <v>P&amp;L</v>
      </c>
      <c r="W785" s="185" t="s">
        <v>1787</v>
      </c>
      <c r="X785" s="185" t="s">
        <v>1788</v>
      </c>
      <c r="Y785" s="185" t="s">
        <v>1789</v>
      </c>
      <c r="Z785"/>
    </row>
    <row r="786" spans="1:26">
      <c r="A786" s="185" t="s">
        <v>2298</v>
      </c>
      <c r="B786" s="185" t="s">
        <v>2299</v>
      </c>
      <c r="C786" s="185" t="s">
        <v>1785</v>
      </c>
      <c r="D786" s="185" t="s">
        <v>2300</v>
      </c>
      <c r="E786" s="185">
        <v>15922001</v>
      </c>
      <c r="F786" s="185" t="s">
        <v>416</v>
      </c>
      <c r="G786" s="185" t="s">
        <v>2232</v>
      </c>
      <c r="H786" s="185" t="s">
        <v>1628</v>
      </c>
      <c r="I786" s="258" t="str">
        <f t="shared" si="37"/>
        <v>1</v>
      </c>
      <c r="J786" s="221">
        <f t="shared" si="38"/>
        <v>-1596762</v>
      </c>
      <c r="K786" s="258">
        <f t="shared" si="39"/>
        <v>3</v>
      </c>
      <c r="L786" s="188">
        <v>0</v>
      </c>
      <c r="M786" s="188">
        <v>1596762</v>
      </c>
      <c r="N786" s="189">
        <v>901513634</v>
      </c>
      <c r="O786" t="s">
        <v>2299</v>
      </c>
      <c r="P786" s="187">
        <v>45012.447361111103</v>
      </c>
      <c r="Q786" s="186">
        <v>8941</v>
      </c>
      <c r="R786" s="185" t="s">
        <v>6</v>
      </c>
      <c r="S786" s="185" t="s">
        <v>1518</v>
      </c>
      <c r="T786"/>
      <c r="U786" t="str">
        <f>IF($L786&gt;0,VLOOKUP($E786,Valida!$A$1:$G$270,6,FALSE),IF($M786&gt;=0,VLOOKUP($E786,Valida!$A$1:$G$270,7,FALSE)))</f>
        <v>( + ) Ajustes por gastos de depreciación</v>
      </c>
      <c r="V786" s="190" t="str">
        <f>VLOOKUP(E786,Valida!$A$2:$K$271,4,FALSE)</f>
        <v>Depreciation</v>
      </c>
      <c r="W786" s="185" t="s">
        <v>1787</v>
      </c>
      <c r="X786" s="185" t="s">
        <v>1788</v>
      </c>
      <c r="Y786" s="185" t="s">
        <v>1789</v>
      </c>
      <c r="Z786"/>
    </row>
    <row r="787" spans="1:26">
      <c r="A787" s="185" t="s">
        <v>2298</v>
      </c>
      <c r="B787" s="185" t="s">
        <v>2299</v>
      </c>
      <c r="C787" s="185" t="s">
        <v>1785</v>
      </c>
      <c r="D787" s="185" t="s">
        <v>2300</v>
      </c>
      <c r="E787" s="185">
        <v>51602004</v>
      </c>
      <c r="F787" s="185" t="s">
        <v>404</v>
      </c>
      <c r="G787" s="185" t="s">
        <v>2236</v>
      </c>
      <c r="H787" s="185" t="s">
        <v>1515</v>
      </c>
      <c r="I787" s="258" t="str">
        <f t="shared" si="37"/>
        <v>5</v>
      </c>
      <c r="J787" s="221">
        <f t="shared" si="38"/>
        <v>163793</v>
      </c>
      <c r="K787" s="258">
        <f t="shared" si="39"/>
        <v>3</v>
      </c>
      <c r="L787" s="188">
        <v>163793</v>
      </c>
      <c r="M787" s="188">
        <v>0</v>
      </c>
      <c r="N787" s="189">
        <v>901513634</v>
      </c>
      <c r="O787" t="s">
        <v>2299</v>
      </c>
      <c r="P787" s="187">
        <v>45012.447361111103</v>
      </c>
      <c r="Q787" s="186">
        <v>8942</v>
      </c>
      <c r="R787" s="185" t="s">
        <v>6</v>
      </c>
      <c r="S787" s="185" t="s">
        <v>1518</v>
      </c>
      <c r="T787"/>
      <c r="U787" t="str">
        <f>IF($L787&gt;0,VLOOKUP($E787,Valida!$A$1:$G$270,6,FALSE),IF($M787&gt;=0,VLOOKUP($E787,Valida!$A$1:$G$270,7,FALSE)))</f>
        <v>(+/-) Ganancia (pérdida)</v>
      </c>
      <c r="V787" s="190" t="str">
        <f>VLOOKUP(E787,Valida!$A$2:$K$271,4,FALSE)</f>
        <v>P&amp;L</v>
      </c>
      <c r="W787" s="185" t="s">
        <v>1787</v>
      </c>
      <c r="X787" s="185" t="s">
        <v>1788</v>
      </c>
      <c r="Y787" s="185" t="s">
        <v>1789</v>
      </c>
      <c r="Z787"/>
    </row>
    <row r="788" spans="1:26">
      <c r="A788" s="185" t="s">
        <v>2298</v>
      </c>
      <c r="B788" s="185" t="s">
        <v>2299</v>
      </c>
      <c r="C788" s="185" t="s">
        <v>1785</v>
      </c>
      <c r="D788" s="185" t="s">
        <v>2300</v>
      </c>
      <c r="E788" s="185">
        <v>15922004</v>
      </c>
      <c r="F788" s="185" t="s">
        <v>404</v>
      </c>
      <c r="G788" s="185" t="s">
        <v>2236</v>
      </c>
      <c r="H788" s="185" t="s">
        <v>1628</v>
      </c>
      <c r="I788" s="258" t="str">
        <f t="shared" si="37"/>
        <v>1</v>
      </c>
      <c r="J788" s="221">
        <f t="shared" si="38"/>
        <v>-163793</v>
      </c>
      <c r="K788" s="258">
        <f t="shared" si="39"/>
        <v>3</v>
      </c>
      <c r="L788" s="188">
        <v>0</v>
      </c>
      <c r="M788" s="188">
        <v>163793</v>
      </c>
      <c r="N788" s="189">
        <v>901513634</v>
      </c>
      <c r="O788" t="s">
        <v>2299</v>
      </c>
      <c r="P788" s="187">
        <v>45012.447361111103</v>
      </c>
      <c r="Q788" s="186">
        <v>8943</v>
      </c>
      <c r="R788" s="185" t="s">
        <v>6</v>
      </c>
      <c r="S788" s="185" t="s">
        <v>1518</v>
      </c>
      <c r="T788"/>
      <c r="U788" t="str">
        <f>IF($L788&gt;0,VLOOKUP($E788,Valida!$A$1:$G$270,6,FALSE),IF($M788&gt;=0,VLOOKUP($E788,Valida!$A$1:$G$270,7,FALSE)))</f>
        <v>( + ) Ajustes por gastos de depreciación</v>
      </c>
      <c r="V788" s="190" t="str">
        <f>VLOOKUP(E788,Valida!$A$2:$K$271,4,FALSE)</f>
        <v>Depreciation</v>
      </c>
      <c r="W788" s="185" t="s">
        <v>1787</v>
      </c>
      <c r="X788" s="185" t="s">
        <v>1788</v>
      </c>
      <c r="Y788" s="185" t="s">
        <v>1789</v>
      </c>
      <c r="Z788"/>
    </row>
    <row r="789" spans="1:26">
      <c r="A789" s="185" t="s">
        <v>2298</v>
      </c>
      <c r="B789" s="185" t="s">
        <v>2301</v>
      </c>
      <c r="C789" s="185" t="s">
        <v>1792</v>
      </c>
      <c r="D789" s="185" t="s">
        <v>2302</v>
      </c>
      <c r="E789" s="185">
        <v>51401001</v>
      </c>
      <c r="F789" s="185" t="s">
        <v>2303</v>
      </c>
      <c r="G789" s="185" t="s">
        <v>2304</v>
      </c>
      <c r="H789" s="185" t="s">
        <v>1515</v>
      </c>
      <c r="I789" s="258" t="str">
        <f t="shared" si="37"/>
        <v>5</v>
      </c>
      <c r="J789" s="221">
        <f t="shared" si="38"/>
        <v>1480200</v>
      </c>
      <c r="K789" s="258">
        <f t="shared" si="39"/>
        <v>3</v>
      </c>
      <c r="L789" s="188">
        <v>1480200</v>
      </c>
      <c r="M789" s="188">
        <v>0</v>
      </c>
      <c r="N789" s="189">
        <v>860007322</v>
      </c>
      <c r="O789" t="s">
        <v>2305</v>
      </c>
      <c r="P789" s="187">
        <v>45012.450127314798</v>
      </c>
      <c r="Q789" s="186">
        <v>8944</v>
      </c>
      <c r="R789" s="185" t="s">
        <v>1841</v>
      </c>
      <c r="S789" s="185" t="s">
        <v>1566</v>
      </c>
      <c r="T789"/>
      <c r="U789" t="str">
        <f>IF($L789&gt;0,VLOOKUP($E789,Valida!$A$1:$G$270,6,FALSE),IF($M789&gt;=0,VLOOKUP($E789,Valida!$A$1:$G$270,7,FALSE)))</f>
        <v>(+/-) Ganancia (pérdida)</v>
      </c>
      <c r="V789" s="190" t="str">
        <f>VLOOKUP(E789,Valida!$A$2:$K$271,4,FALSE)</f>
        <v>P&amp;L</v>
      </c>
      <c r="W789" s="185" t="s">
        <v>2306</v>
      </c>
      <c r="X789" s="185"/>
      <c r="Y789" s="185" t="s">
        <v>1789</v>
      </c>
      <c r="Z789"/>
    </row>
    <row r="790" spans="1:26">
      <c r="A790" s="185" t="s">
        <v>2298</v>
      </c>
      <c r="B790" s="185" t="s">
        <v>2301</v>
      </c>
      <c r="C790" s="185" t="s">
        <v>1792</v>
      </c>
      <c r="D790" s="185" t="s">
        <v>2302</v>
      </c>
      <c r="E790" s="185">
        <v>23351001</v>
      </c>
      <c r="F790" s="185" t="s">
        <v>453</v>
      </c>
      <c r="G790" s="185" t="s">
        <v>2304</v>
      </c>
      <c r="H790" s="185" t="s">
        <v>1628</v>
      </c>
      <c r="I790" s="258" t="str">
        <f t="shared" si="37"/>
        <v>2</v>
      </c>
      <c r="J790" s="221">
        <f t="shared" si="38"/>
        <v>-1480200</v>
      </c>
      <c r="K790" s="258">
        <f t="shared" si="39"/>
        <v>3</v>
      </c>
      <c r="L790" s="188">
        <v>0</v>
      </c>
      <c r="M790" s="188">
        <v>1480200</v>
      </c>
      <c r="N790" s="189">
        <v>860007322</v>
      </c>
      <c r="O790" t="s">
        <v>2305</v>
      </c>
      <c r="P790" s="187">
        <v>45012.450127314798</v>
      </c>
      <c r="Q790" s="186">
        <v>8945</v>
      </c>
      <c r="R790" s="185" t="s">
        <v>1841</v>
      </c>
      <c r="S790" s="185" t="s">
        <v>1566</v>
      </c>
      <c r="T790"/>
      <c r="U790" t="str">
        <f>IF($L790&gt;0,VLOOKUP($E790,Valida!$A$1:$G$270,6,FALSE),IF($M790&gt;=0,VLOOKUP($E790,Valida!$A$1:$G$270,7,FALSE)))</f>
        <v>(+/-) Ajustes por el incremento (disminución) de cuentas por pagar de origen comercial</v>
      </c>
      <c r="V790" s="190" t="str">
        <f>VLOOKUP(E790,Valida!$A$2:$K$271,4,FALSE)</f>
        <v>Trade and other payables</v>
      </c>
      <c r="W790" s="185" t="s">
        <v>2306</v>
      </c>
      <c r="X790" s="185"/>
      <c r="Y790" s="185" t="s">
        <v>1789</v>
      </c>
      <c r="Z790"/>
    </row>
    <row r="791" spans="1:26">
      <c r="A791" s="185" t="s">
        <v>2241</v>
      </c>
      <c r="B791" s="185" t="s">
        <v>2307</v>
      </c>
      <c r="C791" s="185" t="s">
        <v>1890</v>
      </c>
      <c r="D791" s="185" t="s">
        <v>2308</v>
      </c>
      <c r="E791" s="185">
        <v>23355002</v>
      </c>
      <c r="F791" s="185" t="s">
        <v>506</v>
      </c>
      <c r="G791" s="185" t="s">
        <v>1921</v>
      </c>
      <c r="H791" s="185" t="s">
        <v>1515</v>
      </c>
      <c r="I791" s="258" t="str">
        <f t="shared" si="37"/>
        <v>2</v>
      </c>
      <c r="J791" s="221">
        <f t="shared" si="38"/>
        <v>116068.19</v>
      </c>
      <c r="K791" s="258">
        <f t="shared" si="39"/>
        <v>3</v>
      </c>
      <c r="L791" s="188">
        <v>116068.19</v>
      </c>
      <c r="M791" s="188">
        <v>0</v>
      </c>
      <c r="N791" s="189">
        <v>440493581</v>
      </c>
      <c r="O791" t="s">
        <v>2307</v>
      </c>
      <c r="P791" s="187">
        <v>45012.487546296303</v>
      </c>
      <c r="Q791" s="186">
        <v>8946</v>
      </c>
      <c r="R791" s="185"/>
      <c r="S791" s="185" t="s">
        <v>1546</v>
      </c>
      <c r="T791"/>
      <c r="U791" t="str">
        <f>IF($L791&gt;0,VLOOKUP($E791,Valida!$A$1:$G$270,6,FALSE),IF($M791&gt;=0,VLOOKUP($E791,Valida!$A$1:$G$270,7,FALSE)))</f>
        <v>(+/-) Ajustes por el incremento (disminución) de cuentas por pagar de origen comercial</v>
      </c>
      <c r="V791" s="190" t="str">
        <f>VLOOKUP(E791,Valida!$A$2:$K$271,4,FALSE)</f>
        <v>Trade and other payables</v>
      </c>
      <c r="W791" s="185" t="s">
        <v>1808</v>
      </c>
      <c r="X791" s="185"/>
      <c r="Y791" s="185"/>
      <c r="Z791"/>
    </row>
    <row r="792" spans="1:26">
      <c r="A792" s="185" t="s">
        <v>2241</v>
      </c>
      <c r="B792" s="185" t="s">
        <v>2307</v>
      </c>
      <c r="C792" s="185" t="s">
        <v>1890</v>
      </c>
      <c r="D792" s="185" t="s">
        <v>2308</v>
      </c>
      <c r="E792" s="185">
        <v>112005</v>
      </c>
      <c r="F792" s="185" t="s">
        <v>24</v>
      </c>
      <c r="G792" s="185" t="s">
        <v>1921</v>
      </c>
      <c r="H792" s="185" t="s">
        <v>1628</v>
      </c>
      <c r="I792" s="258" t="str">
        <f t="shared" si="37"/>
        <v>1</v>
      </c>
      <c r="J792" s="221">
        <f t="shared" si="38"/>
        <v>-116068.19</v>
      </c>
      <c r="K792" s="258">
        <f t="shared" si="39"/>
        <v>3</v>
      </c>
      <c r="L792" s="188">
        <v>0</v>
      </c>
      <c r="M792" s="188">
        <v>116068.19</v>
      </c>
      <c r="N792" s="189">
        <v>440493581</v>
      </c>
      <c r="O792" t="s">
        <v>2307</v>
      </c>
      <c r="P792" s="187">
        <v>45012.487546296303</v>
      </c>
      <c r="Q792" s="186">
        <v>8947</v>
      </c>
      <c r="R792" s="185"/>
      <c r="S792" s="185" t="s">
        <v>1546</v>
      </c>
      <c r="T792" t="s">
        <v>1894</v>
      </c>
      <c r="U792" t="str">
        <f>IF($L792&gt;0,VLOOKUP($E792,Valida!$A$1:$G$270,6,FALSE),IF($M792&gt;=0,VLOOKUP($E792,Valida!$A$1:$G$270,7,FALSE)))</f>
        <v>Disponible</v>
      </c>
      <c r="V792" s="190" t="str">
        <f>VLOOKUP(E792,Valida!$A$2:$K$271,4,FALSE)</f>
        <v>Cash and equivalents</v>
      </c>
      <c r="W792" s="185" t="s">
        <v>1808</v>
      </c>
      <c r="X792" s="185"/>
      <c r="Y792" s="185"/>
      <c r="Z792"/>
    </row>
    <row r="793" spans="1:26">
      <c r="A793" s="185" t="s">
        <v>2309</v>
      </c>
      <c r="B793" s="185" t="s">
        <v>2310</v>
      </c>
      <c r="C793" s="185" t="s">
        <v>1890</v>
      </c>
      <c r="D793" s="185" t="s">
        <v>2311</v>
      </c>
      <c r="E793" s="185">
        <v>112005</v>
      </c>
      <c r="F793" s="185" t="s">
        <v>24</v>
      </c>
      <c r="G793" s="185" t="s">
        <v>2312</v>
      </c>
      <c r="H793" s="185" t="s">
        <v>1628</v>
      </c>
      <c r="I793" s="258" t="str">
        <f t="shared" si="37"/>
        <v>1</v>
      </c>
      <c r="J793" s="221">
        <f t="shared" si="38"/>
        <v>-1856200</v>
      </c>
      <c r="K793" s="258">
        <f t="shared" si="39"/>
        <v>3</v>
      </c>
      <c r="L793" s="188">
        <v>0</v>
      </c>
      <c r="M793" s="188">
        <v>1856200</v>
      </c>
      <c r="N793" s="189">
        <v>860066942</v>
      </c>
      <c r="O793" t="s">
        <v>2310</v>
      </c>
      <c r="P793" s="187">
        <v>45012.529421296298</v>
      </c>
      <c r="Q793" s="186">
        <v>8951</v>
      </c>
      <c r="R793" s="185" t="s">
        <v>1814</v>
      </c>
      <c r="S793" s="185" t="s">
        <v>1574</v>
      </c>
      <c r="T793" t="s">
        <v>1894</v>
      </c>
      <c r="U793" t="str">
        <f>IF($L793&gt;0,VLOOKUP($E793,Valida!$A$1:$G$270,6,FALSE),IF($M793&gt;=0,VLOOKUP($E793,Valida!$A$1:$G$270,7,FALSE)))</f>
        <v>Disponible</v>
      </c>
      <c r="V793" s="190" t="str">
        <f>VLOOKUP(E793,Valida!$A$2:$K$271,4,FALSE)</f>
        <v>Cash and equivalents</v>
      </c>
      <c r="W793" s="185" t="s">
        <v>1914</v>
      </c>
      <c r="X793" s="185" t="s">
        <v>1915</v>
      </c>
      <c r="Y793" s="185" t="s">
        <v>1789</v>
      </c>
      <c r="Z793"/>
    </row>
    <row r="794" spans="1:26">
      <c r="A794" s="185" t="s">
        <v>2261</v>
      </c>
      <c r="B794" s="185" t="s">
        <v>2313</v>
      </c>
      <c r="C794" s="185" t="s">
        <v>1890</v>
      </c>
      <c r="D794" s="185" t="s">
        <v>2314</v>
      </c>
      <c r="E794" s="185">
        <v>236595</v>
      </c>
      <c r="F794" s="185" t="s">
        <v>648</v>
      </c>
      <c r="G794" s="185" t="s">
        <v>2315</v>
      </c>
      <c r="H794" s="185" t="s">
        <v>1515</v>
      </c>
      <c r="I794" s="258" t="str">
        <f t="shared" si="37"/>
        <v>2</v>
      </c>
      <c r="J794" s="221">
        <f t="shared" si="38"/>
        <v>905000</v>
      </c>
      <c r="K794" s="258">
        <f t="shared" si="39"/>
        <v>3</v>
      </c>
      <c r="L794" s="188">
        <v>905000</v>
      </c>
      <c r="M794" s="188">
        <v>0</v>
      </c>
      <c r="N794" s="189">
        <v>800197268</v>
      </c>
      <c r="O794" t="s">
        <v>2313</v>
      </c>
      <c r="P794" s="187">
        <v>45012.530185185198</v>
      </c>
      <c r="Q794" s="186">
        <v>8952</v>
      </c>
      <c r="R794" s="185" t="s">
        <v>983</v>
      </c>
      <c r="S794" s="185" t="s">
        <v>1558</v>
      </c>
      <c r="T794"/>
      <c r="U794" t="str">
        <f>IF($L794&gt;0,VLOOKUP($E794,Valida!$A$1:$G$270,6,FALSE),IF($M794&gt;=0,VLOOKUP($E794,Valida!$A$1:$G$270,7,FALSE)))</f>
        <v>(+/-) Ajustes por el incremento (disminución) de cuentas por pagar de origen comercial</v>
      </c>
      <c r="V794" s="190" t="str">
        <f>VLOOKUP(E794,Valida!$A$2:$K$271,4,FALSE)</f>
        <v>Trade and other payables</v>
      </c>
      <c r="W794" s="185" t="s">
        <v>1944</v>
      </c>
      <c r="X794" s="185"/>
      <c r="Y794" s="185" t="s">
        <v>1789</v>
      </c>
      <c r="Z794"/>
    </row>
    <row r="795" spans="1:26">
      <c r="A795" s="185" t="s">
        <v>2261</v>
      </c>
      <c r="B795" s="185" t="s">
        <v>2313</v>
      </c>
      <c r="C795" s="185" t="s">
        <v>1890</v>
      </c>
      <c r="D795" s="185" t="s">
        <v>2314</v>
      </c>
      <c r="E795" s="185">
        <v>112005</v>
      </c>
      <c r="F795" s="185" t="s">
        <v>24</v>
      </c>
      <c r="G795" s="185" t="s">
        <v>2315</v>
      </c>
      <c r="H795" s="185" t="s">
        <v>1628</v>
      </c>
      <c r="I795" s="258" t="str">
        <f t="shared" si="37"/>
        <v>1</v>
      </c>
      <c r="J795" s="221">
        <f t="shared" si="38"/>
        <v>-905000</v>
      </c>
      <c r="K795" s="258">
        <f t="shared" si="39"/>
        <v>3</v>
      </c>
      <c r="L795" s="188">
        <v>0</v>
      </c>
      <c r="M795" s="188">
        <v>905000</v>
      </c>
      <c r="N795" s="189">
        <v>800197268</v>
      </c>
      <c r="O795" t="s">
        <v>2313</v>
      </c>
      <c r="P795" s="187">
        <v>45012.530185185198</v>
      </c>
      <c r="Q795" s="186">
        <v>8953</v>
      </c>
      <c r="R795" s="185" t="s">
        <v>983</v>
      </c>
      <c r="S795" s="185" t="s">
        <v>1558</v>
      </c>
      <c r="T795" t="s">
        <v>1894</v>
      </c>
      <c r="U795" t="str">
        <f>IF($L795&gt;0,VLOOKUP($E795,Valida!$A$1:$G$270,6,FALSE),IF($M795&gt;=0,VLOOKUP($E795,Valida!$A$1:$G$270,7,FALSE)))</f>
        <v>Disponible</v>
      </c>
      <c r="V795" s="190" t="str">
        <f>VLOOKUP(E795,Valida!$A$2:$K$271,4,FALSE)</f>
        <v>Cash and equivalents</v>
      </c>
      <c r="W795" s="185" t="s">
        <v>1944</v>
      </c>
      <c r="X795" s="185"/>
      <c r="Y795" s="185" t="s">
        <v>1789</v>
      </c>
      <c r="Z795"/>
    </row>
    <row r="796" spans="1:26">
      <c r="A796" s="185" t="s">
        <v>2261</v>
      </c>
      <c r="B796" s="185" t="s">
        <v>2316</v>
      </c>
      <c r="C796" s="185" t="s">
        <v>1890</v>
      </c>
      <c r="D796" s="185" t="s">
        <v>2317</v>
      </c>
      <c r="E796" s="185">
        <v>23355006</v>
      </c>
      <c r="F796" s="185" t="s">
        <v>519</v>
      </c>
      <c r="G796" s="185" t="s">
        <v>2318</v>
      </c>
      <c r="H796" s="185" t="s">
        <v>1515</v>
      </c>
      <c r="I796" s="258" t="str">
        <f t="shared" si="37"/>
        <v>2</v>
      </c>
      <c r="J796" s="221">
        <f t="shared" si="38"/>
        <v>729327</v>
      </c>
      <c r="K796" s="258">
        <f t="shared" si="39"/>
        <v>3</v>
      </c>
      <c r="L796" s="188">
        <v>729327</v>
      </c>
      <c r="M796" s="188">
        <v>0</v>
      </c>
      <c r="N796" s="189">
        <v>900092385</v>
      </c>
      <c r="O796" t="s">
        <v>2316</v>
      </c>
      <c r="P796" s="187">
        <v>45012.531122685199</v>
      </c>
      <c r="Q796" s="186">
        <v>8954</v>
      </c>
      <c r="R796" s="185" t="s">
        <v>1841</v>
      </c>
      <c r="S796" s="185" t="s">
        <v>1590</v>
      </c>
      <c r="T796"/>
      <c r="U796" t="str">
        <f>IF($L796&gt;0,VLOOKUP($E796,Valida!$A$1:$G$270,6,FALSE),IF($M796&gt;=0,VLOOKUP($E796,Valida!$A$1:$G$270,7,FALSE)))</f>
        <v>(+/-) Ajustes por el incremento (disminución) de cuentas por pagar de origen comercial</v>
      </c>
      <c r="V796" s="190" t="str">
        <f>VLOOKUP(E796,Valida!$A$2:$K$271,4,FALSE)</f>
        <v>Trade and other payables</v>
      </c>
      <c r="W796" s="185" t="s">
        <v>1842</v>
      </c>
      <c r="X796" s="185" t="s">
        <v>1843</v>
      </c>
      <c r="Y796" s="185" t="s">
        <v>1844</v>
      </c>
      <c r="Z796"/>
    </row>
    <row r="797" spans="1:26">
      <c r="A797" s="185" t="s">
        <v>2261</v>
      </c>
      <c r="B797" s="185" t="s">
        <v>2316</v>
      </c>
      <c r="C797" s="185" t="s">
        <v>1890</v>
      </c>
      <c r="D797" s="185" t="s">
        <v>2317</v>
      </c>
      <c r="E797" s="185">
        <v>112005</v>
      </c>
      <c r="F797" s="185" t="s">
        <v>24</v>
      </c>
      <c r="G797" s="185" t="s">
        <v>2318</v>
      </c>
      <c r="H797" s="185" t="s">
        <v>1628</v>
      </c>
      <c r="I797" s="258" t="str">
        <f t="shared" si="37"/>
        <v>1</v>
      </c>
      <c r="J797" s="221">
        <f t="shared" si="38"/>
        <v>-729327</v>
      </c>
      <c r="K797" s="258">
        <f t="shared" si="39"/>
        <v>3</v>
      </c>
      <c r="L797" s="188">
        <v>0</v>
      </c>
      <c r="M797" s="188">
        <v>729327</v>
      </c>
      <c r="N797" s="189">
        <v>900092385</v>
      </c>
      <c r="O797" t="s">
        <v>2316</v>
      </c>
      <c r="P797" s="187">
        <v>45012.531122685199</v>
      </c>
      <c r="Q797" s="186">
        <v>8955</v>
      </c>
      <c r="R797" s="185" t="s">
        <v>1841</v>
      </c>
      <c r="S797" s="185" t="s">
        <v>1590</v>
      </c>
      <c r="T797" t="s">
        <v>1894</v>
      </c>
      <c r="U797" t="str">
        <f>IF($L797&gt;0,VLOOKUP($E797,Valida!$A$1:$G$270,6,FALSE),IF($M797&gt;=0,VLOOKUP($E797,Valida!$A$1:$G$270,7,FALSE)))</f>
        <v>Disponible</v>
      </c>
      <c r="V797" s="190" t="str">
        <f>VLOOKUP(E797,Valida!$A$2:$K$271,4,FALSE)</f>
        <v>Cash and equivalents</v>
      </c>
      <c r="W797" s="185" t="s">
        <v>1842</v>
      </c>
      <c r="X797" s="185" t="s">
        <v>1843</v>
      </c>
      <c r="Y797" s="185" t="s">
        <v>1844</v>
      </c>
      <c r="Z797"/>
    </row>
    <row r="798" spans="1:26">
      <c r="A798" s="185" t="s">
        <v>2261</v>
      </c>
      <c r="B798" s="185" t="s">
        <v>2319</v>
      </c>
      <c r="C798" s="185" t="s">
        <v>1890</v>
      </c>
      <c r="D798" s="185" t="s">
        <v>2320</v>
      </c>
      <c r="E798" s="185">
        <v>23355005</v>
      </c>
      <c r="F798" s="185" t="s">
        <v>516</v>
      </c>
      <c r="G798" s="185" t="s">
        <v>2321</v>
      </c>
      <c r="H798" s="185" t="s">
        <v>1515</v>
      </c>
      <c r="I798" s="258" t="str">
        <f t="shared" si="37"/>
        <v>2</v>
      </c>
      <c r="J798" s="221">
        <f t="shared" si="38"/>
        <v>4435160</v>
      </c>
      <c r="K798" s="258">
        <f t="shared" si="39"/>
        <v>3</v>
      </c>
      <c r="L798" s="188">
        <v>4435160</v>
      </c>
      <c r="M798" s="188">
        <v>0</v>
      </c>
      <c r="N798" s="189">
        <v>860063875</v>
      </c>
      <c r="O798" t="s">
        <v>2319</v>
      </c>
      <c r="P798" s="187">
        <v>45012.5379398148</v>
      </c>
      <c r="Q798" s="186">
        <v>8956</v>
      </c>
      <c r="R798" s="185" t="s">
        <v>1827</v>
      </c>
      <c r="S798" s="185" t="s">
        <v>1572</v>
      </c>
      <c r="T798"/>
      <c r="U798" t="str">
        <f>IF($L798&gt;0,VLOOKUP($E798,Valida!$A$1:$G$270,6,FALSE),IF($M798&gt;=0,VLOOKUP($E798,Valida!$A$1:$G$270,7,FALSE)))</f>
        <v>(+/-) Ajustes por el incremento (disminución) de cuentas por pagar de origen comercial</v>
      </c>
      <c r="V798" s="190" t="str">
        <f>VLOOKUP(E798,Valida!$A$2:$K$271,4,FALSE)</f>
        <v>Trade and other payables</v>
      </c>
      <c r="W798" s="185" t="s">
        <v>1835</v>
      </c>
      <c r="X798" s="185"/>
      <c r="Y798" s="185" t="s">
        <v>1789</v>
      </c>
      <c r="Z798"/>
    </row>
    <row r="799" spans="1:26">
      <c r="A799" s="185" t="s">
        <v>2261</v>
      </c>
      <c r="B799" s="185" t="s">
        <v>2319</v>
      </c>
      <c r="C799" s="185" t="s">
        <v>1890</v>
      </c>
      <c r="D799" s="185" t="s">
        <v>2320</v>
      </c>
      <c r="E799" s="185">
        <v>112005</v>
      </c>
      <c r="F799" s="185" t="s">
        <v>24</v>
      </c>
      <c r="G799" s="185" t="s">
        <v>2321</v>
      </c>
      <c r="H799" s="185" t="s">
        <v>1628</v>
      </c>
      <c r="I799" s="258" t="str">
        <f t="shared" si="37"/>
        <v>1</v>
      </c>
      <c r="J799" s="221">
        <f t="shared" si="38"/>
        <v>-4435160</v>
      </c>
      <c r="K799" s="258">
        <f t="shared" si="39"/>
        <v>3</v>
      </c>
      <c r="L799" s="188">
        <v>0</v>
      </c>
      <c r="M799" s="188">
        <v>4435160</v>
      </c>
      <c r="N799" s="189">
        <v>860063875</v>
      </c>
      <c r="O799" t="s">
        <v>2319</v>
      </c>
      <c r="P799" s="187">
        <v>45012.537951388898</v>
      </c>
      <c r="Q799" s="186">
        <v>8957</v>
      </c>
      <c r="R799" s="185" t="s">
        <v>1827</v>
      </c>
      <c r="S799" s="185" t="s">
        <v>1572</v>
      </c>
      <c r="T799" t="s">
        <v>1894</v>
      </c>
      <c r="U799" t="str">
        <f>IF($L799&gt;0,VLOOKUP($E799,Valida!$A$1:$G$270,6,FALSE),IF($M799&gt;=0,VLOOKUP($E799,Valida!$A$1:$G$270,7,FALSE)))</f>
        <v>Disponible</v>
      </c>
      <c r="V799" s="190" t="str">
        <f>VLOOKUP(E799,Valida!$A$2:$K$271,4,FALSE)</f>
        <v>Cash and equivalents</v>
      </c>
      <c r="W799" s="185" t="s">
        <v>1835</v>
      </c>
      <c r="X799" s="185"/>
      <c r="Y799" s="185" t="s">
        <v>1789</v>
      </c>
      <c r="Z799"/>
    </row>
    <row r="800" spans="1:26">
      <c r="A800" s="185" t="s">
        <v>2322</v>
      </c>
      <c r="B800" s="185" t="s">
        <v>2323</v>
      </c>
      <c r="C800" s="185" t="s">
        <v>1890</v>
      </c>
      <c r="D800" s="185" t="s">
        <v>2324</v>
      </c>
      <c r="E800" s="185">
        <v>23355007</v>
      </c>
      <c r="F800" s="185" t="s">
        <v>1638</v>
      </c>
      <c r="G800" s="185" t="s">
        <v>2325</v>
      </c>
      <c r="H800" s="185" t="s">
        <v>1515</v>
      </c>
      <c r="I800" s="258" t="str">
        <f t="shared" si="37"/>
        <v>2</v>
      </c>
      <c r="J800" s="221">
        <f t="shared" si="38"/>
        <v>114998.91</v>
      </c>
      <c r="K800" s="258">
        <f t="shared" si="39"/>
        <v>3</v>
      </c>
      <c r="L800" s="188">
        <v>114998.91</v>
      </c>
      <c r="M800" s="188">
        <v>0</v>
      </c>
      <c r="N800" s="189">
        <v>444444001</v>
      </c>
      <c r="O800" t="s">
        <v>2323</v>
      </c>
      <c r="P800" s="187">
        <v>45012.539004629602</v>
      </c>
      <c r="Q800" s="186">
        <v>8958</v>
      </c>
      <c r="R800" s="185"/>
      <c r="S800" s="185" t="s">
        <v>1548</v>
      </c>
      <c r="T800"/>
      <c r="U800" t="str">
        <f>IF($L800&gt;0,VLOOKUP($E800,Valida!$A$1:$G$270,6,FALSE),IF($M800&gt;=0,VLOOKUP($E800,Valida!$A$1:$G$270,7,FALSE)))</f>
        <v>(+/-) Ajustes por el incremento (disminución) de cuentas por pagar de origen comercial</v>
      </c>
      <c r="V800" s="190" t="str">
        <f>VLOOKUP(E800,Valida!$A$2:$K$271,4,FALSE)</f>
        <v>Trade and other payables</v>
      </c>
      <c r="W800" s="185"/>
      <c r="X800" s="185"/>
      <c r="Y800" s="185"/>
      <c r="Z800"/>
    </row>
    <row r="801" spans="1:26">
      <c r="A801" s="185" t="s">
        <v>2322</v>
      </c>
      <c r="B801" s="185" t="s">
        <v>2323</v>
      </c>
      <c r="C801" s="185" t="s">
        <v>1890</v>
      </c>
      <c r="D801" s="185" t="s">
        <v>2324</v>
      </c>
      <c r="E801" s="185">
        <v>112005</v>
      </c>
      <c r="F801" s="185" t="s">
        <v>24</v>
      </c>
      <c r="G801" s="185" t="s">
        <v>2325</v>
      </c>
      <c r="H801" s="185" t="s">
        <v>1628</v>
      </c>
      <c r="I801" s="258" t="str">
        <f t="shared" si="37"/>
        <v>1</v>
      </c>
      <c r="J801" s="221">
        <f t="shared" si="38"/>
        <v>-114998.91</v>
      </c>
      <c r="K801" s="258">
        <f t="shared" si="39"/>
        <v>3</v>
      </c>
      <c r="L801" s="188">
        <v>0</v>
      </c>
      <c r="M801" s="188">
        <v>114998.91</v>
      </c>
      <c r="N801" s="189">
        <v>444444001</v>
      </c>
      <c r="O801" t="s">
        <v>2323</v>
      </c>
      <c r="P801" s="187">
        <v>45012.539004629602</v>
      </c>
      <c r="Q801" s="186">
        <v>8959</v>
      </c>
      <c r="R801" s="185"/>
      <c r="S801" s="185" t="s">
        <v>1548</v>
      </c>
      <c r="T801" t="s">
        <v>1894</v>
      </c>
      <c r="U801" t="str">
        <f>IF($L801&gt;0,VLOOKUP($E801,Valida!$A$1:$G$270,6,FALSE),IF($M801&gt;=0,VLOOKUP($E801,Valida!$A$1:$G$270,7,FALSE)))</f>
        <v>Disponible</v>
      </c>
      <c r="V801" s="190" t="str">
        <f>VLOOKUP(E801,Valida!$A$2:$K$271,4,FALSE)</f>
        <v>Cash and equivalents</v>
      </c>
      <c r="W801" s="185"/>
      <c r="X801" s="185"/>
      <c r="Y801" s="185"/>
      <c r="Z801"/>
    </row>
    <row r="802" spans="1:26">
      <c r="A802" s="185" t="s">
        <v>2326</v>
      </c>
      <c r="B802" s="185" t="s">
        <v>2327</v>
      </c>
      <c r="C802" s="185" t="s">
        <v>1890</v>
      </c>
      <c r="D802" s="185" t="s">
        <v>2328</v>
      </c>
      <c r="E802" s="185">
        <v>23359502</v>
      </c>
      <c r="F802" s="185" t="s">
        <v>547</v>
      </c>
      <c r="G802" s="185" t="s">
        <v>2329</v>
      </c>
      <c r="H802" s="185" t="s">
        <v>1515</v>
      </c>
      <c r="I802" s="258" t="str">
        <f t="shared" si="37"/>
        <v>2</v>
      </c>
      <c r="J802" s="221">
        <f t="shared" si="38"/>
        <v>3304883</v>
      </c>
      <c r="K802" s="258">
        <f t="shared" si="39"/>
        <v>3</v>
      </c>
      <c r="L802" s="188">
        <v>3304883</v>
      </c>
      <c r="M802" s="188">
        <v>0</v>
      </c>
      <c r="N802" s="189">
        <v>830062853</v>
      </c>
      <c r="O802" t="s">
        <v>2327</v>
      </c>
      <c r="P802" s="187">
        <v>45012.5411805556</v>
      </c>
      <c r="Q802" s="186">
        <v>8960</v>
      </c>
      <c r="R802" s="185" t="s">
        <v>433</v>
      </c>
      <c r="S802" s="185" t="s">
        <v>1564</v>
      </c>
      <c r="T802"/>
      <c r="U802" t="str">
        <f>IF($L802&gt;0,VLOOKUP($E802,Valida!$A$1:$G$270,6,FALSE),IF($M802&gt;=0,VLOOKUP($E802,Valida!$A$1:$G$270,7,FALSE)))</f>
        <v>(+/-) Ajustes por el incremento (disminución) de cuentas por pagar de origen comercial</v>
      </c>
      <c r="V802" s="190" t="str">
        <f>VLOOKUP(E802,Valida!$A$2:$K$271,4,FALSE)</f>
        <v>Trade and other payables</v>
      </c>
      <c r="W802" s="185" t="s">
        <v>2024</v>
      </c>
      <c r="X802" s="185" t="s">
        <v>2025</v>
      </c>
      <c r="Y802" s="185" t="s">
        <v>1789</v>
      </c>
      <c r="Z802"/>
    </row>
    <row r="803" spans="1:26">
      <c r="A803" s="185" t="s">
        <v>2326</v>
      </c>
      <c r="B803" s="185" t="s">
        <v>2327</v>
      </c>
      <c r="C803" s="185" t="s">
        <v>1890</v>
      </c>
      <c r="D803" s="185" t="s">
        <v>2328</v>
      </c>
      <c r="E803" s="185">
        <v>112005</v>
      </c>
      <c r="F803" s="185" t="s">
        <v>24</v>
      </c>
      <c r="G803" s="185" t="s">
        <v>2329</v>
      </c>
      <c r="H803" s="185" t="s">
        <v>1628</v>
      </c>
      <c r="I803" s="258" t="str">
        <f t="shared" si="37"/>
        <v>1</v>
      </c>
      <c r="J803" s="221">
        <f t="shared" si="38"/>
        <v>-3304883</v>
      </c>
      <c r="K803" s="258">
        <f t="shared" si="39"/>
        <v>3</v>
      </c>
      <c r="L803" s="188">
        <v>0</v>
      </c>
      <c r="M803" s="188">
        <v>3304883</v>
      </c>
      <c r="N803" s="189">
        <v>830062853</v>
      </c>
      <c r="O803" t="s">
        <v>2327</v>
      </c>
      <c r="P803" s="187">
        <v>45012.5411805556</v>
      </c>
      <c r="Q803" s="186">
        <v>8961</v>
      </c>
      <c r="R803" s="185" t="s">
        <v>433</v>
      </c>
      <c r="S803" s="185" t="s">
        <v>1564</v>
      </c>
      <c r="T803" t="s">
        <v>1894</v>
      </c>
      <c r="U803" t="str">
        <f>IF($L803&gt;0,VLOOKUP($E803,Valida!$A$1:$G$270,6,FALSE),IF($M803&gt;=0,VLOOKUP($E803,Valida!$A$1:$G$270,7,FALSE)))</f>
        <v>Disponible</v>
      </c>
      <c r="V803" s="190" t="str">
        <f>VLOOKUP(E803,Valida!$A$2:$K$271,4,FALSE)</f>
        <v>Cash and equivalents</v>
      </c>
      <c r="W803" s="185" t="s">
        <v>2024</v>
      </c>
      <c r="X803" s="185" t="s">
        <v>2025</v>
      </c>
      <c r="Y803" s="185" t="s">
        <v>1789</v>
      </c>
      <c r="Z803"/>
    </row>
    <row r="804" spans="1:26">
      <c r="A804" s="185" t="s">
        <v>2167</v>
      </c>
      <c r="B804" s="185" t="s">
        <v>2168</v>
      </c>
      <c r="C804" s="185" t="s">
        <v>1890</v>
      </c>
      <c r="D804" s="185" t="s">
        <v>2169</v>
      </c>
      <c r="E804" s="185">
        <v>53059510</v>
      </c>
      <c r="F804" s="185" t="s">
        <v>1065</v>
      </c>
      <c r="G804" s="185" t="s">
        <v>1921</v>
      </c>
      <c r="H804" s="185" t="s">
        <v>1515</v>
      </c>
      <c r="I804" s="258" t="str">
        <f t="shared" si="37"/>
        <v>5</v>
      </c>
      <c r="J804" s="221">
        <f t="shared" si="38"/>
        <v>50</v>
      </c>
      <c r="K804" s="258">
        <f t="shared" si="39"/>
        <v>2</v>
      </c>
      <c r="L804" s="188">
        <v>50</v>
      </c>
      <c r="M804" s="188">
        <v>0</v>
      </c>
      <c r="N804" s="189">
        <v>830062853</v>
      </c>
      <c r="O804" t="s">
        <v>2168</v>
      </c>
      <c r="P804" s="187">
        <v>45012</v>
      </c>
      <c r="Q804" s="186">
        <v>8962</v>
      </c>
      <c r="R804" s="185" t="s">
        <v>433</v>
      </c>
      <c r="S804" s="185" t="s">
        <v>1564</v>
      </c>
      <c r="T804"/>
      <c r="U804" t="str">
        <f>IF($L804&gt;0,VLOOKUP($E804,Valida!$A$1:$G$270,6,FALSE),IF($M804&gt;=0,VLOOKUP($E804,Valida!$A$1:$G$270,7,FALSE)))</f>
        <v>(+/-) Ganancia (pérdida)</v>
      </c>
      <c r="V804" s="190" t="str">
        <f>VLOOKUP(E804,Valida!$A$2:$K$271,4,FALSE)</f>
        <v>P&amp;L</v>
      </c>
      <c r="W804" s="185" t="s">
        <v>2024</v>
      </c>
      <c r="X804" s="185" t="s">
        <v>2025</v>
      </c>
      <c r="Y804" s="185" t="s">
        <v>1789</v>
      </c>
      <c r="Z804"/>
    </row>
    <row r="805" spans="1:26">
      <c r="A805" s="185" t="s">
        <v>2298</v>
      </c>
      <c r="B805" s="185" t="s">
        <v>2330</v>
      </c>
      <c r="C805" s="185" t="s">
        <v>1785</v>
      </c>
      <c r="D805" s="185" t="s">
        <v>2331</v>
      </c>
      <c r="E805" s="185">
        <v>23355002</v>
      </c>
      <c r="F805" s="185" t="s">
        <v>506</v>
      </c>
      <c r="G805" s="185" t="s">
        <v>2332</v>
      </c>
      <c r="H805" s="185" t="s">
        <v>1515</v>
      </c>
      <c r="I805" s="258" t="str">
        <f t="shared" si="37"/>
        <v>2</v>
      </c>
      <c r="J805" s="221">
        <f t="shared" si="38"/>
        <v>3955088</v>
      </c>
      <c r="K805" s="258">
        <f t="shared" si="39"/>
        <v>3</v>
      </c>
      <c r="L805" s="188">
        <v>3955088</v>
      </c>
      <c r="M805" s="188">
        <v>0</v>
      </c>
      <c r="N805" s="189">
        <v>860044821</v>
      </c>
      <c r="O805" t="s">
        <v>2330</v>
      </c>
      <c r="P805" s="187">
        <v>45012.549583333297</v>
      </c>
      <c r="Q805" s="186">
        <v>8963</v>
      </c>
      <c r="R805" s="185" t="s">
        <v>6</v>
      </c>
      <c r="S805" s="185" t="s">
        <v>1570</v>
      </c>
      <c r="T805"/>
      <c r="U805" t="str">
        <f>IF($L805&gt;0,VLOOKUP($E805,Valida!$A$1:$G$270,6,FALSE),IF($M805&gt;=0,VLOOKUP($E805,Valida!$A$1:$G$270,7,FALSE)))</f>
        <v>(+/-) Ajustes por el incremento (disminución) de cuentas por pagar de origen comercial</v>
      </c>
      <c r="V805" s="190" t="str">
        <f>VLOOKUP(E805,Valida!$A$2:$K$271,4,FALSE)</f>
        <v>Trade and other payables</v>
      </c>
      <c r="W805" s="185" t="s">
        <v>2048</v>
      </c>
      <c r="X805" s="185"/>
      <c r="Y805" s="185" t="s">
        <v>1789</v>
      </c>
      <c r="Z805"/>
    </row>
    <row r="806" spans="1:26">
      <c r="A806" s="185" t="s">
        <v>2298</v>
      </c>
      <c r="B806" s="185" t="s">
        <v>2330</v>
      </c>
      <c r="C806" s="185" t="s">
        <v>1785</v>
      </c>
      <c r="D806" s="185" t="s">
        <v>2331</v>
      </c>
      <c r="E806" s="185">
        <v>23354001</v>
      </c>
      <c r="F806" s="185" t="s">
        <v>484</v>
      </c>
      <c r="G806" s="185" t="s">
        <v>2332</v>
      </c>
      <c r="H806" s="185" t="s">
        <v>1628</v>
      </c>
      <c r="I806" s="258" t="str">
        <f t="shared" si="37"/>
        <v>2</v>
      </c>
      <c r="J806" s="221">
        <f t="shared" si="38"/>
        <v>-3955088</v>
      </c>
      <c r="K806" s="258">
        <f t="shared" si="39"/>
        <v>3</v>
      </c>
      <c r="L806" s="188">
        <v>0</v>
      </c>
      <c r="M806" s="188">
        <v>3955088</v>
      </c>
      <c r="N806" s="189">
        <v>860044821</v>
      </c>
      <c r="O806" t="s">
        <v>2330</v>
      </c>
      <c r="P806" s="187">
        <v>45012.549583333297</v>
      </c>
      <c r="Q806" s="186">
        <v>8964</v>
      </c>
      <c r="R806" s="185" t="s">
        <v>6</v>
      </c>
      <c r="S806" s="185" t="s">
        <v>1570</v>
      </c>
      <c r="T806"/>
      <c r="U806" t="str">
        <f>IF($L806&gt;0,VLOOKUP($E806,Valida!$A$1:$G$270,6,FALSE),IF($M806&gt;=0,VLOOKUP($E806,Valida!$A$1:$G$270,7,FALSE)))</f>
        <v>(+/-) Ajustes por el incremento (disminución) de cuentas por pagar de origen comercial</v>
      </c>
      <c r="V806" s="190" t="str">
        <f>VLOOKUP(E806,Valida!$A$2:$K$271,4,FALSE)</f>
        <v>Trade and other payables</v>
      </c>
      <c r="W806" s="185" t="s">
        <v>2048</v>
      </c>
      <c r="X806" s="185"/>
      <c r="Y806" s="185" t="s">
        <v>1789</v>
      </c>
      <c r="Z806"/>
    </row>
    <row r="807" spans="1:26">
      <c r="A807" s="185" t="s">
        <v>2333</v>
      </c>
      <c r="B807" s="185" t="s">
        <v>2334</v>
      </c>
      <c r="C807" s="185" t="s">
        <v>1890</v>
      </c>
      <c r="D807" s="185" t="s">
        <v>2335</v>
      </c>
      <c r="E807" s="185">
        <v>23354001</v>
      </c>
      <c r="F807" s="185" t="s">
        <v>484</v>
      </c>
      <c r="G807" s="185" t="s">
        <v>2336</v>
      </c>
      <c r="H807" s="185" t="s">
        <v>1515</v>
      </c>
      <c r="I807" s="258" t="str">
        <f t="shared" si="37"/>
        <v>2</v>
      </c>
      <c r="J807" s="221">
        <f t="shared" si="38"/>
        <v>3955088</v>
      </c>
      <c r="K807" s="258">
        <f t="shared" si="39"/>
        <v>3</v>
      </c>
      <c r="L807" s="188">
        <v>3955088</v>
      </c>
      <c r="M807" s="188">
        <v>0</v>
      </c>
      <c r="N807" s="189">
        <v>860044821</v>
      </c>
      <c r="O807" t="s">
        <v>2334</v>
      </c>
      <c r="P807" s="187">
        <v>45012.550520833298</v>
      </c>
      <c r="Q807" s="186">
        <v>8965</v>
      </c>
      <c r="R807" s="185" t="s">
        <v>6</v>
      </c>
      <c r="S807" s="185" t="s">
        <v>1570</v>
      </c>
      <c r="T807"/>
      <c r="U807" t="str">
        <f>IF($L807&gt;0,VLOOKUP($E807,Valida!$A$1:$G$270,6,FALSE),IF($M807&gt;=0,VLOOKUP($E807,Valida!$A$1:$G$270,7,FALSE)))</f>
        <v>(+/-) Ajustes por el incremento (disminución) de cuentas por pagar de origen comercial</v>
      </c>
      <c r="V807" s="190" t="str">
        <f>VLOOKUP(E807,Valida!$A$2:$K$271,4,FALSE)</f>
        <v>Trade and other payables</v>
      </c>
      <c r="W807" s="185" t="s">
        <v>2048</v>
      </c>
      <c r="X807" s="185"/>
      <c r="Y807" s="185" t="s">
        <v>1789</v>
      </c>
      <c r="Z807"/>
    </row>
    <row r="808" spans="1:26">
      <c r="A808" s="185" t="s">
        <v>2333</v>
      </c>
      <c r="B808" s="185" t="s">
        <v>2334</v>
      </c>
      <c r="C808" s="185" t="s">
        <v>1890</v>
      </c>
      <c r="D808" s="185" t="s">
        <v>2335</v>
      </c>
      <c r="E808" s="185">
        <v>112005</v>
      </c>
      <c r="F808" s="185" t="s">
        <v>24</v>
      </c>
      <c r="G808" s="185" t="s">
        <v>2336</v>
      </c>
      <c r="H808" s="185" t="s">
        <v>1628</v>
      </c>
      <c r="I808" s="258" t="str">
        <f t="shared" si="37"/>
        <v>1</v>
      </c>
      <c r="J808" s="221">
        <f t="shared" si="38"/>
        <v>-3955088</v>
      </c>
      <c r="K808" s="258">
        <f t="shared" si="39"/>
        <v>3</v>
      </c>
      <c r="L808" s="188">
        <v>0</v>
      </c>
      <c r="M808" s="188">
        <v>3955088</v>
      </c>
      <c r="N808" s="189">
        <v>860044821</v>
      </c>
      <c r="O808" t="s">
        <v>2334</v>
      </c>
      <c r="P808" s="187">
        <v>45012.550520833298</v>
      </c>
      <c r="Q808" s="186">
        <v>8966</v>
      </c>
      <c r="R808" s="185" t="s">
        <v>6</v>
      </c>
      <c r="S808" s="185" t="s">
        <v>1570</v>
      </c>
      <c r="T808" t="s">
        <v>1894</v>
      </c>
      <c r="U808" t="str">
        <f>IF($L808&gt;0,VLOOKUP($E808,Valida!$A$1:$G$270,6,FALSE),IF($M808&gt;=0,VLOOKUP($E808,Valida!$A$1:$G$270,7,FALSE)))</f>
        <v>Disponible</v>
      </c>
      <c r="V808" s="190" t="str">
        <f>VLOOKUP(E808,Valida!$A$2:$K$271,4,FALSE)</f>
        <v>Cash and equivalents</v>
      </c>
      <c r="W808" s="185" t="s">
        <v>2048</v>
      </c>
      <c r="X808" s="185"/>
      <c r="Y808" s="185" t="s">
        <v>1789</v>
      </c>
      <c r="Z808"/>
    </row>
    <row r="809" spans="1:26">
      <c r="A809" s="185" t="s">
        <v>2333</v>
      </c>
      <c r="B809" s="185" t="s">
        <v>2337</v>
      </c>
      <c r="C809" s="185" t="s">
        <v>1890</v>
      </c>
      <c r="D809" s="185" t="s">
        <v>2338</v>
      </c>
      <c r="E809" s="185">
        <v>23354001</v>
      </c>
      <c r="F809" s="185" t="s">
        <v>484</v>
      </c>
      <c r="G809" s="185" t="s">
        <v>2332</v>
      </c>
      <c r="H809" s="185" t="s">
        <v>1515</v>
      </c>
      <c r="I809" s="258" t="str">
        <f t="shared" si="37"/>
        <v>2</v>
      </c>
      <c r="J809" s="221">
        <f t="shared" si="38"/>
        <v>14603085</v>
      </c>
      <c r="K809" s="258">
        <f t="shared" si="39"/>
        <v>3</v>
      </c>
      <c r="L809" s="188">
        <v>14603085</v>
      </c>
      <c r="M809" s="188">
        <v>0</v>
      </c>
      <c r="N809" s="189">
        <v>900471482</v>
      </c>
      <c r="O809" t="s">
        <v>2337</v>
      </c>
      <c r="P809" s="187">
        <v>45012.551481481503</v>
      </c>
      <c r="Q809" s="186">
        <v>8967</v>
      </c>
      <c r="R809" s="185" t="s">
        <v>6</v>
      </c>
      <c r="S809" s="185" t="s">
        <v>1600</v>
      </c>
      <c r="T809"/>
      <c r="U809" t="str">
        <f>IF($L809&gt;0,VLOOKUP($E809,Valida!$A$1:$G$270,6,FALSE),IF($M809&gt;=0,VLOOKUP($E809,Valida!$A$1:$G$270,7,FALSE)))</f>
        <v>(+/-) Ajustes por el incremento (disminución) de cuentas por pagar de origen comercial</v>
      </c>
      <c r="V809" s="190" t="str">
        <f>VLOOKUP(E809,Valida!$A$2:$K$271,4,FALSE)</f>
        <v>Trade and other payables</v>
      </c>
      <c r="W809" s="185" t="s">
        <v>1853</v>
      </c>
      <c r="X809" s="185" t="s">
        <v>1854</v>
      </c>
      <c r="Y809" s="185" t="s">
        <v>1789</v>
      </c>
      <c r="Z809"/>
    </row>
    <row r="810" spans="1:26">
      <c r="A810" s="185" t="s">
        <v>2333</v>
      </c>
      <c r="B810" s="185" t="s">
        <v>2337</v>
      </c>
      <c r="C810" s="185" t="s">
        <v>1890</v>
      </c>
      <c r="D810" s="185" t="s">
        <v>2338</v>
      </c>
      <c r="E810" s="185">
        <v>112005</v>
      </c>
      <c r="F810" s="185" t="s">
        <v>24</v>
      </c>
      <c r="G810" s="185" t="s">
        <v>2332</v>
      </c>
      <c r="H810" s="185" t="s">
        <v>1628</v>
      </c>
      <c r="I810" s="258" t="str">
        <f t="shared" si="37"/>
        <v>1</v>
      </c>
      <c r="J810" s="221">
        <f t="shared" si="38"/>
        <v>-14603085</v>
      </c>
      <c r="K810" s="258">
        <f t="shared" si="39"/>
        <v>3</v>
      </c>
      <c r="L810" s="188">
        <v>0</v>
      </c>
      <c r="M810" s="188">
        <v>14603085</v>
      </c>
      <c r="N810" s="189">
        <v>900471482</v>
      </c>
      <c r="O810" t="s">
        <v>2337</v>
      </c>
      <c r="P810" s="187">
        <v>45012.551481481503</v>
      </c>
      <c r="Q810" s="186">
        <v>8968</v>
      </c>
      <c r="R810" s="185" t="s">
        <v>6</v>
      </c>
      <c r="S810" s="185" t="s">
        <v>1600</v>
      </c>
      <c r="T810" t="s">
        <v>1894</v>
      </c>
      <c r="U810" t="str">
        <f>IF($L810&gt;0,VLOOKUP($E810,Valida!$A$1:$G$270,6,FALSE),IF($M810&gt;=0,VLOOKUP($E810,Valida!$A$1:$G$270,7,FALSE)))</f>
        <v>Disponible</v>
      </c>
      <c r="V810" s="190" t="str">
        <f>VLOOKUP(E810,Valida!$A$2:$K$271,4,FALSE)</f>
        <v>Cash and equivalents</v>
      </c>
      <c r="W810" s="185" t="s">
        <v>1853</v>
      </c>
      <c r="X810" s="185" t="s">
        <v>1854</v>
      </c>
      <c r="Y810" s="185" t="s">
        <v>1789</v>
      </c>
      <c r="Z810"/>
    </row>
    <row r="811" spans="1:26">
      <c r="A811" s="185" t="s">
        <v>2333</v>
      </c>
      <c r="B811" s="185" t="s">
        <v>2339</v>
      </c>
      <c r="C811" s="185" t="s">
        <v>1890</v>
      </c>
      <c r="D811" s="185" t="s">
        <v>2340</v>
      </c>
      <c r="E811" s="185">
        <v>250505</v>
      </c>
      <c r="F811" s="185" t="s">
        <v>767</v>
      </c>
      <c r="G811" s="185" t="s">
        <v>2341</v>
      </c>
      <c r="H811" s="185" t="s">
        <v>1515</v>
      </c>
      <c r="I811" s="258" t="str">
        <f t="shared" si="37"/>
        <v>2</v>
      </c>
      <c r="J811" s="221">
        <f t="shared" si="38"/>
        <v>927079</v>
      </c>
      <c r="K811" s="258">
        <f t="shared" si="39"/>
        <v>3</v>
      </c>
      <c r="L811" s="188">
        <v>927079</v>
      </c>
      <c r="M811" s="188">
        <v>0</v>
      </c>
      <c r="N811" s="189">
        <v>1000036375</v>
      </c>
      <c r="O811" t="s">
        <v>2339</v>
      </c>
      <c r="P811" s="187">
        <v>45012.644097222197</v>
      </c>
      <c r="Q811" s="186">
        <v>8969</v>
      </c>
      <c r="R811" s="185"/>
      <c r="S811" s="185" t="s">
        <v>1524</v>
      </c>
      <c r="T811"/>
      <c r="U811" t="str">
        <f>IF($L811&gt;0,VLOOKUP($E811,Valida!$A$1:$G$270,6,FALSE),IF($M811&gt;=0,VLOOKUP($E811,Valida!$A$1:$G$270,7,FALSE)))</f>
        <v>(+/-) Ajustes por el incremento (disminución) de cuentas por pagar de origen comercial</v>
      </c>
      <c r="V811" s="190" t="str">
        <f>VLOOKUP(E811,Valida!$A$2:$K$271,4,FALSE)</f>
        <v>Trade and other payables</v>
      </c>
      <c r="W811" s="185" t="s">
        <v>1983</v>
      </c>
      <c r="X811" s="185"/>
      <c r="Y811" s="185" t="s">
        <v>1789</v>
      </c>
      <c r="Z811"/>
    </row>
    <row r="812" spans="1:26">
      <c r="A812" s="185" t="s">
        <v>2333</v>
      </c>
      <c r="B812" s="185" t="s">
        <v>2339</v>
      </c>
      <c r="C812" s="185" t="s">
        <v>1890</v>
      </c>
      <c r="D812" s="185" t="s">
        <v>2340</v>
      </c>
      <c r="E812" s="185">
        <v>112005</v>
      </c>
      <c r="F812" s="185" t="s">
        <v>24</v>
      </c>
      <c r="G812" s="185" t="s">
        <v>2341</v>
      </c>
      <c r="H812" s="185" t="s">
        <v>1628</v>
      </c>
      <c r="I812" s="258" t="str">
        <f t="shared" si="37"/>
        <v>1</v>
      </c>
      <c r="J812" s="221">
        <f t="shared" si="38"/>
        <v>-927079</v>
      </c>
      <c r="K812" s="258">
        <f t="shared" si="39"/>
        <v>3</v>
      </c>
      <c r="L812" s="188">
        <v>0</v>
      </c>
      <c r="M812" s="188">
        <v>927079</v>
      </c>
      <c r="N812" s="189">
        <v>1000036375</v>
      </c>
      <c r="O812" t="s">
        <v>2339</v>
      </c>
      <c r="P812" s="187">
        <v>45012.644097222197</v>
      </c>
      <c r="Q812" s="186">
        <v>8970</v>
      </c>
      <c r="R812" s="185"/>
      <c r="S812" s="185" t="s">
        <v>1524</v>
      </c>
      <c r="T812" t="s">
        <v>1894</v>
      </c>
      <c r="U812" t="str">
        <f>IF($L812&gt;0,VLOOKUP($E812,Valida!$A$1:$G$270,6,FALSE),IF($M812&gt;=0,VLOOKUP($E812,Valida!$A$1:$G$270,7,FALSE)))</f>
        <v>Disponible</v>
      </c>
      <c r="V812" s="190" t="str">
        <f>VLOOKUP(E812,Valida!$A$2:$K$271,4,FALSE)</f>
        <v>Cash and equivalents</v>
      </c>
      <c r="W812" s="185" t="s">
        <v>1983</v>
      </c>
      <c r="X812" s="185"/>
      <c r="Y812" s="185" t="s">
        <v>1789</v>
      </c>
      <c r="Z812"/>
    </row>
    <row r="813" spans="1:26">
      <c r="A813" s="185" t="s">
        <v>2333</v>
      </c>
      <c r="B813" s="185" t="s">
        <v>2342</v>
      </c>
      <c r="C813" s="185" t="s">
        <v>1890</v>
      </c>
      <c r="D813" s="185" t="s">
        <v>2343</v>
      </c>
      <c r="E813" s="185">
        <v>23359502</v>
      </c>
      <c r="F813" s="185" t="s">
        <v>547</v>
      </c>
      <c r="G813" s="185" t="s">
        <v>1921</v>
      </c>
      <c r="H813" s="185" t="s">
        <v>1515</v>
      </c>
      <c r="I813" s="258" t="str">
        <f t="shared" si="37"/>
        <v>2</v>
      </c>
      <c r="J813" s="221">
        <f t="shared" si="38"/>
        <v>122016</v>
      </c>
      <c r="K813" s="258">
        <f t="shared" si="39"/>
        <v>3</v>
      </c>
      <c r="L813" s="188">
        <v>122016</v>
      </c>
      <c r="M813" s="188">
        <v>0</v>
      </c>
      <c r="N813" s="189">
        <v>900424409</v>
      </c>
      <c r="O813" t="s">
        <v>2342</v>
      </c>
      <c r="P813" s="187">
        <v>45012.649907407402</v>
      </c>
      <c r="Q813" s="186">
        <v>8971</v>
      </c>
      <c r="R813" s="185" t="s">
        <v>844</v>
      </c>
      <c r="S813" s="185" t="s">
        <v>1598</v>
      </c>
      <c r="T813"/>
      <c r="U813" t="str">
        <f>IF($L813&gt;0,VLOOKUP($E813,Valida!$A$1:$G$270,6,FALSE),IF($M813&gt;=0,VLOOKUP($E813,Valida!$A$1:$G$270,7,FALSE)))</f>
        <v>(+/-) Ajustes por el incremento (disminución) de cuentas por pagar de origen comercial</v>
      </c>
      <c r="V813" s="190" t="str">
        <f>VLOOKUP(E813,Valida!$A$2:$K$271,4,FALSE)</f>
        <v>Trade and other payables</v>
      </c>
      <c r="W813" s="185" t="s">
        <v>1864</v>
      </c>
      <c r="X813" s="185" t="s">
        <v>1865</v>
      </c>
      <c r="Y813" s="185" t="s">
        <v>1789</v>
      </c>
      <c r="Z813"/>
    </row>
    <row r="814" spans="1:26">
      <c r="A814" s="185" t="s">
        <v>2333</v>
      </c>
      <c r="B814" s="185" t="s">
        <v>2342</v>
      </c>
      <c r="C814" s="185" t="s">
        <v>1890</v>
      </c>
      <c r="D814" s="185" t="s">
        <v>2343</v>
      </c>
      <c r="E814" s="185">
        <v>112005</v>
      </c>
      <c r="F814" s="185" t="s">
        <v>24</v>
      </c>
      <c r="G814" s="185" t="s">
        <v>1921</v>
      </c>
      <c r="H814" s="185" t="s">
        <v>1628</v>
      </c>
      <c r="I814" s="258" t="str">
        <f t="shared" si="37"/>
        <v>1</v>
      </c>
      <c r="J814" s="221">
        <f t="shared" si="38"/>
        <v>-122016</v>
      </c>
      <c r="K814" s="258">
        <f t="shared" si="39"/>
        <v>3</v>
      </c>
      <c r="L814" s="188">
        <v>0</v>
      </c>
      <c r="M814" s="188">
        <v>122016</v>
      </c>
      <c r="N814" s="189">
        <v>900424409</v>
      </c>
      <c r="O814" t="s">
        <v>2342</v>
      </c>
      <c r="P814" s="187">
        <v>45012.649907407402</v>
      </c>
      <c r="Q814" s="186">
        <v>8972</v>
      </c>
      <c r="R814" s="185" t="s">
        <v>844</v>
      </c>
      <c r="S814" s="185" t="s">
        <v>1598</v>
      </c>
      <c r="T814" t="s">
        <v>1894</v>
      </c>
      <c r="U814" t="str">
        <f>IF($L814&gt;0,VLOOKUP($E814,Valida!$A$1:$G$270,6,FALSE),IF($M814&gt;=0,VLOOKUP($E814,Valida!$A$1:$G$270,7,FALSE)))</f>
        <v>Disponible</v>
      </c>
      <c r="V814" s="190" t="str">
        <f>VLOOKUP(E814,Valida!$A$2:$K$271,4,FALSE)</f>
        <v>Cash and equivalents</v>
      </c>
      <c r="W814" s="185" t="s">
        <v>1864</v>
      </c>
      <c r="X814" s="185" t="s">
        <v>1865</v>
      </c>
      <c r="Y814" s="185" t="s">
        <v>1789</v>
      </c>
      <c r="Z814"/>
    </row>
    <row r="815" spans="1:26">
      <c r="A815" s="185" t="s">
        <v>2333</v>
      </c>
      <c r="B815" s="185" t="s">
        <v>2344</v>
      </c>
      <c r="C815" s="185" t="s">
        <v>1890</v>
      </c>
      <c r="D815" s="185" t="s">
        <v>2345</v>
      </c>
      <c r="E815" s="185">
        <v>23359504</v>
      </c>
      <c r="F815" s="185" t="s">
        <v>553</v>
      </c>
      <c r="G815" s="185" t="s">
        <v>1921</v>
      </c>
      <c r="H815" s="185" t="s">
        <v>1515</v>
      </c>
      <c r="I815" s="258" t="str">
        <f t="shared" si="37"/>
        <v>2</v>
      </c>
      <c r="J815" s="221">
        <f t="shared" si="38"/>
        <v>330000</v>
      </c>
      <c r="K815" s="258">
        <f t="shared" si="39"/>
        <v>3</v>
      </c>
      <c r="L815" s="188">
        <v>330000</v>
      </c>
      <c r="M815" s="188">
        <v>0</v>
      </c>
      <c r="N815" s="189">
        <v>800042928</v>
      </c>
      <c r="O815" t="s">
        <v>2344</v>
      </c>
      <c r="P815" s="187">
        <v>45012.650763888902</v>
      </c>
      <c r="Q815" s="186">
        <v>8973</v>
      </c>
      <c r="R815" s="185" t="s">
        <v>6</v>
      </c>
      <c r="S815" s="185" t="s">
        <v>1554</v>
      </c>
      <c r="T815"/>
      <c r="U815" t="str">
        <f>IF($L815&gt;0,VLOOKUP($E815,Valida!$A$1:$G$270,6,FALSE),IF($M815&gt;=0,VLOOKUP($E815,Valida!$A$1:$G$270,7,FALSE)))</f>
        <v>(+/-) Ajustes por el incremento (disminución) de cuentas por pagar de origen comercial</v>
      </c>
      <c r="V815" s="190" t="str">
        <f>VLOOKUP(E815,Valida!$A$2:$K$271,4,FALSE)</f>
        <v>Trade and other payables</v>
      </c>
      <c r="W815" s="185" t="s">
        <v>1820</v>
      </c>
      <c r="X815" s="185" t="s">
        <v>1821</v>
      </c>
      <c r="Y815" s="185" t="s">
        <v>1789</v>
      </c>
      <c r="Z815"/>
    </row>
    <row r="816" spans="1:26">
      <c r="A816" s="185" t="s">
        <v>2333</v>
      </c>
      <c r="B816" s="185" t="s">
        <v>2344</v>
      </c>
      <c r="C816" s="185" t="s">
        <v>1890</v>
      </c>
      <c r="D816" s="185" t="s">
        <v>2345</v>
      </c>
      <c r="E816" s="185">
        <v>112005</v>
      </c>
      <c r="F816" s="185" t="s">
        <v>24</v>
      </c>
      <c r="G816" s="185" t="s">
        <v>1921</v>
      </c>
      <c r="H816" s="185" t="s">
        <v>1628</v>
      </c>
      <c r="I816" s="258" t="str">
        <f t="shared" si="37"/>
        <v>1</v>
      </c>
      <c r="J816" s="221">
        <f t="shared" si="38"/>
        <v>-330000</v>
      </c>
      <c r="K816" s="258">
        <f t="shared" si="39"/>
        <v>3</v>
      </c>
      <c r="L816" s="188">
        <v>0</v>
      </c>
      <c r="M816" s="188">
        <v>330000</v>
      </c>
      <c r="N816" s="189">
        <v>800042928</v>
      </c>
      <c r="O816" t="s">
        <v>2344</v>
      </c>
      <c r="P816" s="187">
        <v>45012.650763888902</v>
      </c>
      <c r="Q816" s="186">
        <v>8974</v>
      </c>
      <c r="R816" s="185" t="s">
        <v>6</v>
      </c>
      <c r="S816" s="185" t="s">
        <v>1554</v>
      </c>
      <c r="T816" t="s">
        <v>1894</v>
      </c>
      <c r="U816" t="str">
        <f>IF($L816&gt;0,VLOOKUP($E816,Valida!$A$1:$G$270,6,FALSE),IF($M816&gt;=0,VLOOKUP($E816,Valida!$A$1:$G$270,7,FALSE)))</f>
        <v>Disponible</v>
      </c>
      <c r="V816" s="190" t="str">
        <f>VLOOKUP(E816,Valida!$A$2:$K$271,4,FALSE)</f>
        <v>Cash and equivalents</v>
      </c>
      <c r="W816" s="185" t="s">
        <v>1820</v>
      </c>
      <c r="X816" s="185" t="s">
        <v>1821</v>
      </c>
      <c r="Y816" s="185" t="s">
        <v>1789</v>
      </c>
      <c r="Z816"/>
    </row>
    <row r="817" spans="1:26">
      <c r="A817" s="185" t="s">
        <v>2333</v>
      </c>
      <c r="B817" s="185" t="s">
        <v>2346</v>
      </c>
      <c r="C817" s="185" t="s">
        <v>1890</v>
      </c>
      <c r="D817" s="185" t="s">
        <v>2347</v>
      </c>
      <c r="E817" s="185">
        <v>23355001</v>
      </c>
      <c r="F817" s="185" t="s">
        <v>502</v>
      </c>
      <c r="G817" s="185" t="s">
        <v>1921</v>
      </c>
      <c r="H817" s="185" t="s">
        <v>1515</v>
      </c>
      <c r="I817" s="258" t="str">
        <f t="shared" si="37"/>
        <v>2</v>
      </c>
      <c r="J817" s="221">
        <f t="shared" si="38"/>
        <v>48664.34</v>
      </c>
      <c r="K817" s="258">
        <f t="shared" si="39"/>
        <v>3</v>
      </c>
      <c r="L817" s="188">
        <v>48664.34</v>
      </c>
      <c r="M817" s="188">
        <v>0</v>
      </c>
      <c r="N817" s="189">
        <v>800153993</v>
      </c>
      <c r="O817" t="s">
        <v>2346</v>
      </c>
      <c r="P817" s="187">
        <v>45012.668715277803</v>
      </c>
      <c r="Q817" s="186">
        <v>8990</v>
      </c>
      <c r="R817" s="185" t="s">
        <v>1814</v>
      </c>
      <c r="S817" s="185" t="s">
        <v>1556</v>
      </c>
      <c r="T817"/>
      <c r="U817" t="str">
        <f>IF($L817&gt;0,VLOOKUP($E817,Valida!$A$1:$G$270,6,FALSE),IF($M817&gt;=0,VLOOKUP($E817,Valida!$A$1:$G$270,7,FALSE)))</f>
        <v>(+/-) Ajustes por el incremento (disminución) de cuentas por pagar de origen comercial</v>
      </c>
      <c r="V817" s="190" t="str">
        <f>VLOOKUP(E817,Valida!$A$2:$K$271,4,FALSE)</f>
        <v>Trade and other payables</v>
      </c>
      <c r="W817" s="185" t="s">
        <v>1815</v>
      </c>
      <c r="X817" s="185"/>
      <c r="Y817" s="185" t="s">
        <v>1789</v>
      </c>
      <c r="Z817"/>
    </row>
    <row r="818" spans="1:26">
      <c r="A818" s="185" t="s">
        <v>2333</v>
      </c>
      <c r="B818" s="185" t="s">
        <v>2346</v>
      </c>
      <c r="C818" s="185" t="s">
        <v>1890</v>
      </c>
      <c r="D818" s="185" t="s">
        <v>2347</v>
      </c>
      <c r="E818" s="185">
        <v>112005</v>
      </c>
      <c r="F818" s="185" t="s">
        <v>24</v>
      </c>
      <c r="G818" s="185" t="s">
        <v>1921</v>
      </c>
      <c r="H818" s="185" t="s">
        <v>1628</v>
      </c>
      <c r="I818" s="258" t="str">
        <f t="shared" si="37"/>
        <v>1</v>
      </c>
      <c r="J818" s="221">
        <f t="shared" si="38"/>
        <v>-48664</v>
      </c>
      <c r="K818" s="258">
        <f t="shared" si="39"/>
        <v>3</v>
      </c>
      <c r="L818" s="188">
        <v>0</v>
      </c>
      <c r="M818" s="188">
        <v>48664</v>
      </c>
      <c r="N818" s="189">
        <v>800153993</v>
      </c>
      <c r="O818" t="s">
        <v>2346</v>
      </c>
      <c r="P818" s="187">
        <v>45012.668715277803</v>
      </c>
      <c r="Q818" s="186">
        <v>8991</v>
      </c>
      <c r="R818" s="185" t="s">
        <v>1814</v>
      </c>
      <c r="S818" s="185" t="s">
        <v>1556</v>
      </c>
      <c r="T818" t="s">
        <v>1894</v>
      </c>
      <c r="U818" t="str">
        <f>IF($L818&gt;0,VLOOKUP($E818,Valida!$A$1:$G$270,6,FALSE),IF($M818&gt;=0,VLOOKUP($E818,Valida!$A$1:$G$270,7,FALSE)))</f>
        <v>Disponible</v>
      </c>
      <c r="V818" s="190" t="str">
        <f>VLOOKUP(E818,Valida!$A$2:$K$271,4,FALSE)</f>
        <v>Cash and equivalents</v>
      </c>
      <c r="W818" s="185" t="s">
        <v>1815</v>
      </c>
      <c r="X818" s="185"/>
      <c r="Y818" s="185" t="s">
        <v>1789</v>
      </c>
      <c r="Z818"/>
    </row>
    <row r="819" spans="1:26">
      <c r="A819" s="185" t="s">
        <v>2333</v>
      </c>
      <c r="B819" s="185" t="s">
        <v>2346</v>
      </c>
      <c r="C819" s="185" t="s">
        <v>1890</v>
      </c>
      <c r="D819" s="185" t="s">
        <v>2347</v>
      </c>
      <c r="E819" s="185">
        <v>53059510</v>
      </c>
      <c r="F819" s="185" t="s">
        <v>1065</v>
      </c>
      <c r="G819" s="185" t="s">
        <v>1921</v>
      </c>
      <c r="H819" s="185" t="s">
        <v>1628</v>
      </c>
      <c r="I819" s="258" t="str">
        <f t="shared" si="37"/>
        <v>5</v>
      </c>
      <c r="J819" s="221">
        <f t="shared" si="38"/>
        <v>-0.34</v>
      </c>
      <c r="K819" s="258">
        <f t="shared" si="39"/>
        <v>3</v>
      </c>
      <c r="L819" s="188">
        <v>0</v>
      </c>
      <c r="M819" s="188">
        <v>0.34</v>
      </c>
      <c r="N819" s="189">
        <v>800153993</v>
      </c>
      <c r="O819" t="s">
        <v>2346</v>
      </c>
      <c r="P819" s="187">
        <v>45012.668726851902</v>
      </c>
      <c r="Q819" s="186">
        <v>8992</v>
      </c>
      <c r="R819" s="185" t="s">
        <v>1814</v>
      </c>
      <c r="S819" s="185" t="s">
        <v>1556</v>
      </c>
      <c r="T819"/>
      <c r="U819" t="str">
        <f>IF($L819&gt;0,VLOOKUP($E819,Valida!$A$1:$G$270,6,FALSE),IF($M819&gt;=0,VLOOKUP($E819,Valida!$A$1:$G$270,7,FALSE)))</f>
        <v>(+/-) Ganancia (pérdida)</v>
      </c>
      <c r="V819" s="190" t="str">
        <f>VLOOKUP(E819,Valida!$A$2:$K$271,4,FALSE)</f>
        <v>P&amp;L</v>
      </c>
      <c r="W819" s="185" t="s">
        <v>1815</v>
      </c>
      <c r="X819" s="185"/>
      <c r="Y819" s="185" t="s">
        <v>1789</v>
      </c>
      <c r="Z819"/>
    </row>
    <row r="820" spans="1:26">
      <c r="A820" s="185" t="s">
        <v>2348</v>
      </c>
      <c r="B820" s="185" t="s">
        <v>2349</v>
      </c>
      <c r="C820" s="185" t="s">
        <v>1890</v>
      </c>
      <c r="D820" s="185" t="s">
        <v>2350</v>
      </c>
      <c r="E820" s="185">
        <v>23351001</v>
      </c>
      <c r="F820" s="185" t="s">
        <v>453</v>
      </c>
      <c r="G820" s="185" t="s">
        <v>2351</v>
      </c>
      <c r="H820" s="185" t="s">
        <v>1515</v>
      </c>
      <c r="I820" s="258" t="str">
        <f t="shared" si="37"/>
        <v>2</v>
      </c>
      <c r="J820" s="221">
        <f t="shared" si="38"/>
        <v>1480200</v>
      </c>
      <c r="K820" s="258">
        <f t="shared" si="39"/>
        <v>3</v>
      </c>
      <c r="L820" s="188">
        <v>1480200</v>
      </c>
      <c r="M820" s="188">
        <v>0</v>
      </c>
      <c r="N820" s="189">
        <v>860007322</v>
      </c>
      <c r="O820" t="s">
        <v>2349</v>
      </c>
      <c r="P820" s="187">
        <v>45012.669270833299</v>
      </c>
      <c r="Q820" s="186">
        <v>8993</v>
      </c>
      <c r="R820" s="185" t="s">
        <v>1841</v>
      </c>
      <c r="S820" s="185" t="s">
        <v>1566</v>
      </c>
      <c r="T820"/>
      <c r="U820" t="str">
        <f>IF($L820&gt;0,VLOOKUP($E820,Valida!$A$1:$G$270,6,FALSE),IF($M820&gt;=0,VLOOKUP($E820,Valida!$A$1:$G$270,7,FALSE)))</f>
        <v>(+/-) Ajustes por el incremento (disminución) de cuentas por pagar de origen comercial</v>
      </c>
      <c r="V820" s="190" t="str">
        <f>VLOOKUP(E820,Valida!$A$2:$K$271,4,FALSE)</f>
        <v>Trade and other payables</v>
      </c>
      <c r="W820" s="185" t="s">
        <v>2306</v>
      </c>
      <c r="X820" s="185"/>
      <c r="Y820" s="185" t="s">
        <v>1789</v>
      </c>
      <c r="Z820"/>
    </row>
    <row r="821" spans="1:26">
      <c r="A821" s="185" t="s">
        <v>2348</v>
      </c>
      <c r="B821" s="185" t="s">
        <v>2349</v>
      </c>
      <c r="C821" s="185" t="s">
        <v>1890</v>
      </c>
      <c r="D821" s="185" t="s">
        <v>2350</v>
      </c>
      <c r="E821" s="185">
        <v>112005</v>
      </c>
      <c r="F821" s="185" t="s">
        <v>24</v>
      </c>
      <c r="G821" s="185" t="s">
        <v>2351</v>
      </c>
      <c r="H821" s="185" t="s">
        <v>1628</v>
      </c>
      <c r="I821" s="258" t="str">
        <f t="shared" si="37"/>
        <v>1</v>
      </c>
      <c r="J821" s="221">
        <f t="shared" si="38"/>
        <v>-1480200</v>
      </c>
      <c r="K821" s="258">
        <f t="shared" si="39"/>
        <v>3</v>
      </c>
      <c r="L821" s="188">
        <v>0</v>
      </c>
      <c r="M821" s="188">
        <v>1480200</v>
      </c>
      <c r="N821" s="189">
        <v>860007322</v>
      </c>
      <c r="O821" t="s">
        <v>2349</v>
      </c>
      <c r="P821" s="187">
        <v>45012.669270833299</v>
      </c>
      <c r="Q821" s="186">
        <v>8994</v>
      </c>
      <c r="R821" s="185" t="s">
        <v>1841</v>
      </c>
      <c r="S821" s="185" t="s">
        <v>1566</v>
      </c>
      <c r="T821" t="s">
        <v>1894</v>
      </c>
      <c r="U821" t="str">
        <f>IF($L821&gt;0,VLOOKUP($E821,Valida!$A$1:$G$270,6,FALSE),IF($M821&gt;=0,VLOOKUP($E821,Valida!$A$1:$G$270,7,FALSE)))</f>
        <v>Disponible</v>
      </c>
      <c r="V821" s="190" t="str">
        <f>VLOOKUP(E821,Valida!$A$2:$K$271,4,FALSE)</f>
        <v>Cash and equivalents</v>
      </c>
      <c r="W821" s="185" t="s">
        <v>2306</v>
      </c>
      <c r="X821" s="185"/>
      <c r="Y821" s="185" t="s">
        <v>1789</v>
      </c>
      <c r="Z821"/>
    </row>
    <row r="822" spans="1:26">
      <c r="A822" s="185" t="s">
        <v>2348</v>
      </c>
      <c r="B822" s="185" t="s">
        <v>2352</v>
      </c>
      <c r="C822" s="185" t="s">
        <v>1890</v>
      </c>
      <c r="D822" s="185" t="s">
        <v>2353</v>
      </c>
      <c r="E822" s="185">
        <v>233555</v>
      </c>
      <c r="F822" s="185" t="s">
        <v>522</v>
      </c>
      <c r="G822" s="185" t="s">
        <v>2354</v>
      </c>
      <c r="H822" s="185" t="s">
        <v>1515</v>
      </c>
      <c r="I822" s="258" t="str">
        <f t="shared" si="37"/>
        <v>2</v>
      </c>
      <c r="J822" s="221">
        <f t="shared" si="38"/>
        <v>365382</v>
      </c>
      <c r="K822" s="258">
        <f t="shared" si="39"/>
        <v>3</v>
      </c>
      <c r="L822" s="188">
        <v>365382</v>
      </c>
      <c r="M822" s="188">
        <v>0</v>
      </c>
      <c r="N822" s="189">
        <v>891700037</v>
      </c>
      <c r="O822" t="s">
        <v>2352</v>
      </c>
      <c r="P822" s="187">
        <v>45012.6699421296</v>
      </c>
      <c r="Q822" s="186">
        <v>8995</v>
      </c>
      <c r="R822" s="185" t="s">
        <v>1841</v>
      </c>
      <c r="S822" s="185" t="s">
        <v>1582</v>
      </c>
      <c r="T822"/>
      <c r="U822" t="str">
        <f>IF($L822&gt;0,VLOOKUP($E822,Valida!$A$1:$G$270,6,FALSE),IF($M822&gt;=0,VLOOKUP($E822,Valida!$A$1:$G$270,7,FALSE)))</f>
        <v>(+/-) Ajustes por el incremento (disminución) de cuentas por pagar de origen comercial</v>
      </c>
      <c r="V822" s="190" t="str">
        <f>VLOOKUP(E822,Valida!$A$2:$K$271,4,FALSE)</f>
        <v>Trade and other payables</v>
      </c>
      <c r="W822" s="185" t="s">
        <v>2077</v>
      </c>
      <c r="X822" s="185" t="s">
        <v>2078</v>
      </c>
      <c r="Y822" s="185" t="s">
        <v>1789</v>
      </c>
      <c r="Z822"/>
    </row>
    <row r="823" spans="1:26">
      <c r="A823" s="185" t="s">
        <v>2348</v>
      </c>
      <c r="B823" s="185" t="s">
        <v>2352</v>
      </c>
      <c r="C823" s="185" t="s">
        <v>1890</v>
      </c>
      <c r="D823" s="185" t="s">
        <v>2353</v>
      </c>
      <c r="E823" s="185">
        <v>112005</v>
      </c>
      <c r="F823" s="185" t="s">
        <v>24</v>
      </c>
      <c r="G823" s="185" t="s">
        <v>2354</v>
      </c>
      <c r="H823" s="185" t="s">
        <v>1628</v>
      </c>
      <c r="I823" s="258" t="str">
        <f t="shared" si="37"/>
        <v>1</v>
      </c>
      <c r="J823" s="221">
        <f t="shared" si="38"/>
        <v>-365382</v>
      </c>
      <c r="K823" s="258">
        <f t="shared" si="39"/>
        <v>3</v>
      </c>
      <c r="L823" s="188">
        <v>0</v>
      </c>
      <c r="M823" s="188">
        <v>365382</v>
      </c>
      <c r="N823" s="189">
        <v>891700037</v>
      </c>
      <c r="O823" t="s">
        <v>2352</v>
      </c>
      <c r="P823" s="187">
        <v>45012.6699421296</v>
      </c>
      <c r="Q823" s="186">
        <v>8996</v>
      </c>
      <c r="R823" s="185" t="s">
        <v>1841</v>
      </c>
      <c r="S823" s="185" t="s">
        <v>1582</v>
      </c>
      <c r="T823" t="s">
        <v>1894</v>
      </c>
      <c r="U823" t="str">
        <f>IF($L823&gt;0,VLOOKUP($E823,Valida!$A$1:$G$270,6,FALSE),IF($M823&gt;=0,VLOOKUP($E823,Valida!$A$1:$G$270,7,FALSE)))</f>
        <v>Disponible</v>
      </c>
      <c r="V823" s="190" t="str">
        <f>VLOOKUP(E823,Valida!$A$2:$K$271,4,FALSE)</f>
        <v>Cash and equivalents</v>
      </c>
      <c r="W823" s="185" t="s">
        <v>2077</v>
      </c>
      <c r="X823" s="185" t="s">
        <v>2078</v>
      </c>
      <c r="Y823" s="185" t="s">
        <v>1789</v>
      </c>
      <c r="Z823"/>
    </row>
    <row r="824" spans="1:26">
      <c r="A824" s="185" t="s">
        <v>2355</v>
      </c>
      <c r="B824" s="185" t="s">
        <v>2356</v>
      </c>
      <c r="C824" s="185" t="s">
        <v>1890</v>
      </c>
      <c r="D824" s="185" t="s">
        <v>2357</v>
      </c>
      <c r="E824" s="185">
        <v>23355006</v>
      </c>
      <c r="F824" s="185" t="s">
        <v>519</v>
      </c>
      <c r="G824" s="185" t="s">
        <v>2358</v>
      </c>
      <c r="H824" s="185" t="s">
        <v>1515</v>
      </c>
      <c r="I824" s="258" t="str">
        <f t="shared" si="37"/>
        <v>2</v>
      </c>
      <c r="J824" s="221">
        <f t="shared" si="38"/>
        <v>1457036</v>
      </c>
      <c r="K824" s="258">
        <f t="shared" si="39"/>
        <v>3</v>
      </c>
      <c r="L824" s="188">
        <v>1457036</v>
      </c>
      <c r="M824" s="188">
        <v>0</v>
      </c>
      <c r="N824" s="189">
        <v>899999115</v>
      </c>
      <c r="O824" t="s">
        <v>2356</v>
      </c>
      <c r="P824" s="187">
        <v>45012.670532407399</v>
      </c>
      <c r="Q824" s="186">
        <v>8997</v>
      </c>
      <c r="R824" s="185" t="s">
        <v>1827</v>
      </c>
      <c r="S824" s="185" t="s">
        <v>1586</v>
      </c>
      <c r="T824"/>
      <c r="U824" t="str">
        <f>IF($L824&gt;0,VLOOKUP($E824,Valida!$A$1:$G$270,6,FALSE),IF($M824&gt;=0,VLOOKUP($E824,Valida!$A$1:$G$270,7,FALSE)))</f>
        <v>(+/-) Ajustes por el incremento (disminución) de cuentas por pagar de origen comercial</v>
      </c>
      <c r="V824" s="190" t="str">
        <f>VLOOKUP(E824,Valida!$A$2:$K$271,4,FALSE)</f>
        <v>Trade and other payables</v>
      </c>
      <c r="W824" s="185" t="s">
        <v>1828</v>
      </c>
      <c r="X824" s="185" t="s">
        <v>1829</v>
      </c>
      <c r="Y824" s="185" t="s">
        <v>1789</v>
      </c>
      <c r="Z824"/>
    </row>
    <row r="825" spans="1:26">
      <c r="A825" s="185" t="s">
        <v>2355</v>
      </c>
      <c r="B825" s="185" t="s">
        <v>2356</v>
      </c>
      <c r="C825" s="185" t="s">
        <v>1890</v>
      </c>
      <c r="D825" s="185" t="s">
        <v>2357</v>
      </c>
      <c r="E825" s="185">
        <v>112005</v>
      </c>
      <c r="F825" s="185" t="s">
        <v>24</v>
      </c>
      <c r="G825" s="185" t="s">
        <v>2358</v>
      </c>
      <c r="H825" s="185" t="s">
        <v>1628</v>
      </c>
      <c r="I825" s="258" t="str">
        <f t="shared" si="37"/>
        <v>1</v>
      </c>
      <c r="J825" s="221">
        <f t="shared" si="38"/>
        <v>-1457040</v>
      </c>
      <c r="K825" s="258">
        <f t="shared" si="39"/>
        <v>3</v>
      </c>
      <c r="L825" s="188">
        <v>0</v>
      </c>
      <c r="M825" s="188">
        <v>1457040</v>
      </c>
      <c r="N825" s="189">
        <v>899999115</v>
      </c>
      <c r="O825" t="s">
        <v>2356</v>
      </c>
      <c r="P825" s="187">
        <v>45012.670532407399</v>
      </c>
      <c r="Q825" s="186">
        <v>8998</v>
      </c>
      <c r="R825" s="185" t="s">
        <v>1827</v>
      </c>
      <c r="S825" s="185" t="s">
        <v>1586</v>
      </c>
      <c r="T825" t="s">
        <v>1894</v>
      </c>
      <c r="U825" t="str">
        <f>IF($L825&gt;0,VLOOKUP($E825,Valida!$A$1:$G$270,6,FALSE),IF($M825&gt;=0,VLOOKUP($E825,Valida!$A$1:$G$270,7,FALSE)))</f>
        <v>Disponible</v>
      </c>
      <c r="V825" s="190" t="str">
        <f>VLOOKUP(E825,Valida!$A$2:$K$271,4,FALSE)</f>
        <v>Cash and equivalents</v>
      </c>
      <c r="W825" s="185" t="s">
        <v>1828</v>
      </c>
      <c r="X825" s="185" t="s">
        <v>1829</v>
      </c>
      <c r="Y825" s="185" t="s">
        <v>1789</v>
      </c>
      <c r="Z825"/>
    </row>
    <row r="826" spans="1:26">
      <c r="A826" s="185" t="s">
        <v>2355</v>
      </c>
      <c r="B826" s="185" t="s">
        <v>2359</v>
      </c>
      <c r="C826" s="185" t="s">
        <v>1890</v>
      </c>
      <c r="D826" s="185" t="s">
        <v>2360</v>
      </c>
      <c r="E826" s="185">
        <v>23355006</v>
      </c>
      <c r="F826" s="185" t="s">
        <v>519</v>
      </c>
      <c r="G826" s="185" t="s">
        <v>2358</v>
      </c>
      <c r="H826" s="185" t="s">
        <v>1515</v>
      </c>
      <c r="I826" s="258" t="str">
        <f t="shared" si="37"/>
        <v>2</v>
      </c>
      <c r="J826" s="221">
        <f t="shared" si="38"/>
        <v>3824660</v>
      </c>
      <c r="K826" s="258">
        <f t="shared" si="39"/>
        <v>3</v>
      </c>
      <c r="L826" s="188">
        <v>3824660</v>
      </c>
      <c r="M826" s="188">
        <v>0</v>
      </c>
      <c r="N826" s="189">
        <v>800153993</v>
      </c>
      <c r="O826" t="s">
        <v>2359</v>
      </c>
      <c r="P826" s="187">
        <v>45012.671041666697</v>
      </c>
      <c r="Q826" s="186">
        <v>8999</v>
      </c>
      <c r="R826" s="185" t="s">
        <v>1814</v>
      </c>
      <c r="S826" s="185" t="s">
        <v>1556</v>
      </c>
      <c r="T826"/>
      <c r="U826" t="str">
        <f>IF($L826&gt;0,VLOOKUP($E826,Valida!$A$1:$G$270,6,FALSE),IF($M826&gt;=0,VLOOKUP($E826,Valida!$A$1:$G$270,7,FALSE)))</f>
        <v>(+/-) Ajustes por el incremento (disminución) de cuentas por pagar de origen comercial</v>
      </c>
      <c r="V826" s="190" t="str">
        <f>VLOOKUP(E826,Valida!$A$2:$K$271,4,FALSE)</f>
        <v>Trade and other payables</v>
      </c>
      <c r="W826" s="185" t="s">
        <v>1815</v>
      </c>
      <c r="X826" s="185"/>
      <c r="Y826" s="185" t="s">
        <v>1789</v>
      </c>
      <c r="Z826"/>
    </row>
    <row r="827" spans="1:26">
      <c r="A827" s="185" t="s">
        <v>2355</v>
      </c>
      <c r="B827" s="185" t="s">
        <v>2359</v>
      </c>
      <c r="C827" s="185" t="s">
        <v>1890</v>
      </c>
      <c r="D827" s="185" t="s">
        <v>2360</v>
      </c>
      <c r="E827" s="185">
        <v>112005</v>
      </c>
      <c r="F827" s="185" t="s">
        <v>24</v>
      </c>
      <c r="G827" s="185" t="s">
        <v>2358</v>
      </c>
      <c r="H827" s="185" t="s">
        <v>1628</v>
      </c>
      <c r="I827" s="258" t="str">
        <f t="shared" si="37"/>
        <v>1</v>
      </c>
      <c r="J827" s="221">
        <f t="shared" si="38"/>
        <v>-3824660</v>
      </c>
      <c r="K827" s="258">
        <f t="shared" si="39"/>
        <v>3</v>
      </c>
      <c r="L827" s="188">
        <v>0</v>
      </c>
      <c r="M827" s="188">
        <v>3824660</v>
      </c>
      <c r="N827" s="189">
        <v>800153993</v>
      </c>
      <c r="O827" t="s">
        <v>2359</v>
      </c>
      <c r="P827" s="187">
        <v>45012.671041666697</v>
      </c>
      <c r="Q827" s="186">
        <v>9000</v>
      </c>
      <c r="R827" s="185" t="s">
        <v>1814</v>
      </c>
      <c r="S827" s="185" t="s">
        <v>1556</v>
      </c>
      <c r="T827" t="s">
        <v>1894</v>
      </c>
      <c r="U827" t="str">
        <f>IF($L827&gt;0,VLOOKUP($E827,Valida!$A$1:$G$270,6,FALSE),IF($M827&gt;=0,VLOOKUP($E827,Valida!$A$1:$G$270,7,FALSE)))</f>
        <v>Disponible</v>
      </c>
      <c r="V827" s="190" t="str">
        <f>VLOOKUP(E827,Valida!$A$2:$K$271,4,FALSE)</f>
        <v>Cash and equivalents</v>
      </c>
      <c r="W827" s="185" t="s">
        <v>1815</v>
      </c>
      <c r="X827" s="185"/>
      <c r="Y827" s="185" t="s">
        <v>1789</v>
      </c>
      <c r="Z827"/>
    </row>
    <row r="828" spans="1:26">
      <c r="A828" s="185" t="s">
        <v>2355</v>
      </c>
      <c r="B828" s="185" t="s">
        <v>2361</v>
      </c>
      <c r="C828" s="185" t="s">
        <v>1890</v>
      </c>
      <c r="D828" s="185" t="s">
        <v>2362</v>
      </c>
      <c r="E828" s="185">
        <v>250505</v>
      </c>
      <c r="F828" s="185" t="s">
        <v>767</v>
      </c>
      <c r="G828" s="185" t="s">
        <v>2363</v>
      </c>
      <c r="H828" s="185" t="s">
        <v>1515</v>
      </c>
      <c r="I828" s="258" t="str">
        <f t="shared" si="37"/>
        <v>2</v>
      </c>
      <c r="J828" s="221">
        <f t="shared" si="38"/>
        <v>1301234</v>
      </c>
      <c r="K828" s="258">
        <f t="shared" si="39"/>
        <v>3</v>
      </c>
      <c r="L828" s="188">
        <v>1301234</v>
      </c>
      <c r="M828" s="188">
        <v>0</v>
      </c>
      <c r="N828" s="189">
        <v>1000018061</v>
      </c>
      <c r="O828" t="s">
        <v>2361</v>
      </c>
      <c r="P828" s="187">
        <v>45012.674548611103</v>
      </c>
      <c r="Q828" s="186">
        <v>9001</v>
      </c>
      <c r="R828" s="185"/>
      <c r="S828" s="185" t="s">
        <v>1522</v>
      </c>
      <c r="T828"/>
      <c r="U828" t="str">
        <f>IF($L828&gt;0,VLOOKUP($E828,Valida!$A$1:$G$270,6,FALSE),IF($M828&gt;=0,VLOOKUP($E828,Valida!$A$1:$G$270,7,FALSE)))</f>
        <v>(+/-) Ajustes por el incremento (disminución) de cuentas por pagar de origen comercial</v>
      </c>
      <c r="V828" s="190" t="str">
        <f>VLOOKUP(E828,Valida!$A$2:$K$271,4,FALSE)</f>
        <v>Trade and other payables</v>
      </c>
      <c r="W828" s="185" t="s">
        <v>1978</v>
      </c>
      <c r="X828" s="185"/>
      <c r="Y828" s="185" t="s">
        <v>1789</v>
      </c>
      <c r="Z828"/>
    </row>
    <row r="829" spans="1:26">
      <c r="A829" s="185" t="s">
        <v>2355</v>
      </c>
      <c r="B829" s="185" t="s">
        <v>2361</v>
      </c>
      <c r="C829" s="185" t="s">
        <v>1890</v>
      </c>
      <c r="D829" s="185" t="s">
        <v>2362</v>
      </c>
      <c r="E829" s="185">
        <v>112005</v>
      </c>
      <c r="F829" s="185" t="s">
        <v>24</v>
      </c>
      <c r="G829" s="185" t="s">
        <v>2363</v>
      </c>
      <c r="H829" s="185" t="s">
        <v>1628</v>
      </c>
      <c r="I829" s="258" t="str">
        <f t="shared" si="37"/>
        <v>1</v>
      </c>
      <c r="J829" s="221">
        <f t="shared" si="38"/>
        <v>-1301234</v>
      </c>
      <c r="K829" s="258">
        <f t="shared" si="39"/>
        <v>3</v>
      </c>
      <c r="L829" s="188">
        <v>0</v>
      </c>
      <c r="M829" s="188">
        <v>1301234</v>
      </c>
      <c r="N829" s="189">
        <v>1000018061</v>
      </c>
      <c r="O829" t="s">
        <v>2361</v>
      </c>
      <c r="P829" s="187">
        <v>45012.674548611103</v>
      </c>
      <c r="Q829" s="186">
        <v>9002</v>
      </c>
      <c r="R829" s="185"/>
      <c r="S829" s="185" t="s">
        <v>1522</v>
      </c>
      <c r="T829" t="s">
        <v>1894</v>
      </c>
      <c r="U829" t="str">
        <f>IF($L829&gt;0,VLOOKUP($E829,Valida!$A$1:$G$270,6,FALSE),IF($M829&gt;=0,VLOOKUP($E829,Valida!$A$1:$G$270,7,FALSE)))</f>
        <v>Disponible</v>
      </c>
      <c r="V829" s="190" t="str">
        <f>VLOOKUP(E829,Valida!$A$2:$K$271,4,FALSE)</f>
        <v>Cash and equivalents</v>
      </c>
      <c r="W829" s="185" t="s">
        <v>1978</v>
      </c>
      <c r="X829" s="185"/>
      <c r="Y829" s="185" t="s">
        <v>1789</v>
      </c>
      <c r="Z829"/>
    </row>
    <row r="830" spans="1:26">
      <c r="A830" s="185" t="s">
        <v>2355</v>
      </c>
      <c r="B830" s="185" t="s">
        <v>2364</v>
      </c>
      <c r="C830" s="185" t="s">
        <v>1890</v>
      </c>
      <c r="D830" s="185" t="s">
        <v>2365</v>
      </c>
      <c r="E830" s="185">
        <v>250505</v>
      </c>
      <c r="F830" s="185" t="s">
        <v>767</v>
      </c>
      <c r="G830" s="185" t="s">
        <v>2363</v>
      </c>
      <c r="H830" s="185" t="s">
        <v>1515</v>
      </c>
      <c r="I830" s="258" t="str">
        <f t="shared" si="37"/>
        <v>2</v>
      </c>
      <c r="J830" s="221">
        <f t="shared" si="38"/>
        <v>2112515</v>
      </c>
      <c r="K830" s="258">
        <f t="shared" si="39"/>
        <v>3</v>
      </c>
      <c r="L830" s="188">
        <v>2112515</v>
      </c>
      <c r="M830" s="188">
        <v>0</v>
      </c>
      <c r="N830" s="189">
        <v>80747504</v>
      </c>
      <c r="O830" t="s">
        <v>2364</v>
      </c>
      <c r="P830" s="187">
        <v>45012.674942129597</v>
      </c>
      <c r="Q830" s="186">
        <v>9003</v>
      </c>
      <c r="R830" s="185"/>
      <c r="S830" s="185" t="s">
        <v>1562</v>
      </c>
      <c r="T830"/>
      <c r="U830" t="str">
        <f>IF($L830&gt;0,VLOOKUP($E830,Valida!$A$1:$G$270,6,FALSE),IF($M830&gt;=0,VLOOKUP($E830,Valida!$A$1:$G$270,7,FALSE)))</f>
        <v>(+/-) Ajustes por el incremento (disminución) de cuentas por pagar de origen comercial</v>
      </c>
      <c r="V830" s="190" t="str">
        <f>VLOOKUP(E830,Valida!$A$2:$K$271,4,FALSE)</f>
        <v>Trade and other payables</v>
      </c>
      <c r="W830" s="185" t="s">
        <v>1918</v>
      </c>
      <c r="X830" s="185"/>
      <c r="Y830" s="185" t="s">
        <v>1789</v>
      </c>
      <c r="Z830"/>
    </row>
    <row r="831" spans="1:26">
      <c r="A831" s="185" t="s">
        <v>2355</v>
      </c>
      <c r="B831" s="185" t="s">
        <v>2364</v>
      </c>
      <c r="C831" s="185" t="s">
        <v>1890</v>
      </c>
      <c r="D831" s="185" t="s">
        <v>2365</v>
      </c>
      <c r="E831" s="185">
        <v>112005</v>
      </c>
      <c r="F831" s="185" t="s">
        <v>24</v>
      </c>
      <c r="G831" s="185" t="s">
        <v>2363</v>
      </c>
      <c r="H831" s="185" t="s">
        <v>1628</v>
      </c>
      <c r="I831" s="258" t="str">
        <f t="shared" si="37"/>
        <v>1</v>
      </c>
      <c r="J831" s="221">
        <f t="shared" si="38"/>
        <v>-2112515</v>
      </c>
      <c r="K831" s="258">
        <f t="shared" si="39"/>
        <v>3</v>
      </c>
      <c r="L831" s="188">
        <v>0</v>
      </c>
      <c r="M831" s="188">
        <v>2112515</v>
      </c>
      <c r="N831" s="189">
        <v>80747504</v>
      </c>
      <c r="O831" t="s">
        <v>2364</v>
      </c>
      <c r="P831" s="187">
        <v>45012.674942129597</v>
      </c>
      <c r="Q831" s="186">
        <v>9004</v>
      </c>
      <c r="R831" s="185"/>
      <c r="S831" s="185" t="s">
        <v>1562</v>
      </c>
      <c r="T831" t="s">
        <v>1894</v>
      </c>
      <c r="U831" t="str">
        <f>IF($L831&gt;0,VLOOKUP($E831,Valida!$A$1:$G$270,6,FALSE),IF($M831&gt;=0,VLOOKUP($E831,Valida!$A$1:$G$270,7,FALSE)))</f>
        <v>Disponible</v>
      </c>
      <c r="V831" s="190" t="str">
        <f>VLOOKUP(E831,Valida!$A$2:$K$271,4,FALSE)</f>
        <v>Cash and equivalents</v>
      </c>
      <c r="W831" s="185" t="s">
        <v>1918</v>
      </c>
      <c r="X831" s="185"/>
      <c r="Y831" s="185" t="s">
        <v>1789</v>
      </c>
      <c r="Z831"/>
    </row>
    <row r="832" spans="1:26">
      <c r="A832" s="185" t="s">
        <v>2355</v>
      </c>
      <c r="B832" s="185" t="s">
        <v>2366</v>
      </c>
      <c r="C832" s="185" t="s">
        <v>1890</v>
      </c>
      <c r="D832" s="185" t="s">
        <v>2367</v>
      </c>
      <c r="E832" s="185">
        <v>250505</v>
      </c>
      <c r="F832" s="185" t="s">
        <v>767</v>
      </c>
      <c r="G832" s="185" t="s">
        <v>2363</v>
      </c>
      <c r="H832" s="185" t="s">
        <v>1515</v>
      </c>
      <c r="I832" s="258" t="str">
        <f t="shared" si="37"/>
        <v>2</v>
      </c>
      <c r="J832" s="221">
        <f t="shared" si="38"/>
        <v>1207806</v>
      </c>
      <c r="K832" s="258">
        <f t="shared" si="39"/>
        <v>3</v>
      </c>
      <c r="L832" s="188">
        <v>1207806</v>
      </c>
      <c r="M832" s="188">
        <v>0</v>
      </c>
      <c r="N832" s="189">
        <v>1130744136</v>
      </c>
      <c r="O832" t="s">
        <v>2366</v>
      </c>
      <c r="P832" s="187">
        <v>45012.675196759301</v>
      </c>
      <c r="Q832" s="186">
        <v>9005</v>
      </c>
      <c r="R832" s="185"/>
      <c r="S832" s="185" t="s">
        <v>1538</v>
      </c>
      <c r="T832"/>
      <c r="U832" t="str">
        <f>IF($L832&gt;0,VLOOKUP($E832,Valida!$A$1:$G$270,6,FALSE),IF($M832&gt;=0,VLOOKUP($E832,Valida!$A$1:$G$270,7,FALSE)))</f>
        <v>(+/-) Ajustes por el incremento (disminución) de cuentas por pagar de origen comercial</v>
      </c>
      <c r="V832" s="190" t="str">
        <f>VLOOKUP(E832,Valida!$A$2:$K$271,4,FALSE)</f>
        <v>Trade and other payables</v>
      </c>
      <c r="W832" s="185" t="s">
        <v>1909</v>
      </c>
      <c r="X832" s="185" t="s">
        <v>1910</v>
      </c>
      <c r="Y832" s="185" t="s">
        <v>1789</v>
      </c>
      <c r="Z832"/>
    </row>
    <row r="833" spans="1:26">
      <c r="A833" s="185" t="s">
        <v>2355</v>
      </c>
      <c r="B833" s="185" t="s">
        <v>2366</v>
      </c>
      <c r="C833" s="185" t="s">
        <v>1890</v>
      </c>
      <c r="D833" s="185" t="s">
        <v>2367</v>
      </c>
      <c r="E833" s="185">
        <v>112005</v>
      </c>
      <c r="F833" s="185" t="s">
        <v>24</v>
      </c>
      <c r="G833" s="185" t="s">
        <v>2363</v>
      </c>
      <c r="H833" s="185" t="s">
        <v>1628</v>
      </c>
      <c r="I833" s="258" t="str">
        <f t="shared" si="37"/>
        <v>1</v>
      </c>
      <c r="J833" s="221">
        <f t="shared" si="38"/>
        <v>-1207806</v>
      </c>
      <c r="K833" s="258">
        <f t="shared" si="39"/>
        <v>3</v>
      </c>
      <c r="L833" s="188">
        <v>0</v>
      </c>
      <c r="M833" s="188">
        <v>1207806</v>
      </c>
      <c r="N833" s="189">
        <v>1130744136</v>
      </c>
      <c r="O833" t="s">
        <v>2366</v>
      </c>
      <c r="P833" s="187">
        <v>45012.675196759301</v>
      </c>
      <c r="Q833" s="186">
        <v>9006</v>
      </c>
      <c r="R833" s="185"/>
      <c r="S833" s="185" t="s">
        <v>1538</v>
      </c>
      <c r="T833" t="s">
        <v>1894</v>
      </c>
      <c r="U833" t="str">
        <f>IF($L833&gt;0,VLOOKUP($E833,Valida!$A$1:$G$270,6,FALSE),IF($M833&gt;=0,VLOOKUP($E833,Valida!$A$1:$G$270,7,FALSE)))</f>
        <v>Disponible</v>
      </c>
      <c r="V833" s="190" t="str">
        <f>VLOOKUP(E833,Valida!$A$2:$K$271,4,FALSE)</f>
        <v>Cash and equivalents</v>
      </c>
      <c r="W833" s="185" t="s">
        <v>1909</v>
      </c>
      <c r="X833" s="185" t="s">
        <v>1910</v>
      </c>
      <c r="Y833" s="185" t="s">
        <v>1789</v>
      </c>
      <c r="Z833"/>
    </row>
    <row r="834" spans="1:26">
      <c r="A834" s="185" t="s">
        <v>2355</v>
      </c>
      <c r="B834" s="185" t="s">
        <v>2368</v>
      </c>
      <c r="C834" s="185" t="s">
        <v>1890</v>
      </c>
      <c r="D834" s="185" t="s">
        <v>2369</v>
      </c>
      <c r="E834" s="185">
        <v>250505</v>
      </c>
      <c r="F834" s="185" t="s">
        <v>767</v>
      </c>
      <c r="G834" s="185" t="s">
        <v>2363</v>
      </c>
      <c r="H834" s="185" t="s">
        <v>1515</v>
      </c>
      <c r="I834" s="258" t="str">
        <f t="shared" si="37"/>
        <v>2</v>
      </c>
      <c r="J834" s="221">
        <f t="shared" si="38"/>
        <v>1269019</v>
      </c>
      <c r="K834" s="258">
        <f t="shared" si="39"/>
        <v>3</v>
      </c>
      <c r="L834" s="188">
        <v>1269019</v>
      </c>
      <c r="M834" s="188">
        <v>0</v>
      </c>
      <c r="N834" s="189">
        <v>1020842223</v>
      </c>
      <c r="O834" t="s">
        <v>2368</v>
      </c>
      <c r="P834" s="187">
        <v>45012.675543981502</v>
      </c>
      <c r="Q834" s="186">
        <v>9007</v>
      </c>
      <c r="R834" s="185"/>
      <c r="S834" s="185" t="s">
        <v>1532</v>
      </c>
      <c r="T834"/>
      <c r="U834" t="str">
        <f>IF($L834&gt;0,VLOOKUP($E834,Valida!$A$1:$G$270,6,FALSE),IF($M834&gt;=0,VLOOKUP($E834,Valida!$A$1:$G$270,7,FALSE)))</f>
        <v>(+/-) Ajustes por el incremento (disminución) de cuentas por pagar de origen comercial</v>
      </c>
      <c r="V834" s="190" t="str">
        <f>VLOOKUP(E834,Valida!$A$2:$K$271,4,FALSE)</f>
        <v>Trade and other payables</v>
      </c>
      <c r="W834" s="185" t="s">
        <v>1900</v>
      </c>
      <c r="X834" s="185"/>
      <c r="Y834" s="185" t="s">
        <v>1789</v>
      </c>
      <c r="Z834"/>
    </row>
    <row r="835" spans="1:26">
      <c r="A835" s="185" t="s">
        <v>2355</v>
      </c>
      <c r="B835" s="185" t="s">
        <v>2368</v>
      </c>
      <c r="C835" s="185" t="s">
        <v>1890</v>
      </c>
      <c r="D835" s="185" t="s">
        <v>2369</v>
      </c>
      <c r="E835" s="185">
        <v>112005</v>
      </c>
      <c r="F835" s="185" t="s">
        <v>24</v>
      </c>
      <c r="G835" s="185" t="s">
        <v>2363</v>
      </c>
      <c r="H835" s="185" t="s">
        <v>1628</v>
      </c>
      <c r="I835" s="258" t="str">
        <f t="shared" ref="I835:I898" si="40">LEFT(E835,1)</f>
        <v>1</v>
      </c>
      <c r="J835" s="221">
        <f t="shared" ref="J835:J898" si="41">L835-M835</f>
        <v>-1269019</v>
      </c>
      <c r="K835" s="258">
        <f t="shared" ref="K835:K898" si="42">MONTH(A835)</f>
        <v>3</v>
      </c>
      <c r="L835" s="188">
        <v>0</v>
      </c>
      <c r="M835" s="188">
        <v>1269019</v>
      </c>
      <c r="N835" s="189">
        <v>1020842223</v>
      </c>
      <c r="O835" t="s">
        <v>2368</v>
      </c>
      <c r="P835" s="187">
        <v>45012.675543981502</v>
      </c>
      <c r="Q835" s="186">
        <v>9008</v>
      </c>
      <c r="R835" s="185"/>
      <c r="S835" s="185" t="s">
        <v>1532</v>
      </c>
      <c r="T835" t="s">
        <v>1894</v>
      </c>
      <c r="U835" t="str">
        <f>IF($L835&gt;0,VLOOKUP($E835,Valida!$A$1:$G$270,6,FALSE),IF($M835&gt;=0,VLOOKUP($E835,Valida!$A$1:$G$270,7,FALSE)))</f>
        <v>Disponible</v>
      </c>
      <c r="V835" s="190" t="str">
        <f>VLOOKUP(E835,Valida!$A$2:$K$271,4,FALSE)</f>
        <v>Cash and equivalents</v>
      </c>
      <c r="W835" s="185" t="s">
        <v>1900</v>
      </c>
      <c r="X835" s="185"/>
      <c r="Y835" s="185" t="s">
        <v>1789</v>
      </c>
      <c r="Z835"/>
    </row>
    <row r="836" spans="1:26">
      <c r="A836" s="185" t="s">
        <v>2355</v>
      </c>
      <c r="B836" s="185" t="s">
        <v>2370</v>
      </c>
      <c r="C836" s="185" t="s">
        <v>1890</v>
      </c>
      <c r="D836" s="185" t="s">
        <v>2371</v>
      </c>
      <c r="E836" s="185">
        <v>250505</v>
      </c>
      <c r="F836" s="185" t="s">
        <v>767</v>
      </c>
      <c r="G836" s="185" t="s">
        <v>2363</v>
      </c>
      <c r="H836" s="185" t="s">
        <v>1515</v>
      </c>
      <c r="I836" s="258" t="str">
        <f t="shared" si="40"/>
        <v>2</v>
      </c>
      <c r="J836" s="221">
        <f t="shared" si="41"/>
        <v>1520606</v>
      </c>
      <c r="K836" s="258">
        <f t="shared" si="42"/>
        <v>3</v>
      </c>
      <c r="L836" s="188">
        <v>1520606</v>
      </c>
      <c r="M836" s="188">
        <v>0</v>
      </c>
      <c r="N836" s="189">
        <v>1010101811</v>
      </c>
      <c r="O836" t="s">
        <v>2370</v>
      </c>
      <c r="P836" s="187">
        <v>45012.675844907397</v>
      </c>
      <c r="Q836" s="186">
        <v>9009</v>
      </c>
      <c r="R836" s="185"/>
      <c r="S836" s="185" t="s">
        <v>1528</v>
      </c>
      <c r="T836"/>
      <c r="U836" t="str">
        <f>IF($L836&gt;0,VLOOKUP($E836,Valida!$A$1:$G$270,6,FALSE),IF($M836&gt;=0,VLOOKUP($E836,Valida!$A$1:$G$270,7,FALSE)))</f>
        <v>(+/-) Ajustes por el incremento (disminución) de cuentas por pagar de origen comercial</v>
      </c>
      <c r="V836" s="190" t="str">
        <f>VLOOKUP(E836,Valida!$A$2:$K$271,4,FALSE)</f>
        <v>Trade and other payables</v>
      </c>
      <c r="W836" s="185" t="s">
        <v>1967</v>
      </c>
      <c r="X836" s="185"/>
      <c r="Y836" s="185" t="s">
        <v>1789</v>
      </c>
      <c r="Z836"/>
    </row>
    <row r="837" spans="1:26">
      <c r="A837" s="185" t="s">
        <v>2355</v>
      </c>
      <c r="B837" s="185" t="s">
        <v>2370</v>
      </c>
      <c r="C837" s="185" t="s">
        <v>1890</v>
      </c>
      <c r="D837" s="185" t="s">
        <v>2371</v>
      </c>
      <c r="E837" s="185">
        <v>112005</v>
      </c>
      <c r="F837" s="185" t="s">
        <v>24</v>
      </c>
      <c r="G837" s="185" t="s">
        <v>2363</v>
      </c>
      <c r="H837" s="185" t="s">
        <v>1628</v>
      </c>
      <c r="I837" s="258" t="str">
        <f t="shared" si="40"/>
        <v>1</v>
      </c>
      <c r="J837" s="221">
        <f t="shared" si="41"/>
        <v>-1520606</v>
      </c>
      <c r="K837" s="258">
        <f t="shared" si="42"/>
        <v>3</v>
      </c>
      <c r="L837" s="188">
        <v>0</v>
      </c>
      <c r="M837" s="188">
        <v>1520606</v>
      </c>
      <c r="N837" s="189">
        <v>1010101811</v>
      </c>
      <c r="O837" t="s">
        <v>2370</v>
      </c>
      <c r="P837" s="187">
        <v>45012.675856481503</v>
      </c>
      <c r="Q837" s="186">
        <v>9010</v>
      </c>
      <c r="R837" s="185"/>
      <c r="S837" s="185" t="s">
        <v>1528</v>
      </c>
      <c r="T837" t="s">
        <v>1894</v>
      </c>
      <c r="U837" t="str">
        <f>IF($L837&gt;0,VLOOKUP($E837,Valida!$A$1:$G$270,6,FALSE),IF($M837&gt;=0,VLOOKUP($E837,Valida!$A$1:$G$270,7,FALSE)))</f>
        <v>Disponible</v>
      </c>
      <c r="V837" s="190" t="str">
        <f>VLOOKUP(E837,Valida!$A$2:$K$271,4,FALSE)</f>
        <v>Cash and equivalents</v>
      </c>
      <c r="W837" s="185" t="s">
        <v>1967</v>
      </c>
      <c r="X837" s="185"/>
      <c r="Y837" s="185" t="s">
        <v>1789</v>
      </c>
      <c r="Z837"/>
    </row>
    <row r="838" spans="1:26">
      <c r="A838" s="185" t="s">
        <v>2248</v>
      </c>
      <c r="B838" s="185" t="s">
        <v>2372</v>
      </c>
      <c r="C838" s="185" t="s">
        <v>1949</v>
      </c>
      <c r="D838" s="185" t="s">
        <v>2373</v>
      </c>
      <c r="E838" s="185">
        <v>13552001</v>
      </c>
      <c r="F838" s="185" t="s">
        <v>276</v>
      </c>
      <c r="G838" s="185" t="s">
        <v>2374</v>
      </c>
      <c r="H838" s="185" t="s">
        <v>1628</v>
      </c>
      <c r="I838" s="258" t="str">
        <f t="shared" si="40"/>
        <v>1</v>
      </c>
      <c r="J838" s="221">
        <f t="shared" si="41"/>
        <v>-6935000</v>
      </c>
      <c r="K838" s="258">
        <f t="shared" si="42"/>
        <v>3</v>
      </c>
      <c r="L838" s="188">
        <v>0</v>
      </c>
      <c r="M838" s="188">
        <v>6935000</v>
      </c>
      <c r="N838" s="189">
        <v>800197268</v>
      </c>
      <c r="O838" t="s">
        <v>2372</v>
      </c>
      <c r="P838" s="187">
        <v>45012.676678240699</v>
      </c>
      <c r="Q838" s="186">
        <v>9011</v>
      </c>
      <c r="R838" s="185" t="s">
        <v>983</v>
      </c>
      <c r="S838" s="185" t="s">
        <v>1558</v>
      </c>
      <c r="T838"/>
      <c r="U838" t="str">
        <f>IF($L838&gt;0,VLOOKUP($E838,Valida!$A$1:$G$270,6,FALSE),IF($M838&gt;=0,VLOOKUP($E838,Valida!$A$1:$G$270,7,FALSE)))</f>
        <v>(+/-) Ajustes por disminuciones (incrementos) en otras cuentas por cobrar derivadas de las actividades de operación</v>
      </c>
      <c r="V838" s="190" t="str">
        <f>VLOOKUP(E838,Valida!$A$2:$K$271,4,FALSE)</f>
        <v>Trade and other receivables</v>
      </c>
      <c r="W838" s="185" t="s">
        <v>1944</v>
      </c>
      <c r="X838" s="185"/>
      <c r="Y838" s="185" t="s">
        <v>1789</v>
      </c>
      <c r="Z838"/>
    </row>
    <row r="839" spans="1:26">
      <c r="A839" s="185" t="s">
        <v>2248</v>
      </c>
      <c r="B839" s="185" t="s">
        <v>2372</v>
      </c>
      <c r="C839" s="185" t="s">
        <v>1949</v>
      </c>
      <c r="D839" s="185" t="s">
        <v>2373</v>
      </c>
      <c r="E839" s="185">
        <v>112005</v>
      </c>
      <c r="F839" s="185" t="s">
        <v>24</v>
      </c>
      <c r="G839" s="185" t="s">
        <v>2374</v>
      </c>
      <c r="H839" s="185" t="s">
        <v>1515</v>
      </c>
      <c r="I839" s="258" t="str">
        <f t="shared" si="40"/>
        <v>1</v>
      </c>
      <c r="J839" s="221">
        <f t="shared" si="41"/>
        <v>6935000</v>
      </c>
      <c r="K839" s="258">
        <f t="shared" si="42"/>
        <v>3</v>
      </c>
      <c r="L839" s="188">
        <v>6935000</v>
      </c>
      <c r="M839" s="188">
        <v>0</v>
      </c>
      <c r="N839" s="189">
        <v>800197268</v>
      </c>
      <c r="O839" t="s">
        <v>2372</v>
      </c>
      <c r="P839" s="187">
        <v>45012.676678240699</v>
      </c>
      <c r="Q839" s="186">
        <v>9012</v>
      </c>
      <c r="R839" s="185" t="s">
        <v>983</v>
      </c>
      <c r="S839" s="185" t="s">
        <v>1558</v>
      </c>
      <c r="T839" t="s">
        <v>1894</v>
      </c>
      <c r="U839" t="str">
        <f>IF($L839&gt;0,VLOOKUP($E839,Valida!$A$1:$G$270,6,FALSE),IF($M839&gt;=0,VLOOKUP($E839,Valida!$A$1:$G$270,7,FALSE)))</f>
        <v>Disponible</v>
      </c>
      <c r="V839" s="190" t="str">
        <f>VLOOKUP(E839,Valida!$A$2:$K$271,4,FALSE)</f>
        <v>Cash and equivalents</v>
      </c>
      <c r="W839" s="185" t="s">
        <v>1944</v>
      </c>
      <c r="X839" s="185"/>
      <c r="Y839" s="185" t="s">
        <v>1789</v>
      </c>
      <c r="Z839"/>
    </row>
    <row r="840" spans="1:26">
      <c r="A840" s="185" t="s">
        <v>2248</v>
      </c>
      <c r="B840" s="185" t="s">
        <v>2375</v>
      </c>
      <c r="C840" s="185" t="s">
        <v>1949</v>
      </c>
      <c r="D840" s="185" t="s">
        <v>2376</v>
      </c>
      <c r="E840" s="185">
        <v>13552001</v>
      </c>
      <c r="F840" s="185" t="s">
        <v>276</v>
      </c>
      <c r="G840" s="185" t="s">
        <v>2374</v>
      </c>
      <c r="H840" s="185" t="s">
        <v>1628</v>
      </c>
      <c r="I840" s="258" t="str">
        <f t="shared" si="40"/>
        <v>1</v>
      </c>
      <c r="J840" s="221">
        <f t="shared" si="41"/>
        <v>-5900000</v>
      </c>
      <c r="K840" s="258">
        <f t="shared" si="42"/>
        <v>3</v>
      </c>
      <c r="L840" s="188">
        <v>0</v>
      </c>
      <c r="M840" s="188">
        <v>5900000</v>
      </c>
      <c r="N840" s="189">
        <v>800197268</v>
      </c>
      <c r="O840" t="s">
        <v>2375</v>
      </c>
      <c r="P840" s="187">
        <v>45012.6769907407</v>
      </c>
      <c r="Q840" s="186">
        <v>9013</v>
      </c>
      <c r="R840" s="185" t="s">
        <v>983</v>
      </c>
      <c r="S840" s="185" t="s">
        <v>1558</v>
      </c>
      <c r="T840"/>
      <c r="U840" t="str">
        <f>IF($L840&gt;0,VLOOKUP($E840,Valida!$A$1:$G$270,6,FALSE),IF($M840&gt;=0,VLOOKUP($E840,Valida!$A$1:$G$270,7,FALSE)))</f>
        <v>(+/-) Ajustes por disminuciones (incrementos) en otras cuentas por cobrar derivadas de las actividades de operación</v>
      </c>
      <c r="V840" s="190" t="str">
        <f>VLOOKUP(E840,Valida!$A$2:$K$271,4,FALSE)</f>
        <v>Trade and other receivables</v>
      </c>
      <c r="W840" s="185" t="s">
        <v>1944</v>
      </c>
      <c r="X840" s="185"/>
      <c r="Y840" s="185" t="s">
        <v>1789</v>
      </c>
      <c r="Z840"/>
    </row>
    <row r="841" spans="1:26">
      <c r="A841" s="185" t="s">
        <v>2248</v>
      </c>
      <c r="B841" s="185" t="s">
        <v>2375</v>
      </c>
      <c r="C841" s="185" t="s">
        <v>1949</v>
      </c>
      <c r="D841" s="185" t="s">
        <v>2376</v>
      </c>
      <c r="E841" s="185">
        <v>112005</v>
      </c>
      <c r="F841" s="185" t="s">
        <v>24</v>
      </c>
      <c r="G841" s="185" t="s">
        <v>2374</v>
      </c>
      <c r="H841" s="185" t="s">
        <v>1515</v>
      </c>
      <c r="I841" s="258" t="str">
        <f t="shared" si="40"/>
        <v>1</v>
      </c>
      <c r="J841" s="221">
        <f t="shared" si="41"/>
        <v>5900000</v>
      </c>
      <c r="K841" s="258">
        <f t="shared" si="42"/>
        <v>3</v>
      </c>
      <c r="L841" s="188">
        <v>5900000</v>
      </c>
      <c r="M841" s="188">
        <v>0</v>
      </c>
      <c r="N841" s="189">
        <v>800197268</v>
      </c>
      <c r="O841" t="s">
        <v>2375</v>
      </c>
      <c r="P841" s="187">
        <v>45012.6769907407</v>
      </c>
      <c r="Q841" s="186">
        <v>9014</v>
      </c>
      <c r="R841" s="185" t="s">
        <v>983</v>
      </c>
      <c r="S841" s="185" t="s">
        <v>1558</v>
      </c>
      <c r="T841" t="s">
        <v>1894</v>
      </c>
      <c r="U841" t="str">
        <f>IF($L841&gt;0,VLOOKUP($E841,Valida!$A$1:$G$270,6,FALSE),IF($M841&gt;=0,VLOOKUP($E841,Valida!$A$1:$G$270,7,FALSE)))</f>
        <v>Disponible</v>
      </c>
      <c r="V841" s="190" t="str">
        <f>VLOOKUP(E841,Valida!$A$2:$K$271,4,FALSE)</f>
        <v>Cash and equivalents</v>
      </c>
      <c r="W841" s="185" t="s">
        <v>1944</v>
      </c>
      <c r="X841" s="185"/>
      <c r="Y841" s="185" t="s">
        <v>1789</v>
      </c>
      <c r="Z841"/>
    </row>
    <row r="842" spans="1:26">
      <c r="A842" s="185" t="s">
        <v>2377</v>
      </c>
      <c r="B842" s="185" t="s">
        <v>2378</v>
      </c>
      <c r="C842" s="185" t="s">
        <v>1949</v>
      </c>
      <c r="D842" s="185" t="s">
        <v>2379</v>
      </c>
      <c r="E842" s="185">
        <v>130510</v>
      </c>
      <c r="F842" s="185" t="s">
        <v>64</v>
      </c>
      <c r="G842" s="185" t="s">
        <v>2380</v>
      </c>
      <c r="H842" s="185" t="s">
        <v>1628</v>
      </c>
      <c r="I842" s="258" t="str">
        <f t="shared" si="40"/>
        <v>1</v>
      </c>
      <c r="J842" s="221">
        <f t="shared" si="41"/>
        <v>-56702164.479999997</v>
      </c>
      <c r="K842" s="258">
        <f t="shared" si="42"/>
        <v>3</v>
      </c>
      <c r="L842" s="188">
        <v>0</v>
      </c>
      <c r="M842" s="188">
        <v>56702164.479999997</v>
      </c>
      <c r="N842" s="189">
        <v>374795</v>
      </c>
      <c r="O842" t="s">
        <v>2378</v>
      </c>
      <c r="P842" s="187">
        <v>45012.6776157407</v>
      </c>
      <c r="Q842" s="186">
        <v>9015</v>
      </c>
      <c r="R842" s="185"/>
      <c r="S842" s="185" t="s">
        <v>1544</v>
      </c>
      <c r="T842"/>
      <c r="U842" t="str">
        <f>IF($L842&gt;0,VLOOKUP($E842,Valida!$A$1:$G$270,6,FALSE),IF($M842&gt;=0,VLOOKUP($E842,Valida!$A$1:$G$270,7,FALSE)))</f>
        <v>(+/-) Ajustes por la disminución (incremento) de cuentas por cobrar de origen comercial</v>
      </c>
      <c r="V842" s="190" t="str">
        <f>VLOOKUP(E842,Valida!$A$2:$K$271,4,FALSE)</f>
        <v>Trade and other receivables</v>
      </c>
      <c r="W842" s="185" t="s">
        <v>1803</v>
      </c>
      <c r="X842" s="185"/>
      <c r="Y842" s="185"/>
      <c r="Z842"/>
    </row>
    <row r="843" spans="1:26">
      <c r="A843" s="185" t="s">
        <v>2377</v>
      </c>
      <c r="B843" s="185" t="s">
        <v>2378</v>
      </c>
      <c r="C843" s="185" t="s">
        <v>1949</v>
      </c>
      <c r="D843" s="185" t="s">
        <v>2379</v>
      </c>
      <c r="E843" s="185">
        <v>112005</v>
      </c>
      <c r="F843" s="185" t="s">
        <v>24</v>
      </c>
      <c r="G843" s="185" t="s">
        <v>2380</v>
      </c>
      <c r="H843" s="185" t="s">
        <v>1515</v>
      </c>
      <c r="I843" s="258" t="str">
        <f t="shared" si="40"/>
        <v>1</v>
      </c>
      <c r="J843" s="221">
        <f t="shared" si="41"/>
        <v>54441524</v>
      </c>
      <c r="K843" s="258">
        <f t="shared" si="42"/>
        <v>3</v>
      </c>
      <c r="L843" s="188">
        <v>54441524</v>
      </c>
      <c r="M843" s="188">
        <v>0</v>
      </c>
      <c r="N843" s="189">
        <v>374795</v>
      </c>
      <c r="O843" t="s">
        <v>2378</v>
      </c>
      <c r="P843" s="187">
        <v>45012.677627314799</v>
      </c>
      <c r="Q843" s="186">
        <v>9016</v>
      </c>
      <c r="R843" s="185"/>
      <c r="S843" s="185" t="s">
        <v>1544</v>
      </c>
      <c r="T843" t="s">
        <v>1894</v>
      </c>
      <c r="U843" t="str">
        <f>IF($L843&gt;0,VLOOKUP($E843,Valida!$A$1:$G$270,6,FALSE),IF($M843&gt;=0,VLOOKUP($E843,Valida!$A$1:$G$270,7,FALSE)))</f>
        <v>Disponible</v>
      </c>
      <c r="V843" s="190" t="str">
        <f>VLOOKUP(E843,Valida!$A$2:$K$271,4,FALSE)</f>
        <v>Cash and equivalents</v>
      </c>
      <c r="W843" s="185" t="s">
        <v>1803</v>
      </c>
      <c r="X843" s="185"/>
      <c r="Y843" s="185"/>
      <c r="Z843"/>
    </row>
    <row r="844" spans="1:26">
      <c r="A844" s="185" t="s">
        <v>2377</v>
      </c>
      <c r="B844" s="185" t="s">
        <v>2378</v>
      </c>
      <c r="C844" s="185" t="s">
        <v>1949</v>
      </c>
      <c r="D844" s="185" t="s">
        <v>2379</v>
      </c>
      <c r="E844" s="185">
        <v>53052501</v>
      </c>
      <c r="F844" s="185" t="s">
        <v>1752</v>
      </c>
      <c r="G844" s="185" t="s">
        <v>2380</v>
      </c>
      <c r="H844" s="185" t="s">
        <v>1515</v>
      </c>
      <c r="I844" s="258" t="str">
        <f t="shared" si="40"/>
        <v>5</v>
      </c>
      <c r="J844" s="221">
        <f t="shared" si="41"/>
        <v>2260640.48</v>
      </c>
      <c r="K844" s="258">
        <f t="shared" si="42"/>
        <v>3</v>
      </c>
      <c r="L844" s="188">
        <v>2260640.48</v>
      </c>
      <c r="M844" s="188">
        <v>0</v>
      </c>
      <c r="N844" s="189">
        <v>374795</v>
      </c>
      <c r="O844" t="s">
        <v>2378</v>
      </c>
      <c r="P844" s="187">
        <v>45012.677627314799</v>
      </c>
      <c r="Q844" s="186">
        <v>9017</v>
      </c>
      <c r="R844" s="185"/>
      <c r="S844" s="185" t="s">
        <v>1544</v>
      </c>
      <c r="T844"/>
      <c r="U844" t="str">
        <f>IF($L844&gt;0,VLOOKUP($E844,Valida!$A$1:$G$270,6,FALSE),IF($M844&gt;=0,VLOOKUP($E844,Valida!$A$1:$G$270,7,FALSE)))</f>
        <v>(+/-) Ganancia (pérdida)</v>
      </c>
      <c r="V844" s="190" t="str">
        <f>VLOOKUP(E844,Valida!$A$2:$K$271,4,FALSE)</f>
        <v>P&amp;L</v>
      </c>
      <c r="W844" s="185" t="s">
        <v>1803</v>
      </c>
      <c r="X844" s="185"/>
      <c r="Y844" s="185"/>
      <c r="Z844"/>
    </row>
    <row r="845" spans="1:26">
      <c r="A845" s="185" t="s">
        <v>2265</v>
      </c>
      <c r="B845" s="185" t="s">
        <v>2381</v>
      </c>
      <c r="C845" s="185" t="s">
        <v>1897</v>
      </c>
      <c r="D845" s="185" t="s">
        <v>2382</v>
      </c>
      <c r="E845" s="185">
        <v>252505</v>
      </c>
      <c r="F845" s="185" t="s">
        <v>787</v>
      </c>
      <c r="G845" s="185" t="s">
        <v>2383</v>
      </c>
      <c r="H845" s="185" t="s">
        <v>1515</v>
      </c>
      <c r="I845" s="258" t="str">
        <f t="shared" si="40"/>
        <v>2</v>
      </c>
      <c r="J845" s="221">
        <f t="shared" si="41"/>
        <v>227419</v>
      </c>
      <c r="K845" s="258">
        <f t="shared" si="42"/>
        <v>3</v>
      </c>
      <c r="L845" s="188">
        <v>227419</v>
      </c>
      <c r="M845" s="188">
        <v>0</v>
      </c>
      <c r="N845" s="189">
        <v>1000036375</v>
      </c>
      <c r="O845" t="s">
        <v>2381</v>
      </c>
      <c r="P845" s="187">
        <v>45013</v>
      </c>
      <c r="Q845" s="186">
        <v>9018</v>
      </c>
      <c r="R845" s="185"/>
      <c r="S845" s="185" t="s">
        <v>1524</v>
      </c>
      <c r="T845"/>
      <c r="U845" t="str">
        <f>IF($L845&gt;0,VLOOKUP($E845,Valida!$A$1:$G$270,6,FALSE),IF($M845&gt;=0,VLOOKUP($E845,Valida!$A$1:$G$270,7,FALSE)))</f>
        <v>(+/-) Ajustes por el incremento (disminución) de cuentas por pagar de origen comercial</v>
      </c>
      <c r="V845" s="190" t="str">
        <f>VLOOKUP(E845,Valida!$A$2:$K$271,4,FALSE)</f>
        <v>Trade and other payables</v>
      </c>
      <c r="W845" s="185" t="s">
        <v>1983</v>
      </c>
      <c r="X845" s="185"/>
      <c r="Y845" s="185" t="s">
        <v>1789</v>
      </c>
      <c r="Z845"/>
    </row>
    <row r="846" spans="1:26">
      <c r="A846" s="185" t="s">
        <v>2265</v>
      </c>
      <c r="B846" s="185" t="s">
        <v>2381</v>
      </c>
      <c r="C846" s="185" t="s">
        <v>1897</v>
      </c>
      <c r="D846" s="185" t="s">
        <v>2382</v>
      </c>
      <c r="E846" s="185">
        <v>510506</v>
      </c>
      <c r="F846" s="185" t="s">
        <v>1076</v>
      </c>
      <c r="G846" s="185" t="s">
        <v>2383</v>
      </c>
      <c r="H846" s="185" t="s">
        <v>1515</v>
      </c>
      <c r="I846" s="258" t="str">
        <f t="shared" si="40"/>
        <v>5</v>
      </c>
      <c r="J846" s="221">
        <f t="shared" si="41"/>
        <v>50000</v>
      </c>
      <c r="K846" s="258">
        <f t="shared" si="42"/>
        <v>3</v>
      </c>
      <c r="L846" s="188">
        <v>50000</v>
      </c>
      <c r="M846" s="188">
        <v>0</v>
      </c>
      <c r="N846" s="189">
        <v>1000036375</v>
      </c>
      <c r="O846" t="s">
        <v>2381</v>
      </c>
      <c r="P846" s="187">
        <v>45013</v>
      </c>
      <c r="Q846" s="186">
        <v>9019</v>
      </c>
      <c r="R846" s="185"/>
      <c r="S846" s="185" t="s">
        <v>1524</v>
      </c>
      <c r="T846"/>
      <c r="U846" t="str">
        <f>IF($L846&gt;0,VLOOKUP($E846,Valida!$A$1:$G$270,6,FALSE),IF($M846&gt;=0,VLOOKUP($E846,Valida!$A$1:$G$270,7,FALSE)))</f>
        <v>(+/-) Ganancia (pérdida)</v>
      </c>
      <c r="V846" s="190" t="str">
        <f>VLOOKUP(E846,Valida!$A$2:$K$271,4,FALSE)</f>
        <v>P&amp;L</v>
      </c>
      <c r="W846" s="185" t="s">
        <v>1983</v>
      </c>
      <c r="X846" s="185"/>
      <c r="Y846" s="185" t="s">
        <v>1789</v>
      </c>
      <c r="Z846"/>
    </row>
    <row r="847" spans="1:26">
      <c r="A847" s="185" t="s">
        <v>2265</v>
      </c>
      <c r="B847" s="185" t="s">
        <v>2381</v>
      </c>
      <c r="C847" s="185" t="s">
        <v>1897</v>
      </c>
      <c r="D847" s="185" t="s">
        <v>2382</v>
      </c>
      <c r="E847" s="185">
        <v>251010</v>
      </c>
      <c r="F847" s="185" t="s">
        <v>776</v>
      </c>
      <c r="G847" s="185" t="s">
        <v>2383</v>
      </c>
      <c r="H847" s="185" t="s">
        <v>1515</v>
      </c>
      <c r="I847" s="258" t="str">
        <f t="shared" si="40"/>
        <v>2</v>
      </c>
      <c r="J847" s="221">
        <f t="shared" si="41"/>
        <v>321221</v>
      </c>
      <c r="K847" s="258">
        <f t="shared" si="42"/>
        <v>3</v>
      </c>
      <c r="L847" s="188">
        <v>321221</v>
      </c>
      <c r="M847" s="188">
        <v>0</v>
      </c>
      <c r="N847" s="189">
        <v>1000036375</v>
      </c>
      <c r="O847" t="s">
        <v>2381</v>
      </c>
      <c r="P847" s="187">
        <v>45013</v>
      </c>
      <c r="Q847" s="186">
        <v>9020</v>
      </c>
      <c r="R847" s="185"/>
      <c r="S847" s="185" t="s">
        <v>1524</v>
      </c>
      <c r="T847"/>
      <c r="U847" t="str">
        <f>IF($L847&gt;0,VLOOKUP($E847,Valida!$A$1:$G$270,6,FALSE),IF($M847&gt;=0,VLOOKUP($E847,Valida!$A$1:$G$270,7,FALSE)))</f>
        <v>(+/-) Ajustes por el incremento (disminución) de cuentas por pagar de origen comercial</v>
      </c>
      <c r="V847" s="190" t="str">
        <f>VLOOKUP(E847,Valida!$A$2:$K$271,4,FALSE)</f>
        <v>Trade and other payables</v>
      </c>
      <c r="W847" s="185" t="s">
        <v>1983</v>
      </c>
      <c r="X847" s="185"/>
      <c r="Y847" s="185" t="s">
        <v>1789</v>
      </c>
      <c r="Z847"/>
    </row>
    <row r="848" spans="1:26">
      <c r="A848" s="185" t="s">
        <v>2265</v>
      </c>
      <c r="B848" s="185" t="s">
        <v>2381</v>
      </c>
      <c r="C848" s="185" t="s">
        <v>1897</v>
      </c>
      <c r="D848" s="185" t="s">
        <v>2382</v>
      </c>
      <c r="E848" s="185">
        <v>251505</v>
      </c>
      <c r="F848" s="185" t="s">
        <v>779</v>
      </c>
      <c r="G848" s="185" t="s">
        <v>2383</v>
      </c>
      <c r="H848" s="185" t="s">
        <v>1515</v>
      </c>
      <c r="I848" s="258" t="str">
        <f t="shared" si="40"/>
        <v>2</v>
      </c>
      <c r="J848" s="221">
        <f t="shared" si="41"/>
        <v>6531</v>
      </c>
      <c r="K848" s="258">
        <f t="shared" si="42"/>
        <v>3</v>
      </c>
      <c r="L848" s="188">
        <v>6531</v>
      </c>
      <c r="M848" s="188">
        <v>0</v>
      </c>
      <c r="N848" s="189">
        <v>1000036375</v>
      </c>
      <c r="O848" t="s">
        <v>2381</v>
      </c>
      <c r="P848" s="187">
        <v>45013</v>
      </c>
      <c r="Q848" s="186">
        <v>9021</v>
      </c>
      <c r="R848" s="185"/>
      <c r="S848" s="185" t="s">
        <v>1524</v>
      </c>
      <c r="T848"/>
      <c r="U848" t="str">
        <f>IF($L848&gt;0,VLOOKUP($E848,Valida!$A$1:$G$270,6,FALSE),IF($M848&gt;=0,VLOOKUP($E848,Valida!$A$1:$G$270,7,FALSE)))</f>
        <v>(+/-) Ajustes por el incremento (disminución) de cuentas por pagar de origen comercial</v>
      </c>
      <c r="V848" s="190" t="str">
        <f>VLOOKUP(E848,Valida!$A$2:$K$271,4,FALSE)</f>
        <v>Trade and other payables</v>
      </c>
      <c r="W848" s="185" t="s">
        <v>1983</v>
      </c>
      <c r="X848" s="185"/>
      <c r="Y848" s="185" t="s">
        <v>1789</v>
      </c>
      <c r="Z848"/>
    </row>
    <row r="849" spans="1:26">
      <c r="A849" s="185" t="s">
        <v>2265</v>
      </c>
      <c r="B849" s="185" t="s">
        <v>2381</v>
      </c>
      <c r="C849" s="185" t="s">
        <v>1897</v>
      </c>
      <c r="D849" s="185" t="s">
        <v>2382</v>
      </c>
      <c r="E849" s="185">
        <v>252005</v>
      </c>
      <c r="F849" s="185" t="s">
        <v>783</v>
      </c>
      <c r="G849" s="185" t="s">
        <v>2383</v>
      </c>
      <c r="H849" s="185" t="s">
        <v>1515</v>
      </c>
      <c r="I849" s="258" t="str">
        <f t="shared" si="40"/>
        <v>2</v>
      </c>
      <c r="J849" s="221">
        <f t="shared" si="41"/>
        <v>321221</v>
      </c>
      <c r="K849" s="258">
        <f t="shared" si="42"/>
        <v>3</v>
      </c>
      <c r="L849" s="188">
        <v>321221</v>
      </c>
      <c r="M849" s="188">
        <v>0</v>
      </c>
      <c r="N849" s="189">
        <v>1000036375</v>
      </c>
      <c r="O849" t="s">
        <v>2381</v>
      </c>
      <c r="P849" s="187">
        <v>45013</v>
      </c>
      <c r="Q849" s="186">
        <v>9022</v>
      </c>
      <c r="R849" s="185"/>
      <c r="S849" s="185" t="s">
        <v>1524</v>
      </c>
      <c r="T849"/>
      <c r="U849" t="str">
        <f>IF($L849&gt;0,VLOOKUP($E849,Valida!$A$1:$G$270,6,FALSE),IF($M849&gt;=0,VLOOKUP($E849,Valida!$A$1:$G$270,7,FALSE)))</f>
        <v>(+/-) Ajustes por el incremento (disminución) de cuentas por pagar de origen comercial</v>
      </c>
      <c r="V849" s="190" t="str">
        <f>VLOOKUP(E849,Valida!$A$2:$K$271,4,FALSE)</f>
        <v>Trade and other payables</v>
      </c>
      <c r="W849" s="185" t="s">
        <v>1983</v>
      </c>
      <c r="X849" s="185"/>
      <c r="Y849" s="185" t="s">
        <v>1789</v>
      </c>
      <c r="Z849"/>
    </row>
    <row r="850" spans="1:26">
      <c r="A850" s="185" t="s">
        <v>2265</v>
      </c>
      <c r="B850" s="185" t="s">
        <v>2381</v>
      </c>
      <c r="C850" s="185" t="s">
        <v>1897</v>
      </c>
      <c r="D850" s="185" t="s">
        <v>2382</v>
      </c>
      <c r="E850" s="185">
        <v>510527</v>
      </c>
      <c r="F850" s="185" t="s">
        <v>1089</v>
      </c>
      <c r="G850" s="185" t="s">
        <v>2383</v>
      </c>
      <c r="H850" s="185" t="s">
        <v>1515</v>
      </c>
      <c r="I850" s="258" t="str">
        <f t="shared" si="40"/>
        <v>5</v>
      </c>
      <c r="J850" s="221">
        <f t="shared" si="41"/>
        <v>4687</v>
      </c>
      <c r="K850" s="258">
        <f t="shared" si="42"/>
        <v>3</v>
      </c>
      <c r="L850" s="188">
        <v>4687</v>
      </c>
      <c r="M850" s="188">
        <v>0</v>
      </c>
      <c r="N850" s="189">
        <v>1000036375</v>
      </c>
      <c r="O850" t="s">
        <v>2381</v>
      </c>
      <c r="P850" s="187">
        <v>45013</v>
      </c>
      <c r="Q850" s="186">
        <v>9023</v>
      </c>
      <c r="R850" s="185"/>
      <c r="S850" s="185" t="s">
        <v>1524</v>
      </c>
      <c r="T850"/>
      <c r="U850" t="str">
        <f>IF($L850&gt;0,VLOOKUP($E850,Valida!$A$1:$G$270,6,FALSE),IF($M850&gt;=0,VLOOKUP($E850,Valida!$A$1:$G$270,7,FALSE)))</f>
        <v>(+/-) Ganancia (pérdida)</v>
      </c>
      <c r="V850" s="190" t="str">
        <f>VLOOKUP(E850,Valida!$A$2:$K$271,4,FALSE)</f>
        <v>P&amp;L</v>
      </c>
      <c r="W850" s="185" t="s">
        <v>1983</v>
      </c>
      <c r="X850" s="185"/>
      <c r="Y850" s="185" t="s">
        <v>1789</v>
      </c>
      <c r="Z850"/>
    </row>
    <row r="851" spans="1:26">
      <c r="A851" s="185" t="s">
        <v>2265</v>
      </c>
      <c r="B851" s="185" t="s">
        <v>2381</v>
      </c>
      <c r="C851" s="185" t="s">
        <v>1897</v>
      </c>
      <c r="D851" s="185" t="s">
        <v>2382</v>
      </c>
      <c r="E851" s="185">
        <v>237005</v>
      </c>
      <c r="F851" s="185" t="s">
        <v>676</v>
      </c>
      <c r="G851" s="185" t="s">
        <v>2383</v>
      </c>
      <c r="H851" s="185" t="s">
        <v>1628</v>
      </c>
      <c r="I851" s="258" t="str">
        <f t="shared" si="40"/>
        <v>2</v>
      </c>
      <c r="J851" s="221">
        <f t="shared" si="41"/>
        <v>-2000</v>
      </c>
      <c r="K851" s="258">
        <f t="shared" si="42"/>
        <v>3</v>
      </c>
      <c r="L851" s="188">
        <v>0</v>
      </c>
      <c r="M851" s="188">
        <v>2000</v>
      </c>
      <c r="N851" s="189">
        <v>900156264</v>
      </c>
      <c r="O851" t="s">
        <v>2381</v>
      </c>
      <c r="P851" s="187">
        <v>45013</v>
      </c>
      <c r="Q851" s="186">
        <v>9024</v>
      </c>
      <c r="R851" s="185" t="s">
        <v>433</v>
      </c>
      <c r="S851" s="185" t="s">
        <v>1654</v>
      </c>
      <c r="T851"/>
      <c r="U851" t="str">
        <f>IF($L851&gt;0,VLOOKUP($E851,Valida!$A$1:$G$270,6,FALSE),IF($M851&gt;=0,VLOOKUP($E851,Valida!$A$1:$G$270,7,FALSE)))</f>
        <v>(+/-) Ajustes por el incremento (disminución) de cuentas por pagar de origen comercial</v>
      </c>
      <c r="V851" s="190" t="str">
        <f>VLOOKUP(E851,Valida!$A$2:$K$271,4,FALSE)</f>
        <v>Trade and other payables</v>
      </c>
      <c r="W851" s="185" t="s">
        <v>1926</v>
      </c>
      <c r="X851" s="185" t="s">
        <v>1927</v>
      </c>
      <c r="Y851" s="185" t="s">
        <v>1789</v>
      </c>
      <c r="Z851"/>
    </row>
    <row r="852" spans="1:26">
      <c r="A852" s="185" t="s">
        <v>2265</v>
      </c>
      <c r="B852" s="185" t="s">
        <v>2381</v>
      </c>
      <c r="C852" s="185" t="s">
        <v>1897</v>
      </c>
      <c r="D852" s="185" t="s">
        <v>2382</v>
      </c>
      <c r="E852" s="185">
        <v>238030</v>
      </c>
      <c r="F852" s="185" t="s">
        <v>721</v>
      </c>
      <c r="G852" s="185" t="s">
        <v>2383</v>
      </c>
      <c r="H852" s="185" t="s">
        <v>1628</v>
      </c>
      <c r="I852" s="258" t="str">
        <f t="shared" si="40"/>
        <v>2</v>
      </c>
      <c r="J852" s="221">
        <f t="shared" si="41"/>
        <v>-2000</v>
      </c>
      <c r="K852" s="258">
        <f t="shared" si="42"/>
        <v>3</v>
      </c>
      <c r="L852" s="188">
        <v>0</v>
      </c>
      <c r="M852" s="188">
        <v>2000</v>
      </c>
      <c r="N852" s="189">
        <v>800224808</v>
      </c>
      <c r="O852" t="s">
        <v>2381</v>
      </c>
      <c r="P852" s="187">
        <v>45013</v>
      </c>
      <c r="Q852" s="186">
        <v>9025</v>
      </c>
      <c r="R852" s="185" t="s">
        <v>1827</v>
      </c>
      <c r="S852" s="185" t="s">
        <v>1662</v>
      </c>
      <c r="T852"/>
      <c r="U852" t="str">
        <f>IF($L852&gt;0,VLOOKUP($E852,Valida!$A$1:$G$270,6,FALSE),IF($M852&gt;=0,VLOOKUP($E852,Valida!$A$1:$G$270,7,FALSE)))</f>
        <v>(+/-) Ajustes por el incremento (disminución) de cuentas por pagar de origen comercial</v>
      </c>
      <c r="V852" s="190" t="str">
        <f>VLOOKUP(E852,Valida!$A$2:$K$271,4,FALSE)</f>
        <v>Trade and other payables</v>
      </c>
      <c r="W852" s="185" t="s">
        <v>1911</v>
      </c>
      <c r="X852" s="185"/>
      <c r="Y852" s="185" t="s">
        <v>1789</v>
      </c>
      <c r="Z852"/>
    </row>
    <row r="853" spans="1:26">
      <c r="A853" s="185" t="s">
        <v>2265</v>
      </c>
      <c r="B853" s="185" t="s">
        <v>2381</v>
      </c>
      <c r="C853" s="185" t="s">
        <v>1897</v>
      </c>
      <c r="D853" s="185" t="s">
        <v>2382</v>
      </c>
      <c r="E853" s="185">
        <v>250505</v>
      </c>
      <c r="F853" s="185" t="s">
        <v>767</v>
      </c>
      <c r="G853" s="185" t="s">
        <v>2383</v>
      </c>
      <c r="H853" s="185" t="s">
        <v>1628</v>
      </c>
      <c r="I853" s="258" t="str">
        <f t="shared" si="40"/>
        <v>2</v>
      </c>
      <c r="J853" s="221">
        <f t="shared" si="41"/>
        <v>-927079</v>
      </c>
      <c r="K853" s="258">
        <f t="shared" si="42"/>
        <v>3</v>
      </c>
      <c r="L853" s="188">
        <v>0</v>
      </c>
      <c r="M853" s="188">
        <v>927079</v>
      </c>
      <c r="N853" s="189">
        <v>1000036375</v>
      </c>
      <c r="O853" t="s">
        <v>2381</v>
      </c>
      <c r="P853" s="187">
        <v>45013</v>
      </c>
      <c r="Q853" s="186">
        <v>9026</v>
      </c>
      <c r="R853" s="185"/>
      <c r="S853" s="185" t="s">
        <v>1524</v>
      </c>
      <c r="T853"/>
      <c r="U853" t="str">
        <f>IF($L853&gt;0,VLOOKUP($E853,Valida!$A$1:$G$270,6,FALSE),IF($M853&gt;=0,VLOOKUP($E853,Valida!$A$1:$G$270,7,FALSE)))</f>
        <v>(+/-) Ajustes por el incremento (disminución) de cuentas por pagar de origen comercial</v>
      </c>
      <c r="V853" s="190" t="str">
        <f>VLOOKUP(E853,Valida!$A$2:$K$271,4,FALSE)</f>
        <v>Trade and other payables</v>
      </c>
      <c r="W853" s="185" t="s">
        <v>1983</v>
      </c>
      <c r="X853" s="185"/>
      <c r="Y853" s="185" t="s">
        <v>1789</v>
      </c>
      <c r="Z853"/>
    </row>
    <row r="854" spans="1:26">
      <c r="A854" s="185" t="s">
        <v>2265</v>
      </c>
      <c r="B854" s="185" t="s">
        <v>2384</v>
      </c>
      <c r="C854" s="185" t="s">
        <v>1897</v>
      </c>
      <c r="D854" s="185" t="s">
        <v>2385</v>
      </c>
      <c r="E854" s="185">
        <v>237006</v>
      </c>
      <c r="F854" s="185" t="s">
        <v>680</v>
      </c>
      <c r="G854" s="185" t="s">
        <v>2386</v>
      </c>
      <c r="H854" s="185" t="s">
        <v>1628</v>
      </c>
      <c r="I854" s="258" t="str">
        <f t="shared" si="40"/>
        <v>2</v>
      </c>
      <c r="J854" s="221">
        <f t="shared" si="41"/>
        <v>-261</v>
      </c>
      <c r="K854" s="258">
        <f t="shared" si="42"/>
        <v>3</v>
      </c>
      <c r="L854" s="188">
        <v>0</v>
      </c>
      <c r="M854" s="188">
        <v>261</v>
      </c>
      <c r="N854" s="189">
        <v>860002503</v>
      </c>
      <c r="O854" t="s">
        <v>2384</v>
      </c>
      <c r="P854" s="187">
        <v>45013</v>
      </c>
      <c r="Q854" s="186">
        <v>9027</v>
      </c>
      <c r="R854" s="185" t="s">
        <v>433</v>
      </c>
      <c r="S854" s="185" t="s">
        <v>1656</v>
      </c>
      <c r="T854"/>
      <c r="U854" t="str">
        <f>IF($L854&gt;0,VLOOKUP($E854,Valida!$A$1:$G$270,6,FALSE),IF($M854&gt;=0,VLOOKUP($E854,Valida!$A$1:$G$270,7,FALSE)))</f>
        <v>(+/-) Ajustes por el incremento (disminución) de cuentas por pagar de origen comercial</v>
      </c>
      <c r="V854" s="190" t="str">
        <f>VLOOKUP(E854,Valida!$A$2:$K$271,4,FALSE)</f>
        <v>Trade and other payables</v>
      </c>
      <c r="W854" s="185" t="s">
        <v>1912</v>
      </c>
      <c r="X854" s="185" t="s">
        <v>1913</v>
      </c>
      <c r="Y854" s="185" t="s">
        <v>1789</v>
      </c>
      <c r="Z854"/>
    </row>
    <row r="855" spans="1:26">
      <c r="A855" s="185" t="s">
        <v>2265</v>
      </c>
      <c r="B855" s="185" t="s">
        <v>2384</v>
      </c>
      <c r="C855" s="185" t="s">
        <v>1897</v>
      </c>
      <c r="D855" s="185" t="s">
        <v>2385</v>
      </c>
      <c r="E855" s="185">
        <v>237010</v>
      </c>
      <c r="F855" s="185" t="s">
        <v>683</v>
      </c>
      <c r="G855" s="185" t="s">
        <v>2387</v>
      </c>
      <c r="H855" s="185" t="s">
        <v>1628</v>
      </c>
      <c r="I855" s="258" t="str">
        <f t="shared" si="40"/>
        <v>2</v>
      </c>
      <c r="J855" s="221">
        <f t="shared" si="41"/>
        <v>-1000</v>
      </c>
      <c r="K855" s="258">
        <f t="shared" si="42"/>
        <v>3</v>
      </c>
      <c r="L855" s="188">
        <v>0</v>
      </c>
      <c r="M855" s="188">
        <v>1000</v>
      </c>
      <c r="N855" s="189">
        <v>860066942</v>
      </c>
      <c r="O855" t="s">
        <v>2384</v>
      </c>
      <c r="P855" s="187">
        <v>45013</v>
      </c>
      <c r="Q855" s="186">
        <v>9028</v>
      </c>
      <c r="R855" s="185" t="s">
        <v>1814</v>
      </c>
      <c r="S855" s="185" t="s">
        <v>1574</v>
      </c>
      <c r="T855"/>
      <c r="U855" t="str">
        <f>IF($L855&gt;0,VLOOKUP($E855,Valida!$A$1:$G$270,6,FALSE),IF($M855&gt;=0,VLOOKUP($E855,Valida!$A$1:$G$270,7,FALSE)))</f>
        <v>(+/-) Ajustes por el incremento (disminución) de cuentas por pagar de origen comercial</v>
      </c>
      <c r="V855" s="190" t="str">
        <f>VLOOKUP(E855,Valida!$A$2:$K$271,4,FALSE)</f>
        <v>Trade and other payables</v>
      </c>
      <c r="W855" s="185" t="s">
        <v>1914</v>
      </c>
      <c r="X855" s="185" t="s">
        <v>1915</v>
      </c>
      <c r="Y855" s="185" t="s">
        <v>1789</v>
      </c>
      <c r="Z855"/>
    </row>
    <row r="856" spans="1:26">
      <c r="A856" s="185" t="s">
        <v>2265</v>
      </c>
      <c r="B856" s="185" t="s">
        <v>2384</v>
      </c>
      <c r="C856" s="185" t="s">
        <v>1897</v>
      </c>
      <c r="D856" s="185" t="s">
        <v>2385</v>
      </c>
      <c r="E856" s="185">
        <v>238030</v>
      </c>
      <c r="F856" s="185" t="s">
        <v>721</v>
      </c>
      <c r="G856" s="185" t="s">
        <v>2388</v>
      </c>
      <c r="H856" s="185" t="s">
        <v>1628</v>
      </c>
      <c r="I856" s="258" t="str">
        <f t="shared" si="40"/>
        <v>2</v>
      </c>
      <c r="J856" s="221">
        <f t="shared" si="41"/>
        <v>-6000</v>
      </c>
      <c r="K856" s="258">
        <f t="shared" si="42"/>
        <v>3</v>
      </c>
      <c r="L856" s="188">
        <v>0</v>
      </c>
      <c r="M856" s="188">
        <v>6000</v>
      </c>
      <c r="N856" s="189">
        <v>800224808</v>
      </c>
      <c r="O856" t="s">
        <v>2384</v>
      </c>
      <c r="P856" s="187">
        <v>45013</v>
      </c>
      <c r="Q856" s="186">
        <v>9029</v>
      </c>
      <c r="R856" s="185" t="s">
        <v>1827</v>
      </c>
      <c r="S856" s="185" t="s">
        <v>1662</v>
      </c>
      <c r="T856"/>
      <c r="U856" t="str">
        <f>IF($L856&gt;0,VLOOKUP($E856,Valida!$A$1:$G$270,6,FALSE),IF($M856&gt;=0,VLOOKUP($E856,Valida!$A$1:$G$270,7,FALSE)))</f>
        <v>(+/-) Ajustes por el incremento (disminución) de cuentas por pagar de origen comercial</v>
      </c>
      <c r="V856" s="190" t="str">
        <f>VLOOKUP(E856,Valida!$A$2:$K$271,4,FALSE)</f>
        <v>Trade and other payables</v>
      </c>
      <c r="W856" s="185" t="s">
        <v>1911</v>
      </c>
      <c r="X856" s="185"/>
      <c r="Y856" s="185" t="s">
        <v>1789</v>
      </c>
      <c r="Z856"/>
    </row>
    <row r="857" spans="1:26">
      <c r="A857" s="185" t="s">
        <v>2265</v>
      </c>
      <c r="B857" s="185" t="s">
        <v>2384</v>
      </c>
      <c r="C857" s="185" t="s">
        <v>1897</v>
      </c>
      <c r="D857" s="185" t="s">
        <v>2385</v>
      </c>
      <c r="E857" s="185">
        <v>251010</v>
      </c>
      <c r="F857" s="185" t="s">
        <v>776</v>
      </c>
      <c r="G857" s="185" t="s">
        <v>2389</v>
      </c>
      <c r="H857" s="185" t="s">
        <v>1628</v>
      </c>
      <c r="I857" s="258" t="str">
        <f t="shared" si="40"/>
        <v>2</v>
      </c>
      <c r="J857" s="221">
        <f t="shared" si="41"/>
        <v>-4555</v>
      </c>
      <c r="K857" s="258">
        <f t="shared" si="42"/>
        <v>3</v>
      </c>
      <c r="L857" s="188">
        <v>0</v>
      </c>
      <c r="M857" s="188">
        <v>4555</v>
      </c>
      <c r="N857" s="189">
        <v>1000036375</v>
      </c>
      <c r="O857" t="s">
        <v>2384</v>
      </c>
      <c r="P857" s="187">
        <v>45013</v>
      </c>
      <c r="Q857" s="186">
        <v>9030</v>
      </c>
      <c r="R857" s="185"/>
      <c r="S857" s="185" t="s">
        <v>1524</v>
      </c>
      <c r="T857"/>
      <c r="U857" t="str">
        <f>IF($L857&gt;0,VLOOKUP($E857,Valida!$A$1:$G$270,6,FALSE),IF($M857&gt;=0,VLOOKUP($E857,Valida!$A$1:$G$270,7,FALSE)))</f>
        <v>(+/-) Ajustes por el incremento (disminución) de cuentas por pagar de origen comercial</v>
      </c>
      <c r="V857" s="190" t="str">
        <f>VLOOKUP(E857,Valida!$A$2:$K$271,4,FALSE)</f>
        <v>Trade and other payables</v>
      </c>
      <c r="W857" s="185" t="s">
        <v>1983</v>
      </c>
      <c r="X857" s="185"/>
      <c r="Y857" s="185" t="s">
        <v>1789</v>
      </c>
      <c r="Z857"/>
    </row>
    <row r="858" spans="1:26">
      <c r="A858" s="185" t="s">
        <v>2265</v>
      </c>
      <c r="B858" s="185" t="s">
        <v>2384</v>
      </c>
      <c r="C858" s="185" t="s">
        <v>1897</v>
      </c>
      <c r="D858" s="185" t="s">
        <v>2385</v>
      </c>
      <c r="E858" s="185">
        <v>251505</v>
      </c>
      <c r="F858" s="185" t="s">
        <v>779</v>
      </c>
      <c r="G858" s="185" t="s">
        <v>2390</v>
      </c>
      <c r="H858" s="185" t="s">
        <v>1628</v>
      </c>
      <c r="I858" s="258" t="str">
        <f t="shared" si="40"/>
        <v>2</v>
      </c>
      <c r="J858" s="221">
        <f t="shared" si="41"/>
        <v>-547</v>
      </c>
      <c r="K858" s="258">
        <f t="shared" si="42"/>
        <v>3</v>
      </c>
      <c r="L858" s="188">
        <v>0</v>
      </c>
      <c r="M858" s="188">
        <v>547</v>
      </c>
      <c r="N858" s="189">
        <v>800224808</v>
      </c>
      <c r="O858" t="s">
        <v>2384</v>
      </c>
      <c r="P858" s="187">
        <v>45013</v>
      </c>
      <c r="Q858" s="186">
        <v>9031</v>
      </c>
      <c r="R858" s="185" t="s">
        <v>1827</v>
      </c>
      <c r="S858" s="185" t="s">
        <v>1662</v>
      </c>
      <c r="T858"/>
      <c r="U858" t="str">
        <f>IF($L858&gt;0,VLOOKUP($E858,Valida!$A$1:$G$270,6,FALSE),IF($M858&gt;=0,VLOOKUP($E858,Valida!$A$1:$G$270,7,FALSE)))</f>
        <v>(+/-) Ajustes por el incremento (disminución) de cuentas por pagar de origen comercial</v>
      </c>
      <c r="V858" s="190" t="str">
        <f>VLOOKUP(E858,Valida!$A$2:$K$271,4,FALSE)</f>
        <v>Trade and other payables</v>
      </c>
      <c r="W858" s="185" t="s">
        <v>1911</v>
      </c>
      <c r="X858" s="185"/>
      <c r="Y858" s="185" t="s">
        <v>1789</v>
      </c>
      <c r="Z858"/>
    </row>
    <row r="859" spans="1:26">
      <c r="A859" s="185" t="s">
        <v>2265</v>
      </c>
      <c r="B859" s="185" t="s">
        <v>2384</v>
      </c>
      <c r="C859" s="185" t="s">
        <v>1897</v>
      </c>
      <c r="D859" s="185" t="s">
        <v>2385</v>
      </c>
      <c r="E859" s="185">
        <v>252005</v>
      </c>
      <c r="F859" s="185" t="s">
        <v>783</v>
      </c>
      <c r="G859" s="185" t="s">
        <v>2391</v>
      </c>
      <c r="H859" s="185" t="s">
        <v>1628</v>
      </c>
      <c r="I859" s="258" t="str">
        <f t="shared" si="40"/>
        <v>2</v>
      </c>
      <c r="J859" s="221">
        <f t="shared" si="41"/>
        <v>-4555</v>
      </c>
      <c r="K859" s="258">
        <f t="shared" si="42"/>
        <v>3</v>
      </c>
      <c r="L859" s="188">
        <v>0</v>
      </c>
      <c r="M859" s="188">
        <v>4555</v>
      </c>
      <c r="N859" s="189">
        <v>1000036375</v>
      </c>
      <c r="O859" t="s">
        <v>2384</v>
      </c>
      <c r="P859" s="187">
        <v>45013</v>
      </c>
      <c r="Q859" s="186">
        <v>9032</v>
      </c>
      <c r="R859" s="185"/>
      <c r="S859" s="185" t="s">
        <v>1524</v>
      </c>
      <c r="T859"/>
      <c r="U859" t="str">
        <f>IF($L859&gt;0,VLOOKUP($E859,Valida!$A$1:$G$270,6,FALSE),IF($M859&gt;=0,VLOOKUP($E859,Valida!$A$1:$G$270,7,FALSE)))</f>
        <v>(+/-) Ajustes por el incremento (disminución) de cuentas por pagar de origen comercial</v>
      </c>
      <c r="V859" s="190" t="str">
        <f>VLOOKUP(E859,Valida!$A$2:$K$271,4,FALSE)</f>
        <v>Trade and other payables</v>
      </c>
      <c r="W859" s="185" t="s">
        <v>1983</v>
      </c>
      <c r="X859" s="185"/>
      <c r="Y859" s="185" t="s">
        <v>1789</v>
      </c>
      <c r="Z859"/>
    </row>
    <row r="860" spans="1:26">
      <c r="A860" s="185" t="s">
        <v>2265</v>
      </c>
      <c r="B860" s="185" t="s">
        <v>2384</v>
      </c>
      <c r="C860" s="185" t="s">
        <v>1897</v>
      </c>
      <c r="D860" s="185" t="s">
        <v>2385</v>
      </c>
      <c r="E860" s="185">
        <v>252505</v>
      </c>
      <c r="F860" s="185" t="s">
        <v>787</v>
      </c>
      <c r="G860" s="185" t="s">
        <v>2392</v>
      </c>
      <c r="H860" s="185" t="s">
        <v>1628</v>
      </c>
      <c r="I860" s="258" t="str">
        <f t="shared" si="40"/>
        <v>2</v>
      </c>
      <c r="J860" s="221">
        <f t="shared" si="41"/>
        <v>-2085</v>
      </c>
      <c r="K860" s="258">
        <f t="shared" si="42"/>
        <v>3</v>
      </c>
      <c r="L860" s="188">
        <v>0</v>
      </c>
      <c r="M860" s="188">
        <v>2085</v>
      </c>
      <c r="N860" s="189">
        <v>1000036375</v>
      </c>
      <c r="O860" t="s">
        <v>2384</v>
      </c>
      <c r="P860" s="187">
        <v>45013</v>
      </c>
      <c r="Q860" s="186">
        <v>9033</v>
      </c>
      <c r="R860" s="185"/>
      <c r="S860" s="185" t="s">
        <v>1524</v>
      </c>
      <c r="T860"/>
      <c r="U860" t="str">
        <f>IF($L860&gt;0,VLOOKUP($E860,Valida!$A$1:$G$270,6,FALSE),IF($M860&gt;=0,VLOOKUP($E860,Valida!$A$1:$G$270,7,FALSE)))</f>
        <v>(+/-) Ajustes por el incremento (disminución) de cuentas por pagar de origen comercial</v>
      </c>
      <c r="V860" s="190" t="str">
        <f>VLOOKUP(E860,Valida!$A$2:$K$271,4,FALSE)</f>
        <v>Trade and other payables</v>
      </c>
      <c r="W860" s="185" t="s">
        <v>1983</v>
      </c>
      <c r="X860" s="185"/>
      <c r="Y860" s="185" t="s">
        <v>1789</v>
      </c>
      <c r="Z860"/>
    </row>
    <row r="861" spans="1:26">
      <c r="A861" s="185" t="s">
        <v>2265</v>
      </c>
      <c r="B861" s="185" t="s">
        <v>2384</v>
      </c>
      <c r="C861" s="185" t="s">
        <v>1897</v>
      </c>
      <c r="D861" s="185" t="s">
        <v>2385</v>
      </c>
      <c r="E861" s="185">
        <v>510530</v>
      </c>
      <c r="F861" s="185" t="s">
        <v>813</v>
      </c>
      <c r="G861" s="185" t="s">
        <v>2389</v>
      </c>
      <c r="H861" s="185" t="s">
        <v>1515</v>
      </c>
      <c r="I861" s="258" t="str">
        <f t="shared" si="40"/>
        <v>5</v>
      </c>
      <c r="J861" s="221">
        <f t="shared" si="41"/>
        <v>4555</v>
      </c>
      <c r="K861" s="258">
        <f t="shared" si="42"/>
        <v>3</v>
      </c>
      <c r="L861" s="188">
        <v>4555</v>
      </c>
      <c r="M861" s="188">
        <v>0</v>
      </c>
      <c r="N861" s="189">
        <v>1000036375</v>
      </c>
      <c r="O861" t="s">
        <v>2384</v>
      </c>
      <c r="P861" s="187">
        <v>45013</v>
      </c>
      <c r="Q861" s="186">
        <v>9034</v>
      </c>
      <c r="R861" s="185"/>
      <c r="S861" s="185" t="s">
        <v>1524</v>
      </c>
      <c r="T861"/>
      <c r="U861" t="str">
        <f>IF($L861&gt;0,VLOOKUP($E861,Valida!$A$1:$G$270,6,FALSE),IF($M861&gt;=0,VLOOKUP($E861,Valida!$A$1:$G$270,7,FALSE)))</f>
        <v>(+/-) Ganancia (pérdida)</v>
      </c>
      <c r="V861" s="190" t="str">
        <f>VLOOKUP(E861,Valida!$A$2:$K$271,4,FALSE)</f>
        <v>P&amp;L</v>
      </c>
      <c r="W861" s="185" t="s">
        <v>1983</v>
      </c>
      <c r="X861" s="185"/>
      <c r="Y861" s="185" t="s">
        <v>1789</v>
      </c>
      <c r="Z861"/>
    </row>
    <row r="862" spans="1:26">
      <c r="A862" s="185" t="s">
        <v>2265</v>
      </c>
      <c r="B862" s="185" t="s">
        <v>2384</v>
      </c>
      <c r="C862" s="185" t="s">
        <v>1897</v>
      </c>
      <c r="D862" s="185" t="s">
        <v>2385</v>
      </c>
      <c r="E862" s="185">
        <v>510533</v>
      </c>
      <c r="F862" s="185" t="s">
        <v>779</v>
      </c>
      <c r="G862" s="185" t="s">
        <v>2390</v>
      </c>
      <c r="H862" s="185" t="s">
        <v>1515</v>
      </c>
      <c r="I862" s="258" t="str">
        <f t="shared" si="40"/>
        <v>5</v>
      </c>
      <c r="J862" s="221">
        <f t="shared" si="41"/>
        <v>547</v>
      </c>
      <c r="K862" s="258">
        <f t="shared" si="42"/>
        <v>3</v>
      </c>
      <c r="L862" s="188">
        <v>547</v>
      </c>
      <c r="M862" s="188">
        <v>0</v>
      </c>
      <c r="N862" s="189">
        <v>1000036375</v>
      </c>
      <c r="O862" t="s">
        <v>2384</v>
      </c>
      <c r="P862" s="187">
        <v>45013</v>
      </c>
      <c r="Q862" s="186">
        <v>9035</v>
      </c>
      <c r="R862" s="185"/>
      <c r="S862" s="185" t="s">
        <v>1524</v>
      </c>
      <c r="T862"/>
      <c r="U862" t="str">
        <f>IF($L862&gt;0,VLOOKUP($E862,Valida!$A$1:$G$270,6,FALSE),IF($M862&gt;=0,VLOOKUP($E862,Valida!$A$1:$G$270,7,FALSE)))</f>
        <v>(+/-) Ganancia (pérdida)</v>
      </c>
      <c r="V862" s="190" t="str">
        <f>VLOOKUP(E862,Valida!$A$2:$K$271,4,FALSE)</f>
        <v>P&amp;L</v>
      </c>
      <c r="W862" s="185" t="s">
        <v>1983</v>
      </c>
      <c r="X862" s="185"/>
      <c r="Y862" s="185" t="s">
        <v>1789</v>
      </c>
      <c r="Z862"/>
    </row>
    <row r="863" spans="1:26">
      <c r="A863" s="185" t="s">
        <v>2265</v>
      </c>
      <c r="B863" s="185" t="s">
        <v>2384</v>
      </c>
      <c r="C863" s="185" t="s">
        <v>1897</v>
      </c>
      <c r="D863" s="185" t="s">
        <v>2385</v>
      </c>
      <c r="E863" s="185">
        <v>510536</v>
      </c>
      <c r="F863" s="185" t="s">
        <v>783</v>
      </c>
      <c r="G863" s="185" t="s">
        <v>2391</v>
      </c>
      <c r="H863" s="185" t="s">
        <v>1515</v>
      </c>
      <c r="I863" s="258" t="str">
        <f t="shared" si="40"/>
        <v>5</v>
      </c>
      <c r="J863" s="221">
        <f t="shared" si="41"/>
        <v>4555</v>
      </c>
      <c r="K863" s="258">
        <f t="shared" si="42"/>
        <v>3</v>
      </c>
      <c r="L863" s="188">
        <v>4555</v>
      </c>
      <c r="M863" s="188">
        <v>0</v>
      </c>
      <c r="N863" s="189">
        <v>1000036375</v>
      </c>
      <c r="O863" t="s">
        <v>2384</v>
      </c>
      <c r="P863" s="187">
        <v>45013</v>
      </c>
      <c r="Q863" s="186">
        <v>9036</v>
      </c>
      <c r="R863" s="185"/>
      <c r="S863" s="185" t="s">
        <v>1524</v>
      </c>
      <c r="T863"/>
      <c r="U863" t="str">
        <f>IF($L863&gt;0,VLOOKUP($E863,Valida!$A$1:$G$270,6,FALSE),IF($M863&gt;=0,VLOOKUP($E863,Valida!$A$1:$G$270,7,FALSE)))</f>
        <v>(+/-) Ganancia (pérdida)</v>
      </c>
      <c r="V863" s="190" t="str">
        <f>VLOOKUP(E863,Valida!$A$2:$K$271,4,FALSE)</f>
        <v>P&amp;L</v>
      </c>
      <c r="W863" s="185" t="s">
        <v>1983</v>
      </c>
      <c r="X863" s="185"/>
      <c r="Y863" s="185" t="s">
        <v>1789</v>
      </c>
      <c r="Z863"/>
    </row>
    <row r="864" spans="1:26">
      <c r="A864" s="185" t="s">
        <v>2265</v>
      </c>
      <c r="B864" s="185" t="s">
        <v>2384</v>
      </c>
      <c r="C864" s="185" t="s">
        <v>1897</v>
      </c>
      <c r="D864" s="185" t="s">
        <v>2385</v>
      </c>
      <c r="E864" s="185">
        <v>510539</v>
      </c>
      <c r="F864" s="185" t="s">
        <v>818</v>
      </c>
      <c r="G864" s="185" t="s">
        <v>2392</v>
      </c>
      <c r="H864" s="185" t="s">
        <v>1515</v>
      </c>
      <c r="I864" s="258" t="str">
        <f t="shared" si="40"/>
        <v>5</v>
      </c>
      <c r="J864" s="221">
        <f t="shared" si="41"/>
        <v>2085</v>
      </c>
      <c r="K864" s="258">
        <f t="shared" si="42"/>
        <v>3</v>
      </c>
      <c r="L864" s="188">
        <v>2085</v>
      </c>
      <c r="M864" s="188">
        <v>0</v>
      </c>
      <c r="N864" s="189">
        <v>1000036375</v>
      </c>
      <c r="O864" t="s">
        <v>2384</v>
      </c>
      <c r="P864" s="187">
        <v>45013</v>
      </c>
      <c r="Q864" s="186">
        <v>9037</v>
      </c>
      <c r="R864" s="185"/>
      <c r="S864" s="185" t="s">
        <v>1524</v>
      </c>
      <c r="T864"/>
      <c r="U864" t="str">
        <f>IF($L864&gt;0,VLOOKUP($E864,Valida!$A$1:$G$270,6,FALSE),IF($M864&gt;=0,VLOOKUP($E864,Valida!$A$1:$G$270,7,FALSE)))</f>
        <v>(+/-) Ganancia (pérdida)</v>
      </c>
      <c r="V864" s="190" t="str">
        <f>VLOOKUP(E864,Valida!$A$2:$K$271,4,FALSE)</f>
        <v>P&amp;L</v>
      </c>
      <c r="W864" s="185" t="s">
        <v>1983</v>
      </c>
      <c r="X864" s="185"/>
      <c r="Y864" s="185" t="s">
        <v>1789</v>
      </c>
      <c r="Z864"/>
    </row>
    <row r="865" spans="1:26">
      <c r="A865" s="185" t="s">
        <v>2265</v>
      </c>
      <c r="B865" s="185" t="s">
        <v>2384</v>
      </c>
      <c r="C865" s="185" t="s">
        <v>1897</v>
      </c>
      <c r="D865" s="185" t="s">
        <v>2385</v>
      </c>
      <c r="E865" s="185">
        <v>510568</v>
      </c>
      <c r="F865" s="185" t="s">
        <v>680</v>
      </c>
      <c r="G865" s="185" t="s">
        <v>2386</v>
      </c>
      <c r="H865" s="185" t="s">
        <v>1515</v>
      </c>
      <c r="I865" s="258" t="str">
        <f t="shared" si="40"/>
        <v>5</v>
      </c>
      <c r="J865" s="221">
        <f t="shared" si="41"/>
        <v>261</v>
      </c>
      <c r="K865" s="258">
        <f t="shared" si="42"/>
        <v>3</v>
      </c>
      <c r="L865" s="188">
        <v>261</v>
      </c>
      <c r="M865" s="188">
        <v>0</v>
      </c>
      <c r="N865" s="189">
        <v>1000036375</v>
      </c>
      <c r="O865" t="s">
        <v>2384</v>
      </c>
      <c r="P865" s="187">
        <v>45013</v>
      </c>
      <c r="Q865" s="186">
        <v>9038</v>
      </c>
      <c r="R865" s="185"/>
      <c r="S865" s="185" t="s">
        <v>1524</v>
      </c>
      <c r="T865"/>
      <c r="U865" t="str">
        <f>IF($L865&gt;0,VLOOKUP($E865,Valida!$A$1:$G$270,6,FALSE),IF($M865&gt;=0,VLOOKUP($E865,Valida!$A$1:$G$270,7,FALSE)))</f>
        <v>(+/-) Ganancia (pérdida)</v>
      </c>
      <c r="V865" s="190" t="str">
        <f>VLOOKUP(E865,Valida!$A$2:$K$271,4,FALSE)</f>
        <v>P&amp;L</v>
      </c>
      <c r="W865" s="185" t="s">
        <v>1983</v>
      </c>
      <c r="X865" s="185"/>
      <c r="Y865" s="185" t="s">
        <v>1789</v>
      </c>
      <c r="Z865"/>
    </row>
    <row r="866" spans="1:26">
      <c r="A866" s="185" t="s">
        <v>2265</v>
      </c>
      <c r="B866" s="185" t="s">
        <v>2384</v>
      </c>
      <c r="C866" s="185" t="s">
        <v>1897</v>
      </c>
      <c r="D866" s="185" t="s">
        <v>2385</v>
      </c>
      <c r="E866" s="185">
        <v>510570</v>
      </c>
      <c r="F866" s="185" t="s">
        <v>1116</v>
      </c>
      <c r="G866" s="185" t="s">
        <v>2388</v>
      </c>
      <c r="H866" s="185" t="s">
        <v>1515</v>
      </c>
      <c r="I866" s="258" t="str">
        <f t="shared" si="40"/>
        <v>5</v>
      </c>
      <c r="J866" s="221">
        <f t="shared" si="41"/>
        <v>6000</v>
      </c>
      <c r="K866" s="258">
        <f t="shared" si="42"/>
        <v>3</v>
      </c>
      <c r="L866" s="188">
        <v>6000</v>
      </c>
      <c r="M866" s="188">
        <v>0</v>
      </c>
      <c r="N866" s="189">
        <v>1000036375</v>
      </c>
      <c r="O866" t="s">
        <v>2384</v>
      </c>
      <c r="P866" s="187">
        <v>45013</v>
      </c>
      <c r="Q866" s="186">
        <v>9039</v>
      </c>
      <c r="R866" s="185"/>
      <c r="S866" s="185" t="s">
        <v>1524</v>
      </c>
      <c r="T866"/>
      <c r="U866" t="str">
        <f>IF($L866&gt;0,VLOOKUP($E866,Valida!$A$1:$G$270,6,FALSE),IF($M866&gt;=0,VLOOKUP($E866,Valida!$A$1:$G$270,7,FALSE)))</f>
        <v>(+/-) Ganancia (pérdida)</v>
      </c>
      <c r="V866" s="190" t="str">
        <f>VLOOKUP(E866,Valida!$A$2:$K$271,4,FALSE)</f>
        <v>P&amp;L</v>
      </c>
      <c r="W866" s="185" t="s">
        <v>1983</v>
      </c>
      <c r="X866" s="185"/>
      <c r="Y866" s="185" t="s">
        <v>1789</v>
      </c>
      <c r="Z866"/>
    </row>
    <row r="867" spans="1:26">
      <c r="A867" s="185" t="s">
        <v>2265</v>
      </c>
      <c r="B867" s="185" t="s">
        <v>2384</v>
      </c>
      <c r="C867" s="185" t="s">
        <v>1897</v>
      </c>
      <c r="D867" s="185" t="s">
        <v>2385</v>
      </c>
      <c r="E867" s="185">
        <v>510572</v>
      </c>
      <c r="F867" s="185" t="s">
        <v>1118</v>
      </c>
      <c r="G867" s="185" t="s">
        <v>2387</v>
      </c>
      <c r="H867" s="185" t="s">
        <v>1515</v>
      </c>
      <c r="I867" s="258" t="str">
        <f t="shared" si="40"/>
        <v>5</v>
      </c>
      <c r="J867" s="221">
        <f t="shared" si="41"/>
        <v>1000</v>
      </c>
      <c r="K867" s="258">
        <f t="shared" si="42"/>
        <v>3</v>
      </c>
      <c r="L867" s="188">
        <v>1000</v>
      </c>
      <c r="M867" s="188">
        <v>0</v>
      </c>
      <c r="N867" s="189">
        <v>1000036375</v>
      </c>
      <c r="O867" t="s">
        <v>2384</v>
      </c>
      <c r="P867" s="187">
        <v>45013</v>
      </c>
      <c r="Q867" s="186">
        <v>9040</v>
      </c>
      <c r="R867" s="185"/>
      <c r="S867" s="185" t="s">
        <v>1524</v>
      </c>
      <c r="T867"/>
      <c r="U867" t="str">
        <f>IF($L867&gt;0,VLOOKUP($E867,Valida!$A$1:$G$270,6,FALSE),IF($M867&gt;=0,VLOOKUP($E867,Valida!$A$1:$G$270,7,FALSE)))</f>
        <v>(+/-) Ganancia (pérdida)</v>
      </c>
      <c r="V867" s="190" t="str">
        <f>VLOOKUP(E867,Valida!$A$2:$K$271,4,FALSE)</f>
        <v>P&amp;L</v>
      </c>
      <c r="W867" s="185" t="s">
        <v>1983</v>
      </c>
      <c r="X867" s="185"/>
      <c r="Y867" s="185" t="s">
        <v>1789</v>
      </c>
      <c r="Z867"/>
    </row>
    <row r="868" spans="1:26">
      <c r="A868" s="185" t="s">
        <v>2393</v>
      </c>
      <c r="B868" s="185" t="s">
        <v>2394</v>
      </c>
      <c r="C868" s="185" t="s">
        <v>1890</v>
      </c>
      <c r="D868" s="185" t="s">
        <v>2395</v>
      </c>
      <c r="E868" s="185">
        <v>250505</v>
      </c>
      <c r="F868" s="185" t="s">
        <v>767</v>
      </c>
      <c r="G868" s="185" t="s">
        <v>2396</v>
      </c>
      <c r="H868" s="185" t="s">
        <v>1515</v>
      </c>
      <c r="I868" s="258" t="str">
        <f t="shared" si="40"/>
        <v>2</v>
      </c>
      <c r="J868" s="221">
        <f t="shared" si="41"/>
        <v>1469919</v>
      </c>
      <c r="K868" s="258">
        <f t="shared" si="42"/>
        <v>3</v>
      </c>
      <c r="L868" s="188">
        <v>1469919</v>
      </c>
      <c r="M868" s="188">
        <v>0</v>
      </c>
      <c r="N868" s="189">
        <v>1000036375</v>
      </c>
      <c r="O868" t="s">
        <v>2394</v>
      </c>
      <c r="P868" s="187">
        <v>45014.3655671296</v>
      </c>
      <c r="Q868" s="186">
        <v>9043</v>
      </c>
      <c r="R868" s="185"/>
      <c r="S868" s="185" t="s">
        <v>1524</v>
      </c>
      <c r="T868"/>
      <c r="U868" t="str">
        <f>IF($L868&gt;0,VLOOKUP($E868,Valida!$A$1:$G$270,6,FALSE),IF($M868&gt;=0,VLOOKUP($E868,Valida!$A$1:$G$270,7,FALSE)))</f>
        <v>(+/-) Ajustes por el incremento (disminución) de cuentas por pagar de origen comercial</v>
      </c>
      <c r="V868" s="190" t="str">
        <f>VLOOKUP(E868,Valida!$A$2:$K$271,4,FALSE)</f>
        <v>Trade and other payables</v>
      </c>
      <c r="W868" s="185" t="s">
        <v>1983</v>
      </c>
      <c r="X868" s="185"/>
      <c r="Y868" s="185" t="s">
        <v>1789</v>
      </c>
      <c r="Z868"/>
    </row>
    <row r="869" spans="1:26">
      <c r="A869" s="185" t="s">
        <v>2393</v>
      </c>
      <c r="B869" s="185" t="s">
        <v>2394</v>
      </c>
      <c r="C869" s="185" t="s">
        <v>1890</v>
      </c>
      <c r="D869" s="185" t="s">
        <v>2395</v>
      </c>
      <c r="E869" s="185">
        <v>112005</v>
      </c>
      <c r="F869" s="185" t="s">
        <v>24</v>
      </c>
      <c r="G869" s="185" t="s">
        <v>2396</v>
      </c>
      <c r="H869" s="185" t="s">
        <v>1628</v>
      </c>
      <c r="I869" s="258" t="str">
        <f t="shared" si="40"/>
        <v>1</v>
      </c>
      <c r="J869" s="221">
        <f t="shared" si="41"/>
        <v>-1469919</v>
      </c>
      <c r="K869" s="258">
        <f t="shared" si="42"/>
        <v>3</v>
      </c>
      <c r="L869" s="188">
        <v>0</v>
      </c>
      <c r="M869" s="188">
        <v>1469919</v>
      </c>
      <c r="N869" s="189">
        <v>1000036375</v>
      </c>
      <c r="O869" t="s">
        <v>2394</v>
      </c>
      <c r="P869" s="187">
        <v>45014.365578703699</v>
      </c>
      <c r="Q869" s="186">
        <v>9044</v>
      </c>
      <c r="R869" s="185"/>
      <c r="S869" s="185" t="s">
        <v>1524</v>
      </c>
      <c r="T869" t="s">
        <v>1894</v>
      </c>
      <c r="U869" t="str">
        <f>IF($L869&gt;0,VLOOKUP($E869,Valida!$A$1:$G$270,6,FALSE),IF($M869&gt;=0,VLOOKUP($E869,Valida!$A$1:$G$270,7,FALSE)))</f>
        <v>Disponible</v>
      </c>
      <c r="V869" s="190" t="str">
        <f>VLOOKUP(E869,Valida!$A$2:$K$271,4,FALSE)</f>
        <v>Cash and equivalents</v>
      </c>
      <c r="W869" s="185" t="s">
        <v>1983</v>
      </c>
      <c r="X869" s="185"/>
      <c r="Y869" s="185" t="s">
        <v>1789</v>
      </c>
      <c r="Z869"/>
    </row>
    <row r="870" spans="1:26">
      <c r="A870" s="185" t="s">
        <v>2393</v>
      </c>
      <c r="B870" s="185" t="s">
        <v>2397</v>
      </c>
      <c r="C870" s="185" t="s">
        <v>1890</v>
      </c>
      <c r="D870" s="185" t="s">
        <v>2398</v>
      </c>
      <c r="E870" s="185">
        <v>23359502</v>
      </c>
      <c r="F870" s="185" t="s">
        <v>547</v>
      </c>
      <c r="G870" s="185" t="s">
        <v>1921</v>
      </c>
      <c r="H870" s="185" t="s">
        <v>1515</v>
      </c>
      <c r="I870" s="258" t="str">
        <f t="shared" si="40"/>
        <v>2</v>
      </c>
      <c r="J870" s="221">
        <f t="shared" si="41"/>
        <v>114034</v>
      </c>
      <c r="K870" s="258">
        <f t="shared" si="42"/>
        <v>3</v>
      </c>
      <c r="L870" s="188">
        <v>114034</v>
      </c>
      <c r="M870" s="188">
        <v>0</v>
      </c>
      <c r="N870" s="189">
        <v>900424409</v>
      </c>
      <c r="O870" t="s">
        <v>2397</v>
      </c>
      <c r="P870" s="187">
        <v>45014.366597222201</v>
      </c>
      <c r="Q870" s="186">
        <v>9045</v>
      </c>
      <c r="R870" s="185" t="s">
        <v>844</v>
      </c>
      <c r="S870" s="185" t="s">
        <v>1598</v>
      </c>
      <c r="T870"/>
      <c r="U870" t="str">
        <f>IF($L870&gt;0,VLOOKUP($E870,Valida!$A$1:$G$270,6,FALSE),IF($M870&gt;=0,VLOOKUP($E870,Valida!$A$1:$G$270,7,FALSE)))</f>
        <v>(+/-) Ajustes por el incremento (disminución) de cuentas por pagar de origen comercial</v>
      </c>
      <c r="V870" s="190" t="str">
        <f>VLOOKUP(E870,Valida!$A$2:$K$271,4,FALSE)</f>
        <v>Trade and other payables</v>
      </c>
      <c r="W870" s="185" t="s">
        <v>1864</v>
      </c>
      <c r="X870" s="185" t="s">
        <v>1865</v>
      </c>
      <c r="Y870" s="185" t="s">
        <v>1789</v>
      </c>
      <c r="Z870"/>
    </row>
    <row r="871" spans="1:26">
      <c r="A871" s="185" t="s">
        <v>2393</v>
      </c>
      <c r="B871" s="185" t="s">
        <v>2397</v>
      </c>
      <c r="C871" s="185" t="s">
        <v>1890</v>
      </c>
      <c r="D871" s="185" t="s">
        <v>2398</v>
      </c>
      <c r="E871" s="185">
        <v>112005</v>
      </c>
      <c r="F871" s="185" t="s">
        <v>24</v>
      </c>
      <c r="G871" s="185" t="s">
        <v>1921</v>
      </c>
      <c r="H871" s="185" t="s">
        <v>1628</v>
      </c>
      <c r="I871" s="258" t="str">
        <f t="shared" si="40"/>
        <v>1</v>
      </c>
      <c r="J871" s="221">
        <f t="shared" si="41"/>
        <v>-114034</v>
      </c>
      <c r="K871" s="258">
        <f t="shared" si="42"/>
        <v>3</v>
      </c>
      <c r="L871" s="188">
        <v>0</v>
      </c>
      <c r="M871" s="188">
        <v>114034</v>
      </c>
      <c r="N871" s="189">
        <v>900424409</v>
      </c>
      <c r="O871" t="s">
        <v>2397</v>
      </c>
      <c r="P871" s="187">
        <v>45014.366597222201</v>
      </c>
      <c r="Q871" s="186">
        <v>9046</v>
      </c>
      <c r="R871" s="185" t="s">
        <v>844</v>
      </c>
      <c r="S871" s="185" t="s">
        <v>1598</v>
      </c>
      <c r="T871" t="s">
        <v>1894</v>
      </c>
      <c r="U871" t="str">
        <f>IF($L871&gt;0,VLOOKUP($E871,Valida!$A$1:$G$270,6,FALSE),IF($M871&gt;=0,VLOOKUP($E871,Valida!$A$1:$G$270,7,FALSE)))</f>
        <v>Disponible</v>
      </c>
      <c r="V871" s="190" t="str">
        <f>VLOOKUP(E871,Valida!$A$2:$K$271,4,FALSE)</f>
        <v>Cash and equivalents</v>
      </c>
      <c r="W871" s="185" t="s">
        <v>1864</v>
      </c>
      <c r="X871" s="185" t="s">
        <v>1865</v>
      </c>
      <c r="Y871" s="185" t="s">
        <v>1789</v>
      </c>
      <c r="Z871"/>
    </row>
    <row r="872" spans="1:26">
      <c r="A872" s="185" t="s">
        <v>2265</v>
      </c>
      <c r="B872" s="185" t="s">
        <v>2399</v>
      </c>
      <c r="C872" s="185" t="s">
        <v>1785</v>
      </c>
      <c r="D872" s="185" t="s">
        <v>2400</v>
      </c>
      <c r="E872" s="185">
        <v>237095</v>
      </c>
      <c r="F872" s="185" t="s">
        <v>150</v>
      </c>
      <c r="G872" s="185" t="s">
        <v>1986</v>
      </c>
      <c r="H872" s="185" t="s">
        <v>1628</v>
      </c>
      <c r="I872" s="258" t="str">
        <f t="shared" si="40"/>
        <v>2</v>
      </c>
      <c r="J872" s="221">
        <f t="shared" si="41"/>
        <v>-1420700</v>
      </c>
      <c r="K872" s="258">
        <f t="shared" si="42"/>
        <v>3</v>
      </c>
      <c r="L872" s="188">
        <v>0</v>
      </c>
      <c r="M872" s="188">
        <v>1420700</v>
      </c>
      <c r="N872" s="189">
        <v>860066942</v>
      </c>
      <c r="O872" t="s">
        <v>2399</v>
      </c>
      <c r="P872" s="187">
        <v>45014.557881944398</v>
      </c>
      <c r="Q872" s="186">
        <v>9047</v>
      </c>
      <c r="R872" s="185" t="s">
        <v>1814</v>
      </c>
      <c r="S872" s="185" t="s">
        <v>1574</v>
      </c>
      <c r="T872"/>
      <c r="U872" t="str">
        <f>IF($L872&gt;0,VLOOKUP($E872,Valida!$A$1:$G$270,6,FALSE),IF($M872&gt;=0,VLOOKUP($E872,Valida!$A$1:$G$270,7,FALSE)))</f>
        <v>(+/-) Ajustes por el incremento (disminución) de cuentas por pagar de origen comercial</v>
      </c>
      <c r="V872" s="190" t="str">
        <f>VLOOKUP(E872,Valida!$A$2:$K$271,4,FALSE)</f>
        <v>Trade and other payables</v>
      </c>
      <c r="W872" s="185" t="s">
        <v>1914</v>
      </c>
      <c r="X872" s="185" t="s">
        <v>1915</v>
      </c>
      <c r="Y872" s="185" t="s">
        <v>1789</v>
      </c>
      <c r="Z872"/>
    </row>
    <row r="873" spans="1:26">
      <c r="A873" s="185" t="s">
        <v>2265</v>
      </c>
      <c r="B873" s="185" t="s">
        <v>2399</v>
      </c>
      <c r="C873" s="185" t="s">
        <v>1785</v>
      </c>
      <c r="D873" s="185" t="s">
        <v>2400</v>
      </c>
      <c r="E873" s="185">
        <v>238030</v>
      </c>
      <c r="F873" s="185" t="s">
        <v>721</v>
      </c>
      <c r="G873" s="185" t="s">
        <v>1986</v>
      </c>
      <c r="H873" s="185" t="s">
        <v>1515</v>
      </c>
      <c r="I873" s="258" t="str">
        <f t="shared" si="40"/>
        <v>2</v>
      </c>
      <c r="J873" s="221">
        <f t="shared" si="41"/>
        <v>352000</v>
      </c>
      <c r="K873" s="258">
        <f t="shared" si="42"/>
        <v>3</v>
      </c>
      <c r="L873" s="188">
        <v>352000</v>
      </c>
      <c r="M873" s="188">
        <v>0</v>
      </c>
      <c r="N873" s="189">
        <v>900950893</v>
      </c>
      <c r="O873" t="s">
        <v>2399</v>
      </c>
      <c r="P873" s="187">
        <v>45014.557881944398</v>
      </c>
      <c r="Q873" s="186">
        <v>9048</v>
      </c>
      <c r="R873" s="185" t="s">
        <v>1519</v>
      </c>
      <c r="S873" s="185" t="s">
        <v>1668</v>
      </c>
      <c r="T873"/>
      <c r="U873" t="str">
        <f>IF($L873&gt;0,VLOOKUP($E873,Valida!$A$1:$G$270,6,FALSE),IF($M873&gt;=0,VLOOKUP($E873,Valida!$A$1:$G$270,7,FALSE)))</f>
        <v>(+/-) Ajustes por el incremento (disminución) de cuentas por pagar de origen comercial</v>
      </c>
      <c r="V873" s="190" t="str">
        <f>VLOOKUP(E873,Valida!$A$2:$K$271,4,FALSE)</f>
        <v>Trade and other payables</v>
      </c>
      <c r="W873" s="185" t="s">
        <v>1928</v>
      </c>
      <c r="X873" s="185"/>
      <c r="Y873" s="185" t="s">
        <v>1789</v>
      </c>
      <c r="Z873"/>
    </row>
    <row r="874" spans="1:26">
      <c r="A874" s="185" t="s">
        <v>2265</v>
      </c>
      <c r="B874" s="185" t="s">
        <v>2399</v>
      </c>
      <c r="C874" s="185" t="s">
        <v>1785</v>
      </c>
      <c r="D874" s="185" t="s">
        <v>2400</v>
      </c>
      <c r="E874" s="185">
        <v>238030</v>
      </c>
      <c r="F874" s="185" t="s">
        <v>721</v>
      </c>
      <c r="G874" s="185" t="s">
        <v>1986</v>
      </c>
      <c r="H874" s="185" t="s">
        <v>1515</v>
      </c>
      <c r="I874" s="258" t="str">
        <f t="shared" si="40"/>
        <v>2</v>
      </c>
      <c r="J874" s="221">
        <f t="shared" si="41"/>
        <v>864500</v>
      </c>
      <c r="K874" s="258">
        <f t="shared" si="42"/>
        <v>3</v>
      </c>
      <c r="L874" s="188">
        <v>864500</v>
      </c>
      <c r="M874" s="188">
        <v>0</v>
      </c>
      <c r="N874" s="189">
        <v>800224808</v>
      </c>
      <c r="O874" t="s">
        <v>2399</v>
      </c>
      <c r="P874" s="187">
        <v>45014.557881944398</v>
      </c>
      <c r="Q874" s="186">
        <v>9049</v>
      </c>
      <c r="R874" s="185" t="s">
        <v>1827</v>
      </c>
      <c r="S874" s="185" t="s">
        <v>1662</v>
      </c>
      <c r="T874"/>
      <c r="U874" t="str">
        <f>IF($L874&gt;0,VLOOKUP($E874,Valida!$A$1:$G$270,6,FALSE),IF($M874&gt;=0,VLOOKUP($E874,Valida!$A$1:$G$270,7,FALSE)))</f>
        <v>(+/-) Ajustes por el incremento (disminución) de cuentas por pagar de origen comercial</v>
      </c>
      <c r="V874" s="190" t="str">
        <f>VLOOKUP(E874,Valida!$A$2:$K$271,4,FALSE)</f>
        <v>Trade and other payables</v>
      </c>
      <c r="W874" s="185" t="s">
        <v>1911</v>
      </c>
      <c r="X874" s="185"/>
      <c r="Y874" s="185" t="s">
        <v>1789</v>
      </c>
      <c r="Z874"/>
    </row>
    <row r="875" spans="1:26">
      <c r="A875" s="185" t="s">
        <v>2265</v>
      </c>
      <c r="B875" s="185" t="s">
        <v>2399</v>
      </c>
      <c r="C875" s="185" t="s">
        <v>1785</v>
      </c>
      <c r="D875" s="185" t="s">
        <v>2400</v>
      </c>
      <c r="E875" s="185">
        <v>238030</v>
      </c>
      <c r="F875" s="185" t="s">
        <v>721</v>
      </c>
      <c r="G875" s="185" t="s">
        <v>1986</v>
      </c>
      <c r="H875" s="185" t="s">
        <v>1515</v>
      </c>
      <c r="I875" s="258" t="str">
        <f t="shared" si="40"/>
        <v>2</v>
      </c>
      <c r="J875" s="221">
        <f t="shared" si="41"/>
        <v>204160</v>
      </c>
      <c r="K875" s="258">
        <f t="shared" si="42"/>
        <v>3</v>
      </c>
      <c r="L875" s="188">
        <v>204160</v>
      </c>
      <c r="M875" s="188">
        <v>0</v>
      </c>
      <c r="N875" s="189">
        <v>800149496</v>
      </c>
      <c r="O875" t="s">
        <v>2399</v>
      </c>
      <c r="P875" s="187">
        <v>45014.557881944398</v>
      </c>
      <c r="Q875" s="186">
        <v>9050</v>
      </c>
      <c r="R875" s="185" t="s">
        <v>433</v>
      </c>
      <c r="S875" s="185" t="s">
        <v>1660</v>
      </c>
      <c r="T875"/>
      <c r="U875" t="str">
        <f>IF($L875&gt;0,VLOOKUP($E875,Valida!$A$1:$G$270,6,FALSE),IF($M875&gt;=0,VLOOKUP($E875,Valida!$A$1:$G$270,7,FALSE)))</f>
        <v>(+/-) Ajustes por el incremento (disminución) de cuentas por pagar de origen comercial</v>
      </c>
      <c r="V875" s="190" t="str">
        <f>VLOOKUP(E875,Valida!$A$2:$K$271,4,FALSE)</f>
        <v>Trade and other payables</v>
      </c>
      <c r="W875" s="185" t="s">
        <v>1979</v>
      </c>
      <c r="X875" s="185"/>
      <c r="Y875" s="185" t="s">
        <v>1789</v>
      </c>
      <c r="Z875"/>
    </row>
    <row r="876" spans="1:26">
      <c r="A876" s="185" t="s">
        <v>2265</v>
      </c>
      <c r="B876" s="185" t="s">
        <v>2399</v>
      </c>
      <c r="C876" s="185" t="s">
        <v>1785</v>
      </c>
      <c r="D876" s="185" t="s">
        <v>2400</v>
      </c>
      <c r="E876" s="185">
        <v>53059510</v>
      </c>
      <c r="F876" s="185" t="s">
        <v>1065</v>
      </c>
      <c r="G876" s="185" t="s">
        <v>1986</v>
      </c>
      <c r="H876" s="185" t="s">
        <v>1515</v>
      </c>
      <c r="I876" s="258" t="str">
        <f t="shared" si="40"/>
        <v>5</v>
      </c>
      <c r="J876" s="221">
        <f t="shared" si="41"/>
        <v>40</v>
      </c>
      <c r="K876" s="258">
        <f t="shared" si="42"/>
        <v>3</v>
      </c>
      <c r="L876" s="188">
        <v>40</v>
      </c>
      <c r="M876" s="188">
        <v>0</v>
      </c>
      <c r="N876" s="189">
        <v>860066942</v>
      </c>
      <c r="O876" t="s">
        <v>2399</v>
      </c>
      <c r="P876" s="187">
        <v>45014.557881944398</v>
      </c>
      <c r="Q876" s="186">
        <v>9051</v>
      </c>
      <c r="R876" s="185" t="s">
        <v>1814</v>
      </c>
      <c r="S876" s="185" t="s">
        <v>1574</v>
      </c>
      <c r="T876"/>
      <c r="U876" t="str">
        <f>IF($L876&gt;0,VLOOKUP($E876,Valida!$A$1:$G$270,6,FALSE),IF($M876&gt;=0,VLOOKUP($E876,Valida!$A$1:$G$270,7,FALSE)))</f>
        <v>(+/-) Ganancia (pérdida)</v>
      </c>
      <c r="V876" s="190" t="str">
        <f>VLOOKUP(E876,Valida!$A$2:$K$271,4,FALSE)</f>
        <v>P&amp;L</v>
      </c>
      <c r="W876" s="185" t="s">
        <v>1914</v>
      </c>
      <c r="X876" s="185" t="s">
        <v>1915</v>
      </c>
      <c r="Y876" s="185" t="s">
        <v>1789</v>
      </c>
      <c r="Z876"/>
    </row>
    <row r="877" spans="1:26">
      <c r="A877" s="185" t="s">
        <v>2265</v>
      </c>
      <c r="B877" s="185" t="s">
        <v>2401</v>
      </c>
      <c r="C877" s="185" t="s">
        <v>1785</v>
      </c>
      <c r="D877" s="185" t="s">
        <v>1963</v>
      </c>
      <c r="E877" s="185">
        <v>237010</v>
      </c>
      <c r="F877" s="185" t="s">
        <v>683</v>
      </c>
      <c r="G877" s="185" t="s">
        <v>1989</v>
      </c>
      <c r="H877" s="185" t="s">
        <v>1515</v>
      </c>
      <c r="I877" s="258" t="str">
        <f t="shared" si="40"/>
        <v>2</v>
      </c>
      <c r="J877" s="221">
        <f t="shared" si="41"/>
        <v>174700</v>
      </c>
      <c r="K877" s="258">
        <f t="shared" si="42"/>
        <v>3</v>
      </c>
      <c r="L877" s="188">
        <v>174700</v>
      </c>
      <c r="M877" s="188">
        <v>0</v>
      </c>
      <c r="N877" s="189">
        <v>860066942</v>
      </c>
      <c r="O877" t="s">
        <v>2401</v>
      </c>
      <c r="P877" s="187">
        <v>45014.559629629599</v>
      </c>
      <c r="Q877" s="186">
        <v>9052</v>
      </c>
      <c r="R877" s="185" t="s">
        <v>1814</v>
      </c>
      <c r="S877" s="185" t="s">
        <v>1574</v>
      </c>
      <c r="T877"/>
      <c r="U877" t="str">
        <f>IF($L877&gt;0,VLOOKUP($E877,Valida!$A$1:$G$270,6,FALSE),IF($M877&gt;=0,VLOOKUP($E877,Valida!$A$1:$G$270,7,FALSE)))</f>
        <v>(+/-) Ajustes por el incremento (disminución) de cuentas por pagar de origen comercial</v>
      </c>
      <c r="V877" s="190" t="str">
        <f>VLOOKUP(E877,Valida!$A$2:$K$271,4,FALSE)</f>
        <v>Trade and other payables</v>
      </c>
      <c r="W877" s="185" t="s">
        <v>1914</v>
      </c>
      <c r="X877" s="185" t="s">
        <v>1915</v>
      </c>
      <c r="Y877" s="185" t="s">
        <v>1789</v>
      </c>
      <c r="Z877"/>
    </row>
    <row r="878" spans="1:26">
      <c r="A878" s="185" t="s">
        <v>2265</v>
      </c>
      <c r="B878" s="185" t="s">
        <v>2401</v>
      </c>
      <c r="C878" s="185" t="s">
        <v>1785</v>
      </c>
      <c r="D878" s="185" t="s">
        <v>1963</v>
      </c>
      <c r="E878" s="185">
        <v>237006</v>
      </c>
      <c r="F878" s="185" t="s">
        <v>680</v>
      </c>
      <c r="G878" s="185" t="s">
        <v>1989</v>
      </c>
      <c r="H878" s="185" t="s">
        <v>1515</v>
      </c>
      <c r="I878" s="258" t="str">
        <f t="shared" si="40"/>
        <v>2</v>
      </c>
      <c r="J878" s="221">
        <f t="shared" si="41"/>
        <v>45915</v>
      </c>
      <c r="K878" s="258">
        <f t="shared" si="42"/>
        <v>3</v>
      </c>
      <c r="L878" s="188">
        <v>45915</v>
      </c>
      <c r="M878" s="188">
        <v>0</v>
      </c>
      <c r="N878" s="189">
        <v>860002503</v>
      </c>
      <c r="O878" t="s">
        <v>2401</v>
      </c>
      <c r="P878" s="187">
        <v>45014.559629629599</v>
      </c>
      <c r="Q878" s="186">
        <v>9053</v>
      </c>
      <c r="R878" s="185" t="s">
        <v>433</v>
      </c>
      <c r="S878" s="185" t="s">
        <v>1656</v>
      </c>
      <c r="T878"/>
      <c r="U878" t="str">
        <f>IF($L878&gt;0,VLOOKUP($E878,Valida!$A$1:$G$270,6,FALSE),IF($M878&gt;=0,VLOOKUP($E878,Valida!$A$1:$G$270,7,FALSE)))</f>
        <v>(+/-) Ajustes por el incremento (disminución) de cuentas por pagar de origen comercial</v>
      </c>
      <c r="V878" s="190" t="str">
        <f>VLOOKUP(E878,Valida!$A$2:$K$271,4,FALSE)</f>
        <v>Trade and other payables</v>
      </c>
      <c r="W878" s="185" t="s">
        <v>1912</v>
      </c>
      <c r="X878" s="185" t="s">
        <v>1913</v>
      </c>
      <c r="Y878" s="185" t="s">
        <v>1789</v>
      </c>
      <c r="Z878"/>
    </row>
    <row r="879" spans="1:26">
      <c r="A879" s="185" t="s">
        <v>2265</v>
      </c>
      <c r="B879" s="185" t="s">
        <v>2401</v>
      </c>
      <c r="C879" s="185" t="s">
        <v>1785</v>
      </c>
      <c r="D879" s="185" t="s">
        <v>1963</v>
      </c>
      <c r="E879" s="185">
        <v>237095</v>
      </c>
      <c r="F879" s="185" t="s">
        <v>150</v>
      </c>
      <c r="G879" s="185" t="s">
        <v>1989</v>
      </c>
      <c r="H879" s="185" t="s">
        <v>1628</v>
      </c>
      <c r="I879" s="258" t="str">
        <f t="shared" si="40"/>
        <v>2</v>
      </c>
      <c r="J879" s="221">
        <f t="shared" si="41"/>
        <v>-220700</v>
      </c>
      <c r="K879" s="258">
        <f t="shared" si="42"/>
        <v>3</v>
      </c>
      <c r="L879" s="188">
        <v>0</v>
      </c>
      <c r="M879" s="188">
        <v>220700</v>
      </c>
      <c r="N879" s="189">
        <v>860066942</v>
      </c>
      <c r="O879" t="s">
        <v>2401</v>
      </c>
      <c r="P879" s="187">
        <v>45014.559629629599</v>
      </c>
      <c r="Q879" s="186">
        <v>9054</v>
      </c>
      <c r="R879" s="185" t="s">
        <v>1814</v>
      </c>
      <c r="S879" s="185" t="s">
        <v>1574</v>
      </c>
      <c r="T879"/>
      <c r="U879" t="str">
        <f>IF($L879&gt;0,VLOOKUP($E879,Valida!$A$1:$G$270,6,FALSE),IF($M879&gt;=0,VLOOKUP($E879,Valida!$A$1:$G$270,7,FALSE)))</f>
        <v>(+/-) Ajustes por el incremento (disminución) de cuentas por pagar de origen comercial</v>
      </c>
      <c r="V879" s="190" t="str">
        <f>VLOOKUP(E879,Valida!$A$2:$K$271,4,FALSE)</f>
        <v>Trade and other payables</v>
      </c>
      <c r="W879" s="185" t="s">
        <v>1914</v>
      </c>
      <c r="X879" s="185" t="s">
        <v>1915</v>
      </c>
      <c r="Y879" s="185" t="s">
        <v>1789</v>
      </c>
      <c r="Z879"/>
    </row>
    <row r="880" spans="1:26">
      <c r="A880" s="185" t="s">
        <v>2265</v>
      </c>
      <c r="B880" s="185" t="s">
        <v>2401</v>
      </c>
      <c r="C880" s="185" t="s">
        <v>1785</v>
      </c>
      <c r="D880" s="185" t="s">
        <v>1963</v>
      </c>
      <c r="E880" s="185">
        <v>53059510</v>
      </c>
      <c r="F880" s="185" t="s">
        <v>1065</v>
      </c>
      <c r="G880" s="185" t="s">
        <v>1989</v>
      </c>
      <c r="H880" s="185" t="s">
        <v>1515</v>
      </c>
      <c r="I880" s="258" t="str">
        <f t="shared" si="40"/>
        <v>5</v>
      </c>
      <c r="J880" s="221">
        <f t="shared" si="41"/>
        <v>85</v>
      </c>
      <c r="K880" s="258">
        <f t="shared" si="42"/>
        <v>3</v>
      </c>
      <c r="L880" s="188">
        <v>85</v>
      </c>
      <c r="M880" s="188">
        <v>0</v>
      </c>
      <c r="N880" s="189">
        <v>860066942</v>
      </c>
      <c r="O880" t="s">
        <v>2401</v>
      </c>
      <c r="P880" s="187">
        <v>45014.559629629599</v>
      </c>
      <c r="Q880" s="186">
        <v>9055</v>
      </c>
      <c r="R880" s="185" t="s">
        <v>1814</v>
      </c>
      <c r="S880" s="185" t="s">
        <v>1574</v>
      </c>
      <c r="T880"/>
      <c r="U880" t="str">
        <f>IF($L880&gt;0,VLOOKUP($E880,Valida!$A$1:$G$270,6,FALSE),IF($M880&gt;=0,VLOOKUP($E880,Valida!$A$1:$G$270,7,FALSE)))</f>
        <v>(+/-) Ganancia (pérdida)</v>
      </c>
      <c r="V880" s="190" t="str">
        <f>VLOOKUP(E880,Valida!$A$2:$K$271,4,FALSE)</f>
        <v>P&amp;L</v>
      </c>
      <c r="W880" s="185" t="s">
        <v>1914</v>
      </c>
      <c r="X880" s="185" t="s">
        <v>1915</v>
      </c>
      <c r="Y880" s="185" t="s">
        <v>1789</v>
      </c>
      <c r="Z880"/>
    </row>
    <row r="881" spans="1:26">
      <c r="A881" s="185" t="s">
        <v>2265</v>
      </c>
      <c r="B881" s="185" t="s">
        <v>2402</v>
      </c>
      <c r="C881" s="185" t="s">
        <v>1785</v>
      </c>
      <c r="D881" s="185" t="s">
        <v>1965</v>
      </c>
      <c r="E881" s="185">
        <v>237095</v>
      </c>
      <c r="F881" s="185" t="s">
        <v>150</v>
      </c>
      <c r="G881" s="185" t="s">
        <v>2207</v>
      </c>
      <c r="H881" s="185" t="s">
        <v>1628</v>
      </c>
      <c r="I881" s="258" t="str">
        <f t="shared" si="40"/>
        <v>2</v>
      </c>
      <c r="J881" s="221">
        <f t="shared" si="41"/>
        <v>-355300</v>
      </c>
      <c r="K881" s="258">
        <f t="shared" si="42"/>
        <v>3</v>
      </c>
      <c r="L881" s="188">
        <v>0</v>
      </c>
      <c r="M881" s="188">
        <v>355300</v>
      </c>
      <c r="N881" s="189">
        <v>860066942</v>
      </c>
      <c r="O881" t="s">
        <v>2402</v>
      </c>
      <c r="P881" s="187">
        <v>45014.565682870401</v>
      </c>
      <c r="Q881" s="186">
        <v>9056</v>
      </c>
      <c r="R881" s="185" t="s">
        <v>1814</v>
      </c>
      <c r="S881" s="185" t="s">
        <v>1574</v>
      </c>
      <c r="T881"/>
      <c r="U881" t="str">
        <f>IF($L881&gt;0,VLOOKUP($E881,Valida!$A$1:$G$270,6,FALSE),IF($M881&gt;=0,VLOOKUP($E881,Valida!$A$1:$G$270,7,FALSE)))</f>
        <v>(+/-) Ajustes por el incremento (disminución) de cuentas por pagar de origen comercial</v>
      </c>
      <c r="V881" s="190" t="str">
        <f>VLOOKUP(E881,Valida!$A$2:$K$271,4,FALSE)</f>
        <v>Trade and other payables</v>
      </c>
      <c r="W881" s="185" t="s">
        <v>1914</v>
      </c>
      <c r="X881" s="185" t="s">
        <v>1915</v>
      </c>
      <c r="Y881" s="185" t="s">
        <v>1789</v>
      </c>
      <c r="Z881"/>
    </row>
    <row r="882" spans="1:26">
      <c r="A882" s="185" t="s">
        <v>2265</v>
      </c>
      <c r="B882" s="185" t="s">
        <v>2402</v>
      </c>
      <c r="C882" s="185" t="s">
        <v>1785</v>
      </c>
      <c r="D882" s="185" t="s">
        <v>1965</v>
      </c>
      <c r="E882" s="185">
        <v>237005</v>
      </c>
      <c r="F882" s="185" t="s">
        <v>676</v>
      </c>
      <c r="G882" s="185" t="s">
        <v>2207</v>
      </c>
      <c r="H882" s="185" t="s">
        <v>1515</v>
      </c>
      <c r="I882" s="258" t="str">
        <f t="shared" si="40"/>
        <v>2</v>
      </c>
      <c r="J882" s="221">
        <f t="shared" si="41"/>
        <v>49700</v>
      </c>
      <c r="K882" s="258">
        <f t="shared" si="42"/>
        <v>3</v>
      </c>
      <c r="L882" s="188">
        <v>49700</v>
      </c>
      <c r="M882" s="188">
        <v>0</v>
      </c>
      <c r="N882" s="189">
        <v>800251440</v>
      </c>
      <c r="O882" t="s">
        <v>2402</v>
      </c>
      <c r="P882" s="187">
        <v>45014.565682870401</v>
      </c>
      <c r="Q882" s="186">
        <v>9057</v>
      </c>
      <c r="R882" s="185" t="s">
        <v>1901</v>
      </c>
      <c r="S882" s="185" t="s">
        <v>1560</v>
      </c>
      <c r="T882"/>
      <c r="U882" t="str">
        <f>IF($L882&gt;0,VLOOKUP($E882,Valida!$A$1:$G$270,6,FALSE),IF($M882&gt;=0,VLOOKUP($E882,Valida!$A$1:$G$270,7,FALSE)))</f>
        <v>(+/-) Ajustes por el incremento (disminución) de cuentas por pagar de origen comercial</v>
      </c>
      <c r="V882" s="190" t="str">
        <f>VLOOKUP(E882,Valida!$A$2:$K$271,4,FALSE)</f>
        <v>Trade and other payables</v>
      </c>
      <c r="W882" s="185" t="s">
        <v>1902</v>
      </c>
      <c r="X882" s="185" t="s">
        <v>1903</v>
      </c>
      <c r="Y882" s="185" t="s">
        <v>1789</v>
      </c>
      <c r="Z882"/>
    </row>
    <row r="883" spans="1:26">
      <c r="A883" s="185" t="s">
        <v>2265</v>
      </c>
      <c r="B883" s="185" t="s">
        <v>2402</v>
      </c>
      <c r="C883" s="185" t="s">
        <v>1785</v>
      </c>
      <c r="D883" s="185" t="s">
        <v>1965</v>
      </c>
      <c r="E883" s="185">
        <v>237005</v>
      </c>
      <c r="F883" s="185" t="s">
        <v>676</v>
      </c>
      <c r="G883" s="185" t="s">
        <v>2207</v>
      </c>
      <c r="H883" s="185" t="s">
        <v>1515</v>
      </c>
      <c r="I883" s="258" t="str">
        <f t="shared" si="40"/>
        <v>2</v>
      </c>
      <c r="J883" s="221">
        <f t="shared" si="41"/>
        <v>51040</v>
      </c>
      <c r="K883" s="258">
        <f t="shared" si="42"/>
        <v>3</v>
      </c>
      <c r="L883" s="188">
        <v>51040</v>
      </c>
      <c r="M883" s="188">
        <v>0</v>
      </c>
      <c r="N883" s="189">
        <v>830003564</v>
      </c>
      <c r="O883" t="s">
        <v>2402</v>
      </c>
      <c r="P883" s="187">
        <v>45014.565682870401</v>
      </c>
      <c r="Q883" s="186">
        <v>9058</v>
      </c>
      <c r="R883" s="185" t="s">
        <v>1814</v>
      </c>
      <c r="S883" s="185" t="s">
        <v>1652</v>
      </c>
      <c r="T883"/>
      <c r="U883" t="str">
        <f>IF($L883&gt;0,VLOOKUP($E883,Valida!$A$1:$G$270,6,FALSE),IF($M883&gt;=0,VLOOKUP($E883,Valida!$A$1:$G$270,7,FALSE)))</f>
        <v>(+/-) Ajustes por el incremento (disminución) de cuentas por pagar de origen comercial</v>
      </c>
      <c r="V883" s="190" t="str">
        <f>VLOOKUP(E883,Valida!$A$2:$K$271,4,FALSE)</f>
        <v>Trade and other payables</v>
      </c>
      <c r="W883" s="185" t="s">
        <v>1973</v>
      </c>
      <c r="X883" s="185" t="s">
        <v>1974</v>
      </c>
      <c r="Y883" s="185" t="s">
        <v>1789</v>
      </c>
      <c r="Z883"/>
    </row>
    <row r="884" spans="1:26">
      <c r="A884" s="185" t="s">
        <v>2265</v>
      </c>
      <c r="B884" s="185" t="s">
        <v>2402</v>
      </c>
      <c r="C884" s="185" t="s">
        <v>1785</v>
      </c>
      <c r="D884" s="185" t="s">
        <v>1965</v>
      </c>
      <c r="E884" s="185">
        <v>237005</v>
      </c>
      <c r="F884" s="185" t="s">
        <v>676</v>
      </c>
      <c r="G884" s="185" t="s">
        <v>2207</v>
      </c>
      <c r="H884" s="185" t="s">
        <v>1515</v>
      </c>
      <c r="I884" s="258" t="str">
        <f t="shared" si="40"/>
        <v>2</v>
      </c>
      <c r="J884" s="221">
        <f t="shared" si="41"/>
        <v>148000</v>
      </c>
      <c r="K884" s="258">
        <f t="shared" si="42"/>
        <v>3</v>
      </c>
      <c r="L884" s="188">
        <v>148000</v>
      </c>
      <c r="M884" s="188">
        <v>0</v>
      </c>
      <c r="N884" s="189">
        <v>900156264</v>
      </c>
      <c r="O884" t="s">
        <v>2402</v>
      </c>
      <c r="P884" s="187">
        <v>45014.565682870401</v>
      </c>
      <c r="Q884" s="186">
        <v>9060</v>
      </c>
      <c r="R884" s="185" t="s">
        <v>433</v>
      </c>
      <c r="S884" s="185" t="s">
        <v>1654</v>
      </c>
      <c r="T884"/>
      <c r="U884" t="str">
        <f>IF($L884&gt;0,VLOOKUP($E884,Valida!$A$1:$G$270,6,FALSE),IF($M884&gt;=0,VLOOKUP($E884,Valida!$A$1:$G$270,7,FALSE)))</f>
        <v>(+/-) Ajustes por el incremento (disminución) de cuentas por pagar de origen comercial</v>
      </c>
      <c r="V884" s="190" t="str">
        <f>VLOOKUP(E884,Valida!$A$2:$K$271,4,FALSE)</f>
        <v>Trade and other payables</v>
      </c>
      <c r="W884" s="185" t="s">
        <v>1926</v>
      </c>
      <c r="X884" s="185" t="s">
        <v>1927</v>
      </c>
      <c r="Y884" s="185" t="s">
        <v>1789</v>
      </c>
      <c r="Z884"/>
    </row>
    <row r="885" spans="1:26">
      <c r="A885" s="185" t="s">
        <v>2265</v>
      </c>
      <c r="B885" s="185" t="s">
        <v>2402</v>
      </c>
      <c r="C885" s="185" t="s">
        <v>1785</v>
      </c>
      <c r="D885" s="185" t="s">
        <v>1965</v>
      </c>
      <c r="E885" s="185">
        <v>53059510</v>
      </c>
      <c r="F885" s="185" t="s">
        <v>1065</v>
      </c>
      <c r="G885" s="185" t="s">
        <v>2207</v>
      </c>
      <c r="H885" s="185" t="s">
        <v>1515</v>
      </c>
      <c r="I885" s="258" t="str">
        <f t="shared" si="40"/>
        <v>5</v>
      </c>
      <c r="J885" s="221">
        <f t="shared" si="41"/>
        <v>160</v>
      </c>
      <c r="K885" s="258">
        <f t="shared" si="42"/>
        <v>3</v>
      </c>
      <c r="L885" s="188">
        <v>160</v>
      </c>
      <c r="M885" s="188">
        <v>0</v>
      </c>
      <c r="N885" s="189">
        <v>860066942</v>
      </c>
      <c r="O885" t="s">
        <v>2402</v>
      </c>
      <c r="P885" s="187">
        <v>45014.565682870401</v>
      </c>
      <c r="Q885" s="186">
        <v>9061</v>
      </c>
      <c r="R885" s="185" t="s">
        <v>1814</v>
      </c>
      <c r="S885" s="185" t="s">
        <v>1574</v>
      </c>
      <c r="T885"/>
      <c r="U885" t="str">
        <f>IF($L885&gt;0,VLOOKUP($E885,Valida!$A$1:$G$270,6,FALSE),IF($M885&gt;=0,VLOOKUP($E885,Valida!$A$1:$G$270,7,FALSE)))</f>
        <v>(+/-) Ganancia (pérdida)</v>
      </c>
      <c r="V885" s="190" t="str">
        <f>VLOOKUP(E885,Valida!$A$2:$K$271,4,FALSE)</f>
        <v>P&amp;L</v>
      </c>
      <c r="W885" s="185" t="s">
        <v>1914</v>
      </c>
      <c r="X885" s="185" t="s">
        <v>1915</v>
      </c>
      <c r="Y885" s="185" t="s">
        <v>1789</v>
      </c>
      <c r="Z885"/>
    </row>
    <row r="886" spans="1:26">
      <c r="A886" s="185" t="s">
        <v>2265</v>
      </c>
      <c r="B886" s="185" t="s">
        <v>2402</v>
      </c>
      <c r="C886" s="185" t="s">
        <v>1785</v>
      </c>
      <c r="D886" s="185" t="s">
        <v>1965</v>
      </c>
      <c r="E886" s="185">
        <v>237005</v>
      </c>
      <c r="F886" s="185" t="s">
        <v>676</v>
      </c>
      <c r="G886" s="185" t="s">
        <v>2207</v>
      </c>
      <c r="H886" s="185" t="s">
        <v>1515</v>
      </c>
      <c r="I886" s="258" t="str">
        <f t="shared" si="40"/>
        <v>2</v>
      </c>
      <c r="J886" s="221">
        <f t="shared" si="41"/>
        <v>46400</v>
      </c>
      <c r="K886" s="258">
        <f t="shared" si="42"/>
        <v>3</v>
      </c>
      <c r="L886" s="188">
        <v>46400</v>
      </c>
      <c r="M886" s="188">
        <v>0</v>
      </c>
      <c r="N886" s="189">
        <v>800088702</v>
      </c>
      <c r="O886" t="s">
        <v>2402</v>
      </c>
      <c r="P886" s="187">
        <v>45014.565682870401</v>
      </c>
      <c r="Q886" s="186">
        <v>9062</v>
      </c>
      <c r="R886" s="185" t="s">
        <v>433</v>
      </c>
      <c r="S886" s="185" t="s">
        <v>1650</v>
      </c>
      <c r="T886"/>
      <c r="U886" t="str">
        <f>IF($L886&gt;0,VLOOKUP($E886,Valida!$A$1:$G$270,6,FALSE),IF($M886&gt;=0,VLOOKUP($E886,Valida!$A$1:$G$270,7,FALSE)))</f>
        <v>(+/-) Ajustes por el incremento (disminución) de cuentas por pagar de origen comercial</v>
      </c>
      <c r="V886" s="190" t="str">
        <f>VLOOKUP(E886,Valida!$A$2:$K$271,4,FALSE)</f>
        <v>Trade and other payables</v>
      </c>
      <c r="W886" s="185" t="s">
        <v>2269</v>
      </c>
      <c r="X886" s="185" t="s">
        <v>2270</v>
      </c>
      <c r="Y886" s="185" t="s">
        <v>1844</v>
      </c>
      <c r="Z886"/>
    </row>
    <row r="887" spans="1:26">
      <c r="A887" s="185" t="s">
        <v>2403</v>
      </c>
      <c r="B887" s="185" t="s">
        <v>2404</v>
      </c>
      <c r="C887" s="185" t="s">
        <v>1801</v>
      </c>
      <c r="D887" s="185" t="s">
        <v>389</v>
      </c>
      <c r="E887" s="185">
        <v>130510</v>
      </c>
      <c r="F887" s="185" t="s">
        <v>64</v>
      </c>
      <c r="G887" s="185" t="s">
        <v>2405</v>
      </c>
      <c r="H887" s="185" t="s">
        <v>1515</v>
      </c>
      <c r="I887" s="258" t="str">
        <f t="shared" si="40"/>
        <v>1</v>
      </c>
      <c r="J887" s="221">
        <f t="shared" si="41"/>
        <v>30504270.960000001</v>
      </c>
      <c r="K887" s="258">
        <f t="shared" si="42"/>
        <v>3</v>
      </c>
      <c r="L887" s="188">
        <v>30504270.960000001</v>
      </c>
      <c r="M887" s="188">
        <v>0</v>
      </c>
      <c r="N887" s="189">
        <v>374795</v>
      </c>
      <c r="O887" t="s">
        <v>2404</v>
      </c>
      <c r="P887" s="187">
        <v>45016.339618055601</v>
      </c>
      <c r="Q887" s="186">
        <v>9063</v>
      </c>
      <c r="R887" s="185"/>
      <c r="S887" s="185" t="s">
        <v>1544</v>
      </c>
      <c r="T887"/>
      <c r="U887" t="str">
        <f>IF($L887&gt;0,VLOOKUP($E887,Valida!$A$1:$G$270,6,FALSE),IF($M887&gt;=0,VLOOKUP($E887,Valida!$A$1:$G$270,7,FALSE)))</f>
        <v>(+/-) Ajustes por la disminución (incremento) de cuentas por cobrar de origen comercial</v>
      </c>
      <c r="V887" s="190" t="str">
        <f>VLOOKUP(E887,Valida!$A$2:$K$271,4,FALSE)</f>
        <v>Trade and other receivables</v>
      </c>
      <c r="W887" s="185" t="s">
        <v>1803</v>
      </c>
      <c r="X887" s="185"/>
      <c r="Y887" s="185"/>
      <c r="Z887"/>
    </row>
    <row r="888" spans="1:26">
      <c r="A888" s="185" t="s">
        <v>2403</v>
      </c>
      <c r="B888" s="185" t="s">
        <v>2404</v>
      </c>
      <c r="C888" s="185" t="s">
        <v>1801</v>
      </c>
      <c r="D888" s="185" t="s">
        <v>389</v>
      </c>
      <c r="E888" s="185">
        <v>41559505</v>
      </c>
      <c r="F888" s="185" t="s">
        <v>1708</v>
      </c>
      <c r="G888" s="185" t="s">
        <v>2406</v>
      </c>
      <c r="H888" s="185" t="s">
        <v>1628</v>
      </c>
      <c r="I888" s="258" t="str">
        <f t="shared" si="40"/>
        <v>4</v>
      </c>
      <c r="J888" s="221">
        <f t="shared" si="41"/>
        <v>-30504270.960000001</v>
      </c>
      <c r="K888" s="258">
        <f t="shared" si="42"/>
        <v>3</v>
      </c>
      <c r="L888" s="188">
        <v>0</v>
      </c>
      <c r="M888" s="188">
        <v>30504270.960000001</v>
      </c>
      <c r="N888" s="189">
        <v>374795</v>
      </c>
      <c r="O888" t="s">
        <v>2404</v>
      </c>
      <c r="P888" s="187">
        <v>45016.339618055601</v>
      </c>
      <c r="Q888" s="186">
        <v>9064</v>
      </c>
      <c r="R888" s="185"/>
      <c r="S888" s="185" t="s">
        <v>1544</v>
      </c>
      <c r="T888"/>
      <c r="U888" t="str">
        <f>IF($L888&gt;0,VLOOKUP($E888,Valida!$A$1:$G$270,6,FALSE),IF($M888&gt;=0,VLOOKUP($E888,Valida!$A$1:$G$270,7,FALSE)))</f>
        <v>(+/-) Ganancia (pérdida)</v>
      </c>
      <c r="V888" s="190" t="str">
        <f>VLOOKUP(E888,Valida!$A$2:$K$271,4,FALSE)</f>
        <v>P&amp;L</v>
      </c>
      <c r="W888" s="185" t="s">
        <v>1803</v>
      </c>
      <c r="X888" s="185"/>
      <c r="Y888" s="185"/>
      <c r="Z888"/>
    </row>
    <row r="889" spans="1:26">
      <c r="A889" s="185" t="s">
        <v>2407</v>
      </c>
      <c r="B889" s="185" t="s">
        <v>2408</v>
      </c>
      <c r="C889" s="185" t="s">
        <v>1792</v>
      </c>
      <c r="D889" s="185" t="s">
        <v>2409</v>
      </c>
      <c r="E889" s="185">
        <v>51350501</v>
      </c>
      <c r="F889" s="185" t="s">
        <v>1256</v>
      </c>
      <c r="G889" s="185" t="s">
        <v>1794</v>
      </c>
      <c r="H889" s="185" t="s">
        <v>1515</v>
      </c>
      <c r="I889" s="258" t="str">
        <f t="shared" si="40"/>
        <v>5</v>
      </c>
      <c r="J889" s="221">
        <f t="shared" si="41"/>
        <v>619696.15</v>
      </c>
      <c r="K889" s="258">
        <f t="shared" si="42"/>
        <v>3</v>
      </c>
      <c r="L889" s="188">
        <v>619696.15</v>
      </c>
      <c r="M889" s="188">
        <v>0</v>
      </c>
      <c r="N889" s="189">
        <v>900994552</v>
      </c>
      <c r="O889" t="s">
        <v>2410</v>
      </c>
      <c r="P889" s="187">
        <v>45020.553356481498</v>
      </c>
      <c r="Q889" s="186">
        <v>9065</v>
      </c>
      <c r="R889" s="185" t="s">
        <v>844</v>
      </c>
      <c r="S889" s="185" t="s">
        <v>1606</v>
      </c>
      <c r="T889"/>
      <c r="U889" t="str">
        <f>IF($L889&gt;0,VLOOKUP($E889,Valida!$A$1:$G$270,6,FALSE),IF($M889&gt;=0,VLOOKUP($E889,Valida!$A$1:$G$270,7,FALSE)))</f>
        <v>(+/-) Ganancia (pérdida)</v>
      </c>
      <c r="V889" s="190" t="str">
        <f>VLOOKUP(E889,Valida!$A$2:$K$271,4,FALSE)</f>
        <v>P&amp;L</v>
      </c>
      <c r="W889" s="185" t="s">
        <v>1796</v>
      </c>
      <c r="X889" s="185" t="s">
        <v>1797</v>
      </c>
      <c r="Y889" s="185" t="s">
        <v>1789</v>
      </c>
      <c r="Z889"/>
    </row>
    <row r="890" spans="1:26">
      <c r="A890" s="185" t="s">
        <v>2407</v>
      </c>
      <c r="B890" s="185" t="s">
        <v>2408</v>
      </c>
      <c r="C890" s="185" t="s">
        <v>1792</v>
      </c>
      <c r="D890" s="185" t="s">
        <v>2409</v>
      </c>
      <c r="E890" s="185">
        <v>51350501</v>
      </c>
      <c r="F890" s="185" t="s">
        <v>1256</v>
      </c>
      <c r="G890" s="185" t="s">
        <v>1794</v>
      </c>
      <c r="H890" s="185" t="s">
        <v>1515</v>
      </c>
      <c r="I890" s="258" t="str">
        <f t="shared" si="40"/>
        <v>5</v>
      </c>
      <c r="J890" s="221">
        <f t="shared" si="41"/>
        <v>61969.62</v>
      </c>
      <c r="K890" s="258">
        <f t="shared" si="42"/>
        <v>3</v>
      </c>
      <c r="L890" s="188">
        <v>61969.62</v>
      </c>
      <c r="M890" s="188">
        <v>0</v>
      </c>
      <c r="N890" s="189">
        <v>900994552</v>
      </c>
      <c r="O890" t="s">
        <v>2410</v>
      </c>
      <c r="P890" s="187">
        <v>45020.553356481498</v>
      </c>
      <c r="Q890" s="186">
        <v>9066</v>
      </c>
      <c r="R890" s="185" t="s">
        <v>844</v>
      </c>
      <c r="S890" s="185" t="s">
        <v>1606</v>
      </c>
      <c r="T890"/>
      <c r="U890" t="str">
        <f>IF($L890&gt;0,VLOOKUP($E890,Valida!$A$1:$G$270,6,FALSE),IF($M890&gt;=0,VLOOKUP($E890,Valida!$A$1:$G$270,7,FALSE)))</f>
        <v>(+/-) Ganancia (pérdida)</v>
      </c>
      <c r="V890" s="190" t="str">
        <f>VLOOKUP(E890,Valida!$A$2:$K$271,4,FALSE)</f>
        <v>P&amp;L</v>
      </c>
      <c r="W890" s="185" t="s">
        <v>1796</v>
      </c>
      <c r="X890" s="185" t="s">
        <v>1797</v>
      </c>
      <c r="Y890" s="185" t="s">
        <v>1789</v>
      </c>
      <c r="Z890"/>
    </row>
    <row r="891" spans="1:26">
      <c r="A891" s="185" t="s">
        <v>2407</v>
      </c>
      <c r="B891" s="185" t="s">
        <v>2408</v>
      </c>
      <c r="C891" s="185" t="s">
        <v>1792</v>
      </c>
      <c r="D891" s="185" t="s">
        <v>2409</v>
      </c>
      <c r="E891" s="185">
        <v>24081002</v>
      </c>
      <c r="F891" s="185" t="s">
        <v>1687</v>
      </c>
      <c r="G891" s="185" t="s">
        <v>1794</v>
      </c>
      <c r="H891" s="185" t="s">
        <v>1515</v>
      </c>
      <c r="I891" s="258" t="str">
        <f t="shared" si="40"/>
        <v>2</v>
      </c>
      <c r="J891" s="221">
        <f t="shared" si="41"/>
        <v>11774.23</v>
      </c>
      <c r="K891" s="258">
        <f t="shared" si="42"/>
        <v>3</v>
      </c>
      <c r="L891" s="188">
        <v>11774.23</v>
      </c>
      <c r="M891" s="188">
        <v>0</v>
      </c>
      <c r="N891" s="189">
        <v>900994552</v>
      </c>
      <c r="O891" t="s">
        <v>2410</v>
      </c>
      <c r="P891" s="187">
        <v>45020.553356481498</v>
      </c>
      <c r="Q891" s="186">
        <v>9067</v>
      </c>
      <c r="R891" s="185" t="s">
        <v>844</v>
      </c>
      <c r="S891" s="185" t="s">
        <v>1606</v>
      </c>
      <c r="T891"/>
      <c r="U891" t="str">
        <f>IF($L891&gt;0,VLOOKUP($E891,Valida!$A$1:$G$270,6,FALSE),IF($M891&gt;=0,VLOOKUP($E891,Valida!$A$1:$G$270,7,FALSE)))</f>
        <v>(+/-) Ajustes por el incremento (disminución) de cuentas por pagar de origen comercial</v>
      </c>
      <c r="V891" s="190" t="str">
        <f>VLOOKUP(E891,Valida!$A$2:$K$271,4,FALSE)</f>
        <v>Trade and other payables</v>
      </c>
      <c r="W891" s="185" t="s">
        <v>1796</v>
      </c>
      <c r="X891" s="185" t="s">
        <v>1797</v>
      </c>
      <c r="Y891" s="185" t="s">
        <v>1789</v>
      </c>
      <c r="Z891"/>
    </row>
    <row r="892" spans="1:26">
      <c r="A892" s="185" t="s">
        <v>2407</v>
      </c>
      <c r="B892" s="185" t="s">
        <v>2408</v>
      </c>
      <c r="C892" s="185" t="s">
        <v>1792</v>
      </c>
      <c r="D892" s="185" t="s">
        <v>2409</v>
      </c>
      <c r="E892" s="185">
        <v>23355004</v>
      </c>
      <c r="F892" s="185" t="s">
        <v>513</v>
      </c>
      <c r="G892" s="185" t="s">
        <v>1794</v>
      </c>
      <c r="H892" s="185" t="s">
        <v>1628</v>
      </c>
      <c r="I892" s="258" t="str">
        <f t="shared" si="40"/>
        <v>2</v>
      </c>
      <c r="J892" s="221">
        <f t="shared" si="41"/>
        <v>-692820</v>
      </c>
      <c r="K892" s="258">
        <f t="shared" si="42"/>
        <v>3</v>
      </c>
      <c r="L892" s="188">
        <v>0</v>
      </c>
      <c r="M892" s="188">
        <v>692820</v>
      </c>
      <c r="N892" s="189">
        <v>900994552</v>
      </c>
      <c r="O892" t="s">
        <v>2410</v>
      </c>
      <c r="P892" s="187">
        <v>45020.553356481498</v>
      </c>
      <c r="Q892" s="186">
        <v>9068</v>
      </c>
      <c r="R892" s="185" t="s">
        <v>844</v>
      </c>
      <c r="S892" s="185" t="s">
        <v>1606</v>
      </c>
      <c r="T892"/>
      <c r="U892" t="str">
        <f>IF($L892&gt;0,VLOOKUP($E892,Valida!$A$1:$G$270,6,FALSE),IF($M892&gt;=0,VLOOKUP($E892,Valida!$A$1:$G$270,7,FALSE)))</f>
        <v>(+/-) Ajustes por el incremento (disminución) de cuentas por pagar de origen comercial</v>
      </c>
      <c r="V892" s="190" t="str">
        <f>VLOOKUP(E892,Valida!$A$2:$K$271,4,FALSE)</f>
        <v>Trade and other payables</v>
      </c>
      <c r="W892" s="185" t="s">
        <v>1796</v>
      </c>
      <c r="X892" s="185" t="s">
        <v>1797</v>
      </c>
      <c r="Y892" s="185" t="s">
        <v>1789</v>
      </c>
      <c r="Z892"/>
    </row>
    <row r="893" spans="1:26">
      <c r="A893" s="185" t="s">
        <v>2407</v>
      </c>
      <c r="B893" s="185" t="s">
        <v>2408</v>
      </c>
      <c r="C893" s="185" t="s">
        <v>1792</v>
      </c>
      <c r="D893" s="185" t="s">
        <v>2409</v>
      </c>
      <c r="E893" s="185">
        <v>23652501</v>
      </c>
      <c r="F893" s="185" t="s">
        <v>596</v>
      </c>
      <c r="G893" s="185" t="s">
        <v>1794</v>
      </c>
      <c r="H893" s="185" t="s">
        <v>1628</v>
      </c>
      <c r="I893" s="258" t="str">
        <f t="shared" si="40"/>
        <v>2</v>
      </c>
      <c r="J893" s="221">
        <f t="shared" si="41"/>
        <v>-620</v>
      </c>
      <c r="K893" s="258">
        <f t="shared" si="42"/>
        <v>3</v>
      </c>
      <c r="L893" s="188">
        <v>0</v>
      </c>
      <c r="M893" s="188">
        <v>620</v>
      </c>
      <c r="N893" s="189">
        <v>900994552</v>
      </c>
      <c r="O893" t="s">
        <v>2410</v>
      </c>
      <c r="P893" s="187">
        <v>45020.553356481498</v>
      </c>
      <c r="Q893" s="186">
        <v>9069</v>
      </c>
      <c r="R893" s="185" t="s">
        <v>844</v>
      </c>
      <c r="S893" s="185" t="s">
        <v>1606</v>
      </c>
      <c r="T893"/>
      <c r="U893" t="str">
        <f>IF($L893&gt;0,VLOOKUP($E893,Valida!$A$1:$G$270,6,FALSE),IF($M893&gt;=0,VLOOKUP($E893,Valida!$A$1:$G$270,7,FALSE)))</f>
        <v>(+/-) Ajustes por el incremento (disminución) de cuentas por pagar de origen comercial</v>
      </c>
      <c r="V893" s="190" t="str">
        <f>VLOOKUP(E893,Valida!$A$2:$K$271,4,FALSE)</f>
        <v>Trade and other payables</v>
      </c>
      <c r="W893" s="185" t="s">
        <v>1796</v>
      </c>
      <c r="X893" s="185" t="s">
        <v>1797</v>
      </c>
      <c r="Y893" s="185" t="s">
        <v>1789</v>
      </c>
      <c r="Z893"/>
    </row>
    <row r="894" spans="1:26">
      <c r="A894" s="185" t="s">
        <v>2407</v>
      </c>
      <c r="B894" s="185" t="s">
        <v>2411</v>
      </c>
      <c r="C894" s="185" t="s">
        <v>1792</v>
      </c>
      <c r="D894" s="185" t="s">
        <v>2412</v>
      </c>
      <c r="E894" s="185">
        <v>51350501</v>
      </c>
      <c r="F894" s="185" t="s">
        <v>1256</v>
      </c>
      <c r="G894" s="185" t="s">
        <v>1794</v>
      </c>
      <c r="H894" s="185" t="s">
        <v>1515</v>
      </c>
      <c r="I894" s="258" t="str">
        <f t="shared" si="40"/>
        <v>5</v>
      </c>
      <c r="J894" s="221">
        <f t="shared" si="41"/>
        <v>2171518.3199999998</v>
      </c>
      <c r="K894" s="258">
        <f t="shared" si="42"/>
        <v>3</v>
      </c>
      <c r="L894" s="188">
        <v>2171518.3199999998</v>
      </c>
      <c r="M894" s="188">
        <v>0</v>
      </c>
      <c r="N894" s="189">
        <v>900994552</v>
      </c>
      <c r="O894" t="s">
        <v>2413</v>
      </c>
      <c r="P894" s="187">
        <v>45020.5550462963</v>
      </c>
      <c r="Q894" s="186">
        <v>9070</v>
      </c>
      <c r="R894" s="185" t="s">
        <v>844</v>
      </c>
      <c r="S894" s="185" t="s">
        <v>1606</v>
      </c>
      <c r="T894"/>
      <c r="U894" t="str">
        <f>IF($L894&gt;0,VLOOKUP($E894,Valida!$A$1:$G$270,6,FALSE),IF($M894&gt;=0,VLOOKUP($E894,Valida!$A$1:$G$270,7,FALSE)))</f>
        <v>(+/-) Ganancia (pérdida)</v>
      </c>
      <c r="V894" s="190" t="str">
        <f>VLOOKUP(E894,Valida!$A$2:$K$271,4,FALSE)</f>
        <v>P&amp;L</v>
      </c>
      <c r="W894" s="185" t="s">
        <v>1796</v>
      </c>
      <c r="X894" s="185" t="s">
        <v>1797</v>
      </c>
      <c r="Y894" s="185" t="s">
        <v>1789</v>
      </c>
      <c r="Z894"/>
    </row>
    <row r="895" spans="1:26">
      <c r="A895" s="185" t="s">
        <v>2407</v>
      </c>
      <c r="B895" s="185" t="s">
        <v>2411</v>
      </c>
      <c r="C895" s="185" t="s">
        <v>1792</v>
      </c>
      <c r="D895" s="185" t="s">
        <v>2412</v>
      </c>
      <c r="E895" s="185">
        <v>51350501</v>
      </c>
      <c r="F895" s="185" t="s">
        <v>1256</v>
      </c>
      <c r="G895" s="185" t="s">
        <v>1794</v>
      </c>
      <c r="H895" s="185" t="s">
        <v>1515</v>
      </c>
      <c r="I895" s="258" t="str">
        <f t="shared" si="40"/>
        <v>5</v>
      </c>
      <c r="J895" s="221">
        <f t="shared" si="41"/>
        <v>217151.83</v>
      </c>
      <c r="K895" s="258">
        <f t="shared" si="42"/>
        <v>3</v>
      </c>
      <c r="L895" s="188">
        <v>217151.83</v>
      </c>
      <c r="M895" s="188">
        <v>0</v>
      </c>
      <c r="N895" s="189">
        <v>900994552</v>
      </c>
      <c r="O895" t="s">
        <v>2413</v>
      </c>
      <c r="P895" s="187">
        <v>45020.555057870399</v>
      </c>
      <c r="Q895" s="186">
        <v>9071</v>
      </c>
      <c r="R895" s="185" t="s">
        <v>844</v>
      </c>
      <c r="S895" s="185" t="s">
        <v>1606</v>
      </c>
      <c r="T895"/>
      <c r="U895" t="str">
        <f>IF($L895&gt;0,VLOOKUP($E895,Valida!$A$1:$G$270,6,FALSE),IF($M895&gt;=0,VLOOKUP($E895,Valida!$A$1:$G$270,7,FALSE)))</f>
        <v>(+/-) Ganancia (pérdida)</v>
      </c>
      <c r="V895" s="190" t="str">
        <f>VLOOKUP(E895,Valida!$A$2:$K$271,4,FALSE)</f>
        <v>P&amp;L</v>
      </c>
      <c r="W895" s="185" t="s">
        <v>1796</v>
      </c>
      <c r="X895" s="185" t="s">
        <v>1797</v>
      </c>
      <c r="Y895" s="185" t="s">
        <v>1789</v>
      </c>
      <c r="Z895"/>
    </row>
    <row r="896" spans="1:26">
      <c r="A896" s="185" t="s">
        <v>2407</v>
      </c>
      <c r="B896" s="185" t="s">
        <v>2411</v>
      </c>
      <c r="C896" s="185" t="s">
        <v>1792</v>
      </c>
      <c r="D896" s="185" t="s">
        <v>2412</v>
      </c>
      <c r="E896" s="185">
        <v>24081002</v>
      </c>
      <c r="F896" s="185" t="s">
        <v>1687</v>
      </c>
      <c r="G896" s="185" t="s">
        <v>1794</v>
      </c>
      <c r="H896" s="185" t="s">
        <v>1515</v>
      </c>
      <c r="I896" s="258" t="str">
        <f t="shared" si="40"/>
        <v>2</v>
      </c>
      <c r="J896" s="221">
        <f t="shared" si="41"/>
        <v>41258.85</v>
      </c>
      <c r="K896" s="258">
        <f t="shared" si="42"/>
        <v>3</v>
      </c>
      <c r="L896" s="188">
        <v>41258.85</v>
      </c>
      <c r="M896" s="188">
        <v>0</v>
      </c>
      <c r="N896" s="189">
        <v>900994552</v>
      </c>
      <c r="O896" t="s">
        <v>2413</v>
      </c>
      <c r="P896" s="187">
        <v>45020.555057870399</v>
      </c>
      <c r="Q896" s="186">
        <v>9072</v>
      </c>
      <c r="R896" s="185" t="s">
        <v>844</v>
      </c>
      <c r="S896" s="185" t="s">
        <v>1606</v>
      </c>
      <c r="T896"/>
      <c r="U896" t="str">
        <f>IF($L896&gt;0,VLOOKUP($E896,Valida!$A$1:$G$270,6,FALSE),IF($M896&gt;=0,VLOOKUP($E896,Valida!$A$1:$G$270,7,FALSE)))</f>
        <v>(+/-) Ajustes por el incremento (disminución) de cuentas por pagar de origen comercial</v>
      </c>
      <c r="V896" s="190" t="str">
        <f>VLOOKUP(E896,Valida!$A$2:$K$271,4,FALSE)</f>
        <v>Trade and other payables</v>
      </c>
      <c r="W896" s="185" t="s">
        <v>1796</v>
      </c>
      <c r="X896" s="185" t="s">
        <v>1797</v>
      </c>
      <c r="Y896" s="185" t="s">
        <v>1789</v>
      </c>
      <c r="Z896"/>
    </row>
    <row r="897" spans="1:26">
      <c r="A897" s="185" t="s">
        <v>2407</v>
      </c>
      <c r="B897" s="185" t="s">
        <v>2411</v>
      </c>
      <c r="C897" s="185" t="s">
        <v>1792</v>
      </c>
      <c r="D897" s="185" t="s">
        <v>2412</v>
      </c>
      <c r="E897" s="185">
        <v>23355004</v>
      </c>
      <c r="F897" s="185" t="s">
        <v>513</v>
      </c>
      <c r="G897" s="185" t="s">
        <v>1794</v>
      </c>
      <c r="H897" s="185" t="s">
        <v>1628</v>
      </c>
      <c r="I897" s="258" t="str">
        <f t="shared" si="40"/>
        <v>2</v>
      </c>
      <c r="J897" s="221">
        <f t="shared" si="41"/>
        <v>-2427757</v>
      </c>
      <c r="K897" s="258">
        <f t="shared" si="42"/>
        <v>3</v>
      </c>
      <c r="L897" s="188">
        <v>0</v>
      </c>
      <c r="M897" s="188">
        <v>2427757</v>
      </c>
      <c r="N897" s="189">
        <v>900994552</v>
      </c>
      <c r="O897" t="s">
        <v>2413</v>
      </c>
      <c r="P897" s="187">
        <v>45020.555057870399</v>
      </c>
      <c r="Q897" s="186">
        <v>9073</v>
      </c>
      <c r="R897" s="185" t="s">
        <v>844</v>
      </c>
      <c r="S897" s="185" t="s">
        <v>1606</v>
      </c>
      <c r="T897"/>
      <c r="U897" t="str">
        <f>IF($L897&gt;0,VLOOKUP($E897,Valida!$A$1:$G$270,6,FALSE),IF($M897&gt;=0,VLOOKUP($E897,Valida!$A$1:$G$270,7,FALSE)))</f>
        <v>(+/-) Ajustes por el incremento (disminución) de cuentas por pagar de origen comercial</v>
      </c>
      <c r="V897" s="190" t="str">
        <f>VLOOKUP(E897,Valida!$A$2:$K$271,4,FALSE)</f>
        <v>Trade and other payables</v>
      </c>
      <c r="W897" s="185" t="s">
        <v>1796</v>
      </c>
      <c r="X897" s="185" t="s">
        <v>1797</v>
      </c>
      <c r="Y897" s="185" t="s">
        <v>1789</v>
      </c>
      <c r="Z897"/>
    </row>
    <row r="898" spans="1:26">
      <c r="A898" s="185" t="s">
        <v>2407</v>
      </c>
      <c r="B898" s="185" t="s">
        <v>2411</v>
      </c>
      <c r="C898" s="185" t="s">
        <v>1792</v>
      </c>
      <c r="D898" s="185" t="s">
        <v>2412</v>
      </c>
      <c r="E898" s="185">
        <v>23652501</v>
      </c>
      <c r="F898" s="185" t="s">
        <v>596</v>
      </c>
      <c r="G898" s="185" t="s">
        <v>1794</v>
      </c>
      <c r="H898" s="185" t="s">
        <v>1628</v>
      </c>
      <c r="I898" s="258" t="str">
        <f t="shared" si="40"/>
        <v>2</v>
      </c>
      <c r="J898" s="221">
        <f t="shared" si="41"/>
        <v>-2172</v>
      </c>
      <c r="K898" s="258">
        <f t="shared" si="42"/>
        <v>3</v>
      </c>
      <c r="L898" s="188">
        <v>0</v>
      </c>
      <c r="M898" s="188">
        <v>2172</v>
      </c>
      <c r="N898" s="189">
        <v>900994552</v>
      </c>
      <c r="O898" t="s">
        <v>2413</v>
      </c>
      <c r="P898" s="187">
        <v>45020.555057870399</v>
      </c>
      <c r="Q898" s="186">
        <v>9074</v>
      </c>
      <c r="R898" s="185" t="s">
        <v>844</v>
      </c>
      <c r="S898" s="185" t="s">
        <v>1606</v>
      </c>
      <c r="T898"/>
      <c r="U898" t="str">
        <f>IF($L898&gt;0,VLOOKUP($E898,Valida!$A$1:$G$270,6,FALSE),IF($M898&gt;=0,VLOOKUP($E898,Valida!$A$1:$G$270,7,FALSE)))</f>
        <v>(+/-) Ajustes por el incremento (disminución) de cuentas por pagar de origen comercial</v>
      </c>
      <c r="V898" s="190" t="str">
        <f>VLOOKUP(E898,Valida!$A$2:$K$271,4,FALSE)</f>
        <v>Trade and other payables</v>
      </c>
      <c r="W898" s="185" t="s">
        <v>1796</v>
      </c>
      <c r="X898" s="185" t="s">
        <v>1797</v>
      </c>
      <c r="Y898" s="185" t="s">
        <v>1789</v>
      </c>
      <c r="Z898"/>
    </row>
    <row r="899" spans="1:26">
      <c r="A899" s="185" t="s">
        <v>2407</v>
      </c>
      <c r="B899" s="185" t="s">
        <v>2414</v>
      </c>
      <c r="C899" s="185" t="s">
        <v>1792</v>
      </c>
      <c r="D899" s="185" t="s">
        <v>2415</v>
      </c>
      <c r="E899" s="185">
        <v>51109502</v>
      </c>
      <c r="F899" s="185" t="s">
        <v>1734</v>
      </c>
      <c r="G899" s="185" t="s">
        <v>1260</v>
      </c>
      <c r="H899" s="185" t="s">
        <v>1515</v>
      </c>
      <c r="I899" s="258" t="str">
        <f t="shared" ref="I899:I962" si="43">LEFT(E899,1)</f>
        <v>5</v>
      </c>
      <c r="J899" s="221">
        <f t="shared" ref="J899:J962" si="44">L899-M899</f>
        <v>675000</v>
      </c>
      <c r="K899" s="258">
        <f t="shared" ref="K899:K962" si="45">MONTH(A899)</f>
        <v>3</v>
      </c>
      <c r="L899" s="188">
        <v>675000</v>
      </c>
      <c r="M899" s="188">
        <v>0</v>
      </c>
      <c r="N899" s="189">
        <v>800042928</v>
      </c>
      <c r="O899" t="s">
        <v>2416</v>
      </c>
      <c r="P899" s="187">
        <v>45020.557175925896</v>
      </c>
      <c r="Q899" s="186">
        <v>9075</v>
      </c>
      <c r="R899" s="185" t="s">
        <v>6</v>
      </c>
      <c r="S899" s="185" t="s">
        <v>1554</v>
      </c>
      <c r="T899"/>
      <c r="U899" t="str">
        <f>IF($L899&gt;0,VLOOKUP($E899,Valida!$A$1:$G$270,6,FALSE),IF($M899&gt;=0,VLOOKUP($E899,Valida!$A$1:$G$270,7,FALSE)))</f>
        <v>(+/-) Ganancia (pérdida)</v>
      </c>
      <c r="V899" s="190" t="str">
        <f>VLOOKUP(E899,Valida!$A$2:$K$271,4,FALSE)</f>
        <v>P&amp;L</v>
      </c>
      <c r="W899" s="185" t="s">
        <v>1820</v>
      </c>
      <c r="X899" s="185" t="s">
        <v>1821</v>
      </c>
      <c r="Y899" s="185" t="s">
        <v>1789</v>
      </c>
      <c r="Z899"/>
    </row>
    <row r="900" spans="1:26">
      <c r="A900" s="185" t="s">
        <v>2407</v>
      </c>
      <c r="B900" s="185" t="s">
        <v>2414</v>
      </c>
      <c r="C900" s="185" t="s">
        <v>1792</v>
      </c>
      <c r="D900" s="185" t="s">
        <v>2415</v>
      </c>
      <c r="E900" s="185">
        <v>24081002</v>
      </c>
      <c r="F900" s="185" t="s">
        <v>1687</v>
      </c>
      <c r="G900" s="185" t="s">
        <v>1260</v>
      </c>
      <c r="H900" s="185" t="s">
        <v>1515</v>
      </c>
      <c r="I900" s="258" t="str">
        <f t="shared" si="43"/>
        <v>2</v>
      </c>
      <c r="J900" s="221">
        <f t="shared" si="44"/>
        <v>128250</v>
      </c>
      <c r="K900" s="258">
        <f t="shared" si="45"/>
        <v>3</v>
      </c>
      <c r="L900" s="188">
        <v>128250</v>
      </c>
      <c r="M900" s="188">
        <v>0</v>
      </c>
      <c r="N900" s="189">
        <v>800042928</v>
      </c>
      <c r="O900" t="s">
        <v>2416</v>
      </c>
      <c r="P900" s="187">
        <v>45020.557175925896</v>
      </c>
      <c r="Q900" s="186">
        <v>9076</v>
      </c>
      <c r="R900" s="185" t="s">
        <v>6</v>
      </c>
      <c r="S900" s="185" t="s">
        <v>1554</v>
      </c>
      <c r="T900"/>
      <c r="U900" t="str">
        <f>IF($L900&gt;0,VLOOKUP($E900,Valida!$A$1:$G$270,6,FALSE),IF($M900&gt;=0,VLOOKUP($E900,Valida!$A$1:$G$270,7,FALSE)))</f>
        <v>(+/-) Ajustes por el incremento (disminución) de cuentas por pagar de origen comercial</v>
      </c>
      <c r="V900" s="190" t="str">
        <f>VLOOKUP(E900,Valida!$A$2:$K$271,4,FALSE)</f>
        <v>Trade and other payables</v>
      </c>
      <c r="W900" s="185" t="s">
        <v>1820</v>
      </c>
      <c r="X900" s="185" t="s">
        <v>1821</v>
      </c>
      <c r="Y900" s="185" t="s">
        <v>1789</v>
      </c>
      <c r="Z900"/>
    </row>
    <row r="901" spans="1:26">
      <c r="A901" s="185" t="s">
        <v>2407</v>
      </c>
      <c r="B901" s="185" t="s">
        <v>2414</v>
      </c>
      <c r="C901" s="185" t="s">
        <v>1792</v>
      </c>
      <c r="D901" s="185" t="s">
        <v>2415</v>
      </c>
      <c r="E901" s="185">
        <v>23352504</v>
      </c>
      <c r="F901" s="185" t="s">
        <v>1634</v>
      </c>
      <c r="G901" s="185" t="s">
        <v>1260</v>
      </c>
      <c r="H901" s="185" t="s">
        <v>1628</v>
      </c>
      <c r="I901" s="258" t="str">
        <f t="shared" si="43"/>
        <v>2</v>
      </c>
      <c r="J901" s="221">
        <f t="shared" si="44"/>
        <v>-803250</v>
      </c>
      <c r="K901" s="258">
        <f t="shared" si="45"/>
        <v>3</v>
      </c>
      <c r="L901" s="188">
        <v>0</v>
      </c>
      <c r="M901" s="188">
        <v>803250</v>
      </c>
      <c r="N901" s="189">
        <v>800042928</v>
      </c>
      <c r="O901" t="s">
        <v>2416</v>
      </c>
      <c r="P901" s="187">
        <v>45020.557175925896</v>
      </c>
      <c r="Q901" s="186">
        <v>9077</v>
      </c>
      <c r="R901" s="185" t="s">
        <v>6</v>
      </c>
      <c r="S901" s="185" t="s">
        <v>1554</v>
      </c>
      <c r="T901"/>
      <c r="U901" t="str">
        <f>IF($L901&gt;0,VLOOKUP($E901,Valida!$A$1:$G$270,6,FALSE),IF($M901&gt;=0,VLOOKUP($E901,Valida!$A$1:$G$270,7,FALSE)))</f>
        <v>(+/-) Ajustes por el incremento (disminución) de cuentas por pagar de origen comercial</v>
      </c>
      <c r="V901" s="190" t="str">
        <f>VLOOKUP(E901,Valida!$A$2:$K$271,4,FALSE)</f>
        <v>Trade and other payables</v>
      </c>
      <c r="W901" s="185" t="s">
        <v>1820</v>
      </c>
      <c r="X901" s="185" t="s">
        <v>1821</v>
      </c>
      <c r="Y901" s="185" t="s">
        <v>1789</v>
      </c>
      <c r="Z901"/>
    </row>
    <row r="902" spans="1:26">
      <c r="A902" s="185" t="s">
        <v>2403</v>
      </c>
      <c r="B902" s="185" t="s">
        <v>2417</v>
      </c>
      <c r="C902" s="185" t="s">
        <v>1792</v>
      </c>
      <c r="D902" s="185" t="s">
        <v>2418</v>
      </c>
      <c r="E902" s="185">
        <v>51700503</v>
      </c>
      <c r="F902" s="185" t="s">
        <v>1397</v>
      </c>
      <c r="G902" s="185" t="s">
        <v>2419</v>
      </c>
      <c r="H902" s="185" t="s">
        <v>1515</v>
      </c>
      <c r="I902" s="258" t="str">
        <f t="shared" si="43"/>
        <v>5</v>
      </c>
      <c r="J902" s="221">
        <f t="shared" si="44"/>
        <v>89950</v>
      </c>
      <c r="K902" s="258">
        <f t="shared" si="45"/>
        <v>3</v>
      </c>
      <c r="L902" s="188">
        <v>89950</v>
      </c>
      <c r="M902" s="188">
        <v>0</v>
      </c>
      <c r="N902" s="189">
        <v>900069482</v>
      </c>
      <c r="O902" t="s">
        <v>2420</v>
      </c>
      <c r="P902" s="187">
        <v>45020.558333333298</v>
      </c>
      <c r="Q902" s="186">
        <v>9078</v>
      </c>
      <c r="R902" s="185" t="s">
        <v>1841</v>
      </c>
      <c r="S902" s="185" t="s">
        <v>1588</v>
      </c>
      <c r="T902"/>
      <c r="U902" t="str">
        <f>IF($L902&gt;0,VLOOKUP($E902,Valida!$A$1:$G$270,6,FALSE),IF($M902&gt;=0,VLOOKUP($E902,Valida!$A$1:$G$270,7,FALSE)))</f>
        <v>(+/-) Ganancia (pérdida)</v>
      </c>
      <c r="V902" s="190" t="str">
        <f>VLOOKUP(E902,Valida!$A$2:$K$271,4,FALSE)</f>
        <v>P&amp;L</v>
      </c>
      <c r="W902" s="185" t="s">
        <v>2421</v>
      </c>
      <c r="X902" s="185" t="s">
        <v>2422</v>
      </c>
      <c r="Y902" s="185" t="s">
        <v>2423</v>
      </c>
      <c r="Z902"/>
    </row>
    <row r="903" spans="1:26">
      <c r="A903" s="185" t="s">
        <v>2403</v>
      </c>
      <c r="B903" s="185" t="s">
        <v>2417</v>
      </c>
      <c r="C903" s="185" t="s">
        <v>1792</v>
      </c>
      <c r="D903" s="185" t="s">
        <v>2418</v>
      </c>
      <c r="E903" s="185">
        <v>23359504</v>
      </c>
      <c r="F903" s="185" t="s">
        <v>553</v>
      </c>
      <c r="G903" s="185" t="s">
        <v>2419</v>
      </c>
      <c r="H903" s="185" t="s">
        <v>1628</v>
      </c>
      <c r="I903" s="258" t="str">
        <f t="shared" si="43"/>
        <v>2</v>
      </c>
      <c r="J903" s="221">
        <f t="shared" si="44"/>
        <v>-89950</v>
      </c>
      <c r="K903" s="258">
        <f t="shared" si="45"/>
        <v>3</v>
      </c>
      <c r="L903" s="188">
        <v>0</v>
      </c>
      <c r="M903" s="188">
        <v>89950</v>
      </c>
      <c r="N903" s="189">
        <v>900069482</v>
      </c>
      <c r="O903" t="s">
        <v>2420</v>
      </c>
      <c r="P903" s="187">
        <v>45020.558333333298</v>
      </c>
      <c r="Q903" s="186">
        <v>9079</v>
      </c>
      <c r="R903" s="185" t="s">
        <v>1841</v>
      </c>
      <c r="S903" s="185" t="s">
        <v>1588</v>
      </c>
      <c r="T903"/>
      <c r="U903" t="str">
        <f>IF($L903&gt;0,VLOOKUP($E903,Valida!$A$1:$G$270,6,FALSE),IF($M903&gt;=0,VLOOKUP($E903,Valida!$A$1:$G$270,7,FALSE)))</f>
        <v>(+/-) Ajustes por el incremento (disminución) de cuentas por pagar de origen comercial</v>
      </c>
      <c r="V903" s="190" t="str">
        <f>VLOOKUP(E903,Valida!$A$2:$K$271,4,FALSE)</f>
        <v>Trade and other payables</v>
      </c>
      <c r="W903" s="185" t="s">
        <v>2421</v>
      </c>
      <c r="X903" s="185" t="s">
        <v>2422</v>
      </c>
      <c r="Y903" s="185" t="s">
        <v>2423</v>
      </c>
      <c r="Z903"/>
    </row>
    <row r="904" spans="1:26">
      <c r="A904" s="185" t="s">
        <v>2407</v>
      </c>
      <c r="B904" s="185" t="s">
        <v>2424</v>
      </c>
      <c r="C904" s="185" t="s">
        <v>1890</v>
      </c>
      <c r="D904" s="185" t="s">
        <v>2425</v>
      </c>
      <c r="E904" s="185">
        <v>23355004</v>
      </c>
      <c r="F904" s="185" t="s">
        <v>513</v>
      </c>
      <c r="G904" s="185" t="s">
        <v>2426</v>
      </c>
      <c r="H904" s="185" t="s">
        <v>1515</v>
      </c>
      <c r="I904" s="258" t="str">
        <f t="shared" si="43"/>
        <v>2</v>
      </c>
      <c r="J904" s="221">
        <f t="shared" si="44"/>
        <v>3120577</v>
      </c>
      <c r="K904" s="258">
        <f t="shared" si="45"/>
        <v>3</v>
      </c>
      <c r="L904" s="188">
        <v>3120577</v>
      </c>
      <c r="M904" s="188">
        <v>0</v>
      </c>
      <c r="N904" s="189">
        <v>900994552</v>
      </c>
      <c r="O904" t="s">
        <v>2424</v>
      </c>
      <c r="P904" s="187">
        <v>45020.560034722199</v>
      </c>
      <c r="Q904" s="186">
        <v>9080</v>
      </c>
      <c r="R904" s="185" t="s">
        <v>844</v>
      </c>
      <c r="S904" s="185" t="s">
        <v>1606</v>
      </c>
      <c r="T904"/>
      <c r="U904" t="str">
        <f>IF($L904&gt;0,VLOOKUP($E904,Valida!$A$1:$G$270,6,FALSE),IF($M904&gt;=0,VLOOKUP($E904,Valida!$A$1:$G$270,7,FALSE)))</f>
        <v>(+/-) Ajustes por el incremento (disminución) de cuentas por pagar de origen comercial</v>
      </c>
      <c r="V904" s="190" t="str">
        <f>VLOOKUP(E904,Valida!$A$2:$K$271,4,FALSE)</f>
        <v>Trade and other payables</v>
      </c>
      <c r="W904" s="185" t="s">
        <v>1796</v>
      </c>
      <c r="X904" s="185" t="s">
        <v>1797</v>
      </c>
      <c r="Y904" s="185" t="s">
        <v>1789</v>
      </c>
      <c r="Z904"/>
    </row>
    <row r="905" spans="1:26">
      <c r="A905" s="185" t="s">
        <v>2407</v>
      </c>
      <c r="B905" s="185" t="s">
        <v>2424</v>
      </c>
      <c r="C905" s="185" t="s">
        <v>1890</v>
      </c>
      <c r="D905" s="185" t="s">
        <v>2425</v>
      </c>
      <c r="E905" s="185">
        <v>112005</v>
      </c>
      <c r="F905" s="185" t="s">
        <v>24</v>
      </c>
      <c r="G905" s="185" t="s">
        <v>2426</v>
      </c>
      <c r="H905" s="185" t="s">
        <v>1628</v>
      </c>
      <c r="I905" s="258" t="str">
        <f t="shared" si="43"/>
        <v>1</v>
      </c>
      <c r="J905" s="221">
        <f t="shared" si="44"/>
        <v>-3120577</v>
      </c>
      <c r="K905" s="258">
        <f t="shared" si="45"/>
        <v>3</v>
      </c>
      <c r="L905" s="188">
        <v>0</v>
      </c>
      <c r="M905" s="188">
        <v>3120577</v>
      </c>
      <c r="N905" s="189">
        <v>900994552</v>
      </c>
      <c r="O905" t="s">
        <v>2424</v>
      </c>
      <c r="P905" s="187">
        <v>45020.560034722199</v>
      </c>
      <c r="Q905" s="186">
        <v>9081</v>
      </c>
      <c r="R905" s="185" t="s">
        <v>844</v>
      </c>
      <c r="S905" s="185" t="s">
        <v>1606</v>
      </c>
      <c r="T905" t="s">
        <v>1894</v>
      </c>
      <c r="U905" t="str">
        <f>IF($L905&gt;0,VLOOKUP($E905,Valida!$A$1:$G$270,6,FALSE),IF($M905&gt;=0,VLOOKUP($E905,Valida!$A$1:$G$270,7,FALSE)))</f>
        <v>Disponible</v>
      </c>
      <c r="V905" s="190" t="str">
        <f>VLOOKUP(E905,Valida!$A$2:$K$271,4,FALSE)</f>
        <v>Cash and equivalents</v>
      </c>
      <c r="W905" s="185" t="s">
        <v>1796</v>
      </c>
      <c r="X905" s="185" t="s">
        <v>1797</v>
      </c>
      <c r="Y905" s="185" t="s">
        <v>1789</v>
      </c>
      <c r="Z905"/>
    </row>
    <row r="906" spans="1:26">
      <c r="A906" s="185" t="s">
        <v>2407</v>
      </c>
      <c r="B906" s="185" t="s">
        <v>2427</v>
      </c>
      <c r="C906" s="185" t="s">
        <v>1890</v>
      </c>
      <c r="D906" s="185" t="s">
        <v>2428</v>
      </c>
      <c r="E906" s="185">
        <v>23352504</v>
      </c>
      <c r="F906" s="185" t="s">
        <v>1634</v>
      </c>
      <c r="G906" s="185" t="s">
        <v>2429</v>
      </c>
      <c r="H906" s="185" t="s">
        <v>1515</v>
      </c>
      <c r="I906" s="258" t="str">
        <f t="shared" si="43"/>
        <v>2</v>
      </c>
      <c r="J906" s="221">
        <f t="shared" si="44"/>
        <v>803250</v>
      </c>
      <c r="K906" s="258">
        <f t="shared" si="45"/>
        <v>3</v>
      </c>
      <c r="L906" s="188">
        <v>803250</v>
      </c>
      <c r="M906" s="188">
        <v>0</v>
      </c>
      <c r="N906" s="189">
        <v>800042928</v>
      </c>
      <c r="O906" t="s">
        <v>2427</v>
      </c>
      <c r="P906" s="187">
        <v>45020.560810185198</v>
      </c>
      <c r="Q906" s="186">
        <v>9082</v>
      </c>
      <c r="R906" s="185" t="s">
        <v>6</v>
      </c>
      <c r="S906" s="185" t="s">
        <v>1554</v>
      </c>
      <c r="T906"/>
      <c r="U906" t="str">
        <f>IF($L906&gt;0,VLOOKUP($E906,Valida!$A$1:$G$270,6,FALSE),IF($M906&gt;=0,VLOOKUP($E906,Valida!$A$1:$G$270,7,FALSE)))</f>
        <v>(+/-) Ajustes por el incremento (disminución) de cuentas por pagar de origen comercial</v>
      </c>
      <c r="V906" s="190" t="str">
        <f>VLOOKUP(E906,Valida!$A$2:$K$271,4,FALSE)</f>
        <v>Trade and other payables</v>
      </c>
      <c r="W906" s="185" t="s">
        <v>1820</v>
      </c>
      <c r="X906" s="185" t="s">
        <v>1821</v>
      </c>
      <c r="Y906" s="185" t="s">
        <v>1789</v>
      </c>
      <c r="Z906"/>
    </row>
    <row r="907" spans="1:26">
      <c r="A907" s="185" t="s">
        <v>2407</v>
      </c>
      <c r="B907" s="185" t="s">
        <v>2427</v>
      </c>
      <c r="C907" s="185" t="s">
        <v>1890</v>
      </c>
      <c r="D907" s="185" t="s">
        <v>2428</v>
      </c>
      <c r="E907" s="185">
        <v>112005</v>
      </c>
      <c r="F907" s="185" t="s">
        <v>24</v>
      </c>
      <c r="G907" s="185" t="s">
        <v>2429</v>
      </c>
      <c r="H907" s="185" t="s">
        <v>1628</v>
      </c>
      <c r="I907" s="258" t="str">
        <f t="shared" si="43"/>
        <v>1</v>
      </c>
      <c r="J907" s="221">
        <f t="shared" si="44"/>
        <v>-803250</v>
      </c>
      <c r="K907" s="258">
        <f t="shared" si="45"/>
        <v>3</v>
      </c>
      <c r="L907" s="188">
        <v>0</v>
      </c>
      <c r="M907" s="188">
        <v>803250</v>
      </c>
      <c r="N907" s="189">
        <v>800042928</v>
      </c>
      <c r="O907" t="s">
        <v>2427</v>
      </c>
      <c r="P907" s="187">
        <v>45020.560810185198</v>
      </c>
      <c r="Q907" s="186">
        <v>9083</v>
      </c>
      <c r="R907" s="185" t="s">
        <v>6</v>
      </c>
      <c r="S907" s="185" t="s">
        <v>1554</v>
      </c>
      <c r="T907" t="s">
        <v>1894</v>
      </c>
      <c r="U907" t="str">
        <f>IF($L907&gt;0,VLOOKUP($E907,Valida!$A$1:$G$270,6,FALSE),IF($M907&gt;=0,VLOOKUP($E907,Valida!$A$1:$G$270,7,FALSE)))</f>
        <v>Disponible</v>
      </c>
      <c r="V907" s="190" t="str">
        <f>VLOOKUP(E907,Valida!$A$2:$K$271,4,FALSE)</f>
        <v>Cash and equivalents</v>
      </c>
      <c r="W907" s="185" t="s">
        <v>1820</v>
      </c>
      <c r="X907" s="185" t="s">
        <v>1821</v>
      </c>
      <c r="Y907" s="185" t="s">
        <v>1789</v>
      </c>
      <c r="Z907"/>
    </row>
    <row r="908" spans="1:26">
      <c r="A908" s="185" t="s">
        <v>2403</v>
      </c>
      <c r="B908" s="185" t="s">
        <v>2430</v>
      </c>
      <c r="C908" s="185" t="s">
        <v>1890</v>
      </c>
      <c r="D908" s="185" t="s">
        <v>2431</v>
      </c>
      <c r="E908" s="185">
        <v>23359504</v>
      </c>
      <c r="F908" s="185" t="s">
        <v>553</v>
      </c>
      <c r="G908" s="185" t="s">
        <v>2432</v>
      </c>
      <c r="H908" s="185" t="s">
        <v>1515</v>
      </c>
      <c r="I908" s="258" t="str">
        <f t="shared" si="43"/>
        <v>2</v>
      </c>
      <c r="J908" s="221">
        <f t="shared" si="44"/>
        <v>89950</v>
      </c>
      <c r="K908" s="258">
        <f t="shared" si="45"/>
        <v>3</v>
      </c>
      <c r="L908" s="188">
        <v>89950</v>
      </c>
      <c r="M908" s="188">
        <v>0</v>
      </c>
      <c r="N908" s="189">
        <v>900069482</v>
      </c>
      <c r="O908" t="s">
        <v>2430</v>
      </c>
      <c r="P908" s="187">
        <v>45020.5618287037</v>
      </c>
      <c r="Q908" s="186">
        <v>9084</v>
      </c>
      <c r="R908" s="185" t="s">
        <v>1841</v>
      </c>
      <c r="S908" s="185" t="s">
        <v>1588</v>
      </c>
      <c r="T908"/>
      <c r="U908" t="str">
        <f>IF($L908&gt;0,VLOOKUP($E908,Valida!$A$1:$G$270,6,FALSE),IF($M908&gt;=0,VLOOKUP($E908,Valida!$A$1:$G$270,7,FALSE)))</f>
        <v>(+/-) Ajustes por el incremento (disminución) de cuentas por pagar de origen comercial</v>
      </c>
      <c r="V908" s="190" t="str">
        <f>VLOOKUP(E908,Valida!$A$2:$K$271,4,FALSE)</f>
        <v>Trade and other payables</v>
      </c>
      <c r="W908" s="185" t="s">
        <v>2421</v>
      </c>
      <c r="X908" s="185" t="s">
        <v>2422</v>
      </c>
      <c r="Y908" s="185" t="s">
        <v>2423</v>
      </c>
      <c r="Z908"/>
    </row>
    <row r="909" spans="1:26">
      <c r="A909" s="185" t="s">
        <v>2403</v>
      </c>
      <c r="B909" s="185" t="s">
        <v>2430</v>
      </c>
      <c r="C909" s="185" t="s">
        <v>1890</v>
      </c>
      <c r="D909" s="185" t="s">
        <v>2431</v>
      </c>
      <c r="E909" s="185">
        <v>112005</v>
      </c>
      <c r="F909" s="185" t="s">
        <v>24</v>
      </c>
      <c r="G909" s="185" t="s">
        <v>2432</v>
      </c>
      <c r="H909" s="185" t="s">
        <v>1628</v>
      </c>
      <c r="I909" s="258" t="str">
        <f t="shared" si="43"/>
        <v>1</v>
      </c>
      <c r="J909" s="221">
        <f t="shared" si="44"/>
        <v>-89950</v>
      </c>
      <c r="K909" s="258">
        <f t="shared" si="45"/>
        <v>3</v>
      </c>
      <c r="L909" s="188">
        <v>0</v>
      </c>
      <c r="M909" s="188">
        <v>89950</v>
      </c>
      <c r="N909" s="189">
        <v>900069482</v>
      </c>
      <c r="O909" t="s">
        <v>2430</v>
      </c>
      <c r="P909" s="187">
        <v>45020.5618287037</v>
      </c>
      <c r="Q909" s="186">
        <v>9085</v>
      </c>
      <c r="R909" s="185" t="s">
        <v>1841</v>
      </c>
      <c r="S909" s="185" t="s">
        <v>1588</v>
      </c>
      <c r="T909" t="s">
        <v>1894</v>
      </c>
      <c r="U909" t="str">
        <f>IF($L909&gt;0,VLOOKUP($E909,Valida!$A$1:$G$270,6,FALSE),IF($M909&gt;=0,VLOOKUP($E909,Valida!$A$1:$G$270,7,FALSE)))</f>
        <v>Disponible</v>
      </c>
      <c r="V909" s="190" t="str">
        <f>VLOOKUP(E909,Valida!$A$2:$K$271,4,FALSE)</f>
        <v>Cash and equivalents</v>
      </c>
      <c r="W909" s="185" t="s">
        <v>2421</v>
      </c>
      <c r="X909" s="185" t="s">
        <v>2422</v>
      </c>
      <c r="Y909" s="185" t="s">
        <v>2423</v>
      </c>
      <c r="Z909"/>
    </row>
    <row r="910" spans="1:26">
      <c r="A910" s="185" t="s">
        <v>2403</v>
      </c>
      <c r="B910" s="185" t="s">
        <v>2433</v>
      </c>
      <c r="C910" s="185" t="s">
        <v>1991</v>
      </c>
      <c r="D910" s="185" t="s">
        <v>2434</v>
      </c>
      <c r="E910" s="185">
        <v>13551902</v>
      </c>
      <c r="F910" s="185" t="s">
        <v>1614</v>
      </c>
      <c r="G910" s="185" t="s">
        <v>2435</v>
      </c>
      <c r="H910" s="185" t="s">
        <v>1515</v>
      </c>
      <c r="I910" s="258" t="str">
        <f t="shared" si="43"/>
        <v>1</v>
      </c>
      <c r="J910" s="221">
        <f t="shared" si="44"/>
        <v>959271</v>
      </c>
      <c r="K910" s="258">
        <f t="shared" si="45"/>
        <v>3</v>
      </c>
      <c r="L910" s="188">
        <v>959271</v>
      </c>
      <c r="M910" s="188">
        <v>0</v>
      </c>
      <c r="N910" s="189">
        <v>800197268</v>
      </c>
      <c r="O910" t="s">
        <v>2433</v>
      </c>
      <c r="P910" s="187">
        <v>45026.314212963</v>
      </c>
      <c r="Q910" s="186">
        <v>9086</v>
      </c>
      <c r="R910" s="185" t="s">
        <v>983</v>
      </c>
      <c r="S910" s="185" t="s">
        <v>1558</v>
      </c>
      <c r="T910"/>
      <c r="U910" t="str">
        <f>IF($L910&gt;0,VLOOKUP($E910,Valida!$A$1:$G$270,6,FALSE),IF($M910&gt;=0,VLOOKUP($E910,Valida!$A$1:$G$270,7,FALSE)))</f>
        <v>(+/-) Ajustes por disminuciones (incrementos) en otras cuentas por cobrar derivadas de las actividades de operación</v>
      </c>
      <c r="V910" s="190" t="str">
        <f>VLOOKUP(E910,Valida!$A$2:$K$271,4,FALSE)</f>
        <v>Prepayments: Taxes</v>
      </c>
      <c r="W910" s="185" t="s">
        <v>1944</v>
      </c>
      <c r="X910" s="185"/>
      <c r="Y910" s="185" t="s">
        <v>1789</v>
      </c>
      <c r="Z910"/>
    </row>
    <row r="911" spans="1:26">
      <c r="A911" s="185" t="s">
        <v>2403</v>
      </c>
      <c r="B911" s="185" t="s">
        <v>2436</v>
      </c>
      <c r="C911" s="185" t="s">
        <v>1991</v>
      </c>
      <c r="D911" s="185" t="s">
        <v>2437</v>
      </c>
      <c r="E911" s="185">
        <v>23652501</v>
      </c>
      <c r="F911" s="185" t="s">
        <v>596</v>
      </c>
      <c r="G911" s="185" t="s">
        <v>2438</v>
      </c>
      <c r="H911" s="185" t="s">
        <v>1515</v>
      </c>
      <c r="I911" s="258" t="str">
        <f t="shared" si="43"/>
        <v>2</v>
      </c>
      <c r="J911" s="221">
        <f t="shared" si="44"/>
        <v>2792</v>
      </c>
      <c r="K911" s="258">
        <f t="shared" si="45"/>
        <v>3</v>
      </c>
      <c r="L911" s="188">
        <v>2792</v>
      </c>
      <c r="M911" s="188">
        <v>0</v>
      </c>
      <c r="N911" s="189">
        <v>800197268</v>
      </c>
      <c r="O911" t="s">
        <v>2436</v>
      </c>
      <c r="P911" s="187">
        <v>45026.322407407402</v>
      </c>
      <c r="Q911" s="186">
        <v>9089</v>
      </c>
      <c r="R911" s="185" t="s">
        <v>983</v>
      </c>
      <c r="S911" s="185" t="s">
        <v>1558</v>
      </c>
      <c r="T911"/>
      <c r="U911" t="str">
        <f>IF($L911&gt;0,VLOOKUP($E911,Valida!$A$1:$G$270,6,FALSE),IF($M911&gt;=0,VLOOKUP($E911,Valida!$A$1:$G$270,7,FALSE)))</f>
        <v>(+/-) Ajustes por el incremento (disminución) de cuentas por pagar de origen comercial</v>
      </c>
      <c r="V911" s="190" t="str">
        <f>VLOOKUP(E911,Valida!$A$2:$K$271,4,FALSE)</f>
        <v>Trade and other payables</v>
      </c>
      <c r="W911" s="185" t="s">
        <v>1944</v>
      </c>
      <c r="X911" s="185"/>
      <c r="Y911" s="185" t="s">
        <v>1789</v>
      </c>
      <c r="Z911"/>
    </row>
    <row r="912" spans="1:26">
      <c r="A912" s="185" t="s">
        <v>2403</v>
      </c>
      <c r="B912" s="185" t="s">
        <v>2436</v>
      </c>
      <c r="C912" s="185" t="s">
        <v>1991</v>
      </c>
      <c r="D912" s="185" t="s">
        <v>2437</v>
      </c>
      <c r="E912" s="185">
        <v>23653001</v>
      </c>
      <c r="F912" s="185" t="s">
        <v>611</v>
      </c>
      <c r="G912" s="185" t="s">
        <v>2438</v>
      </c>
      <c r="H912" s="185" t="s">
        <v>1515</v>
      </c>
      <c r="I912" s="258" t="str">
        <f t="shared" si="43"/>
        <v>2</v>
      </c>
      <c r="J912" s="221">
        <f t="shared" si="44"/>
        <v>446250</v>
      </c>
      <c r="K912" s="258">
        <f t="shared" si="45"/>
        <v>3</v>
      </c>
      <c r="L912" s="188">
        <v>446250</v>
      </c>
      <c r="M912" s="188">
        <v>0</v>
      </c>
      <c r="N912" s="189">
        <v>800197268</v>
      </c>
      <c r="O912" t="s">
        <v>2436</v>
      </c>
      <c r="P912" s="187">
        <v>45026.322407407402</v>
      </c>
      <c r="Q912" s="186">
        <v>9090</v>
      </c>
      <c r="R912" s="185" t="s">
        <v>983</v>
      </c>
      <c r="S912" s="185" t="s">
        <v>1558</v>
      </c>
      <c r="T912"/>
      <c r="U912" t="str">
        <f>IF($L912&gt;0,VLOOKUP($E912,Valida!$A$1:$G$270,6,FALSE),IF($M912&gt;=0,VLOOKUP($E912,Valida!$A$1:$G$270,7,FALSE)))</f>
        <v>(+/-) Ajustes por el incremento (disminución) de cuentas por pagar de origen comercial</v>
      </c>
      <c r="V912" s="190" t="str">
        <f>VLOOKUP(E912,Valida!$A$2:$K$271,4,FALSE)</f>
        <v>Trade and other payables</v>
      </c>
      <c r="W912" s="185" t="s">
        <v>1944</v>
      </c>
      <c r="X912" s="185"/>
      <c r="Y912" s="185" t="s">
        <v>1789</v>
      </c>
      <c r="Z912"/>
    </row>
    <row r="913" spans="1:26">
      <c r="A913" s="185" t="s">
        <v>2403</v>
      </c>
      <c r="B913" s="185" t="s">
        <v>2433</v>
      </c>
      <c r="C913" s="185" t="s">
        <v>1991</v>
      </c>
      <c r="D913" s="185" t="s">
        <v>2434</v>
      </c>
      <c r="E913" s="185">
        <v>23657502</v>
      </c>
      <c r="F913" s="185" t="s">
        <v>1646</v>
      </c>
      <c r="G913" s="185" t="s">
        <v>2435</v>
      </c>
      <c r="H913" s="185" t="s">
        <v>1628</v>
      </c>
      <c r="I913" s="258" t="str">
        <f t="shared" si="43"/>
        <v>2</v>
      </c>
      <c r="J913" s="221">
        <f t="shared" si="44"/>
        <v>-959271</v>
      </c>
      <c r="K913" s="258">
        <f t="shared" si="45"/>
        <v>3</v>
      </c>
      <c r="L913" s="188">
        <v>0</v>
      </c>
      <c r="M913" s="188">
        <v>959271</v>
      </c>
      <c r="N913" s="189">
        <v>800197268</v>
      </c>
      <c r="O913" t="s">
        <v>2433</v>
      </c>
      <c r="P913" s="187">
        <v>45026</v>
      </c>
      <c r="Q913" s="186">
        <v>9088</v>
      </c>
      <c r="R913" s="185" t="s">
        <v>983</v>
      </c>
      <c r="S913" s="185" t="s">
        <v>1558</v>
      </c>
      <c r="T913"/>
      <c r="U913" t="str">
        <f>IF($L913&gt;0,VLOOKUP($E913,Valida!$A$1:$G$270,6,FALSE),IF($M913&gt;=0,VLOOKUP($E913,Valida!$A$1:$G$270,7,FALSE)))</f>
        <v>(+/-) Ajustes por el incremento (disminución) de cuentas por pagar de origen comercial</v>
      </c>
      <c r="V913" s="190" t="str">
        <f>VLOOKUP(E913,Valida!$A$2:$K$271,4,FALSE)</f>
        <v>Trade and other payables</v>
      </c>
      <c r="W913" s="185" t="s">
        <v>1944</v>
      </c>
      <c r="X913" s="185"/>
      <c r="Y913" s="185" t="s">
        <v>1789</v>
      </c>
      <c r="Z913"/>
    </row>
    <row r="914" spans="1:26">
      <c r="A914" s="185" t="s">
        <v>2403</v>
      </c>
      <c r="B914" s="185" t="s">
        <v>2436</v>
      </c>
      <c r="C914" s="185" t="s">
        <v>1991</v>
      </c>
      <c r="D914" s="185" t="s">
        <v>2437</v>
      </c>
      <c r="E914" s="185">
        <v>23653002</v>
      </c>
      <c r="F914" s="185" t="s">
        <v>241</v>
      </c>
      <c r="G914" s="185" t="s">
        <v>2438</v>
      </c>
      <c r="H914" s="185" t="s">
        <v>1515</v>
      </c>
      <c r="I914" s="258" t="str">
        <f t="shared" si="43"/>
        <v>2</v>
      </c>
      <c r="J914" s="221">
        <f t="shared" si="44"/>
        <v>4280</v>
      </c>
      <c r="K914" s="258">
        <f t="shared" si="45"/>
        <v>3</v>
      </c>
      <c r="L914" s="188">
        <v>4280</v>
      </c>
      <c r="M914" s="188">
        <v>0</v>
      </c>
      <c r="N914" s="189">
        <v>800197268</v>
      </c>
      <c r="O914" t="s">
        <v>2436</v>
      </c>
      <c r="P914" s="187">
        <v>45026.322407407402</v>
      </c>
      <c r="Q914" s="186">
        <v>9091</v>
      </c>
      <c r="R914" s="185" t="s">
        <v>983</v>
      </c>
      <c r="S914" s="185" t="s">
        <v>1558</v>
      </c>
      <c r="T914"/>
      <c r="U914" t="str">
        <f>IF($L914&gt;0,VLOOKUP($E914,Valida!$A$1:$G$270,6,FALSE),IF($M914&gt;=0,VLOOKUP($E914,Valida!$A$1:$G$270,7,FALSE)))</f>
        <v>(+/-) Ajustes por el incremento (disminución) de cuentas por pagar de origen comercial</v>
      </c>
      <c r="V914" s="190" t="str">
        <f>VLOOKUP(E914,Valida!$A$2:$K$271,4,FALSE)</f>
        <v>Trade and other payables</v>
      </c>
      <c r="W914" s="185" t="s">
        <v>1944</v>
      </c>
      <c r="X914" s="185"/>
      <c r="Y914" s="185" t="s">
        <v>1789</v>
      </c>
      <c r="Z914"/>
    </row>
    <row r="915" spans="1:26">
      <c r="A915" s="185" t="s">
        <v>2403</v>
      </c>
      <c r="B915" s="185" t="s">
        <v>2436</v>
      </c>
      <c r="C915" s="185" t="s">
        <v>1991</v>
      </c>
      <c r="D915" s="185" t="s">
        <v>2437</v>
      </c>
      <c r="E915" s="185">
        <v>23654001</v>
      </c>
      <c r="F915" s="185" t="s">
        <v>622</v>
      </c>
      <c r="G915" s="185" t="s">
        <v>2438</v>
      </c>
      <c r="H915" s="185" t="s">
        <v>1515</v>
      </c>
      <c r="I915" s="258" t="str">
        <f t="shared" si="43"/>
        <v>2</v>
      </c>
      <c r="J915" s="221">
        <f t="shared" si="44"/>
        <v>76783</v>
      </c>
      <c r="K915" s="258">
        <f t="shared" si="45"/>
        <v>3</v>
      </c>
      <c r="L915" s="188">
        <v>76783</v>
      </c>
      <c r="M915" s="188">
        <v>0</v>
      </c>
      <c r="N915" s="189">
        <v>800197268</v>
      </c>
      <c r="O915" t="s">
        <v>2436</v>
      </c>
      <c r="P915" s="187">
        <v>45026.322407407402</v>
      </c>
      <c r="Q915" s="186">
        <v>9092</v>
      </c>
      <c r="R915" s="185" t="s">
        <v>983</v>
      </c>
      <c r="S915" s="185" t="s">
        <v>1558</v>
      </c>
      <c r="T915"/>
      <c r="U915" t="str">
        <f>IF($L915&gt;0,VLOOKUP($E915,Valida!$A$1:$G$270,6,FALSE),IF($M915&gt;=0,VLOOKUP($E915,Valida!$A$1:$G$270,7,FALSE)))</f>
        <v>(+/-) Ajustes por el incremento (disminución) de cuentas por pagar de origen comercial</v>
      </c>
      <c r="V915" s="190" t="str">
        <f>VLOOKUP(E915,Valida!$A$2:$K$271,4,FALSE)</f>
        <v>Trade and other payables</v>
      </c>
      <c r="W915" s="185" t="s">
        <v>1944</v>
      </c>
      <c r="X915" s="185"/>
      <c r="Y915" s="185" t="s">
        <v>1789</v>
      </c>
      <c r="Z915"/>
    </row>
    <row r="916" spans="1:26">
      <c r="A916" s="185" t="s">
        <v>2403</v>
      </c>
      <c r="B916" s="185" t="s">
        <v>2436</v>
      </c>
      <c r="C916" s="185" t="s">
        <v>1991</v>
      </c>
      <c r="D916" s="185" t="s">
        <v>2437</v>
      </c>
      <c r="E916" s="185">
        <v>23657502</v>
      </c>
      <c r="F916" s="185" t="s">
        <v>1646</v>
      </c>
      <c r="G916" s="185" t="s">
        <v>2438</v>
      </c>
      <c r="H916" s="185" t="s">
        <v>1515</v>
      </c>
      <c r="I916" s="258" t="str">
        <f t="shared" si="43"/>
        <v>2</v>
      </c>
      <c r="J916" s="221">
        <f t="shared" si="44"/>
        <v>959271</v>
      </c>
      <c r="K916" s="258">
        <f t="shared" si="45"/>
        <v>3</v>
      </c>
      <c r="L916" s="188">
        <v>959271</v>
      </c>
      <c r="M916" s="188">
        <v>0</v>
      </c>
      <c r="N916" s="189">
        <v>800197268</v>
      </c>
      <c r="O916" t="s">
        <v>2436</v>
      </c>
      <c r="P916" s="187">
        <v>45026.322407407402</v>
      </c>
      <c r="Q916" s="186">
        <v>9093</v>
      </c>
      <c r="R916" s="185" t="s">
        <v>983</v>
      </c>
      <c r="S916" s="185" t="s">
        <v>1558</v>
      </c>
      <c r="T916"/>
      <c r="U916" t="str">
        <f>IF($L916&gt;0,VLOOKUP($E916,Valida!$A$1:$G$270,6,FALSE),IF($M916&gt;=0,VLOOKUP($E916,Valida!$A$1:$G$270,7,FALSE)))</f>
        <v>(+/-) Ajustes por el incremento (disminución) de cuentas por pagar de origen comercial</v>
      </c>
      <c r="V916" s="190" t="str">
        <f>VLOOKUP(E916,Valida!$A$2:$K$271,4,FALSE)</f>
        <v>Trade and other payables</v>
      </c>
      <c r="W916" s="185" t="s">
        <v>1944</v>
      </c>
      <c r="X916" s="185"/>
      <c r="Y916" s="185" t="s">
        <v>1789</v>
      </c>
      <c r="Z916"/>
    </row>
    <row r="917" spans="1:26">
      <c r="A917" s="185" t="s">
        <v>2403</v>
      </c>
      <c r="B917" s="185" t="s">
        <v>2436</v>
      </c>
      <c r="C917" s="185" t="s">
        <v>1991</v>
      </c>
      <c r="D917" s="185" t="s">
        <v>2437</v>
      </c>
      <c r="E917" s="185">
        <v>236595</v>
      </c>
      <c r="F917" s="185" t="s">
        <v>648</v>
      </c>
      <c r="G917" s="185" t="s">
        <v>2438</v>
      </c>
      <c r="H917" s="185" t="s">
        <v>1628</v>
      </c>
      <c r="I917" s="258" t="str">
        <f t="shared" si="43"/>
        <v>2</v>
      </c>
      <c r="J917" s="221">
        <f t="shared" si="44"/>
        <v>-1490000</v>
      </c>
      <c r="K917" s="258">
        <f t="shared" si="45"/>
        <v>3</v>
      </c>
      <c r="L917" s="188">
        <v>0</v>
      </c>
      <c r="M917" s="188">
        <v>1490000</v>
      </c>
      <c r="N917" s="189">
        <v>800197268</v>
      </c>
      <c r="O917" t="s">
        <v>2436</v>
      </c>
      <c r="P917" s="187">
        <v>45026.322418981501</v>
      </c>
      <c r="Q917" s="186">
        <v>9094</v>
      </c>
      <c r="R917" s="185" t="s">
        <v>983</v>
      </c>
      <c r="S917" s="185" t="s">
        <v>1558</v>
      </c>
      <c r="T917"/>
      <c r="U917" t="str">
        <f>IF($L917&gt;0,VLOOKUP($E917,Valida!$A$1:$G$270,6,FALSE),IF($M917&gt;=0,VLOOKUP($E917,Valida!$A$1:$G$270,7,FALSE)))</f>
        <v>(+/-) Ajustes por el incremento (disminución) de cuentas por pagar de origen comercial</v>
      </c>
      <c r="V917" s="190" t="str">
        <f>VLOOKUP(E917,Valida!$A$2:$K$271,4,FALSE)</f>
        <v>Trade and other payables</v>
      </c>
      <c r="W917" s="185" t="s">
        <v>1944</v>
      </c>
      <c r="X917" s="185"/>
      <c r="Y917" s="185" t="s">
        <v>1789</v>
      </c>
      <c r="Z917"/>
    </row>
    <row r="918" spans="1:26">
      <c r="A918" s="185" t="s">
        <v>2403</v>
      </c>
      <c r="B918" s="185" t="s">
        <v>2436</v>
      </c>
      <c r="C918" s="185" t="s">
        <v>1991</v>
      </c>
      <c r="D918" s="185" t="s">
        <v>2437</v>
      </c>
      <c r="E918" s="185">
        <v>53059510</v>
      </c>
      <c r="F918" s="185" t="s">
        <v>1065</v>
      </c>
      <c r="G918" s="185" t="s">
        <v>2438</v>
      </c>
      <c r="H918" s="185" t="s">
        <v>1515</v>
      </c>
      <c r="I918" s="258" t="str">
        <f t="shared" si="43"/>
        <v>5</v>
      </c>
      <c r="J918" s="221">
        <f t="shared" si="44"/>
        <v>624</v>
      </c>
      <c r="K918" s="258">
        <f t="shared" si="45"/>
        <v>3</v>
      </c>
      <c r="L918" s="188">
        <v>624</v>
      </c>
      <c r="M918" s="188">
        <v>0</v>
      </c>
      <c r="N918" s="189">
        <v>800197268</v>
      </c>
      <c r="O918" t="s">
        <v>2436</v>
      </c>
      <c r="P918" s="187">
        <v>45026.322418981501</v>
      </c>
      <c r="Q918" s="186">
        <v>9095</v>
      </c>
      <c r="R918" s="185" t="s">
        <v>983</v>
      </c>
      <c r="S918" s="185" t="s">
        <v>1558</v>
      </c>
      <c r="T918"/>
      <c r="U918" t="str">
        <f>IF($L918&gt;0,VLOOKUP($E918,Valida!$A$1:$G$270,6,FALSE),IF($M918&gt;=0,VLOOKUP($E918,Valida!$A$1:$G$270,7,FALSE)))</f>
        <v>(+/-) Ganancia (pérdida)</v>
      </c>
      <c r="V918" s="190" t="str">
        <f>VLOOKUP(E918,Valida!$A$2:$K$271,4,FALSE)</f>
        <v>P&amp;L</v>
      </c>
      <c r="W918" s="185" t="s">
        <v>1944</v>
      </c>
      <c r="X918" s="185"/>
      <c r="Y918" s="185" t="s">
        <v>1789</v>
      </c>
      <c r="Z918"/>
    </row>
    <row r="919" spans="1:26">
      <c r="A919" s="185" t="s">
        <v>2403</v>
      </c>
      <c r="B919" s="185" t="s">
        <v>2439</v>
      </c>
      <c r="C919" s="185" t="s">
        <v>1991</v>
      </c>
      <c r="D919" s="185" t="s">
        <v>2440</v>
      </c>
      <c r="E919" s="185">
        <v>511505</v>
      </c>
      <c r="F919" s="185" t="s">
        <v>1159</v>
      </c>
      <c r="G919" s="185" t="s">
        <v>2441</v>
      </c>
      <c r="H919" s="185" t="s">
        <v>1628</v>
      </c>
      <c r="I919" s="258" t="str">
        <f t="shared" si="43"/>
        <v>5</v>
      </c>
      <c r="J919" s="221">
        <f t="shared" si="44"/>
        <v>0</v>
      </c>
      <c r="K919" s="258">
        <f t="shared" si="45"/>
        <v>3</v>
      </c>
      <c r="L919" s="188">
        <v>0</v>
      </c>
      <c r="M919" s="188">
        <v>0</v>
      </c>
      <c r="N919" s="189">
        <v>899999061</v>
      </c>
      <c r="O919" t="s">
        <v>2439</v>
      </c>
      <c r="P919" s="187">
        <v>45026.325972222199</v>
      </c>
      <c r="Q919" s="186">
        <v>9096</v>
      </c>
      <c r="R919" s="185"/>
      <c r="S919" s="185" t="s">
        <v>1584</v>
      </c>
      <c r="T919"/>
      <c r="U919" t="str">
        <f>IF($L919&gt;0,VLOOKUP($E919,Valida!$A$1:$G$270,6,FALSE),IF($M919&gt;=0,VLOOKUP($E919,Valida!$A$1:$G$270,7,FALSE)))</f>
        <v>(+/-) Ganancia (pérdida)</v>
      </c>
      <c r="V919" s="190" t="str">
        <f>VLOOKUP(E919,Valida!$A$2:$K$271,4,FALSE)</f>
        <v>P&amp;L</v>
      </c>
      <c r="W919" s="185" t="s">
        <v>1893</v>
      </c>
      <c r="X919" s="185"/>
      <c r="Y919" s="185" t="s">
        <v>1789</v>
      </c>
      <c r="Z919"/>
    </row>
    <row r="920" spans="1:26">
      <c r="A920" s="185" t="s">
        <v>2403</v>
      </c>
      <c r="B920" s="185" t="s">
        <v>2439</v>
      </c>
      <c r="C920" s="185" t="s">
        <v>1991</v>
      </c>
      <c r="D920" s="185" t="s">
        <v>2440</v>
      </c>
      <c r="E920" s="185">
        <v>241205</v>
      </c>
      <c r="F920" s="185" t="s">
        <v>732</v>
      </c>
      <c r="G920" s="185" t="s">
        <v>2441</v>
      </c>
      <c r="H920" s="185" t="s">
        <v>1628</v>
      </c>
      <c r="I920" s="258" t="str">
        <f t="shared" si="43"/>
        <v>2</v>
      </c>
      <c r="J920" s="221">
        <f t="shared" si="44"/>
        <v>0</v>
      </c>
      <c r="K920" s="258">
        <f t="shared" si="45"/>
        <v>3</v>
      </c>
      <c r="L920" s="188">
        <v>0</v>
      </c>
      <c r="M920" s="188">
        <v>0</v>
      </c>
      <c r="N920" s="189">
        <v>899999061</v>
      </c>
      <c r="O920" t="s">
        <v>2439</v>
      </c>
      <c r="P920" s="187">
        <v>45026.325972222199</v>
      </c>
      <c r="Q920" s="186">
        <v>9097</v>
      </c>
      <c r="R920" s="185"/>
      <c r="S920" s="185" t="s">
        <v>1584</v>
      </c>
      <c r="T920"/>
      <c r="U920" t="str">
        <f>IF($L920&gt;0,VLOOKUP($E920,Valida!$A$1:$G$270,6,FALSE),IF($M920&gt;=0,VLOOKUP($E920,Valida!$A$1:$G$270,7,FALSE)))</f>
        <v>(+/-) Ajustes por el incremento (disminución) de cuentas por pagar de origen comercial</v>
      </c>
      <c r="V920" s="190" t="str">
        <f>VLOOKUP(E920,Valida!$A$2:$K$271,4,FALSE)</f>
        <v>Trade and other payables</v>
      </c>
      <c r="W920" s="185" t="s">
        <v>1893</v>
      </c>
      <c r="X920" s="185"/>
      <c r="Y920" s="185" t="s">
        <v>1789</v>
      </c>
      <c r="Z920"/>
    </row>
    <row r="921" spans="1:26">
      <c r="A921" s="185" t="s">
        <v>2403</v>
      </c>
      <c r="B921" s="185" t="s">
        <v>2442</v>
      </c>
      <c r="C921" s="185" t="s">
        <v>2045</v>
      </c>
      <c r="D921" s="185" t="s">
        <v>1067</v>
      </c>
      <c r="E921" s="185">
        <v>23355002</v>
      </c>
      <c r="F921" s="185" t="s">
        <v>506</v>
      </c>
      <c r="G921" s="185" t="s">
        <v>2443</v>
      </c>
      <c r="H921" s="185" t="s">
        <v>1628</v>
      </c>
      <c r="I921" s="258" t="str">
        <f t="shared" si="43"/>
        <v>2</v>
      </c>
      <c r="J921" s="221">
        <f t="shared" si="44"/>
        <v>-111563.47</v>
      </c>
      <c r="K921" s="258">
        <f t="shared" si="45"/>
        <v>3</v>
      </c>
      <c r="L921" s="188">
        <v>0</v>
      </c>
      <c r="M921" s="188">
        <v>111563.47</v>
      </c>
      <c r="N921" s="189">
        <v>440493581</v>
      </c>
      <c r="O921" t="s">
        <v>2444</v>
      </c>
      <c r="P921" s="187">
        <v>45037.414247685199</v>
      </c>
      <c r="Q921" s="186">
        <v>9098</v>
      </c>
      <c r="R921" s="185"/>
      <c r="S921" s="185" t="s">
        <v>1546</v>
      </c>
      <c r="T921"/>
      <c r="U921" t="str">
        <f>IF($L921&gt;0,VLOOKUP($E921,Valida!$A$1:$G$270,6,FALSE),IF($M921&gt;=0,VLOOKUP($E921,Valida!$A$1:$G$270,7,FALSE)))</f>
        <v>(+/-) Ajustes por el incremento (disminución) de cuentas por pagar de origen comercial</v>
      </c>
      <c r="V921" s="190" t="str">
        <f>VLOOKUP(E921,Valida!$A$2:$K$271,4,FALSE)</f>
        <v>Trade and other payables</v>
      </c>
      <c r="W921" s="185" t="s">
        <v>1808</v>
      </c>
      <c r="X921" s="185"/>
      <c r="Y921" s="185"/>
      <c r="Z921"/>
    </row>
    <row r="922" spans="1:26">
      <c r="A922" s="185" t="s">
        <v>2403</v>
      </c>
      <c r="B922" s="185" t="s">
        <v>2442</v>
      </c>
      <c r="C922" s="185" t="s">
        <v>2045</v>
      </c>
      <c r="D922" s="185" t="s">
        <v>1067</v>
      </c>
      <c r="E922" s="185">
        <v>51352001</v>
      </c>
      <c r="F922" s="185" t="s">
        <v>1267</v>
      </c>
      <c r="G922" s="185" t="s">
        <v>2445</v>
      </c>
      <c r="H922" s="185" t="s">
        <v>1515</v>
      </c>
      <c r="I922" s="258" t="str">
        <f t="shared" si="43"/>
        <v>5</v>
      </c>
      <c r="J922" s="221">
        <f t="shared" si="44"/>
        <v>111563.47</v>
      </c>
      <c r="K922" s="258">
        <f t="shared" si="45"/>
        <v>3</v>
      </c>
      <c r="L922" s="188">
        <v>111563.47</v>
      </c>
      <c r="M922" s="188">
        <v>0</v>
      </c>
      <c r="N922" s="189">
        <v>440493581</v>
      </c>
      <c r="O922" t="s">
        <v>2444</v>
      </c>
      <c r="P922" s="187">
        <v>45037.414247685199</v>
      </c>
      <c r="Q922" s="186">
        <v>9099</v>
      </c>
      <c r="R922" s="185"/>
      <c r="S922" s="185" t="s">
        <v>1546</v>
      </c>
      <c r="T922"/>
      <c r="U922" t="str">
        <f>IF($L922&gt;0,VLOOKUP($E922,Valida!$A$1:$G$270,6,FALSE),IF($M922&gt;=0,VLOOKUP($E922,Valida!$A$1:$G$270,7,FALSE)))</f>
        <v>(+/-) Ganancia (pérdida)</v>
      </c>
      <c r="V922" s="190" t="str">
        <f>VLOOKUP(E922,Valida!$A$2:$K$271,4,FALSE)</f>
        <v>P&amp;L</v>
      </c>
      <c r="W922" s="185" t="s">
        <v>1808</v>
      </c>
      <c r="X922" s="185"/>
      <c r="Y922" s="185"/>
      <c r="Z922"/>
    </row>
    <row r="923" spans="1:26">
      <c r="A923" s="185" t="s">
        <v>2446</v>
      </c>
      <c r="B923" s="185" t="s">
        <v>2447</v>
      </c>
      <c r="C923" s="185" t="s">
        <v>2045</v>
      </c>
      <c r="D923" s="185" t="s">
        <v>1901</v>
      </c>
      <c r="E923" s="185">
        <v>23354001</v>
      </c>
      <c r="F923" s="185" t="s">
        <v>484</v>
      </c>
      <c r="G923" s="185" t="s">
        <v>2448</v>
      </c>
      <c r="H923" s="185" t="s">
        <v>1628</v>
      </c>
      <c r="I923" s="258" t="str">
        <f t="shared" si="43"/>
        <v>2</v>
      </c>
      <c r="J923" s="221">
        <f t="shared" si="44"/>
        <v>-3955088</v>
      </c>
      <c r="K923" s="258">
        <f t="shared" si="45"/>
        <v>4</v>
      </c>
      <c r="L923" s="188">
        <v>0</v>
      </c>
      <c r="M923" s="188">
        <v>3955088</v>
      </c>
      <c r="N923" s="189">
        <v>860044821</v>
      </c>
      <c r="O923" t="s">
        <v>2449</v>
      </c>
      <c r="P923" s="187">
        <v>45037.418587963002</v>
      </c>
      <c r="Q923" s="186">
        <v>9100</v>
      </c>
      <c r="R923" s="185" t="s">
        <v>6</v>
      </c>
      <c r="S923" s="185" t="s">
        <v>1570</v>
      </c>
      <c r="T923"/>
      <c r="U923" t="str">
        <f>IF($L923&gt;0,VLOOKUP($E923,Valida!$A$1:$G$270,6,FALSE),IF($M923&gt;=0,VLOOKUP($E923,Valida!$A$1:$G$270,7,FALSE)))</f>
        <v>(+/-) Ajustes por el incremento (disminución) de cuentas por pagar de origen comercial</v>
      </c>
      <c r="V923" s="190" t="str">
        <f>VLOOKUP(E923,Valida!$A$2:$K$271,4,FALSE)</f>
        <v>Trade and other payables</v>
      </c>
      <c r="W923" s="185" t="s">
        <v>2048</v>
      </c>
      <c r="X923" s="185"/>
      <c r="Y923" s="185" t="s">
        <v>1789</v>
      </c>
      <c r="Z923"/>
    </row>
    <row r="924" spans="1:26">
      <c r="A924" s="185" t="s">
        <v>2446</v>
      </c>
      <c r="B924" s="185" t="s">
        <v>2447</v>
      </c>
      <c r="C924" s="185" t="s">
        <v>2045</v>
      </c>
      <c r="D924" s="185" t="s">
        <v>1901</v>
      </c>
      <c r="E924" s="185">
        <v>51359501</v>
      </c>
      <c r="F924" s="185" t="s">
        <v>1290</v>
      </c>
      <c r="G924" s="185" t="s">
        <v>2450</v>
      </c>
      <c r="H924" s="185" t="s">
        <v>1515</v>
      </c>
      <c r="I924" s="258" t="str">
        <f t="shared" si="43"/>
        <v>5</v>
      </c>
      <c r="J924" s="221">
        <f t="shared" si="44"/>
        <v>3955088</v>
      </c>
      <c r="K924" s="258">
        <f t="shared" si="45"/>
        <v>4</v>
      </c>
      <c r="L924" s="188">
        <v>3955088</v>
      </c>
      <c r="M924" s="188">
        <v>0</v>
      </c>
      <c r="N924" s="189">
        <v>860044821</v>
      </c>
      <c r="O924" t="s">
        <v>2449</v>
      </c>
      <c r="P924" s="187">
        <v>45037.418587963002</v>
      </c>
      <c r="Q924" s="186">
        <v>9101</v>
      </c>
      <c r="R924" s="185" t="s">
        <v>6</v>
      </c>
      <c r="S924" s="185" t="s">
        <v>1570</v>
      </c>
      <c r="T924"/>
      <c r="U924" t="str">
        <f>IF($L924&gt;0,VLOOKUP($E924,Valida!$A$1:$G$270,6,FALSE),IF($M924&gt;=0,VLOOKUP($E924,Valida!$A$1:$G$270,7,FALSE)))</f>
        <v>(+/-) Ganancia (pérdida)</v>
      </c>
      <c r="V924" s="190" t="str">
        <f>VLOOKUP(E924,Valida!$A$2:$K$271,4,FALSE)</f>
        <v>P&amp;L</v>
      </c>
      <c r="W924" s="185" t="s">
        <v>2048</v>
      </c>
      <c r="X924" s="185"/>
      <c r="Y924" s="185" t="s">
        <v>1789</v>
      </c>
      <c r="Z924"/>
    </row>
    <row r="925" spans="1:26">
      <c r="A925" s="185" t="s">
        <v>2451</v>
      </c>
      <c r="B925" s="185" t="s">
        <v>2452</v>
      </c>
      <c r="C925" s="185" t="s">
        <v>2045</v>
      </c>
      <c r="D925" s="185" t="s">
        <v>1814</v>
      </c>
      <c r="E925" s="185">
        <v>23355007</v>
      </c>
      <c r="F925" s="185" t="s">
        <v>1638</v>
      </c>
      <c r="G925" s="185" t="s">
        <v>2453</v>
      </c>
      <c r="H925" s="185" t="s">
        <v>1628</v>
      </c>
      <c r="I925" s="258" t="str">
        <f t="shared" si="43"/>
        <v>2</v>
      </c>
      <c r="J925" s="221">
        <f t="shared" si="44"/>
        <v>-54426.95</v>
      </c>
      <c r="K925" s="258">
        <f t="shared" si="45"/>
        <v>4</v>
      </c>
      <c r="L925" s="188">
        <v>0</v>
      </c>
      <c r="M925" s="188">
        <v>54426.95</v>
      </c>
      <c r="N925" s="189">
        <v>444444001</v>
      </c>
      <c r="O925" t="s">
        <v>2454</v>
      </c>
      <c r="P925" s="187">
        <v>45037.425625000003</v>
      </c>
      <c r="Q925" s="186">
        <v>9102</v>
      </c>
      <c r="R925" s="185"/>
      <c r="S925" s="185" t="s">
        <v>1548</v>
      </c>
      <c r="T925"/>
      <c r="U925" t="str">
        <f>IF($L925&gt;0,VLOOKUP($E925,Valida!$A$1:$G$270,6,FALSE),IF($M925&gt;=0,VLOOKUP($E925,Valida!$A$1:$G$270,7,FALSE)))</f>
        <v>(+/-) Ajustes por el incremento (disminución) de cuentas por pagar de origen comercial</v>
      </c>
      <c r="V925" s="190" t="str">
        <f>VLOOKUP(E925,Valida!$A$2:$K$271,4,FALSE)</f>
        <v>Trade and other payables</v>
      </c>
      <c r="W925" s="185"/>
      <c r="X925" s="185"/>
      <c r="Y925" s="185"/>
      <c r="Z925"/>
    </row>
    <row r="926" spans="1:26">
      <c r="A926" s="185" t="s">
        <v>2451</v>
      </c>
      <c r="B926" s="185" t="s">
        <v>2452</v>
      </c>
      <c r="C926" s="185" t="s">
        <v>2045</v>
      </c>
      <c r="D926" s="185" t="s">
        <v>1814</v>
      </c>
      <c r="E926" s="185">
        <v>51350504</v>
      </c>
      <c r="F926" s="185" t="s">
        <v>1638</v>
      </c>
      <c r="G926" s="185" t="s">
        <v>2455</v>
      </c>
      <c r="H926" s="185" t="s">
        <v>1515</v>
      </c>
      <c r="I926" s="258" t="str">
        <f t="shared" si="43"/>
        <v>5</v>
      </c>
      <c r="J926" s="221">
        <f t="shared" si="44"/>
        <v>54426.95</v>
      </c>
      <c r="K926" s="258">
        <f t="shared" si="45"/>
        <v>4</v>
      </c>
      <c r="L926" s="188">
        <v>54426.95</v>
      </c>
      <c r="M926" s="188">
        <v>0</v>
      </c>
      <c r="N926" s="189">
        <v>444444001</v>
      </c>
      <c r="O926" t="s">
        <v>2454</v>
      </c>
      <c r="P926" s="187">
        <v>45037.425625000003</v>
      </c>
      <c r="Q926" s="186">
        <v>9103</v>
      </c>
      <c r="R926" s="185"/>
      <c r="S926" s="185" t="s">
        <v>1548</v>
      </c>
      <c r="T926"/>
      <c r="U926" t="str">
        <f>IF($L926&gt;0,VLOOKUP($E926,Valida!$A$1:$G$270,6,FALSE),IF($M926&gt;=0,VLOOKUP($E926,Valida!$A$1:$G$270,7,FALSE)))</f>
        <v>(+/-) Ganancia (pérdida)</v>
      </c>
      <c r="V926" s="190" t="str">
        <f>VLOOKUP(E926,Valida!$A$2:$K$271,4,FALSE)</f>
        <v>P&amp;L</v>
      </c>
      <c r="W926" s="185"/>
      <c r="X926" s="185"/>
      <c r="Y926" s="185"/>
      <c r="Z926"/>
    </row>
    <row r="927" spans="1:26">
      <c r="A927" s="185" t="s">
        <v>2451</v>
      </c>
      <c r="B927" s="185" t="s">
        <v>2456</v>
      </c>
      <c r="C927" s="185" t="s">
        <v>2045</v>
      </c>
      <c r="D927" s="185" t="s">
        <v>1827</v>
      </c>
      <c r="E927" s="185">
        <v>23355007</v>
      </c>
      <c r="F927" s="185" t="s">
        <v>1638</v>
      </c>
      <c r="G927" s="185" t="s">
        <v>2457</v>
      </c>
      <c r="H927" s="185" t="s">
        <v>1628</v>
      </c>
      <c r="I927" s="258" t="str">
        <f t="shared" si="43"/>
        <v>2</v>
      </c>
      <c r="J927" s="221">
        <f t="shared" si="44"/>
        <v>-54426.95</v>
      </c>
      <c r="K927" s="258">
        <f t="shared" si="45"/>
        <v>4</v>
      </c>
      <c r="L927" s="188">
        <v>0</v>
      </c>
      <c r="M927" s="188">
        <v>54426.95</v>
      </c>
      <c r="N927" s="189">
        <v>444444001</v>
      </c>
      <c r="O927" t="s">
        <v>2454</v>
      </c>
      <c r="P927" s="187">
        <v>45037.427719907399</v>
      </c>
      <c r="Q927" s="186">
        <v>9104</v>
      </c>
      <c r="R927" s="185"/>
      <c r="S927" s="185" t="s">
        <v>1548</v>
      </c>
      <c r="T927"/>
      <c r="U927" t="str">
        <f>IF($L927&gt;0,VLOOKUP($E927,Valida!$A$1:$G$270,6,FALSE),IF($M927&gt;=0,VLOOKUP($E927,Valida!$A$1:$G$270,7,FALSE)))</f>
        <v>(+/-) Ajustes por el incremento (disminución) de cuentas por pagar de origen comercial</v>
      </c>
      <c r="V927" s="190" t="str">
        <f>VLOOKUP(E927,Valida!$A$2:$K$271,4,FALSE)</f>
        <v>Trade and other payables</v>
      </c>
      <c r="W927" s="185"/>
      <c r="X927" s="185"/>
      <c r="Y927" s="185"/>
      <c r="Z927"/>
    </row>
    <row r="928" spans="1:26">
      <c r="A928" s="185" t="s">
        <v>2451</v>
      </c>
      <c r="B928" s="185" t="s">
        <v>2456</v>
      </c>
      <c r="C928" s="185" t="s">
        <v>2045</v>
      </c>
      <c r="D928" s="185" t="s">
        <v>1827</v>
      </c>
      <c r="E928" s="185">
        <v>51350504</v>
      </c>
      <c r="F928" s="185" t="s">
        <v>1638</v>
      </c>
      <c r="G928" s="185" t="s">
        <v>2458</v>
      </c>
      <c r="H928" s="185" t="s">
        <v>1515</v>
      </c>
      <c r="I928" s="258" t="str">
        <f t="shared" si="43"/>
        <v>5</v>
      </c>
      <c r="J928" s="221">
        <f t="shared" si="44"/>
        <v>54426.95</v>
      </c>
      <c r="K928" s="258">
        <f t="shared" si="45"/>
        <v>4</v>
      </c>
      <c r="L928" s="188">
        <v>54426.95</v>
      </c>
      <c r="M928" s="188">
        <v>0</v>
      </c>
      <c r="N928" s="189">
        <v>444444001</v>
      </c>
      <c r="O928" t="s">
        <v>2454</v>
      </c>
      <c r="P928" s="187">
        <v>45037.427719907399</v>
      </c>
      <c r="Q928" s="186">
        <v>9105</v>
      </c>
      <c r="R928" s="185"/>
      <c r="S928" s="185" t="s">
        <v>1548</v>
      </c>
      <c r="T928"/>
      <c r="U928" t="str">
        <f>IF($L928&gt;0,VLOOKUP($E928,Valida!$A$1:$G$270,6,FALSE),IF($M928&gt;=0,VLOOKUP($E928,Valida!$A$1:$G$270,7,FALSE)))</f>
        <v>(+/-) Ganancia (pérdida)</v>
      </c>
      <c r="V928" s="190" t="str">
        <f>VLOOKUP(E928,Valida!$A$2:$K$271,4,FALSE)</f>
        <v>P&amp;L</v>
      </c>
      <c r="W928" s="185"/>
      <c r="X928" s="185"/>
      <c r="Y928" s="185"/>
      <c r="Z928"/>
    </row>
    <row r="929" spans="1:26">
      <c r="A929" s="185" t="s">
        <v>2459</v>
      </c>
      <c r="B929" s="185" t="s">
        <v>2460</v>
      </c>
      <c r="C929" s="185" t="s">
        <v>2045</v>
      </c>
      <c r="D929" s="185" t="s">
        <v>1841</v>
      </c>
      <c r="E929" s="185">
        <v>23355007</v>
      </c>
      <c r="F929" s="185" t="s">
        <v>1638</v>
      </c>
      <c r="G929" s="185" t="s">
        <v>2461</v>
      </c>
      <c r="H929" s="185" t="s">
        <v>1628</v>
      </c>
      <c r="I929" s="258" t="str">
        <f t="shared" si="43"/>
        <v>2</v>
      </c>
      <c r="J929" s="221">
        <f t="shared" si="44"/>
        <v>-53729.38</v>
      </c>
      <c r="K929" s="258">
        <f t="shared" si="45"/>
        <v>4</v>
      </c>
      <c r="L929" s="188">
        <v>0</v>
      </c>
      <c r="M929" s="188">
        <v>53729.38</v>
      </c>
      <c r="N929" s="189">
        <v>444444001</v>
      </c>
      <c r="O929" t="s">
        <v>2462</v>
      </c>
      <c r="P929" s="187">
        <v>45037.4289699074</v>
      </c>
      <c r="Q929" s="186">
        <v>9106</v>
      </c>
      <c r="R929" s="185"/>
      <c r="S929" s="185" t="s">
        <v>1548</v>
      </c>
      <c r="T929"/>
      <c r="U929" t="str">
        <f>IF($L929&gt;0,VLOOKUP($E929,Valida!$A$1:$G$270,6,FALSE),IF($M929&gt;=0,VLOOKUP($E929,Valida!$A$1:$G$270,7,FALSE)))</f>
        <v>(+/-) Ajustes por el incremento (disminución) de cuentas por pagar de origen comercial</v>
      </c>
      <c r="V929" s="190" t="str">
        <f>VLOOKUP(E929,Valida!$A$2:$K$271,4,FALSE)</f>
        <v>Trade and other payables</v>
      </c>
      <c r="W929" s="185"/>
      <c r="X929" s="185"/>
      <c r="Y929" s="185"/>
      <c r="Z929"/>
    </row>
    <row r="930" spans="1:26">
      <c r="A930" s="185" t="s">
        <v>2459</v>
      </c>
      <c r="B930" s="185" t="s">
        <v>2460</v>
      </c>
      <c r="C930" s="185" t="s">
        <v>2045</v>
      </c>
      <c r="D930" s="185" t="s">
        <v>1841</v>
      </c>
      <c r="E930" s="185">
        <v>51350504</v>
      </c>
      <c r="F930" s="185" t="s">
        <v>1638</v>
      </c>
      <c r="G930" s="185" t="s">
        <v>2463</v>
      </c>
      <c r="H930" s="185" t="s">
        <v>1515</v>
      </c>
      <c r="I930" s="258" t="str">
        <f t="shared" si="43"/>
        <v>5</v>
      </c>
      <c r="J930" s="221">
        <f t="shared" si="44"/>
        <v>53729.38</v>
      </c>
      <c r="K930" s="258">
        <f t="shared" si="45"/>
        <v>4</v>
      </c>
      <c r="L930" s="188">
        <v>53729.38</v>
      </c>
      <c r="M930" s="188">
        <v>0</v>
      </c>
      <c r="N930" s="189">
        <v>444444001</v>
      </c>
      <c r="O930" t="s">
        <v>2462</v>
      </c>
      <c r="P930" s="187">
        <v>45037.4289699074</v>
      </c>
      <c r="Q930" s="186">
        <v>9107</v>
      </c>
      <c r="R930" s="185"/>
      <c r="S930" s="185" t="s">
        <v>1548</v>
      </c>
      <c r="T930"/>
      <c r="U930" t="str">
        <f>IF($L930&gt;0,VLOOKUP($E930,Valida!$A$1:$G$270,6,FALSE),IF($M930&gt;=0,VLOOKUP($E930,Valida!$A$1:$G$270,7,FALSE)))</f>
        <v>(+/-) Ganancia (pérdida)</v>
      </c>
      <c r="V930" s="190" t="str">
        <f>VLOOKUP(E930,Valida!$A$2:$K$271,4,FALSE)</f>
        <v>P&amp;L</v>
      </c>
      <c r="W930" s="185"/>
      <c r="X930" s="185"/>
      <c r="Y930" s="185"/>
      <c r="Z930"/>
    </row>
    <row r="931" spans="1:26">
      <c r="A931" s="185" t="s">
        <v>2464</v>
      </c>
      <c r="B931" s="185" t="s">
        <v>2465</v>
      </c>
      <c r="C931" s="185" t="s">
        <v>1792</v>
      </c>
      <c r="D931" s="185" t="s">
        <v>2466</v>
      </c>
      <c r="E931" s="185">
        <v>51353001</v>
      </c>
      <c r="F931" s="185" t="s">
        <v>516</v>
      </c>
      <c r="G931" s="185" t="s">
        <v>1833</v>
      </c>
      <c r="H931" s="185" t="s">
        <v>1515</v>
      </c>
      <c r="I931" s="258" t="str">
        <f t="shared" si="43"/>
        <v>5</v>
      </c>
      <c r="J931" s="221">
        <f t="shared" si="44"/>
        <v>5154270</v>
      </c>
      <c r="K931" s="258">
        <f t="shared" si="45"/>
        <v>4</v>
      </c>
      <c r="L931" s="188">
        <v>5154270</v>
      </c>
      <c r="M931" s="188">
        <v>0</v>
      </c>
      <c r="N931" s="189">
        <v>860063875</v>
      </c>
      <c r="O931" t="s">
        <v>2467</v>
      </c>
      <c r="P931" s="187">
        <v>45037.432581018496</v>
      </c>
      <c r="Q931" s="186">
        <v>9108</v>
      </c>
      <c r="R931" s="185" t="s">
        <v>1827</v>
      </c>
      <c r="S931" s="185" t="s">
        <v>1572</v>
      </c>
      <c r="T931"/>
      <c r="U931" t="str">
        <f>IF($L931&gt;0,VLOOKUP($E931,Valida!$A$1:$G$270,6,FALSE),IF($M931&gt;=0,VLOOKUP($E931,Valida!$A$1:$G$270,7,FALSE)))</f>
        <v>(+/-) Ganancia (pérdida)</v>
      </c>
      <c r="V931" s="190" t="str">
        <f>VLOOKUP(E931,Valida!$A$2:$K$271,4,FALSE)</f>
        <v>P&amp;L</v>
      </c>
      <c r="W931" s="185" t="s">
        <v>1835</v>
      </c>
      <c r="X931" s="185"/>
      <c r="Y931" s="185" t="s">
        <v>1789</v>
      </c>
      <c r="Z931"/>
    </row>
    <row r="932" spans="1:26">
      <c r="A932" s="185" t="s">
        <v>2464</v>
      </c>
      <c r="B932" s="185" t="s">
        <v>2465</v>
      </c>
      <c r="C932" s="185" t="s">
        <v>1792</v>
      </c>
      <c r="D932" s="185" t="s">
        <v>2466</v>
      </c>
      <c r="E932" s="185">
        <v>51350502</v>
      </c>
      <c r="F932" s="185" t="s">
        <v>1738</v>
      </c>
      <c r="G932" s="185" t="s">
        <v>1833</v>
      </c>
      <c r="H932" s="185" t="s">
        <v>1515</v>
      </c>
      <c r="I932" s="258" t="str">
        <f t="shared" si="43"/>
        <v>5</v>
      </c>
      <c r="J932" s="221">
        <f t="shared" si="44"/>
        <v>43840</v>
      </c>
      <c r="K932" s="258">
        <f t="shared" si="45"/>
        <v>4</v>
      </c>
      <c r="L932" s="188">
        <v>43840</v>
      </c>
      <c r="M932" s="188">
        <v>0</v>
      </c>
      <c r="N932" s="189">
        <v>901145808</v>
      </c>
      <c r="O932" t="s">
        <v>2467</v>
      </c>
      <c r="P932" s="187">
        <v>45037.432581018496</v>
      </c>
      <c r="Q932" s="186">
        <v>9109</v>
      </c>
      <c r="R932" s="185" t="s">
        <v>1067</v>
      </c>
      <c r="S932" s="185" t="s">
        <v>1740</v>
      </c>
      <c r="T932"/>
      <c r="U932" t="str">
        <f>IF($L932&gt;0,VLOOKUP($E932,Valida!$A$1:$G$270,6,FALSE),IF($M932&gt;=0,VLOOKUP($E932,Valida!$A$1:$G$270,7,FALSE)))</f>
        <v>(+/-) Ganancia (pérdida)</v>
      </c>
      <c r="V932" s="190" t="str">
        <f>VLOOKUP(E932,Valida!$A$2:$K$271,4,FALSE)</f>
        <v>P&amp;L</v>
      </c>
      <c r="W932" s="185" t="s">
        <v>1836</v>
      </c>
      <c r="X932" s="185" t="s">
        <v>1837</v>
      </c>
      <c r="Y932" s="185" t="s">
        <v>1789</v>
      </c>
      <c r="Z932"/>
    </row>
    <row r="933" spans="1:26">
      <c r="A933" s="185" t="s">
        <v>2464</v>
      </c>
      <c r="B933" s="185" t="s">
        <v>2465</v>
      </c>
      <c r="C933" s="185" t="s">
        <v>1792</v>
      </c>
      <c r="D933" s="185" t="s">
        <v>2466</v>
      </c>
      <c r="E933" s="185">
        <v>23355005</v>
      </c>
      <c r="F933" s="185" t="s">
        <v>516</v>
      </c>
      <c r="G933" s="185" t="s">
        <v>1833</v>
      </c>
      <c r="H933" s="185" t="s">
        <v>1628</v>
      </c>
      <c r="I933" s="258" t="str">
        <f t="shared" si="43"/>
        <v>2</v>
      </c>
      <c r="J933" s="221">
        <f t="shared" si="44"/>
        <v>-5198110</v>
      </c>
      <c r="K933" s="258">
        <f t="shared" si="45"/>
        <v>4</v>
      </c>
      <c r="L933" s="188">
        <v>0</v>
      </c>
      <c r="M933" s="188">
        <v>5198110</v>
      </c>
      <c r="N933" s="189">
        <v>860063875</v>
      </c>
      <c r="O933" t="s">
        <v>2467</v>
      </c>
      <c r="P933" s="187">
        <v>45037.432581018496</v>
      </c>
      <c r="Q933" s="186">
        <v>9110</v>
      </c>
      <c r="R933" s="185" t="s">
        <v>1827</v>
      </c>
      <c r="S933" s="185" t="s">
        <v>1572</v>
      </c>
      <c r="T933"/>
      <c r="U933" t="str">
        <f>IF($L933&gt;0,VLOOKUP($E933,Valida!$A$1:$G$270,6,FALSE),IF($M933&gt;=0,VLOOKUP($E933,Valida!$A$1:$G$270,7,FALSE)))</f>
        <v>(+/-) Ajustes por el incremento (disminución) de cuentas por pagar de origen comercial</v>
      </c>
      <c r="V933" s="190" t="str">
        <f>VLOOKUP(E933,Valida!$A$2:$K$271,4,FALSE)</f>
        <v>Trade and other payables</v>
      </c>
      <c r="W933" s="185" t="s">
        <v>1835</v>
      </c>
      <c r="X933" s="185"/>
      <c r="Y933" s="185" t="s">
        <v>1789</v>
      </c>
      <c r="Z933"/>
    </row>
    <row r="934" spans="1:26">
      <c r="A934" s="185" t="s">
        <v>2464</v>
      </c>
      <c r="B934" s="185" t="s">
        <v>2465</v>
      </c>
      <c r="C934" s="185" t="s">
        <v>1792</v>
      </c>
      <c r="D934" s="185" t="s">
        <v>2466</v>
      </c>
      <c r="E934" s="185">
        <v>53059510</v>
      </c>
      <c r="F934" s="185" t="s">
        <v>1065</v>
      </c>
      <c r="G934" s="185" t="s">
        <v>1833</v>
      </c>
      <c r="H934" s="185" t="s">
        <v>1628</v>
      </c>
      <c r="I934" s="258" t="str">
        <f t="shared" si="43"/>
        <v>5</v>
      </c>
      <c r="J934" s="221">
        <f t="shared" si="44"/>
        <v>0</v>
      </c>
      <c r="K934" s="258">
        <f t="shared" si="45"/>
        <v>4</v>
      </c>
      <c r="L934" s="188">
        <v>0</v>
      </c>
      <c r="M934" s="188">
        <v>0</v>
      </c>
      <c r="N934" s="189">
        <v>860063875</v>
      </c>
      <c r="O934" t="s">
        <v>2467</v>
      </c>
      <c r="P934" s="187">
        <v>45037.432581018496</v>
      </c>
      <c r="Q934" s="186">
        <v>9111</v>
      </c>
      <c r="R934" s="185" t="s">
        <v>1827</v>
      </c>
      <c r="S934" s="185" t="s">
        <v>1572</v>
      </c>
      <c r="T934"/>
      <c r="U934" t="str">
        <f>IF($L934&gt;0,VLOOKUP($E934,Valida!$A$1:$G$270,6,FALSE),IF($M934&gt;=0,VLOOKUP($E934,Valida!$A$1:$G$270,7,FALSE)))</f>
        <v>(+/-) Ganancia (pérdida)</v>
      </c>
      <c r="V934" s="190" t="str">
        <f>VLOOKUP(E934,Valida!$A$2:$K$271,4,FALSE)</f>
        <v>P&amp;L</v>
      </c>
      <c r="W934" s="185" t="s">
        <v>1835</v>
      </c>
      <c r="X934" s="185"/>
      <c r="Y934" s="185" t="s">
        <v>1789</v>
      </c>
      <c r="Z934"/>
    </row>
    <row r="935" spans="1:26">
      <c r="A935" s="185" t="s">
        <v>2468</v>
      </c>
      <c r="B935" s="185" t="s">
        <v>2469</v>
      </c>
      <c r="C935" s="185" t="s">
        <v>1792</v>
      </c>
      <c r="D935" s="185" t="s">
        <v>2470</v>
      </c>
      <c r="E935" s="185">
        <v>51353501</v>
      </c>
      <c r="F935" s="185" t="s">
        <v>502</v>
      </c>
      <c r="G935" s="185" t="s">
        <v>1812</v>
      </c>
      <c r="H935" s="185" t="s">
        <v>1515</v>
      </c>
      <c r="I935" s="258" t="str">
        <f t="shared" si="43"/>
        <v>5</v>
      </c>
      <c r="J935" s="221">
        <f t="shared" si="44"/>
        <v>33749.39</v>
      </c>
      <c r="K935" s="258">
        <f t="shared" si="45"/>
        <v>4</v>
      </c>
      <c r="L935" s="188">
        <v>33749.39</v>
      </c>
      <c r="M935" s="188">
        <v>0</v>
      </c>
      <c r="N935" s="189">
        <v>800153993</v>
      </c>
      <c r="O935" t="s">
        <v>2471</v>
      </c>
      <c r="P935" s="187">
        <v>45037.434143518498</v>
      </c>
      <c r="Q935" s="186">
        <v>9112</v>
      </c>
      <c r="R935" s="185" t="s">
        <v>1814</v>
      </c>
      <c r="S935" s="185" t="s">
        <v>1556</v>
      </c>
      <c r="T935"/>
      <c r="U935" t="str">
        <f>IF($L935&gt;0,VLOOKUP($E935,Valida!$A$1:$G$270,6,FALSE),IF($M935&gt;=0,VLOOKUP($E935,Valida!$A$1:$G$270,7,FALSE)))</f>
        <v>(+/-) Ganancia (pérdida)</v>
      </c>
      <c r="V935" s="190" t="str">
        <f>VLOOKUP(E935,Valida!$A$2:$K$271,4,FALSE)</f>
        <v>P&amp;L</v>
      </c>
      <c r="W935" s="185" t="s">
        <v>1815</v>
      </c>
      <c r="X935" s="185"/>
      <c r="Y935" s="185" t="s">
        <v>1789</v>
      </c>
      <c r="Z935"/>
    </row>
    <row r="936" spans="1:26">
      <c r="A936" s="185" t="s">
        <v>2468</v>
      </c>
      <c r="B936" s="185" t="s">
        <v>2469</v>
      </c>
      <c r="C936" s="185" t="s">
        <v>1792</v>
      </c>
      <c r="D936" s="185" t="s">
        <v>2470</v>
      </c>
      <c r="E936" s="185">
        <v>23355001</v>
      </c>
      <c r="F936" s="185" t="s">
        <v>502</v>
      </c>
      <c r="G936" s="185" t="s">
        <v>1812</v>
      </c>
      <c r="H936" s="185" t="s">
        <v>1628</v>
      </c>
      <c r="I936" s="258" t="str">
        <f t="shared" si="43"/>
        <v>2</v>
      </c>
      <c r="J936" s="221">
        <f t="shared" si="44"/>
        <v>-48664.51</v>
      </c>
      <c r="K936" s="258">
        <f t="shared" si="45"/>
        <v>4</v>
      </c>
      <c r="L936" s="188">
        <v>0</v>
      </c>
      <c r="M936" s="188">
        <v>48664.51</v>
      </c>
      <c r="N936" s="189">
        <v>800153993</v>
      </c>
      <c r="O936" t="s">
        <v>2471</v>
      </c>
      <c r="P936" s="187">
        <v>45037.434143518498</v>
      </c>
      <c r="Q936" s="186">
        <v>9113</v>
      </c>
      <c r="R936" s="185" t="s">
        <v>1814</v>
      </c>
      <c r="S936" s="185" t="s">
        <v>1556</v>
      </c>
      <c r="T936"/>
      <c r="U936" t="str">
        <f>IF($L936&gt;0,VLOOKUP($E936,Valida!$A$1:$G$270,6,FALSE),IF($M936&gt;=0,VLOOKUP($E936,Valida!$A$1:$G$270,7,FALSE)))</f>
        <v>(+/-) Ajustes por el incremento (disminución) de cuentas por pagar de origen comercial</v>
      </c>
      <c r="V936" s="190" t="str">
        <f>VLOOKUP(E936,Valida!$A$2:$K$271,4,FALSE)</f>
        <v>Trade and other payables</v>
      </c>
      <c r="W936" s="185" t="s">
        <v>1815</v>
      </c>
      <c r="X936" s="185"/>
      <c r="Y936" s="185" t="s">
        <v>1789</v>
      </c>
      <c r="Z936"/>
    </row>
    <row r="937" spans="1:26">
      <c r="A937" s="185" t="s">
        <v>2468</v>
      </c>
      <c r="B937" s="185" t="s">
        <v>2469</v>
      </c>
      <c r="C937" s="185" t="s">
        <v>1792</v>
      </c>
      <c r="D937" s="185" t="s">
        <v>2470</v>
      </c>
      <c r="E937" s="185">
        <v>51353501</v>
      </c>
      <c r="F937" s="185" t="s">
        <v>502</v>
      </c>
      <c r="G937" s="185" t="s">
        <v>502</v>
      </c>
      <c r="H937" s="185" t="s">
        <v>1515</v>
      </c>
      <c r="I937" s="258" t="str">
        <f t="shared" si="43"/>
        <v>5</v>
      </c>
      <c r="J937" s="221">
        <f t="shared" si="44"/>
        <v>6912.52</v>
      </c>
      <c r="K937" s="258">
        <f t="shared" si="45"/>
        <v>4</v>
      </c>
      <c r="L937" s="188">
        <v>6912.52</v>
      </c>
      <c r="M937" s="188">
        <v>0</v>
      </c>
      <c r="N937" s="189">
        <v>800153993</v>
      </c>
      <c r="O937" t="s">
        <v>2471</v>
      </c>
      <c r="P937" s="187">
        <v>45037.434143518498</v>
      </c>
      <c r="Q937" s="186">
        <v>9114</v>
      </c>
      <c r="R937" s="185" t="s">
        <v>1814</v>
      </c>
      <c r="S937" s="185" t="s">
        <v>1556</v>
      </c>
      <c r="T937"/>
      <c r="U937" t="str">
        <f>IF($L937&gt;0,VLOOKUP($E937,Valida!$A$1:$G$270,6,FALSE),IF($M937&gt;=0,VLOOKUP($E937,Valida!$A$1:$G$270,7,FALSE)))</f>
        <v>(+/-) Ganancia (pérdida)</v>
      </c>
      <c r="V937" s="190" t="str">
        <f>VLOOKUP(E937,Valida!$A$2:$K$271,4,FALSE)</f>
        <v>P&amp;L</v>
      </c>
      <c r="W937" s="185" t="s">
        <v>1815</v>
      </c>
      <c r="X937" s="185"/>
      <c r="Y937" s="185" t="s">
        <v>1789</v>
      </c>
      <c r="Z937"/>
    </row>
    <row r="938" spans="1:26">
      <c r="A938" s="185" t="s">
        <v>2468</v>
      </c>
      <c r="B938" s="185" t="s">
        <v>2469</v>
      </c>
      <c r="C938" s="185" t="s">
        <v>1792</v>
      </c>
      <c r="D938" s="185" t="s">
        <v>2470</v>
      </c>
      <c r="E938" s="185">
        <v>24081002</v>
      </c>
      <c r="F938" s="185" t="s">
        <v>1687</v>
      </c>
      <c r="G938" s="185" t="s">
        <v>1812</v>
      </c>
      <c r="H938" s="185" t="s">
        <v>1515</v>
      </c>
      <c r="I938" s="258" t="str">
        <f t="shared" si="43"/>
        <v>2</v>
      </c>
      <c r="J938" s="221">
        <f t="shared" si="44"/>
        <v>7725.76</v>
      </c>
      <c r="K938" s="258">
        <f t="shared" si="45"/>
        <v>4</v>
      </c>
      <c r="L938" s="188">
        <v>7725.76</v>
      </c>
      <c r="M938" s="188">
        <v>0</v>
      </c>
      <c r="N938" s="189">
        <v>800153993</v>
      </c>
      <c r="O938" t="s">
        <v>2471</v>
      </c>
      <c r="P938" s="187">
        <v>45037.434143518498</v>
      </c>
      <c r="Q938" s="186">
        <v>9115</v>
      </c>
      <c r="R938" s="185" t="s">
        <v>1814</v>
      </c>
      <c r="S938" s="185" t="s">
        <v>1556</v>
      </c>
      <c r="T938"/>
      <c r="U938" t="str">
        <f>IF($L938&gt;0,VLOOKUP($E938,Valida!$A$1:$G$270,6,FALSE),IF($M938&gt;=0,VLOOKUP($E938,Valida!$A$1:$G$270,7,FALSE)))</f>
        <v>(+/-) Ajustes por el incremento (disminución) de cuentas por pagar de origen comercial</v>
      </c>
      <c r="V938" s="190" t="str">
        <f>VLOOKUP(E938,Valida!$A$2:$K$271,4,FALSE)</f>
        <v>Trade and other payables</v>
      </c>
      <c r="W938" s="185" t="s">
        <v>1815</v>
      </c>
      <c r="X938" s="185"/>
      <c r="Y938" s="185" t="s">
        <v>1789</v>
      </c>
      <c r="Z938"/>
    </row>
    <row r="939" spans="1:26">
      <c r="A939" s="185" t="s">
        <v>2468</v>
      </c>
      <c r="B939" s="185" t="s">
        <v>2469</v>
      </c>
      <c r="C939" s="185" t="s">
        <v>1792</v>
      </c>
      <c r="D939" s="185" t="s">
        <v>2470</v>
      </c>
      <c r="E939" s="185">
        <v>51353501</v>
      </c>
      <c r="F939" s="185" t="s">
        <v>502</v>
      </c>
      <c r="G939" s="185" t="s">
        <v>1812</v>
      </c>
      <c r="H939" s="185" t="s">
        <v>1515</v>
      </c>
      <c r="I939" s="258" t="str">
        <f t="shared" si="43"/>
        <v>5</v>
      </c>
      <c r="J939" s="221">
        <f t="shared" si="44"/>
        <v>0.34</v>
      </c>
      <c r="K939" s="258">
        <f t="shared" si="45"/>
        <v>4</v>
      </c>
      <c r="L939" s="188">
        <v>0.34</v>
      </c>
      <c r="M939" s="188">
        <v>0</v>
      </c>
      <c r="N939" s="189">
        <v>800153993</v>
      </c>
      <c r="O939" t="s">
        <v>2471</v>
      </c>
      <c r="P939" s="187">
        <v>45037.434143518498</v>
      </c>
      <c r="Q939" s="186">
        <v>9116</v>
      </c>
      <c r="R939" s="185" t="s">
        <v>1814</v>
      </c>
      <c r="S939" s="185" t="s">
        <v>1556</v>
      </c>
      <c r="T939"/>
      <c r="U939" t="str">
        <f>IF($L939&gt;0,VLOOKUP($E939,Valida!$A$1:$G$270,6,FALSE),IF($M939&gt;=0,VLOOKUP($E939,Valida!$A$1:$G$270,7,FALSE)))</f>
        <v>(+/-) Ganancia (pérdida)</v>
      </c>
      <c r="V939" s="190" t="str">
        <f>VLOOKUP(E939,Valida!$A$2:$K$271,4,FALSE)</f>
        <v>P&amp;L</v>
      </c>
      <c r="W939" s="185" t="s">
        <v>1815</v>
      </c>
      <c r="X939" s="185"/>
      <c r="Y939" s="185" t="s">
        <v>1789</v>
      </c>
      <c r="Z939"/>
    </row>
    <row r="940" spans="1:26">
      <c r="A940" s="185" t="s">
        <v>2468</v>
      </c>
      <c r="B940" s="185" t="s">
        <v>2472</v>
      </c>
      <c r="C940" s="185" t="s">
        <v>1792</v>
      </c>
      <c r="D940" s="185" t="s">
        <v>2473</v>
      </c>
      <c r="E940" s="185">
        <v>51700503</v>
      </c>
      <c r="F940" s="185" t="s">
        <v>1397</v>
      </c>
      <c r="G940" s="185" t="s">
        <v>1818</v>
      </c>
      <c r="H940" s="185" t="s">
        <v>1515</v>
      </c>
      <c r="I940" s="258" t="str">
        <f t="shared" si="43"/>
        <v>5</v>
      </c>
      <c r="J940" s="221">
        <f t="shared" si="44"/>
        <v>330000</v>
      </c>
      <c r="K940" s="258">
        <f t="shared" si="45"/>
        <v>4</v>
      </c>
      <c r="L940" s="188">
        <v>330000</v>
      </c>
      <c r="M940" s="188">
        <v>0</v>
      </c>
      <c r="N940" s="189">
        <v>800042928</v>
      </c>
      <c r="O940" t="s">
        <v>2474</v>
      </c>
      <c r="P940" s="187">
        <v>45037.434861111098</v>
      </c>
      <c r="Q940" s="186">
        <v>9117</v>
      </c>
      <c r="R940" s="185" t="s">
        <v>6</v>
      </c>
      <c r="S940" s="185" t="s">
        <v>1554</v>
      </c>
      <c r="T940"/>
      <c r="U940" t="str">
        <f>IF($L940&gt;0,VLOOKUP($E940,Valida!$A$1:$G$270,6,FALSE),IF($M940&gt;=0,VLOOKUP($E940,Valida!$A$1:$G$270,7,FALSE)))</f>
        <v>(+/-) Ganancia (pérdida)</v>
      </c>
      <c r="V940" s="190" t="str">
        <f>VLOOKUP(E940,Valida!$A$2:$K$271,4,FALSE)</f>
        <v>P&amp;L</v>
      </c>
      <c r="W940" s="185" t="s">
        <v>1820</v>
      </c>
      <c r="X940" s="185" t="s">
        <v>1821</v>
      </c>
      <c r="Y940" s="185" t="s">
        <v>1789</v>
      </c>
      <c r="Z940"/>
    </row>
    <row r="941" spans="1:26">
      <c r="A941" s="185" t="s">
        <v>2468</v>
      </c>
      <c r="B941" s="185" t="s">
        <v>2472</v>
      </c>
      <c r="C941" s="185" t="s">
        <v>1792</v>
      </c>
      <c r="D941" s="185" t="s">
        <v>2473</v>
      </c>
      <c r="E941" s="185">
        <v>23359504</v>
      </c>
      <c r="F941" s="185" t="s">
        <v>553</v>
      </c>
      <c r="G941" s="185" t="s">
        <v>1818</v>
      </c>
      <c r="H941" s="185" t="s">
        <v>1628</v>
      </c>
      <c r="I941" s="258" t="str">
        <f t="shared" si="43"/>
        <v>2</v>
      </c>
      <c r="J941" s="221">
        <f t="shared" si="44"/>
        <v>-330000</v>
      </c>
      <c r="K941" s="258">
        <f t="shared" si="45"/>
        <v>4</v>
      </c>
      <c r="L941" s="188">
        <v>0</v>
      </c>
      <c r="M941" s="188">
        <v>330000</v>
      </c>
      <c r="N941" s="189">
        <v>800042928</v>
      </c>
      <c r="O941" t="s">
        <v>2474</v>
      </c>
      <c r="P941" s="187">
        <v>45037.434861111098</v>
      </c>
      <c r="Q941" s="186">
        <v>9118</v>
      </c>
      <c r="R941" s="185" t="s">
        <v>6</v>
      </c>
      <c r="S941" s="185" t="s">
        <v>1554</v>
      </c>
      <c r="T941"/>
      <c r="U941" t="str">
        <f>IF($L941&gt;0,VLOOKUP($E941,Valida!$A$1:$G$270,6,FALSE),IF($M941&gt;=0,VLOOKUP($E941,Valida!$A$1:$G$270,7,FALSE)))</f>
        <v>(+/-) Ajustes por el incremento (disminución) de cuentas por pagar de origen comercial</v>
      </c>
      <c r="V941" s="190" t="str">
        <f>VLOOKUP(E941,Valida!$A$2:$K$271,4,FALSE)</f>
        <v>Trade and other payables</v>
      </c>
      <c r="W941" s="185" t="s">
        <v>1820</v>
      </c>
      <c r="X941" s="185" t="s">
        <v>1821</v>
      </c>
      <c r="Y941" s="185" t="s">
        <v>1789</v>
      </c>
      <c r="Z941"/>
    </row>
    <row r="942" spans="1:26">
      <c r="A942" s="185" t="s">
        <v>2475</v>
      </c>
      <c r="B942" s="185" t="s">
        <v>2476</v>
      </c>
      <c r="C942" s="185" t="s">
        <v>1792</v>
      </c>
      <c r="D942" s="185" t="s">
        <v>2477</v>
      </c>
      <c r="E942" s="185">
        <v>51352002</v>
      </c>
      <c r="F942" s="185" t="s">
        <v>1270</v>
      </c>
      <c r="G942" s="185" t="s">
        <v>1825</v>
      </c>
      <c r="H942" s="185" t="s">
        <v>1515</v>
      </c>
      <c r="I942" s="258" t="str">
        <f t="shared" si="43"/>
        <v>5</v>
      </c>
      <c r="J942" s="221">
        <f t="shared" si="44"/>
        <v>3567540</v>
      </c>
      <c r="K942" s="258">
        <f t="shared" si="45"/>
        <v>4</v>
      </c>
      <c r="L942" s="188">
        <v>3567540</v>
      </c>
      <c r="M942" s="188">
        <v>0</v>
      </c>
      <c r="N942" s="189">
        <v>800153993</v>
      </c>
      <c r="O942" t="s">
        <v>2478</v>
      </c>
      <c r="P942" s="187">
        <v>45037.436342592599</v>
      </c>
      <c r="Q942" s="186">
        <v>9119</v>
      </c>
      <c r="R942" s="185" t="s">
        <v>1814</v>
      </c>
      <c r="S942" s="185" t="s">
        <v>1556</v>
      </c>
      <c r="T942"/>
      <c r="U942" t="str">
        <f>IF($L942&gt;0,VLOOKUP($E942,Valida!$A$1:$G$270,6,FALSE),IF($M942&gt;=0,VLOOKUP($E942,Valida!$A$1:$G$270,7,FALSE)))</f>
        <v>(+/-) Ganancia (pérdida)</v>
      </c>
      <c r="V942" s="190" t="str">
        <f>VLOOKUP(E942,Valida!$A$2:$K$271,4,FALSE)</f>
        <v>P&amp;L</v>
      </c>
      <c r="W942" s="185" t="s">
        <v>1815</v>
      </c>
      <c r="X942" s="185"/>
      <c r="Y942" s="185" t="s">
        <v>1789</v>
      </c>
      <c r="Z942"/>
    </row>
    <row r="943" spans="1:26">
      <c r="A943" s="185" t="s">
        <v>2475</v>
      </c>
      <c r="B943" s="185" t="s">
        <v>2476</v>
      </c>
      <c r="C943" s="185" t="s">
        <v>1792</v>
      </c>
      <c r="D943" s="185" t="s">
        <v>2477</v>
      </c>
      <c r="E943" s="185">
        <v>24081002</v>
      </c>
      <c r="F943" s="185" t="s">
        <v>1687</v>
      </c>
      <c r="G943" s="185" t="s">
        <v>1830</v>
      </c>
      <c r="H943" s="185" t="s">
        <v>1515</v>
      </c>
      <c r="I943" s="258" t="str">
        <f t="shared" si="43"/>
        <v>2</v>
      </c>
      <c r="J943" s="221">
        <f t="shared" si="44"/>
        <v>677833</v>
      </c>
      <c r="K943" s="258">
        <f t="shared" si="45"/>
        <v>4</v>
      </c>
      <c r="L943" s="188">
        <v>677833</v>
      </c>
      <c r="M943" s="188">
        <v>0</v>
      </c>
      <c r="N943" s="189">
        <v>800153993</v>
      </c>
      <c r="O943" t="s">
        <v>2478</v>
      </c>
      <c r="P943" s="187">
        <v>45037.436342592599</v>
      </c>
      <c r="Q943" s="186">
        <v>9120</v>
      </c>
      <c r="R943" s="185" t="s">
        <v>1814</v>
      </c>
      <c r="S943" s="185" t="s">
        <v>1556</v>
      </c>
      <c r="T943"/>
      <c r="U943" t="str">
        <f>IF($L943&gt;0,VLOOKUP($E943,Valida!$A$1:$G$270,6,FALSE),IF($M943&gt;=0,VLOOKUP($E943,Valida!$A$1:$G$270,7,FALSE)))</f>
        <v>(+/-) Ajustes por el incremento (disminución) de cuentas por pagar de origen comercial</v>
      </c>
      <c r="V943" s="190" t="str">
        <f>VLOOKUP(E943,Valida!$A$2:$K$271,4,FALSE)</f>
        <v>Trade and other payables</v>
      </c>
      <c r="W943" s="185" t="s">
        <v>1815</v>
      </c>
      <c r="X943" s="185"/>
      <c r="Y943" s="185" t="s">
        <v>1789</v>
      </c>
      <c r="Z943"/>
    </row>
    <row r="944" spans="1:26">
      <c r="A944" s="185" t="s">
        <v>2475</v>
      </c>
      <c r="B944" s="185" t="s">
        <v>2476</v>
      </c>
      <c r="C944" s="185" t="s">
        <v>1792</v>
      </c>
      <c r="D944" s="185" t="s">
        <v>2477</v>
      </c>
      <c r="E944" s="185">
        <v>23355006</v>
      </c>
      <c r="F944" s="185" t="s">
        <v>519</v>
      </c>
      <c r="G944" s="185" t="s">
        <v>1825</v>
      </c>
      <c r="H944" s="185" t="s">
        <v>1628</v>
      </c>
      <c r="I944" s="258" t="str">
        <f t="shared" si="43"/>
        <v>2</v>
      </c>
      <c r="J944" s="221">
        <f t="shared" si="44"/>
        <v>-4245373</v>
      </c>
      <c r="K944" s="258">
        <f t="shared" si="45"/>
        <v>4</v>
      </c>
      <c r="L944" s="188">
        <v>0</v>
      </c>
      <c r="M944" s="188">
        <v>4245373</v>
      </c>
      <c r="N944" s="189">
        <v>800153993</v>
      </c>
      <c r="O944" t="s">
        <v>2478</v>
      </c>
      <c r="P944" s="187">
        <v>45037.436342592599</v>
      </c>
      <c r="Q944" s="186">
        <v>9121</v>
      </c>
      <c r="R944" s="185" t="s">
        <v>1814</v>
      </c>
      <c r="S944" s="185" t="s">
        <v>1556</v>
      </c>
      <c r="T944"/>
      <c r="U944" t="str">
        <f>IF($L944&gt;0,VLOOKUP($E944,Valida!$A$1:$G$270,6,FALSE),IF($M944&gt;=0,VLOOKUP($E944,Valida!$A$1:$G$270,7,FALSE)))</f>
        <v>(+/-) Ajustes por el incremento (disminución) de cuentas por pagar de origen comercial</v>
      </c>
      <c r="V944" s="190" t="str">
        <f>VLOOKUP(E944,Valida!$A$2:$K$271,4,FALSE)</f>
        <v>Trade and other payables</v>
      </c>
      <c r="W944" s="185" t="s">
        <v>1815</v>
      </c>
      <c r="X944" s="185"/>
      <c r="Y944" s="185" t="s">
        <v>1789</v>
      </c>
      <c r="Z944"/>
    </row>
    <row r="945" spans="1:26">
      <c r="A945" s="185" t="s">
        <v>2451</v>
      </c>
      <c r="B945" s="185" t="s">
        <v>2479</v>
      </c>
      <c r="C945" s="185" t="s">
        <v>1792</v>
      </c>
      <c r="D945" s="185" t="s">
        <v>1920</v>
      </c>
      <c r="E945" s="185">
        <v>51952502</v>
      </c>
      <c r="F945" s="185" t="s">
        <v>1414</v>
      </c>
      <c r="G945" s="185" t="s">
        <v>1862</v>
      </c>
      <c r="H945" s="185" t="s">
        <v>1515</v>
      </c>
      <c r="I945" s="258" t="str">
        <f t="shared" si="43"/>
        <v>5</v>
      </c>
      <c r="J945" s="221">
        <f t="shared" si="44"/>
        <v>107000</v>
      </c>
      <c r="K945" s="258">
        <f t="shared" si="45"/>
        <v>4</v>
      </c>
      <c r="L945" s="188">
        <v>107000</v>
      </c>
      <c r="M945" s="188">
        <v>0</v>
      </c>
      <c r="N945" s="189">
        <v>900424409</v>
      </c>
      <c r="O945" t="s">
        <v>2480</v>
      </c>
      <c r="P945" s="187">
        <v>45037.438298611101</v>
      </c>
      <c r="Q945" s="186">
        <v>9122</v>
      </c>
      <c r="R945" s="185" t="s">
        <v>844</v>
      </c>
      <c r="S945" s="185" t="s">
        <v>1598</v>
      </c>
      <c r="T945"/>
      <c r="U945" t="str">
        <f>IF($L945&gt;0,VLOOKUP($E945,Valida!$A$1:$G$270,6,FALSE),IF($M945&gt;=0,VLOOKUP($E945,Valida!$A$1:$G$270,7,FALSE)))</f>
        <v>(+/-) Ganancia (pérdida)</v>
      </c>
      <c r="V945" s="190" t="str">
        <f>VLOOKUP(E945,Valida!$A$2:$K$271,4,FALSE)</f>
        <v>P&amp;L</v>
      </c>
      <c r="W945" s="185" t="s">
        <v>1864</v>
      </c>
      <c r="X945" s="185" t="s">
        <v>1865</v>
      </c>
      <c r="Y945" s="185" t="s">
        <v>1789</v>
      </c>
      <c r="Z945"/>
    </row>
    <row r="946" spans="1:26">
      <c r="A946" s="185" t="s">
        <v>2451</v>
      </c>
      <c r="B946" s="185" t="s">
        <v>2479</v>
      </c>
      <c r="C946" s="185" t="s">
        <v>1792</v>
      </c>
      <c r="D946" s="185" t="s">
        <v>1920</v>
      </c>
      <c r="E946" s="185">
        <v>24081002</v>
      </c>
      <c r="F946" s="185" t="s">
        <v>1687</v>
      </c>
      <c r="G946" s="185" t="s">
        <v>1866</v>
      </c>
      <c r="H946" s="185" t="s">
        <v>1515</v>
      </c>
      <c r="I946" s="258" t="str">
        <f t="shared" si="43"/>
        <v>2</v>
      </c>
      <c r="J946" s="221">
        <f t="shared" si="44"/>
        <v>20330</v>
      </c>
      <c r="K946" s="258">
        <f t="shared" si="45"/>
        <v>4</v>
      </c>
      <c r="L946" s="188">
        <v>20330</v>
      </c>
      <c r="M946" s="188">
        <v>0</v>
      </c>
      <c r="N946" s="189">
        <v>900424409</v>
      </c>
      <c r="O946" t="s">
        <v>2480</v>
      </c>
      <c r="P946" s="187">
        <v>45037.4383101852</v>
      </c>
      <c r="Q946" s="186">
        <v>9123</v>
      </c>
      <c r="R946" s="185" t="s">
        <v>844</v>
      </c>
      <c r="S946" s="185" t="s">
        <v>1598</v>
      </c>
      <c r="T946"/>
      <c r="U946" t="str">
        <f>IF($L946&gt;0,VLOOKUP($E946,Valida!$A$1:$G$270,6,FALSE),IF($M946&gt;=0,VLOOKUP($E946,Valida!$A$1:$G$270,7,FALSE)))</f>
        <v>(+/-) Ajustes por el incremento (disminución) de cuentas por pagar de origen comercial</v>
      </c>
      <c r="V946" s="190" t="str">
        <f>VLOOKUP(E946,Valida!$A$2:$K$271,4,FALSE)</f>
        <v>Trade and other payables</v>
      </c>
      <c r="W946" s="185" t="s">
        <v>1864</v>
      </c>
      <c r="X946" s="185" t="s">
        <v>1865</v>
      </c>
      <c r="Y946" s="185" t="s">
        <v>1789</v>
      </c>
      <c r="Z946"/>
    </row>
    <row r="947" spans="1:26">
      <c r="A947" s="185" t="s">
        <v>2451</v>
      </c>
      <c r="B947" s="185" t="s">
        <v>2479</v>
      </c>
      <c r="C947" s="185" t="s">
        <v>1792</v>
      </c>
      <c r="D947" s="185" t="s">
        <v>1920</v>
      </c>
      <c r="E947" s="185">
        <v>23359502</v>
      </c>
      <c r="F947" s="185" t="s">
        <v>547</v>
      </c>
      <c r="G947" s="185" t="s">
        <v>1862</v>
      </c>
      <c r="H947" s="185" t="s">
        <v>1628</v>
      </c>
      <c r="I947" s="258" t="str">
        <f t="shared" si="43"/>
        <v>2</v>
      </c>
      <c r="J947" s="221">
        <f t="shared" si="44"/>
        <v>-122016</v>
      </c>
      <c r="K947" s="258">
        <f t="shared" si="45"/>
        <v>4</v>
      </c>
      <c r="L947" s="188">
        <v>0</v>
      </c>
      <c r="M947" s="188">
        <v>122016</v>
      </c>
      <c r="N947" s="189">
        <v>900424409</v>
      </c>
      <c r="O947" t="s">
        <v>2480</v>
      </c>
      <c r="P947" s="187">
        <v>45037.4383101852</v>
      </c>
      <c r="Q947" s="186">
        <v>9124</v>
      </c>
      <c r="R947" s="185" t="s">
        <v>844</v>
      </c>
      <c r="S947" s="185" t="s">
        <v>1598</v>
      </c>
      <c r="T947"/>
      <c r="U947" t="str">
        <f>IF($L947&gt;0,VLOOKUP($E947,Valida!$A$1:$G$270,6,FALSE),IF($M947&gt;=0,VLOOKUP($E947,Valida!$A$1:$G$270,7,FALSE)))</f>
        <v>(+/-) Ajustes por el incremento (disminución) de cuentas por pagar de origen comercial</v>
      </c>
      <c r="V947" s="190" t="str">
        <f>VLOOKUP(E947,Valida!$A$2:$K$271,4,FALSE)</f>
        <v>Trade and other payables</v>
      </c>
      <c r="W947" s="185" t="s">
        <v>1864</v>
      </c>
      <c r="X947" s="185" t="s">
        <v>1865</v>
      </c>
      <c r="Y947" s="185" t="s">
        <v>1789</v>
      </c>
      <c r="Z947"/>
    </row>
    <row r="948" spans="1:26">
      <c r="A948" s="185" t="s">
        <v>2451</v>
      </c>
      <c r="B948" s="185" t="s">
        <v>2479</v>
      </c>
      <c r="C948" s="185" t="s">
        <v>1792</v>
      </c>
      <c r="D948" s="185" t="s">
        <v>1920</v>
      </c>
      <c r="E948" s="185">
        <v>23653002</v>
      </c>
      <c r="F948" s="185" t="s">
        <v>241</v>
      </c>
      <c r="G948" s="185" t="s">
        <v>1867</v>
      </c>
      <c r="H948" s="185" t="s">
        <v>1628</v>
      </c>
      <c r="I948" s="258" t="str">
        <f t="shared" si="43"/>
        <v>2</v>
      </c>
      <c r="J948" s="221">
        <f t="shared" si="44"/>
        <v>-4280</v>
      </c>
      <c r="K948" s="258">
        <f t="shared" si="45"/>
        <v>4</v>
      </c>
      <c r="L948" s="188">
        <v>0</v>
      </c>
      <c r="M948" s="188">
        <v>4280</v>
      </c>
      <c r="N948" s="189">
        <v>900424409</v>
      </c>
      <c r="O948" t="s">
        <v>2480</v>
      </c>
      <c r="P948" s="187">
        <v>45037.4383101852</v>
      </c>
      <c r="Q948" s="186">
        <v>9125</v>
      </c>
      <c r="R948" s="185" t="s">
        <v>844</v>
      </c>
      <c r="S948" s="185" t="s">
        <v>1598</v>
      </c>
      <c r="T948"/>
      <c r="U948" t="str">
        <f>IF($L948&gt;0,VLOOKUP($E948,Valida!$A$1:$G$270,6,FALSE),IF($M948&gt;=0,VLOOKUP($E948,Valida!$A$1:$G$270,7,FALSE)))</f>
        <v>(+/-) Ajustes por el incremento (disminución) de cuentas por pagar de origen comercial</v>
      </c>
      <c r="V948" s="190" t="str">
        <f>VLOOKUP(E948,Valida!$A$2:$K$271,4,FALSE)</f>
        <v>Trade and other payables</v>
      </c>
      <c r="W948" s="185" t="s">
        <v>1864</v>
      </c>
      <c r="X948" s="185" t="s">
        <v>1865</v>
      </c>
      <c r="Y948" s="185" t="s">
        <v>1789</v>
      </c>
      <c r="Z948"/>
    </row>
    <row r="949" spans="1:26">
      <c r="A949" s="185" t="s">
        <v>2451</v>
      </c>
      <c r="B949" s="185" t="s">
        <v>2479</v>
      </c>
      <c r="C949" s="185" t="s">
        <v>1792</v>
      </c>
      <c r="D949" s="185" t="s">
        <v>1920</v>
      </c>
      <c r="E949" s="185">
        <v>23680503</v>
      </c>
      <c r="F949" s="185" t="s">
        <v>665</v>
      </c>
      <c r="G949" s="185" t="s">
        <v>1868</v>
      </c>
      <c r="H949" s="185" t="s">
        <v>1628</v>
      </c>
      <c r="I949" s="258" t="str">
        <f t="shared" si="43"/>
        <v>2</v>
      </c>
      <c r="J949" s="221">
        <f t="shared" si="44"/>
        <v>-1034</v>
      </c>
      <c r="K949" s="258">
        <f t="shared" si="45"/>
        <v>4</v>
      </c>
      <c r="L949" s="188">
        <v>0</v>
      </c>
      <c r="M949" s="188">
        <v>1034</v>
      </c>
      <c r="N949" s="189">
        <v>900424409</v>
      </c>
      <c r="O949" t="s">
        <v>2480</v>
      </c>
      <c r="P949" s="187">
        <v>45037.4383101852</v>
      </c>
      <c r="Q949" s="186">
        <v>9126</v>
      </c>
      <c r="R949" s="185" t="s">
        <v>844</v>
      </c>
      <c r="S949" s="185" t="s">
        <v>1598</v>
      </c>
      <c r="T949"/>
      <c r="U949" t="str">
        <f>IF($L949&gt;0,VLOOKUP($E949,Valida!$A$1:$G$270,6,FALSE),IF($M949&gt;=0,VLOOKUP($E949,Valida!$A$1:$G$270,7,FALSE)))</f>
        <v>(+/-) Ajustes por el incremento (disminución) de cuentas por pagar de origen comercial</v>
      </c>
      <c r="V949" s="190" t="str">
        <f>VLOOKUP(E949,Valida!$A$2:$K$271,4,FALSE)</f>
        <v>Trade and other payables</v>
      </c>
      <c r="W949" s="185" t="s">
        <v>1864</v>
      </c>
      <c r="X949" s="185" t="s">
        <v>1865</v>
      </c>
      <c r="Y949" s="185" t="s">
        <v>1789</v>
      </c>
      <c r="Z949"/>
    </row>
    <row r="950" spans="1:26">
      <c r="A950" s="185" t="s">
        <v>2451</v>
      </c>
      <c r="B950" s="185" t="s">
        <v>2481</v>
      </c>
      <c r="C950" s="185" t="s">
        <v>1792</v>
      </c>
      <c r="D950" s="185" t="s">
        <v>1923</v>
      </c>
      <c r="E950" s="185">
        <v>51352002</v>
      </c>
      <c r="F950" s="185" t="s">
        <v>1270</v>
      </c>
      <c r="G950" s="185" t="s">
        <v>1825</v>
      </c>
      <c r="H950" s="185" t="s">
        <v>1515</v>
      </c>
      <c r="I950" s="258" t="str">
        <f t="shared" si="43"/>
        <v>5</v>
      </c>
      <c r="J950" s="221">
        <f t="shared" si="44"/>
        <v>315314</v>
      </c>
      <c r="K950" s="258">
        <f t="shared" si="45"/>
        <v>4</v>
      </c>
      <c r="L950" s="188">
        <v>315314</v>
      </c>
      <c r="M950" s="188">
        <v>0</v>
      </c>
      <c r="N950" s="189">
        <v>900092385</v>
      </c>
      <c r="O950" t="s">
        <v>2482</v>
      </c>
      <c r="P950" s="187">
        <v>45037.439756944397</v>
      </c>
      <c r="Q950" s="186">
        <v>9127</v>
      </c>
      <c r="R950" s="185" t="s">
        <v>1841</v>
      </c>
      <c r="S950" s="185" t="s">
        <v>1590</v>
      </c>
      <c r="T950"/>
      <c r="U950" t="str">
        <f>IF($L950&gt;0,VLOOKUP($E950,Valida!$A$1:$G$270,6,FALSE),IF($M950&gt;=0,VLOOKUP($E950,Valida!$A$1:$G$270,7,FALSE)))</f>
        <v>(+/-) Ganancia (pérdida)</v>
      </c>
      <c r="V950" s="190" t="str">
        <f>VLOOKUP(E950,Valida!$A$2:$K$271,4,FALSE)</f>
        <v>P&amp;L</v>
      </c>
      <c r="W950" s="185" t="s">
        <v>1842</v>
      </c>
      <c r="X950" s="185" t="s">
        <v>1843</v>
      </c>
      <c r="Y950" s="185" t="s">
        <v>1844</v>
      </c>
      <c r="Z950"/>
    </row>
    <row r="951" spans="1:26">
      <c r="A951" s="185" t="s">
        <v>2451</v>
      </c>
      <c r="B951" s="185" t="s">
        <v>2481</v>
      </c>
      <c r="C951" s="185" t="s">
        <v>1792</v>
      </c>
      <c r="D951" s="185" t="s">
        <v>1923</v>
      </c>
      <c r="E951" s="185">
        <v>24081002</v>
      </c>
      <c r="F951" s="185" t="s">
        <v>1687</v>
      </c>
      <c r="G951" s="185" t="s">
        <v>1830</v>
      </c>
      <c r="H951" s="185" t="s">
        <v>1515</v>
      </c>
      <c r="I951" s="258" t="str">
        <f t="shared" si="43"/>
        <v>2</v>
      </c>
      <c r="J951" s="221">
        <f t="shared" si="44"/>
        <v>59910</v>
      </c>
      <c r="K951" s="258">
        <f t="shared" si="45"/>
        <v>4</v>
      </c>
      <c r="L951" s="188">
        <v>59910</v>
      </c>
      <c r="M951" s="188">
        <v>0</v>
      </c>
      <c r="N951" s="189">
        <v>900092385</v>
      </c>
      <c r="O951" t="s">
        <v>2482</v>
      </c>
      <c r="P951" s="187">
        <v>45037.439756944397</v>
      </c>
      <c r="Q951" s="186">
        <v>9128</v>
      </c>
      <c r="R951" s="185" t="s">
        <v>1841</v>
      </c>
      <c r="S951" s="185" t="s">
        <v>1590</v>
      </c>
      <c r="T951"/>
      <c r="U951" t="str">
        <f>IF($L951&gt;0,VLOOKUP($E951,Valida!$A$1:$G$270,6,FALSE),IF($M951&gt;=0,VLOOKUP($E951,Valida!$A$1:$G$270,7,FALSE)))</f>
        <v>(+/-) Ajustes por el incremento (disminución) de cuentas por pagar de origen comercial</v>
      </c>
      <c r="V951" s="190" t="str">
        <f>VLOOKUP(E951,Valida!$A$2:$K$271,4,FALSE)</f>
        <v>Trade and other payables</v>
      </c>
      <c r="W951" s="185" t="s">
        <v>1842</v>
      </c>
      <c r="X951" s="185" t="s">
        <v>1843</v>
      </c>
      <c r="Y951" s="185" t="s">
        <v>1844</v>
      </c>
      <c r="Z951"/>
    </row>
    <row r="952" spans="1:26">
      <c r="A952" s="185" t="s">
        <v>2451</v>
      </c>
      <c r="B952" s="185" t="s">
        <v>2481</v>
      </c>
      <c r="C952" s="185" t="s">
        <v>1792</v>
      </c>
      <c r="D952" s="185" t="s">
        <v>1923</v>
      </c>
      <c r="E952" s="185">
        <v>23355006</v>
      </c>
      <c r="F952" s="185" t="s">
        <v>519</v>
      </c>
      <c r="G952" s="185" t="s">
        <v>1825</v>
      </c>
      <c r="H952" s="185" t="s">
        <v>1628</v>
      </c>
      <c r="I952" s="258" t="str">
        <f t="shared" si="43"/>
        <v>2</v>
      </c>
      <c r="J952" s="221">
        <f t="shared" si="44"/>
        <v>-375224</v>
      </c>
      <c r="K952" s="258">
        <f t="shared" si="45"/>
        <v>4</v>
      </c>
      <c r="L952" s="188">
        <v>0</v>
      </c>
      <c r="M952" s="188">
        <v>375224</v>
      </c>
      <c r="N952" s="189">
        <v>900092385</v>
      </c>
      <c r="O952" t="s">
        <v>2482</v>
      </c>
      <c r="P952" s="187">
        <v>45037.439756944397</v>
      </c>
      <c r="Q952" s="186">
        <v>9129</v>
      </c>
      <c r="R952" s="185" t="s">
        <v>1841</v>
      </c>
      <c r="S952" s="185" t="s">
        <v>1590</v>
      </c>
      <c r="T952"/>
      <c r="U952" t="str">
        <f>IF($L952&gt;0,VLOOKUP($E952,Valida!$A$1:$G$270,6,FALSE),IF($M952&gt;=0,VLOOKUP($E952,Valida!$A$1:$G$270,7,FALSE)))</f>
        <v>(+/-) Ajustes por el incremento (disminución) de cuentas por pagar de origen comercial</v>
      </c>
      <c r="V952" s="190" t="str">
        <f>VLOOKUP(E952,Valida!$A$2:$K$271,4,FALSE)</f>
        <v>Trade and other payables</v>
      </c>
      <c r="W952" s="185" t="s">
        <v>1842</v>
      </c>
      <c r="X952" s="185" t="s">
        <v>1843</v>
      </c>
      <c r="Y952" s="185" t="s">
        <v>1844</v>
      </c>
      <c r="Z952"/>
    </row>
    <row r="953" spans="1:26">
      <c r="A953" s="185" t="s">
        <v>2459</v>
      </c>
      <c r="B953" s="185" t="s">
        <v>2483</v>
      </c>
      <c r="C953" s="185" t="s">
        <v>1792</v>
      </c>
      <c r="D953" s="185" t="s">
        <v>1925</v>
      </c>
      <c r="E953" s="185">
        <v>51352002</v>
      </c>
      <c r="F953" s="185" t="s">
        <v>1270</v>
      </c>
      <c r="G953" s="185" t="s">
        <v>1825</v>
      </c>
      <c r="H953" s="185" t="s">
        <v>1515</v>
      </c>
      <c r="I953" s="258" t="str">
        <f t="shared" si="43"/>
        <v>5</v>
      </c>
      <c r="J953" s="221">
        <f t="shared" si="44"/>
        <v>1224400</v>
      </c>
      <c r="K953" s="258">
        <f t="shared" si="45"/>
        <v>4</v>
      </c>
      <c r="L953" s="188">
        <v>1224400</v>
      </c>
      <c r="M953" s="188">
        <v>0</v>
      </c>
      <c r="N953" s="189">
        <v>899999115</v>
      </c>
      <c r="O953" t="s">
        <v>2484</v>
      </c>
      <c r="P953" s="187">
        <v>45037.440763888902</v>
      </c>
      <c r="Q953" s="186">
        <v>9130</v>
      </c>
      <c r="R953" s="185" t="s">
        <v>1827</v>
      </c>
      <c r="S953" s="185" t="s">
        <v>1586</v>
      </c>
      <c r="T953"/>
      <c r="U953" t="str">
        <f>IF($L953&gt;0,VLOOKUP($E953,Valida!$A$1:$G$270,6,FALSE),IF($M953&gt;=0,VLOOKUP($E953,Valida!$A$1:$G$270,7,FALSE)))</f>
        <v>(+/-) Ganancia (pérdida)</v>
      </c>
      <c r="V953" s="190" t="str">
        <f>VLOOKUP(E953,Valida!$A$2:$K$271,4,FALSE)</f>
        <v>P&amp;L</v>
      </c>
      <c r="W953" s="185" t="s">
        <v>1828</v>
      </c>
      <c r="X953" s="185" t="s">
        <v>1829</v>
      </c>
      <c r="Y953" s="185" t="s">
        <v>1789</v>
      </c>
      <c r="Z953"/>
    </row>
    <row r="954" spans="1:26">
      <c r="A954" s="185" t="s">
        <v>2459</v>
      </c>
      <c r="B954" s="185" t="s">
        <v>2483</v>
      </c>
      <c r="C954" s="185" t="s">
        <v>1792</v>
      </c>
      <c r="D954" s="185" t="s">
        <v>1925</v>
      </c>
      <c r="E954" s="185">
        <v>24081002</v>
      </c>
      <c r="F954" s="185" t="s">
        <v>1687</v>
      </c>
      <c r="G954" s="185" t="s">
        <v>1830</v>
      </c>
      <c r="H954" s="185" t="s">
        <v>1515</v>
      </c>
      <c r="I954" s="258" t="str">
        <f t="shared" si="43"/>
        <v>2</v>
      </c>
      <c r="J954" s="221">
        <f t="shared" si="44"/>
        <v>232636</v>
      </c>
      <c r="K954" s="258">
        <f t="shared" si="45"/>
        <v>4</v>
      </c>
      <c r="L954" s="188">
        <v>232636</v>
      </c>
      <c r="M954" s="188">
        <v>0</v>
      </c>
      <c r="N954" s="189">
        <v>899999115</v>
      </c>
      <c r="O954" t="s">
        <v>2484</v>
      </c>
      <c r="P954" s="187">
        <v>45037.440763888902</v>
      </c>
      <c r="Q954" s="186">
        <v>9131</v>
      </c>
      <c r="R954" s="185" t="s">
        <v>1827</v>
      </c>
      <c r="S954" s="185" t="s">
        <v>1586</v>
      </c>
      <c r="T954"/>
      <c r="U954" t="str">
        <f>IF($L954&gt;0,VLOOKUP($E954,Valida!$A$1:$G$270,6,FALSE),IF($M954&gt;=0,VLOOKUP($E954,Valida!$A$1:$G$270,7,FALSE)))</f>
        <v>(+/-) Ajustes por el incremento (disminución) de cuentas por pagar de origen comercial</v>
      </c>
      <c r="V954" s="190" t="str">
        <f>VLOOKUP(E954,Valida!$A$2:$K$271,4,FALSE)</f>
        <v>Trade and other payables</v>
      </c>
      <c r="W954" s="185" t="s">
        <v>1828</v>
      </c>
      <c r="X954" s="185" t="s">
        <v>1829</v>
      </c>
      <c r="Y954" s="185" t="s">
        <v>1789</v>
      </c>
      <c r="Z954"/>
    </row>
    <row r="955" spans="1:26">
      <c r="A955" s="185" t="s">
        <v>2459</v>
      </c>
      <c r="B955" s="185" t="s">
        <v>2483</v>
      </c>
      <c r="C955" s="185" t="s">
        <v>1792</v>
      </c>
      <c r="D955" s="185" t="s">
        <v>1925</v>
      </c>
      <c r="E955" s="185">
        <v>23355006</v>
      </c>
      <c r="F955" s="185" t="s">
        <v>519</v>
      </c>
      <c r="G955" s="185" t="s">
        <v>1825</v>
      </c>
      <c r="H955" s="185" t="s">
        <v>1628</v>
      </c>
      <c r="I955" s="258" t="str">
        <f t="shared" si="43"/>
        <v>2</v>
      </c>
      <c r="J955" s="221">
        <f t="shared" si="44"/>
        <v>-1457040</v>
      </c>
      <c r="K955" s="258">
        <f t="shared" si="45"/>
        <v>4</v>
      </c>
      <c r="L955" s="188">
        <v>0</v>
      </c>
      <c r="M955" s="188">
        <v>1457040</v>
      </c>
      <c r="N955" s="189">
        <v>899999115</v>
      </c>
      <c r="O955" t="s">
        <v>2484</v>
      </c>
      <c r="P955" s="187">
        <v>45037.440763888902</v>
      </c>
      <c r="Q955" s="186">
        <v>9132</v>
      </c>
      <c r="R955" s="185" t="s">
        <v>1827</v>
      </c>
      <c r="S955" s="185" t="s">
        <v>1586</v>
      </c>
      <c r="T955"/>
      <c r="U955" t="str">
        <f>IF($L955&gt;0,VLOOKUP($E955,Valida!$A$1:$G$270,6,FALSE),IF($M955&gt;=0,VLOOKUP($E955,Valida!$A$1:$G$270,7,FALSE)))</f>
        <v>(+/-) Ajustes por el incremento (disminución) de cuentas por pagar de origen comercial</v>
      </c>
      <c r="V955" s="190" t="str">
        <f>VLOOKUP(E955,Valida!$A$2:$K$271,4,FALSE)</f>
        <v>Trade and other payables</v>
      </c>
      <c r="W955" s="185" t="s">
        <v>1828</v>
      </c>
      <c r="X955" s="185" t="s">
        <v>1829</v>
      </c>
      <c r="Y955" s="185" t="s">
        <v>1789</v>
      </c>
      <c r="Z955"/>
    </row>
    <row r="956" spans="1:26">
      <c r="A956" s="185" t="s">
        <v>2459</v>
      </c>
      <c r="B956" s="185" t="s">
        <v>2483</v>
      </c>
      <c r="C956" s="185" t="s">
        <v>1792</v>
      </c>
      <c r="D956" s="185" t="s">
        <v>1925</v>
      </c>
      <c r="E956" s="185">
        <v>53059510</v>
      </c>
      <c r="F956" s="185" t="s">
        <v>1065</v>
      </c>
      <c r="G956" s="185" t="s">
        <v>1825</v>
      </c>
      <c r="H956" s="185" t="s">
        <v>1515</v>
      </c>
      <c r="I956" s="258" t="str">
        <f t="shared" si="43"/>
        <v>5</v>
      </c>
      <c r="J956" s="221">
        <f t="shared" si="44"/>
        <v>4</v>
      </c>
      <c r="K956" s="258">
        <f t="shared" si="45"/>
        <v>4</v>
      </c>
      <c r="L956" s="188">
        <v>4</v>
      </c>
      <c r="M956" s="188">
        <v>0</v>
      </c>
      <c r="N956" s="189">
        <v>899999115</v>
      </c>
      <c r="O956" t="s">
        <v>2484</v>
      </c>
      <c r="P956" s="187">
        <v>45037.440763888902</v>
      </c>
      <c r="Q956" s="186">
        <v>9133</v>
      </c>
      <c r="R956" s="185" t="s">
        <v>1827</v>
      </c>
      <c r="S956" s="185" t="s">
        <v>1586</v>
      </c>
      <c r="T956"/>
      <c r="U956" t="str">
        <f>IF($L956&gt;0,VLOOKUP($E956,Valida!$A$1:$G$270,6,FALSE),IF($M956&gt;=0,VLOOKUP($E956,Valida!$A$1:$G$270,7,FALSE)))</f>
        <v>(+/-) Ganancia (pérdida)</v>
      </c>
      <c r="V956" s="190" t="str">
        <f>VLOOKUP(E956,Valida!$A$2:$K$271,4,FALSE)</f>
        <v>P&amp;L</v>
      </c>
      <c r="W956" s="185" t="s">
        <v>1828</v>
      </c>
      <c r="X956" s="185" t="s">
        <v>1829</v>
      </c>
      <c r="Y956" s="185" t="s">
        <v>1789</v>
      </c>
      <c r="Z956"/>
    </row>
    <row r="957" spans="1:26">
      <c r="A957" s="185" t="s">
        <v>2485</v>
      </c>
      <c r="B957" s="185" t="s">
        <v>2486</v>
      </c>
      <c r="C957" s="185" t="s">
        <v>1792</v>
      </c>
      <c r="D957" s="185" t="s">
        <v>1931</v>
      </c>
      <c r="E957" s="185">
        <v>51401002</v>
      </c>
      <c r="F957" s="185" t="s">
        <v>1303</v>
      </c>
      <c r="G957" s="185" t="s">
        <v>2487</v>
      </c>
      <c r="H957" s="185" t="s">
        <v>1515</v>
      </c>
      <c r="I957" s="258" t="str">
        <f t="shared" si="43"/>
        <v>5</v>
      </c>
      <c r="J957" s="221">
        <f t="shared" si="44"/>
        <v>7200</v>
      </c>
      <c r="K957" s="258">
        <f t="shared" si="45"/>
        <v>4</v>
      </c>
      <c r="L957" s="188">
        <v>7200</v>
      </c>
      <c r="M957" s="188">
        <v>0</v>
      </c>
      <c r="N957" s="189">
        <v>860007322</v>
      </c>
      <c r="O957" t="s">
        <v>2488</v>
      </c>
      <c r="P957" s="187">
        <v>45037.442708333299</v>
      </c>
      <c r="Q957" s="186">
        <v>9134</v>
      </c>
      <c r="R957" s="185" t="s">
        <v>1841</v>
      </c>
      <c r="S957" s="185" t="s">
        <v>1566</v>
      </c>
      <c r="T957"/>
      <c r="U957" t="str">
        <f>IF($L957&gt;0,VLOOKUP($E957,Valida!$A$1:$G$270,6,FALSE),IF($M957&gt;=0,VLOOKUP($E957,Valida!$A$1:$G$270,7,FALSE)))</f>
        <v>(+/-) Ganancia (pérdida)</v>
      </c>
      <c r="V957" s="190" t="str">
        <f>VLOOKUP(E957,Valida!$A$2:$K$271,4,FALSE)</f>
        <v>P&amp;L</v>
      </c>
      <c r="W957" s="185" t="s">
        <v>2306</v>
      </c>
      <c r="X957" s="185"/>
      <c r="Y957" s="185" t="s">
        <v>1789</v>
      </c>
      <c r="Z957"/>
    </row>
    <row r="958" spans="1:26">
      <c r="A958" s="185" t="s">
        <v>2485</v>
      </c>
      <c r="B958" s="185" t="s">
        <v>2486</v>
      </c>
      <c r="C958" s="185" t="s">
        <v>1792</v>
      </c>
      <c r="D958" s="185" t="s">
        <v>1931</v>
      </c>
      <c r="E958" s="185">
        <v>23351001</v>
      </c>
      <c r="F958" s="185" t="s">
        <v>453</v>
      </c>
      <c r="G958" s="185" t="s">
        <v>2487</v>
      </c>
      <c r="H958" s="185" t="s">
        <v>1628</v>
      </c>
      <c r="I958" s="258" t="str">
        <f t="shared" si="43"/>
        <v>2</v>
      </c>
      <c r="J958" s="221">
        <f t="shared" si="44"/>
        <v>-7200</v>
      </c>
      <c r="K958" s="258">
        <f t="shared" si="45"/>
        <v>4</v>
      </c>
      <c r="L958" s="188">
        <v>0</v>
      </c>
      <c r="M958" s="188">
        <v>7200</v>
      </c>
      <c r="N958" s="189">
        <v>860007322</v>
      </c>
      <c r="O958" t="s">
        <v>2488</v>
      </c>
      <c r="P958" s="187">
        <v>45037.442708333299</v>
      </c>
      <c r="Q958" s="186">
        <v>9135</v>
      </c>
      <c r="R958" s="185" t="s">
        <v>1841</v>
      </c>
      <c r="S958" s="185" t="s">
        <v>1566</v>
      </c>
      <c r="T958"/>
      <c r="U958" t="str">
        <f>IF($L958&gt;0,VLOOKUP($E958,Valida!$A$1:$G$270,6,FALSE),IF($M958&gt;=0,VLOOKUP($E958,Valida!$A$1:$G$270,7,FALSE)))</f>
        <v>(+/-) Ajustes por el incremento (disminución) de cuentas por pagar de origen comercial</v>
      </c>
      <c r="V958" s="190" t="str">
        <f>VLOOKUP(E958,Valida!$A$2:$K$271,4,FALSE)</f>
        <v>Trade and other payables</v>
      </c>
      <c r="W958" s="185" t="s">
        <v>2306</v>
      </c>
      <c r="X958" s="185"/>
      <c r="Y958" s="185" t="s">
        <v>1789</v>
      </c>
      <c r="Z958"/>
    </row>
    <row r="959" spans="1:26">
      <c r="A959" s="185" t="s">
        <v>1790</v>
      </c>
      <c r="B959" s="185" t="s">
        <v>2489</v>
      </c>
      <c r="C959" s="185" t="s">
        <v>1792</v>
      </c>
      <c r="D959" s="185" t="s">
        <v>1936</v>
      </c>
      <c r="E959" s="185">
        <v>13300502</v>
      </c>
      <c r="F959" s="185" t="s">
        <v>129</v>
      </c>
      <c r="G959" s="185" t="s">
        <v>2490</v>
      </c>
      <c r="H959" s="185" t="s">
        <v>1515</v>
      </c>
      <c r="I959" s="258" t="str">
        <f t="shared" si="43"/>
        <v>1</v>
      </c>
      <c r="J959" s="221">
        <f t="shared" si="44"/>
        <v>3902890</v>
      </c>
      <c r="K959" s="258">
        <f t="shared" si="45"/>
        <v>4</v>
      </c>
      <c r="L959" s="188">
        <v>3902890</v>
      </c>
      <c r="M959" s="188">
        <v>0</v>
      </c>
      <c r="N959" s="189">
        <v>830062853</v>
      </c>
      <c r="O959" t="s">
        <v>2491</v>
      </c>
      <c r="P959" s="187">
        <v>45037.454351851899</v>
      </c>
      <c r="Q959" s="186">
        <v>9140</v>
      </c>
      <c r="R959" s="185" t="s">
        <v>433</v>
      </c>
      <c r="S959" s="185" t="s">
        <v>1564</v>
      </c>
      <c r="T959"/>
      <c r="U959" t="str">
        <f>IF($L959&gt;0,VLOOKUP($E959,Valida!$A$1:$G$270,6,FALSE),IF($M959&gt;=0,VLOOKUP($E959,Valida!$A$1:$G$270,7,FALSE)))</f>
        <v>(+/-) Ajustes por disminuciones (incrementos) en otras cuentas por cobrar derivadas de las actividades de operación</v>
      </c>
      <c r="V959" s="190" t="str">
        <f>VLOOKUP(E959,Valida!$A$2:$K$271,4,FALSE)</f>
        <v>Trade and other receivables</v>
      </c>
      <c r="W959" s="185" t="s">
        <v>2024</v>
      </c>
      <c r="X959" s="185" t="s">
        <v>2025</v>
      </c>
      <c r="Y959" s="185" t="s">
        <v>1789</v>
      </c>
      <c r="Z959"/>
    </row>
    <row r="960" spans="1:26">
      <c r="A960" s="185" t="s">
        <v>1790</v>
      </c>
      <c r="B960" s="185" t="s">
        <v>2489</v>
      </c>
      <c r="C960" s="185" t="s">
        <v>1792</v>
      </c>
      <c r="D960" s="185" t="s">
        <v>1936</v>
      </c>
      <c r="E960" s="185">
        <v>23359502</v>
      </c>
      <c r="F960" s="185" t="s">
        <v>547</v>
      </c>
      <c r="G960" s="185" t="s">
        <v>2490</v>
      </c>
      <c r="H960" s="185" t="s">
        <v>1628</v>
      </c>
      <c r="I960" s="258" t="str">
        <f t="shared" si="43"/>
        <v>2</v>
      </c>
      <c r="J960" s="221">
        <f t="shared" si="44"/>
        <v>-3902890</v>
      </c>
      <c r="K960" s="258">
        <f t="shared" si="45"/>
        <v>4</v>
      </c>
      <c r="L960" s="188">
        <v>0</v>
      </c>
      <c r="M960" s="188">
        <v>3902890</v>
      </c>
      <c r="N960" s="189">
        <v>830062853</v>
      </c>
      <c r="O960" t="s">
        <v>2491</v>
      </c>
      <c r="P960" s="187">
        <v>45037.454351851899</v>
      </c>
      <c r="Q960" s="186">
        <v>9141</v>
      </c>
      <c r="R960" s="185" t="s">
        <v>433</v>
      </c>
      <c r="S960" s="185" t="s">
        <v>1564</v>
      </c>
      <c r="T960"/>
      <c r="U960" t="str">
        <f>IF($L960&gt;0,VLOOKUP($E960,Valida!$A$1:$G$270,6,FALSE),IF($M960&gt;=0,VLOOKUP($E960,Valida!$A$1:$G$270,7,FALSE)))</f>
        <v>(+/-) Ajustes por el incremento (disminución) de cuentas por pagar de origen comercial</v>
      </c>
      <c r="V960" s="190" t="str">
        <f>VLOOKUP(E960,Valida!$A$2:$K$271,4,FALSE)</f>
        <v>Trade and other payables</v>
      </c>
      <c r="W960" s="185" t="s">
        <v>2024</v>
      </c>
      <c r="X960" s="185" t="s">
        <v>2025</v>
      </c>
      <c r="Y960" s="185" t="s">
        <v>1789</v>
      </c>
      <c r="Z960"/>
    </row>
    <row r="961" spans="1:26">
      <c r="A961" s="185" t="s">
        <v>1790</v>
      </c>
      <c r="B961" s="185" t="s">
        <v>2492</v>
      </c>
      <c r="C961" s="185" t="s">
        <v>1792</v>
      </c>
      <c r="D961" s="185" t="s">
        <v>1938</v>
      </c>
      <c r="E961" s="185">
        <v>51201001</v>
      </c>
      <c r="F961" s="185" t="s">
        <v>1189</v>
      </c>
      <c r="G961" s="185" t="s">
        <v>2493</v>
      </c>
      <c r="H961" s="185" t="s">
        <v>1515</v>
      </c>
      <c r="I961" s="258" t="str">
        <f t="shared" si="43"/>
        <v>5</v>
      </c>
      <c r="J961" s="221">
        <f t="shared" si="44"/>
        <v>12750000</v>
      </c>
      <c r="K961" s="258">
        <f t="shared" si="45"/>
        <v>4</v>
      </c>
      <c r="L961" s="188">
        <v>12750000</v>
      </c>
      <c r="M961" s="188">
        <v>0</v>
      </c>
      <c r="N961" s="189">
        <v>900471482</v>
      </c>
      <c r="O961" t="s">
        <v>2494</v>
      </c>
      <c r="P961" s="187">
        <v>45037.456979166702</v>
      </c>
      <c r="Q961" s="186">
        <v>9142</v>
      </c>
      <c r="R961" s="185" t="s">
        <v>6</v>
      </c>
      <c r="S961" s="185" t="s">
        <v>1600</v>
      </c>
      <c r="T961"/>
      <c r="U961" t="str">
        <f>IF($L961&gt;0,VLOOKUP($E961,Valida!$A$1:$G$270,6,FALSE),IF($M961&gt;=0,VLOOKUP($E961,Valida!$A$1:$G$270,7,FALSE)))</f>
        <v>(+/-) Ganancia (pérdida)</v>
      </c>
      <c r="V961" s="190" t="str">
        <f>VLOOKUP(E961,Valida!$A$2:$K$271,4,FALSE)</f>
        <v>P&amp;L</v>
      </c>
      <c r="W961" s="185" t="s">
        <v>1853</v>
      </c>
      <c r="X961" s="185" t="s">
        <v>1854</v>
      </c>
      <c r="Y961" s="185" t="s">
        <v>1789</v>
      </c>
      <c r="Z961"/>
    </row>
    <row r="962" spans="1:26">
      <c r="A962" s="185" t="s">
        <v>1790</v>
      </c>
      <c r="B962" s="185" t="s">
        <v>2492</v>
      </c>
      <c r="C962" s="185" t="s">
        <v>1792</v>
      </c>
      <c r="D962" s="185" t="s">
        <v>1938</v>
      </c>
      <c r="E962" s="185">
        <v>24081002</v>
      </c>
      <c r="F962" s="185" t="s">
        <v>1687</v>
      </c>
      <c r="G962" s="185" t="s">
        <v>2493</v>
      </c>
      <c r="H962" s="185" t="s">
        <v>1515</v>
      </c>
      <c r="I962" s="258" t="str">
        <f t="shared" si="43"/>
        <v>2</v>
      </c>
      <c r="J962" s="221">
        <f t="shared" si="44"/>
        <v>2422500</v>
      </c>
      <c r="K962" s="258">
        <f t="shared" si="45"/>
        <v>4</v>
      </c>
      <c r="L962" s="188">
        <v>2422500</v>
      </c>
      <c r="M962" s="188">
        <v>0</v>
      </c>
      <c r="N962" s="189">
        <v>900471482</v>
      </c>
      <c r="O962" t="s">
        <v>2494</v>
      </c>
      <c r="P962" s="187">
        <v>45037.456979166702</v>
      </c>
      <c r="Q962" s="186">
        <v>9143</v>
      </c>
      <c r="R962" s="185" t="s">
        <v>6</v>
      </c>
      <c r="S962" s="185" t="s">
        <v>1600</v>
      </c>
      <c r="T962"/>
      <c r="U962" t="str">
        <f>IF($L962&gt;0,VLOOKUP($E962,Valida!$A$1:$G$270,6,FALSE),IF($M962&gt;=0,VLOOKUP($E962,Valida!$A$1:$G$270,7,FALSE)))</f>
        <v>(+/-) Ajustes por el incremento (disminución) de cuentas por pagar de origen comercial</v>
      </c>
      <c r="V962" s="190" t="str">
        <f>VLOOKUP(E962,Valida!$A$2:$K$271,4,FALSE)</f>
        <v>Trade and other payables</v>
      </c>
      <c r="W962" s="185" t="s">
        <v>1853</v>
      </c>
      <c r="X962" s="185" t="s">
        <v>1854</v>
      </c>
      <c r="Y962" s="185" t="s">
        <v>1789</v>
      </c>
      <c r="Z962"/>
    </row>
    <row r="963" spans="1:26">
      <c r="A963" s="185" t="s">
        <v>1790</v>
      </c>
      <c r="B963" s="185" t="s">
        <v>2492</v>
      </c>
      <c r="C963" s="185" t="s">
        <v>1792</v>
      </c>
      <c r="D963" s="185" t="s">
        <v>1938</v>
      </c>
      <c r="E963" s="185">
        <v>23653001</v>
      </c>
      <c r="F963" s="185" t="s">
        <v>611</v>
      </c>
      <c r="G963" s="185" t="s">
        <v>2493</v>
      </c>
      <c r="H963" s="185" t="s">
        <v>1628</v>
      </c>
      <c r="I963" s="258" t="str">
        <f t="shared" ref="I963:I1026" si="46">LEFT(E963,1)</f>
        <v>2</v>
      </c>
      <c r="J963" s="221">
        <f t="shared" ref="J963:J1026" si="47">L963-M963</f>
        <v>-446250</v>
      </c>
      <c r="K963" s="258">
        <f t="shared" ref="K963:K1026" si="48">MONTH(A963)</f>
        <v>4</v>
      </c>
      <c r="L963" s="188">
        <v>0</v>
      </c>
      <c r="M963" s="188">
        <v>446250</v>
      </c>
      <c r="N963" s="189">
        <v>900471482</v>
      </c>
      <c r="O963" t="s">
        <v>2494</v>
      </c>
      <c r="P963" s="187">
        <v>45037.456979166702</v>
      </c>
      <c r="Q963" s="186">
        <v>9144</v>
      </c>
      <c r="R963" s="185" t="s">
        <v>6</v>
      </c>
      <c r="S963" s="185" t="s">
        <v>1600</v>
      </c>
      <c r="T963"/>
      <c r="U963" t="str">
        <f>IF($L963&gt;0,VLOOKUP($E963,Valida!$A$1:$G$270,6,FALSE),IF($M963&gt;=0,VLOOKUP($E963,Valida!$A$1:$G$270,7,FALSE)))</f>
        <v>(+/-) Ajustes por el incremento (disminución) de cuentas por pagar de origen comercial</v>
      </c>
      <c r="V963" s="190" t="str">
        <f>VLOOKUP(E963,Valida!$A$2:$K$271,4,FALSE)</f>
        <v>Trade and other payables</v>
      </c>
      <c r="W963" s="185" t="s">
        <v>1853</v>
      </c>
      <c r="X963" s="185" t="s">
        <v>1854</v>
      </c>
      <c r="Y963" s="185" t="s">
        <v>1789</v>
      </c>
      <c r="Z963"/>
    </row>
    <row r="964" spans="1:26">
      <c r="A964" s="185" t="s">
        <v>1790</v>
      </c>
      <c r="B964" s="185" t="s">
        <v>2492</v>
      </c>
      <c r="C964" s="185" t="s">
        <v>1792</v>
      </c>
      <c r="D964" s="185" t="s">
        <v>1938</v>
      </c>
      <c r="E964" s="185">
        <v>23680503</v>
      </c>
      <c r="F964" s="185" t="s">
        <v>665</v>
      </c>
      <c r="G964" s="185" t="s">
        <v>2493</v>
      </c>
      <c r="H964" s="185" t="s">
        <v>1628</v>
      </c>
      <c r="I964" s="258" t="str">
        <f t="shared" si="46"/>
        <v>2</v>
      </c>
      <c r="J964" s="221">
        <f t="shared" si="47"/>
        <v>-123165</v>
      </c>
      <c r="K964" s="258">
        <f t="shared" si="48"/>
        <v>4</v>
      </c>
      <c r="L964" s="188">
        <v>0</v>
      </c>
      <c r="M964" s="188">
        <v>123165</v>
      </c>
      <c r="N964" s="189">
        <v>900471482</v>
      </c>
      <c r="O964" t="s">
        <v>2494</v>
      </c>
      <c r="P964" s="187">
        <v>45037.456979166702</v>
      </c>
      <c r="Q964" s="186">
        <v>9145</v>
      </c>
      <c r="R964" s="185" t="s">
        <v>6</v>
      </c>
      <c r="S964" s="185" t="s">
        <v>1600</v>
      </c>
      <c r="T964"/>
      <c r="U964" t="str">
        <f>IF($L964&gt;0,VLOOKUP($E964,Valida!$A$1:$G$270,6,FALSE),IF($M964&gt;=0,VLOOKUP($E964,Valida!$A$1:$G$270,7,FALSE)))</f>
        <v>(+/-) Ajustes por el incremento (disminución) de cuentas por pagar de origen comercial</v>
      </c>
      <c r="V964" s="190" t="str">
        <f>VLOOKUP(E964,Valida!$A$2:$K$271,4,FALSE)</f>
        <v>Trade and other payables</v>
      </c>
      <c r="W964" s="185" t="s">
        <v>1853</v>
      </c>
      <c r="X964" s="185" t="s">
        <v>1854</v>
      </c>
      <c r="Y964" s="185" t="s">
        <v>1789</v>
      </c>
      <c r="Z964"/>
    </row>
    <row r="965" spans="1:26">
      <c r="A965" s="185" t="s">
        <v>1790</v>
      </c>
      <c r="B965" s="185" t="s">
        <v>2492</v>
      </c>
      <c r="C965" s="185" t="s">
        <v>1792</v>
      </c>
      <c r="D965" s="185" t="s">
        <v>1938</v>
      </c>
      <c r="E965" s="185">
        <v>23354001</v>
      </c>
      <c r="F965" s="185" t="s">
        <v>484</v>
      </c>
      <c r="G965" s="185" t="s">
        <v>2495</v>
      </c>
      <c r="H965" s="185" t="s">
        <v>1628</v>
      </c>
      <c r="I965" s="258" t="str">
        <f t="shared" si="46"/>
        <v>2</v>
      </c>
      <c r="J965" s="221">
        <f t="shared" si="47"/>
        <v>-14603085</v>
      </c>
      <c r="K965" s="258">
        <f t="shared" si="48"/>
        <v>4</v>
      </c>
      <c r="L965" s="188">
        <v>0</v>
      </c>
      <c r="M965" s="188">
        <v>14603085</v>
      </c>
      <c r="N965" s="189">
        <v>900471482</v>
      </c>
      <c r="O965" t="s">
        <v>2494</v>
      </c>
      <c r="P965" s="187">
        <v>45037.456979166702</v>
      </c>
      <c r="Q965" s="186">
        <v>9146</v>
      </c>
      <c r="R965" s="185" t="s">
        <v>6</v>
      </c>
      <c r="S965" s="185" t="s">
        <v>1600</v>
      </c>
      <c r="T965"/>
      <c r="U965" t="str">
        <f>IF($L965&gt;0,VLOOKUP($E965,Valida!$A$1:$G$270,6,FALSE),IF($M965&gt;=0,VLOOKUP($E965,Valida!$A$1:$G$270,7,FALSE)))</f>
        <v>(+/-) Ajustes por el incremento (disminución) de cuentas por pagar de origen comercial</v>
      </c>
      <c r="V965" s="190" t="str">
        <f>VLOOKUP(E965,Valida!$A$2:$K$271,4,FALSE)</f>
        <v>Trade and other payables</v>
      </c>
      <c r="W965" s="185" t="s">
        <v>1853</v>
      </c>
      <c r="X965" s="185" t="s">
        <v>1854</v>
      </c>
      <c r="Y965" s="185" t="s">
        <v>1789</v>
      </c>
      <c r="Z965"/>
    </row>
    <row r="966" spans="1:26">
      <c r="A966" s="185" t="s">
        <v>2496</v>
      </c>
      <c r="B966" s="185" t="s">
        <v>2497</v>
      </c>
      <c r="C966" s="185" t="s">
        <v>1792</v>
      </c>
      <c r="D966" s="185" t="s">
        <v>1941</v>
      </c>
      <c r="E966" s="185">
        <v>51059501</v>
      </c>
      <c r="F966" s="185" t="s">
        <v>1129</v>
      </c>
      <c r="G966" s="185" t="s">
        <v>2119</v>
      </c>
      <c r="H966" s="185" t="s">
        <v>1515</v>
      </c>
      <c r="I966" s="258" t="str">
        <f t="shared" si="46"/>
        <v>5</v>
      </c>
      <c r="J966" s="221">
        <f t="shared" si="47"/>
        <v>58500</v>
      </c>
      <c r="K966" s="258">
        <f t="shared" si="48"/>
        <v>4</v>
      </c>
      <c r="L966" s="188">
        <v>58500</v>
      </c>
      <c r="M966" s="188">
        <v>0</v>
      </c>
      <c r="N966" s="189">
        <v>900170994</v>
      </c>
      <c r="O966" t="s">
        <v>2498</v>
      </c>
      <c r="P966" s="187">
        <v>45037.458090277803</v>
      </c>
      <c r="Q966" s="186">
        <v>9147</v>
      </c>
      <c r="R966" s="185" t="s">
        <v>1841</v>
      </c>
      <c r="S966" s="185" t="s">
        <v>1592</v>
      </c>
      <c r="T966"/>
      <c r="U966" t="str">
        <f>IF($L966&gt;0,VLOOKUP($E966,Valida!$A$1:$G$270,6,FALSE),IF($M966&gt;=0,VLOOKUP($E966,Valida!$A$1:$G$270,7,FALSE)))</f>
        <v>(+/-) Ganancia (pérdida)</v>
      </c>
      <c r="V966" s="190" t="str">
        <f>VLOOKUP(E966,Valida!$A$2:$K$271,4,FALSE)</f>
        <v>P&amp;L</v>
      </c>
      <c r="W966" s="185" t="s">
        <v>2030</v>
      </c>
      <c r="X966" s="185" t="s">
        <v>2031</v>
      </c>
      <c r="Y966" s="185" t="s">
        <v>1789</v>
      </c>
      <c r="Z966"/>
    </row>
    <row r="967" spans="1:26">
      <c r="A967" s="185" t="s">
        <v>2496</v>
      </c>
      <c r="B967" s="185" t="s">
        <v>2497</v>
      </c>
      <c r="C967" s="185" t="s">
        <v>1792</v>
      </c>
      <c r="D967" s="185" t="s">
        <v>1941</v>
      </c>
      <c r="E967" s="185">
        <v>23352503</v>
      </c>
      <c r="F967" s="185" t="s">
        <v>470</v>
      </c>
      <c r="G967" s="185" t="s">
        <v>2119</v>
      </c>
      <c r="H967" s="185" t="s">
        <v>1628</v>
      </c>
      <c r="I967" s="258" t="str">
        <f t="shared" si="46"/>
        <v>2</v>
      </c>
      <c r="J967" s="221">
        <f t="shared" si="47"/>
        <v>-58500</v>
      </c>
      <c r="K967" s="258">
        <f t="shared" si="48"/>
        <v>4</v>
      </c>
      <c r="L967" s="188">
        <v>0</v>
      </c>
      <c r="M967" s="188">
        <v>58500</v>
      </c>
      <c r="N967" s="189">
        <v>900170994</v>
      </c>
      <c r="O967" t="s">
        <v>2498</v>
      </c>
      <c r="P967" s="187">
        <v>45037.458090277803</v>
      </c>
      <c r="Q967" s="186">
        <v>9148</v>
      </c>
      <c r="R967" s="185" t="s">
        <v>1841</v>
      </c>
      <c r="S967" s="185" t="s">
        <v>1592</v>
      </c>
      <c r="T967"/>
      <c r="U967" t="str">
        <f>IF($L967&gt;0,VLOOKUP($E967,Valida!$A$1:$G$270,6,FALSE),IF($M967&gt;=0,VLOOKUP($E967,Valida!$A$1:$G$270,7,FALSE)))</f>
        <v>(+/-) Ajustes por el incremento (disminución) de cuentas por pagar de origen comercial</v>
      </c>
      <c r="V967" s="190" t="str">
        <f>VLOOKUP(E967,Valida!$A$2:$K$271,4,FALSE)</f>
        <v>Trade and other payables</v>
      </c>
      <c r="W967" s="185" t="s">
        <v>2030</v>
      </c>
      <c r="X967" s="185" t="s">
        <v>2031</v>
      </c>
      <c r="Y967" s="185" t="s">
        <v>1789</v>
      </c>
      <c r="Z967"/>
    </row>
    <row r="968" spans="1:26">
      <c r="A968" s="185" t="s">
        <v>2496</v>
      </c>
      <c r="B968" s="185" t="s">
        <v>2499</v>
      </c>
      <c r="C968" s="185" t="s">
        <v>1949</v>
      </c>
      <c r="D968" s="185" t="s">
        <v>1992</v>
      </c>
      <c r="E968" s="185">
        <v>130510</v>
      </c>
      <c r="F968" s="185" t="s">
        <v>64</v>
      </c>
      <c r="G968" s="185" t="s">
        <v>1921</v>
      </c>
      <c r="H968" s="185" t="s">
        <v>1628</v>
      </c>
      <c r="I968" s="258" t="str">
        <f t="shared" si="46"/>
        <v>1</v>
      </c>
      <c r="J968" s="221">
        <f t="shared" si="47"/>
        <v>-30504270.960000001</v>
      </c>
      <c r="K968" s="258">
        <f t="shared" si="48"/>
        <v>4</v>
      </c>
      <c r="L968" s="188">
        <v>0</v>
      </c>
      <c r="M968" s="188">
        <v>30504270.960000001</v>
      </c>
      <c r="N968" s="189">
        <v>374795</v>
      </c>
      <c r="O968" t="s">
        <v>2499</v>
      </c>
      <c r="P968" s="187">
        <v>45037.459282407399</v>
      </c>
      <c r="Q968" s="186">
        <v>9149</v>
      </c>
      <c r="R968" s="185"/>
      <c r="S968" s="185" t="s">
        <v>1544</v>
      </c>
      <c r="T968"/>
      <c r="U968" t="str">
        <f>IF($L968&gt;0,VLOOKUP($E968,Valida!$A$1:$G$270,6,FALSE),IF($M968&gt;=0,VLOOKUP($E968,Valida!$A$1:$G$270,7,FALSE)))</f>
        <v>(+/-) Ajustes por la disminución (incremento) de cuentas por cobrar de origen comercial</v>
      </c>
      <c r="V968" s="190" t="str">
        <f>VLOOKUP(E968,Valida!$A$2:$K$271,4,FALSE)</f>
        <v>Trade and other receivables</v>
      </c>
      <c r="W968" s="185" t="s">
        <v>1803</v>
      </c>
      <c r="X968" s="185"/>
      <c r="Y968" s="185"/>
      <c r="Z968"/>
    </row>
    <row r="969" spans="1:26">
      <c r="A969" s="185" t="s">
        <v>2496</v>
      </c>
      <c r="B969" s="185" t="s">
        <v>2499</v>
      </c>
      <c r="C969" s="185" t="s">
        <v>1949</v>
      </c>
      <c r="D969" s="185" t="s">
        <v>1992</v>
      </c>
      <c r="E969" s="185">
        <v>112005</v>
      </c>
      <c r="F969" s="185" t="s">
        <v>24</v>
      </c>
      <c r="G969" s="185" t="s">
        <v>1921</v>
      </c>
      <c r="H969" s="185" t="s">
        <v>1515</v>
      </c>
      <c r="I969" s="258" t="str">
        <f t="shared" si="46"/>
        <v>1</v>
      </c>
      <c r="J969" s="221">
        <f t="shared" si="47"/>
        <v>29402755</v>
      </c>
      <c r="K969" s="258">
        <f t="shared" si="48"/>
        <v>4</v>
      </c>
      <c r="L969" s="188">
        <v>29402755</v>
      </c>
      <c r="M969" s="188">
        <v>0</v>
      </c>
      <c r="N969" s="189">
        <v>374795</v>
      </c>
      <c r="O969" t="s">
        <v>2499</v>
      </c>
      <c r="P969" s="187">
        <v>45037.459282407399</v>
      </c>
      <c r="Q969" s="186">
        <v>9150</v>
      </c>
      <c r="R969" s="185"/>
      <c r="S969" s="185" t="s">
        <v>1544</v>
      </c>
      <c r="T969" t="s">
        <v>1894</v>
      </c>
      <c r="U969" t="str">
        <f>IF($L969&gt;0,VLOOKUP($E969,Valida!$A$1:$G$270,6,FALSE),IF($M969&gt;=0,VLOOKUP($E969,Valida!$A$1:$G$270,7,FALSE)))</f>
        <v>Disponible</v>
      </c>
      <c r="V969" s="190" t="str">
        <f>VLOOKUP(E969,Valida!$A$2:$K$271,4,FALSE)</f>
        <v>Cash and equivalents</v>
      </c>
      <c r="W969" s="185" t="s">
        <v>1803</v>
      </c>
      <c r="X969" s="185"/>
      <c r="Y969" s="185"/>
      <c r="Z969"/>
    </row>
    <row r="970" spans="1:26">
      <c r="A970" s="185" t="s">
        <v>2496</v>
      </c>
      <c r="B970" s="185" t="s">
        <v>2499</v>
      </c>
      <c r="C970" s="185" t="s">
        <v>1949</v>
      </c>
      <c r="D970" s="185" t="s">
        <v>1992</v>
      </c>
      <c r="E970" s="185">
        <v>53052501</v>
      </c>
      <c r="F970" s="185" t="s">
        <v>1752</v>
      </c>
      <c r="G970" s="185" t="s">
        <v>1921</v>
      </c>
      <c r="H970" s="185" t="s">
        <v>1515</v>
      </c>
      <c r="I970" s="258" t="str">
        <f t="shared" si="46"/>
        <v>5</v>
      </c>
      <c r="J970" s="221">
        <f t="shared" si="47"/>
        <v>1101515.96</v>
      </c>
      <c r="K970" s="258">
        <f t="shared" si="48"/>
        <v>4</v>
      </c>
      <c r="L970" s="188">
        <v>1101515.96</v>
      </c>
      <c r="M970" s="188">
        <v>0</v>
      </c>
      <c r="N970" s="189">
        <v>374795</v>
      </c>
      <c r="O970" t="s">
        <v>2499</v>
      </c>
      <c r="P970" s="187">
        <v>45037.459282407399</v>
      </c>
      <c r="Q970" s="186">
        <v>9151</v>
      </c>
      <c r="R970" s="185"/>
      <c r="S970" s="185" t="s">
        <v>1544</v>
      </c>
      <c r="T970"/>
      <c r="U970" t="str">
        <f>IF($L970&gt;0,VLOOKUP($E970,Valida!$A$1:$G$270,6,FALSE),IF($M970&gt;=0,VLOOKUP($E970,Valida!$A$1:$G$270,7,FALSE)))</f>
        <v>(+/-) Ganancia (pérdida)</v>
      </c>
      <c r="V970" s="190" t="str">
        <f>VLOOKUP(E970,Valida!$A$2:$K$271,4,FALSE)</f>
        <v>P&amp;L</v>
      </c>
      <c r="W970" s="185" t="s">
        <v>1803</v>
      </c>
      <c r="X970" s="185"/>
      <c r="Y970" s="185"/>
      <c r="Z970"/>
    </row>
    <row r="971" spans="1:26">
      <c r="A971" s="185" t="s">
        <v>2500</v>
      </c>
      <c r="B971" s="185" t="s">
        <v>2501</v>
      </c>
      <c r="C971" s="185" t="s">
        <v>1890</v>
      </c>
      <c r="D971" s="185" t="s">
        <v>2502</v>
      </c>
      <c r="E971" s="185">
        <v>23355002</v>
      </c>
      <c r="F971" s="185" t="s">
        <v>506</v>
      </c>
      <c r="G971" s="185" t="s">
        <v>2503</v>
      </c>
      <c r="H971" s="185" t="s">
        <v>1515</v>
      </c>
      <c r="I971" s="258" t="str">
        <f t="shared" si="46"/>
        <v>2</v>
      </c>
      <c r="J971" s="221">
        <f t="shared" si="47"/>
        <v>111563.47</v>
      </c>
      <c r="K971" s="258">
        <f t="shared" si="48"/>
        <v>4</v>
      </c>
      <c r="L971" s="188">
        <v>111563.47</v>
      </c>
      <c r="M971" s="188">
        <v>0</v>
      </c>
      <c r="N971" s="189">
        <v>440493581</v>
      </c>
      <c r="O971" t="s">
        <v>2501</v>
      </c>
      <c r="P971" s="187">
        <v>45037.463854166701</v>
      </c>
      <c r="Q971" s="186">
        <v>9152</v>
      </c>
      <c r="R971" s="185"/>
      <c r="S971" s="185" t="s">
        <v>1546</v>
      </c>
      <c r="T971"/>
      <c r="U971" t="str">
        <f>IF($L971&gt;0,VLOOKUP($E971,Valida!$A$1:$G$270,6,FALSE),IF($M971&gt;=0,VLOOKUP($E971,Valida!$A$1:$G$270,7,FALSE)))</f>
        <v>(+/-) Ajustes por el incremento (disminución) de cuentas por pagar de origen comercial</v>
      </c>
      <c r="V971" s="190" t="str">
        <f>VLOOKUP(E971,Valida!$A$2:$K$271,4,FALSE)</f>
        <v>Trade and other payables</v>
      </c>
      <c r="W971" s="185" t="s">
        <v>1808</v>
      </c>
      <c r="X971" s="185"/>
      <c r="Y971" s="185"/>
      <c r="Z971"/>
    </row>
    <row r="972" spans="1:26">
      <c r="A972" s="185" t="s">
        <v>2500</v>
      </c>
      <c r="B972" s="185" t="s">
        <v>2501</v>
      </c>
      <c r="C972" s="185" t="s">
        <v>1890</v>
      </c>
      <c r="D972" s="185" t="s">
        <v>2502</v>
      </c>
      <c r="E972" s="185">
        <v>112005</v>
      </c>
      <c r="F972" s="185" t="s">
        <v>24</v>
      </c>
      <c r="G972" s="185" t="s">
        <v>2503</v>
      </c>
      <c r="H972" s="185" t="s">
        <v>1628</v>
      </c>
      <c r="I972" s="258" t="str">
        <f t="shared" si="46"/>
        <v>1</v>
      </c>
      <c r="J972" s="221">
        <f t="shared" si="47"/>
        <v>-111563.47</v>
      </c>
      <c r="K972" s="258">
        <f t="shared" si="48"/>
        <v>4</v>
      </c>
      <c r="L972" s="188">
        <v>0</v>
      </c>
      <c r="M972" s="188">
        <v>111563.47</v>
      </c>
      <c r="N972" s="189">
        <v>440493581</v>
      </c>
      <c r="O972" t="s">
        <v>2501</v>
      </c>
      <c r="P972" s="187">
        <v>45037.463854166701</v>
      </c>
      <c r="Q972" s="186">
        <v>9153</v>
      </c>
      <c r="R972" s="185"/>
      <c r="S972" s="185" t="s">
        <v>1546</v>
      </c>
      <c r="T972" t="s">
        <v>1894</v>
      </c>
      <c r="U972" t="str">
        <f>IF($L972&gt;0,VLOOKUP($E972,Valida!$A$1:$G$270,6,FALSE),IF($M972&gt;=0,VLOOKUP($E972,Valida!$A$1:$G$270,7,FALSE)))</f>
        <v>Disponible</v>
      </c>
      <c r="V972" s="190" t="str">
        <f>VLOOKUP(E972,Valida!$A$2:$K$271,4,FALSE)</f>
        <v>Cash and equivalents</v>
      </c>
      <c r="W972" s="185" t="s">
        <v>1808</v>
      </c>
      <c r="X972" s="185"/>
      <c r="Y972" s="185"/>
      <c r="Z972"/>
    </row>
    <row r="973" spans="1:26">
      <c r="A973" s="185" t="s">
        <v>2504</v>
      </c>
      <c r="B973" s="185" t="s">
        <v>2505</v>
      </c>
      <c r="C973" s="185" t="s">
        <v>1890</v>
      </c>
      <c r="D973" s="185" t="s">
        <v>2506</v>
      </c>
      <c r="E973" s="185">
        <v>133015</v>
      </c>
      <c r="F973" s="185" t="s">
        <v>138</v>
      </c>
      <c r="G973" s="185" t="s">
        <v>2507</v>
      </c>
      <c r="H973" s="185" t="s">
        <v>1515</v>
      </c>
      <c r="I973" s="258" t="str">
        <f t="shared" si="46"/>
        <v>1</v>
      </c>
      <c r="J973" s="221">
        <f t="shared" si="47"/>
        <v>200000</v>
      </c>
      <c r="K973" s="258">
        <f t="shared" si="48"/>
        <v>4</v>
      </c>
      <c r="L973" s="188">
        <v>200000</v>
      </c>
      <c r="M973" s="188">
        <v>0</v>
      </c>
      <c r="N973" s="189">
        <v>1000018061</v>
      </c>
      <c r="O973" t="s">
        <v>2505</v>
      </c>
      <c r="P973" s="187">
        <v>45037.464837963002</v>
      </c>
      <c r="Q973" s="186">
        <v>9154</v>
      </c>
      <c r="R973" s="185"/>
      <c r="S973" s="185" t="s">
        <v>1522</v>
      </c>
      <c r="T973"/>
      <c r="U973" t="str">
        <f>IF($L973&gt;0,VLOOKUP($E973,Valida!$A$1:$G$270,6,FALSE),IF($M973&gt;=0,VLOOKUP($E973,Valida!$A$1:$G$270,7,FALSE)))</f>
        <v>(+/-) Ajustes por disminuciones (incrementos) en otras cuentas por cobrar derivadas de las actividades de operación</v>
      </c>
      <c r="V973" s="190" t="str">
        <f>VLOOKUP(E973,Valida!$A$2:$K$271,4,FALSE)</f>
        <v>Trade and other receivables</v>
      </c>
      <c r="W973" s="185" t="s">
        <v>1978</v>
      </c>
      <c r="X973" s="185"/>
      <c r="Y973" s="185" t="s">
        <v>1789</v>
      </c>
      <c r="Z973"/>
    </row>
    <row r="974" spans="1:26">
      <c r="A974" s="185" t="s">
        <v>2504</v>
      </c>
      <c r="B974" s="185" t="s">
        <v>2505</v>
      </c>
      <c r="C974" s="185" t="s">
        <v>1890</v>
      </c>
      <c r="D974" s="185" t="s">
        <v>2506</v>
      </c>
      <c r="E974" s="185">
        <v>112005</v>
      </c>
      <c r="F974" s="185" t="s">
        <v>24</v>
      </c>
      <c r="G974" s="185" t="s">
        <v>2507</v>
      </c>
      <c r="H974" s="185" t="s">
        <v>1628</v>
      </c>
      <c r="I974" s="258" t="str">
        <f t="shared" si="46"/>
        <v>1</v>
      </c>
      <c r="J974" s="221">
        <f t="shared" si="47"/>
        <v>-200000</v>
      </c>
      <c r="K974" s="258">
        <f t="shared" si="48"/>
        <v>4</v>
      </c>
      <c r="L974" s="188">
        <v>0</v>
      </c>
      <c r="M974" s="188">
        <v>200000</v>
      </c>
      <c r="N974" s="189">
        <v>1000018061</v>
      </c>
      <c r="O974" t="s">
        <v>2505</v>
      </c>
      <c r="P974" s="187">
        <v>45037.464837963002</v>
      </c>
      <c r="Q974" s="186">
        <v>9155</v>
      </c>
      <c r="R974" s="185"/>
      <c r="S974" s="185" t="s">
        <v>1522</v>
      </c>
      <c r="T974" t="s">
        <v>1894</v>
      </c>
      <c r="U974" t="str">
        <f>IF($L974&gt;0,VLOOKUP($E974,Valida!$A$1:$G$270,6,FALSE),IF($M974&gt;=0,VLOOKUP($E974,Valida!$A$1:$G$270,7,FALSE)))</f>
        <v>Disponible</v>
      </c>
      <c r="V974" s="190" t="str">
        <f>VLOOKUP(E974,Valida!$A$2:$K$271,4,FALSE)</f>
        <v>Cash and equivalents</v>
      </c>
      <c r="W974" s="185" t="s">
        <v>1978</v>
      </c>
      <c r="X974" s="185"/>
      <c r="Y974" s="185" t="s">
        <v>1789</v>
      </c>
      <c r="Z974"/>
    </row>
    <row r="975" spans="1:26">
      <c r="A975" s="185" t="s">
        <v>2468</v>
      </c>
      <c r="B975" s="185" t="s">
        <v>2508</v>
      </c>
      <c r="C975" s="185" t="s">
        <v>1890</v>
      </c>
      <c r="D975" s="185" t="s">
        <v>2509</v>
      </c>
      <c r="E975" s="185">
        <v>236595</v>
      </c>
      <c r="F975" s="185" t="s">
        <v>648</v>
      </c>
      <c r="G975" s="185" t="s">
        <v>2174</v>
      </c>
      <c r="H975" s="185" t="s">
        <v>1515</v>
      </c>
      <c r="I975" s="258" t="str">
        <f t="shared" si="46"/>
        <v>2</v>
      </c>
      <c r="J975" s="221">
        <f t="shared" si="47"/>
        <v>1490000</v>
      </c>
      <c r="K975" s="258">
        <f t="shared" si="48"/>
        <v>4</v>
      </c>
      <c r="L975" s="188">
        <v>1490000</v>
      </c>
      <c r="M975" s="188">
        <v>0</v>
      </c>
      <c r="N975" s="189">
        <v>800197268</v>
      </c>
      <c r="O975" t="s">
        <v>2508</v>
      </c>
      <c r="P975" s="187">
        <v>45037.466192129599</v>
      </c>
      <c r="Q975" s="186">
        <v>9156</v>
      </c>
      <c r="R975" s="185" t="s">
        <v>983</v>
      </c>
      <c r="S975" s="185" t="s">
        <v>1558</v>
      </c>
      <c r="T975"/>
      <c r="U975" t="str">
        <f>IF($L975&gt;0,VLOOKUP($E975,Valida!$A$1:$G$270,6,FALSE),IF($M975&gt;=0,VLOOKUP($E975,Valida!$A$1:$G$270,7,FALSE)))</f>
        <v>(+/-) Ajustes por el incremento (disminución) de cuentas por pagar de origen comercial</v>
      </c>
      <c r="V975" s="190" t="str">
        <f>VLOOKUP(E975,Valida!$A$2:$K$271,4,FALSE)</f>
        <v>Trade and other payables</v>
      </c>
      <c r="W975" s="185" t="s">
        <v>1944</v>
      </c>
      <c r="X975" s="185"/>
      <c r="Y975" s="185" t="s">
        <v>1789</v>
      </c>
      <c r="Z975"/>
    </row>
    <row r="976" spans="1:26">
      <c r="A976" s="185" t="s">
        <v>2468</v>
      </c>
      <c r="B976" s="185" t="s">
        <v>2508</v>
      </c>
      <c r="C976" s="185" t="s">
        <v>1890</v>
      </c>
      <c r="D976" s="185" t="s">
        <v>2509</v>
      </c>
      <c r="E976" s="185">
        <v>112005</v>
      </c>
      <c r="F976" s="185" t="s">
        <v>24</v>
      </c>
      <c r="G976" s="185" t="s">
        <v>2174</v>
      </c>
      <c r="H976" s="185" t="s">
        <v>1628</v>
      </c>
      <c r="I976" s="258" t="str">
        <f t="shared" si="46"/>
        <v>1</v>
      </c>
      <c r="J976" s="221">
        <f t="shared" si="47"/>
        <v>-1490000</v>
      </c>
      <c r="K976" s="258">
        <f t="shared" si="48"/>
        <v>4</v>
      </c>
      <c r="L976" s="188">
        <v>0</v>
      </c>
      <c r="M976" s="188">
        <v>1490000</v>
      </c>
      <c r="N976" s="189">
        <v>800197268</v>
      </c>
      <c r="O976" t="s">
        <v>2508</v>
      </c>
      <c r="P976" s="187">
        <v>45037.466192129599</v>
      </c>
      <c r="Q976" s="186">
        <v>9157</v>
      </c>
      <c r="R976" s="185" t="s">
        <v>983</v>
      </c>
      <c r="S976" s="185" t="s">
        <v>1558</v>
      </c>
      <c r="T976" t="s">
        <v>1894</v>
      </c>
      <c r="U976" t="str">
        <f>IF($L976&gt;0,VLOOKUP($E976,Valida!$A$1:$G$270,6,FALSE),IF($M976&gt;=0,VLOOKUP($E976,Valida!$A$1:$G$270,7,FALSE)))</f>
        <v>Disponible</v>
      </c>
      <c r="V976" s="190" t="str">
        <f>VLOOKUP(E976,Valida!$A$2:$K$271,4,FALSE)</f>
        <v>Cash and equivalents</v>
      </c>
      <c r="W976" s="185" t="s">
        <v>1944</v>
      </c>
      <c r="X976" s="185"/>
      <c r="Y976" s="185" t="s">
        <v>1789</v>
      </c>
      <c r="Z976"/>
    </row>
    <row r="977" spans="1:26">
      <c r="A977" s="185" t="s">
        <v>2468</v>
      </c>
      <c r="B977" s="185" t="s">
        <v>2510</v>
      </c>
      <c r="C977" s="185" t="s">
        <v>1890</v>
      </c>
      <c r="D977" s="185" t="s">
        <v>2511</v>
      </c>
      <c r="E977" s="185">
        <v>539520</v>
      </c>
      <c r="F977" s="185" t="s">
        <v>1758</v>
      </c>
      <c r="G977" s="185" t="s">
        <v>2512</v>
      </c>
      <c r="H977" s="185" t="s">
        <v>1515</v>
      </c>
      <c r="I977" s="258" t="str">
        <f t="shared" si="46"/>
        <v>5</v>
      </c>
      <c r="J977" s="221">
        <f t="shared" si="47"/>
        <v>424000</v>
      </c>
      <c r="K977" s="258">
        <f t="shared" si="48"/>
        <v>4</v>
      </c>
      <c r="L977" s="188">
        <v>424000</v>
      </c>
      <c r="M977" s="188">
        <v>0</v>
      </c>
      <c r="N977" s="189">
        <v>800197268</v>
      </c>
      <c r="O977" t="s">
        <v>2510</v>
      </c>
      <c r="P977" s="187">
        <v>45037.467118055603</v>
      </c>
      <c r="Q977" s="186">
        <v>9158</v>
      </c>
      <c r="R977" s="185" t="s">
        <v>983</v>
      </c>
      <c r="S977" s="185" t="s">
        <v>1558</v>
      </c>
      <c r="T977"/>
      <c r="U977" t="str">
        <f>IF($L977&gt;0,VLOOKUP($E977,Valida!$A$1:$G$270,6,FALSE),IF($M977&gt;=0,VLOOKUP($E977,Valida!$A$1:$G$270,7,FALSE)))</f>
        <v>(+/-) Ganancia (pérdida)</v>
      </c>
      <c r="V977" s="190" t="str">
        <f>VLOOKUP(E977,Valida!$A$2:$K$271,4,FALSE)</f>
        <v>P&amp;L</v>
      </c>
      <c r="W977" s="185" t="s">
        <v>1944</v>
      </c>
      <c r="X977" s="185"/>
      <c r="Y977" s="185" t="s">
        <v>1789</v>
      </c>
      <c r="Z977"/>
    </row>
    <row r="978" spans="1:26">
      <c r="A978" s="185" t="s">
        <v>2468</v>
      </c>
      <c r="B978" s="185" t="s">
        <v>2510</v>
      </c>
      <c r="C978" s="185" t="s">
        <v>1890</v>
      </c>
      <c r="D978" s="185" t="s">
        <v>2511</v>
      </c>
      <c r="E978" s="185">
        <v>112005</v>
      </c>
      <c r="F978" s="185" t="s">
        <v>24</v>
      </c>
      <c r="G978" s="185" t="s">
        <v>2512</v>
      </c>
      <c r="H978" s="185" t="s">
        <v>1628</v>
      </c>
      <c r="I978" s="258" t="str">
        <f t="shared" si="46"/>
        <v>1</v>
      </c>
      <c r="J978" s="221">
        <f t="shared" si="47"/>
        <v>-424000</v>
      </c>
      <c r="K978" s="258">
        <f t="shared" si="48"/>
        <v>4</v>
      </c>
      <c r="L978" s="188">
        <v>0</v>
      </c>
      <c r="M978" s="188">
        <v>424000</v>
      </c>
      <c r="N978" s="189">
        <v>800197268</v>
      </c>
      <c r="O978" t="s">
        <v>2510</v>
      </c>
      <c r="P978" s="187">
        <v>45037.467118055603</v>
      </c>
      <c r="Q978" s="186">
        <v>9159</v>
      </c>
      <c r="R978" s="185" t="s">
        <v>983</v>
      </c>
      <c r="S978" s="185" t="s">
        <v>1558</v>
      </c>
      <c r="T978" t="s">
        <v>1894</v>
      </c>
      <c r="U978" t="str">
        <f>IF($L978&gt;0,VLOOKUP($E978,Valida!$A$1:$G$270,6,FALSE),IF($M978&gt;=0,VLOOKUP($E978,Valida!$A$1:$G$270,7,FALSE)))</f>
        <v>Disponible</v>
      </c>
      <c r="V978" s="190" t="str">
        <f>VLOOKUP(E978,Valida!$A$2:$K$271,4,FALSE)</f>
        <v>Cash and equivalents</v>
      </c>
      <c r="W978" s="185" t="s">
        <v>1944</v>
      </c>
      <c r="X978" s="185"/>
      <c r="Y978" s="185" t="s">
        <v>1789</v>
      </c>
      <c r="Z978"/>
    </row>
    <row r="979" spans="1:26">
      <c r="A979" s="185" t="s">
        <v>2468</v>
      </c>
      <c r="B979" s="185" t="s">
        <v>2513</v>
      </c>
      <c r="C979" s="185" t="s">
        <v>1890</v>
      </c>
      <c r="D979" s="185" t="s">
        <v>2514</v>
      </c>
      <c r="E979" s="185">
        <v>23355001</v>
      </c>
      <c r="F979" s="185" t="s">
        <v>502</v>
      </c>
      <c r="G979" s="185" t="s">
        <v>1921</v>
      </c>
      <c r="H979" s="185" t="s">
        <v>1515</v>
      </c>
      <c r="I979" s="258" t="str">
        <f t="shared" si="46"/>
        <v>2</v>
      </c>
      <c r="J979" s="221">
        <f t="shared" si="47"/>
        <v>48664.51</v>
      </c>
      <c r="K979" s="258">
        <f t="shared" si="48"/>
        <v>4</v>
      </c>
      <c r="L979" s="188">
        <v>48664.51</v>
      </c>
      <c r="M979" s="188">
        <v>0</v>
      </c>
      <c r="N979" s="189">
        <v>800153993</v>
      </c>
      <c r="O979" t="s">
        <v>2513</v>
      </c>
      <c r="P979" s="187">
        <v>45037.468020833301</v>
      </c>
      <c r="Q979" s="186">
        <v>9160</v>
      </c>
      <c r="R979" s="185" t="s">
        <v>1814</v>
      </c>
      <c r="S979" s="185" t="s">
        <v>1556</v>
      </c>
      <c r="T979"/>
      <c r="U979" t="str">
        <f>IF($L979&gt;0,VLOOKUP($E979,Valida!$A$1:$G$270,6,FALSE),IF($M979&gt;=0,VLOOKUP($E979,Valida!$A$1:$G$270,7,FALSE)))</f>
        <v>(+/-) Ajustes por el incremento (disminución) de cuentas por pagar de origen comercial</v>
      </c>
      <c r="V979" s="190" t="str">
        <f>VLOOKUP(E979,Valida!$A$2:$K$271,4,FALSE)</f>
        <v>Trade and other payables</v>
      </c>
      <c r="W979" s="185" t="s">
        <v>1815</v>
      </c>
      <c r="X979" s="185"/>
      <c r="Y979" s="185" t="s">
        <v>1789</v>
      </c>
      <c r="Z979"/>
    </row>
    <row r="980" spans="1:26">
      <c r="A980" s="185" t="s">
        <v>2468</v>
      </c>
      <c r="B980" s="185" t="s">
        <v>2513</v>
      </c>
      <c r="C980" s="185" t="s">
        <v>1890</v>
      </c>
      <c r="D980" s="185" t="s">
        <v>2514</v>
      </c>
      <c r="E980" s="185">
        <v>112005</v>
      </c>
      <c r="F980" s="185" t="s">
        <v>24</v>
      </c>
      <c r="G980" s="185" t="s">
        <v>1921</v>
      </c>
      <c r="H980" s="185" t="s">
        <v>1628</v>
      </c>
      <c r="I980" s="258" t="str">
        <f t="shared" si="46"/>
        <v>1</v>
      </c>
      <c r="J980" s="221">
        <f t="shared" si="47"/>
        <v>-48664.51</v>
      </c>
      <c r="K980" s="258">
        <f t="shared" si="48"/>
        <v>4</v>
      </c>
      <c r="L980" s="188">
        <v>0</v>
      </c>
      <c r="M980" s="188">
        <v>48664.51</v>
      </c>
      <c r="N980" s="189">
        <v>800153993</v>
      </c>
      <c r="O980" t="s">
        <v>2513</v>
      </c>
      <c r="P980" s="187">
        <v>45037.468020833301</v>
      </c>
      <c r="Q980" s="186">
        <v>9161</v>
      </c>
      <c r="R980" s="185" t="s">
        <v>1814</v>
      </c>
      <c r="S980" s="185" t="s">
        <v>1556</v>
      </c>
      <c r="T980" t="s">
        <v>1894</v>
      </c>
      <c r="U980" t="str">
        <f>IF($L980&gt;0,VLOOKUP($E980,Valida!$A$1:$G$270,6,FALSE),IF($M980&gt;=0,VLOOKUP($E980,Valida!$A$1:$G$270,7,FALSE)))</f>
        <v>Disponible</v>
      </c>
      <c r="V980" s="190" t="str">
        <f>VLOOKUP(E980,Valida!$A$2:$K$271,4,FALSE)</f>
        <v>Cash and equivalents</v>
      </c>
      <c r="W980" s="185" t="s">
        <v>1815</v>
      </c>
      <c r="X980" s="185"/>
      <c r="Y980" s="185" t="s">
        <v>1789</v>
      </c>
      <c r="Z980"/>
    </row>
    <row r="981" spans="1:26">
      <c r="A981" s="185" t="s">
        <v>2468</v>
      </c>
      <c r="B981" s="185" t="s">
        <v>2515</v>
      </c>
      <c r="C981" s="185" t="s">
        <v>1890</v>
      </c>
      <c r="D981" s="185" t="s">
        <v>2516</v>
      </c>
      <c r="E981" s="185">
        <v>237095</v>
      </c>
      <c r="F981" s="185" t="s">
        <v>150</v>
      </c>
      <c r="G981" s="185" t="s">
        <v>2517</v>
      </c>
      <c r="H981" s="185" t="s">
        <v>1515</v>
      </c>
      <c r="I981" s="258" t="str">
        <f t="shared" si="46"/>
        <v>2</v>
      </c>
      <c r="J981" s="221">
        <f t="shared" si="47"/>
        <v>1996700</v>
      </c>
      <c r="K981" s="258">
        <f t="shared" si="48"/>
        <v>4</v>
      </c>
      <c r="L981" s="188">
        <v>1996700</v>
      </c>
      <c r="M981" s="188">
        <v>0</v>
      </c>
      <c r="N981" s="189">
        <v>860066942</v>
      </c>
      <c r="O981" t="s">
        <v>2515</v>
      </c>
      <c r="P981" s="187">
        <v>45037.468969907401</v>
      </c>
      <c r="Q981" s="186">
        <v>9162</v>
      </c>
      <c r="R981" s="185" t="s">
        <v>1814</v>
      </c>
      <c r="S981" s="185" t="s">
        <v>1574</v>
      </c>
      <c r="T981"/>
      <c r="U981" t="str">
        <f>IF($L981&gt;0,VLOOKUP($E981,Valida!$A$1:$G$270,6,FALSE),IF($M981&gt;=0,VLOOKUP($E981,Valida!$A$1:$G$270,7,FALSE)))</f>
        <v>(+/-) Ajustes por el incremento (disminución) de cuentas por pagar de origen comercial</v>
      </c>
      <c r="V981" s="190" t="str">
        <f>VLOOKUP(E981,Valida!$A$2:$K$271,4,FALSE)</f>
        <v>Trade and other payables</v>
      </c>
      <c r="W981" s="185" t="s">
        <v>1914</v>
      </c>
      <c r="X981" s="185" t="s">
        <v>1915</v>
      </c>
      <c r="Y981" s="185" t="s">
        <v>1789</v>
      </c>
      <c r="Z981"/>
    </row>
    <row r="982" spans="1:26">
      <c r="A982" s="185" t="s">
        <v>2468</v>
      </c>
      <c r="B982" s="185" t="s">
        <v>2515</v>
      </c>
      <c r="C982" s="185" t="s">
        <v>1890</v>
      </c>
      <c r="D982" s="185" t="s">
        <v>2516</v>
      </c>
      <c r="E982" s="185">
        <v>112005</v>
      </c>
      <c r="F982" s="185" t="s">
        <v>24</v>
      </c>
      <c r="G982" s="185" t="s">
        <v>2517</v>
      </c>
      <c r="H982" s="185" t="s">
        <v>1628</v>
      </c>
      <c r="I982" s="258" t="str">
        <f t="shared" si="46"/>
        <v>1</v>
      </c>
      <c r="J982" s="221">
        <f t="shared" si="47"/>
        <v>-1996700</v>
      </c>
      <c r="K982" s="258">
        <f t="shared" si="48"/>
        <v>4</v>
      </c>
      <c r="L982" s="188">
        <v>0</v>
      </c>
      <c r="M982" s="188">
        <v>1996700</v>
      </c>
      <c r="N982" s="189">
        <v>860066942</v>
      </c>
      <c r="O982" t="s">
        <v>2515</v>
      </c>
      <c r="P982" s="187">
        <v>45037.468969907401</v>
      </c>
      <c r="Q982" s="186">
        <v>9163</v>
      </c>
      <c r="R982" s="185" t="s">
        <v>1814</v>
      </c>
      <c r="S982" s="185" t="s">
        <v>1574</v>
      </c>
      <c r="T982" t="s">
        <v>1894</v>
      </c>
      <c r="U982" t="str">
        <f>IF($L982&gt;0,VLOOKUP($E982,Valida!$A$1:$G$270,6,FALSE),IF($M982&gt;=0,VLOOKUP($E982,Valida!$A$1:$G$270,7,FALSE)))</f>
        <v>Disponible</v>
      </c>
      <c r="V982" s="190" t="str">
        <f>VLOOKUP(E982,Valida!$A$2:$K$271,4,FALSE)</f>
        <v>Cash and equivalents</v>
      </c>
      <c r="W982" s="185" t="s">
        <v>1914</v>
      </c>
      <c r="X982" s="185" t="s">
        <v>1915</v>
      </c>
      <c r="Y982" s="185" t="s">
        <v>1789</v>
      </c>
      <c r="Z982"/>
    </row>
    <row r="983" spans="1:26">
      <c r="A983" s="185" t="s">
        <v>2468</v>
      </c>
      <c r="B983" s="185" t="s">
        <v>2518</v>
      </c>
      <c r="C983" s="185" t="s">
        <v>1890</v>
      </c>
      <c r="D983" s="185" t="s">
        <v>2519</v>
      </c>
      <c r="E983" s="185">
        <v>23355005</v>
      </c>
      <c r="F983" s="185" t="s">
        <v>516</v>
      </c>
      <c r="G983" s="185" t="s">
        <v>1921</v>
      </c>
      <c r="H983" s="185" t="s">
        <v>1515</v>
      </c>
      <c r="I983" s="258" t="str">
        <f t="shared" si="46"/>
        <v>2</v>
      </c>
      <c r="J983" s="221">
        <f t="shared" si="47"/>
        <v>5198110</v>
      </c>
      <c r="K983" s="258">
        <f t="shared" si="48"/>
        <v>4</v>
      </c>
      <c r="L983" s="188">
        <v>5198110</v>
      </c>
      <c r="M983" s="188">
        <v>0</v>
      </c>
      <c r="N983" s="189">
        <v>860063875</v>
      </c>
      <c r="O983" t="s">
        <v>2518</v>
      </c>
      <c r="P983" s="187">
        <v>45037.470208333303</v>
      </c>
      <c r="Q983" s="186">
        <v>9164</v>
      </c>
      <c r="R983" s="185" t="s">
        <v>1827</v>
      </c>
      <c r="S983" s="185" t="s">
        <v>1572</v>
      </c>
      <c r="T983"/>
      <c r="U983" t="str">
        <f>IF($L983&gt;0,VLOOKUP($E983,Valida!$A$1:$G$270,6,FALSE),IF($M983&gt;=0,VLOOKUP($E983,Valida!$A$1:$G$270,7,FALSE)))</f>
        <v>(+/-) Ajustes por el incremento (disminución) de cuentas por pagar de origen comercial</v>
      </c>
      <c r="V983" s="190" t="str">
        <f>VLOOKUP(E983,Valida!$A$2:$K$271,4,FALSE)</f>
        <v>Trade and other payables</v>
      </c>
      <c r="W983" s="185" t="s">
        <v>1835</v>
      </c>
      <c r="X983" s="185"/>
      <c r="Y983" s="185" t="s">
        <v>1789</v>
      </c>
      <c r="Z983"/>
    </row>
    <row r="984" spans="1:26">
      <c r="A984" s="185" t="s">
        <v>2468</v>
      </c>
      <c r="B984" s="185" t="s">
        <v>2518</v>
      </c>
      <c r="C984" s="185" t="s">
        <v>1890</v>
      </c>
      <c r="D984" s="185" t="s">
        <v>2519</v>
      </c>
      <c r="E984" s="185">
        <v>112005</v>
      </c>
      <c r="F984" s="185" t="s">
        <v>24</v>
      </c>
      <c r="G984" s="185" t="s">
        <v>1921</v>
      </c>
      <c r="H984" s="185" t="s">
        <v>1628</v>
      </c>
      <c r="I984" s="258" t="str">
        <f t="shared" si="46"/>
        <v>1</v>
      </c>
      <c r="J984" s="221">
        <f t="shared" si="47"/>
        <v>-5198110</v>
      </c>
      <c r="K984" s="258">
        <f t="shared" si="48"/>
        <v>4</v>
      </c>
      <c r="L984" s="188">
        <v>0</v>
      </c>
      <c r="M984" s="188">
        <v>5198110</v>
      </c>
      <c r="N984" s="189">
        <v>860063875</v>
      </c>
      <c r="O984" t="s">
        <v>2518</v>
      </c>
      <c r="P984" s="187">
        <v>45037.470208333303</v>
      </c>
      <c r="Q984" s="186">
        <v>9165</v>
      </c>
      <c r="R984" s="185" t="s">
        <v>1827</v>
      </c>
      <c r="S984" s="185" t="s">
        <v>1572</v>
      </c>
      <c r="T984" t="s">
        <v>1894</v>
      </c>
      <c r="U984" t="str">
        <f>IF($L984&gt;0,VLOOKUP($E984,Valida!$A$1:$G$270,6,FALSE),IF($M984&gt;=0,VLOOKUP($E984,Valida!$A$1:$G$270,7,FALSE)))</f>
        <v>Disponible</v>
      </c>
      <c r="V984" s="190" t="str">
        <f>VLOOKUP(E984,Valida!$A$2:$K$271,4,FALSE)</f>
        <v>Cash and equivalents</v>
      </c>
      <c r="W984" s="185" t="s">
        <v>1835</v>
      </c>
      <c r="X984" s="185"/>
      <c r="Y984" s="185" t="s">
        <v>1789</v>
      </c>
      <c r="Z984"/>
    </row>
    <row r="985" spans="1:26">
      <c r="A985" s="185" t="s">
        <v>2451</v>
      </c>
      <c r="B985" s="185" t="s">
        <v>2520</v>
      </c>
      <c r="C985" s="185" t="s">
        <v>1890</v>
      </c>
      <c r="D985" s="185" t="s">
        <v>2521</v>
      </c>
      <c r="E985" s="185">
        <v>23355007</v>
      </c>
      <c r="F985" s="185" t="s">
        <v>1638</v>
      </c>
      <c r="G985" s="185" t="s">
        <v>1921</v>
      </c>
      <c r="H985" s="185" t="s">
        <v>1515</v>
      </c>
      <c r="I985" s="258" t="str">
        <f t="shared" si="46"/>
        <v>2</v>
      </c>
      <c r="J985" s="221">
        <f t="shared" si="47"/>
        <v>54426.95</v>
      </c>
      <c r="K985" s="258">
        <f t="shared" si="48"/>
        <v>4</v>
      </c>
      <c r="L985" s="188">
        <v>54426.95</v>
      </c>
      <c r="M985" s="188">
        <v>0</v>
      </c>
      <c r="N985" s="189">
        <v>444444001</v>
      </c>
      <c r="O985" t="s">
        <v>2520</v>
      </c>
      <c r="P985" s="187">
        <v>45037.471365740697</v>
      </c>
      <c r="Q985" s="186">
        <v>9166</v>
      </c>
      <c r="R985" s="185"/>
      <c r="S985" s="185" t="s">
        <v>1548</v>
      </c>
      <c r="T985"/>
      <c r="U985" t="str">
        <f>IF($L985&gt;0,VLOOKUP($E985,Valida!$A$1:$G$270,6,FALSE),IF($M985&gt;=0,VLOOKUP($E985,Valida!$A$1:$G$270,7,FALSE)))</f>
        <v>(+/-) Ajustes por el incremento (disminución) de cuentas por pagar de origen comercial</v>
      </c>
      <c r="V985" s="190" t="str">
        <f>VLOOKUP(E985,Valida!$A$2:$K$271,4,FALSE)</f>
        <v>Trade and other payables</v>
      </c>
      <c r="W985" s="185"/>
      <c r="X985" s="185"/>
      <c r="Y985" s="185"/>
      <c r="Z985"/>
    </row>
    <row r="986" spans="1:26">
      <c r="A986" s="185" t="s">
        <v>2451</v>
      </c>
      <c r="B986" s="185" t="s">
        <v>2520</v>
      </c>
      <c r="C986" s="185" t="s">
        <v>1890</v>
      </c>
      <c r="D986" s="185" t="s">
        <v>2521</v>
      </c>
      <c r="E986" s="185">
        <v>112005</v>
      </c>
      <c r="F986" s="185" t="s">
        <v>24</v>
      </c>
      <c r="G986" s="185" t="s">
        <v>1921</v>
      </c>
      <c r="H986" s="185" t="s">
        <v>1628</v>
      </c>
      <c r="I986" s="258" t="str">
        <f t="shared" si="46"/>
        <v>1</v>
      </c>
      <c r="J986" s="221">
        <f t="shared" si="47"/>
        <v>-54426.95</v>
      </c>
      <c r="K986" s="258">
        <f t="shared" si="48"/>
        <v>4</v>
      </c>
      <c r="L986" s="188">
        <v>0</v>
      </c>
      <c r="M986" s="188">
        <v>54426.95</v>
      </c>
      <c r="N986" s="189">
        <v>0</v>
      </c>
      <c r="O986" t="s">
        <v>2520</v>
      </c>
      <c r="P986" s="187">
        <v>45037.471365740697</v>
      </c>
      <c r="Q986" s="186">
        <v>9167</v>
      </c>
      <c r="R986" s="185"/>
      <c r="S986" s="185" t="s">
        <v>1520</v>
      </c>
      <c r="T986" t="s">
        <v>1894</v>
      </c>
      <c r="U986" t="str">
        <f>IF($L986&gt;0,VLOOKUP($E986,Valida!$A$1:$G$270,6,FALSE),IF($M986&gt;=0,VLOOKUP($E986,Valida!$A$1:$G$270,7,FALSE)))</f>
        <v>Disponible</v>
      </c>
      <c r="V986" s="190" t="str">
        <f>VLOOKUP(E986,Valida!$A$2:$K$271,4,FALSE)</f>
        <v>Cash and equivalents</v>
      </c>
      <c r="W986" s="185"/>
      <c r="X986" s="185"/>
      <c r="Y986" s="185"/>
      <c r="Z986"/>
    </row>
    <row r="987" spans="1:26">
      <c r="A987" s="185" t="s">
        <v>2451</v>
      </c>
      <c r="B987" s="185" t="s">
        <v>2522</v>
      </c>
      <c r="C987" s="185" t="s">
        <v>1890</v>
      </c>
      <c r="D987" s="185" t="s">
        <v>2523</v>
      </c>
      <c r="E987" s="185">
        <v>23355007</v>
      </c>
      <c r="F987" s="185" t="s">
        <v>1638</v>
      </c>
      <c r="G987" s="185" t="s">
        <v>1921</v>
      </c>
      <c r="H987" s="185" t="s">
        <v>1515</v>
      </c>
      <c r="I987" s="258" t="str">
        <f t="shared" si="46"/>
        <v>2</v>
      </c>
      <c r="J987" s="221">
        <f t="shared" si="47"/>
        <v>54426.95</v>
      </c>
      <c r="K987" s="258">
        <f t="shared" si="48"/>
        <v>4</v>
      </c>
      <c r="L987" s="188">
        <v>54426.95</v>
      </c>
      <c r="M987" s="188">
        <v>0</v>
      </c>
      <c r="N987" s="189">
        <v>444444001</v>
      </c>
      <c r="O987" t="s">
        <v>2522</v>
      </c>
      <c r="P987" s="187">
        <v>45037.472233796303</v>
      </c>
      <c r="Q987" s="186">
        <v>9168</v>
      </c>
      <c r="R987" s="185"/>
      <c r="S987" s="185" t="s">
        <v>1548</v>
      </c>
      <c r="T987"/>
      <c r="U987" t="str">
        <f>IF($L987&gt;0,VLOOKUP($E987,Valida!$A$1:$G$270,6,FALSE),IF($M987&gt;=0,VLOOKUP($E987,Valida!$A$1:$G$270,7,FALSE)))</f>
        <v>(+/-) Ajustes por el incremento (disminución) de cuentas por pagar de origen comercial</v>
      </c>
      <c r="V987" s="190" t="str">
        <f>VLOOKUP(E987,Valida!$A$2:$K$271,4,FALSE)</f>
        <v>Trade and other payables</v>
      </c>
      <c r="W987" s="185"/>
      <c r="X987" s="185"/>
      <c r="Y987" s="185"/>
      <c r="Z987"/>
    </row>
    <row r="988" spans="1:26">
      <c r="A988" s="185" t="s">
        <v>2451</v>
      </c>
      <c r="B988" s="185" t="s">
        <v>2522</v>
      </c>
      <c r="C988" s="185" t="s">
        <v>1890</v>
      </c>
      <c r="D988" s="185" t="s">
        <v>2523</v>
      </c>
      <c r="E988" s="185">
        <v>112005</v>
      </c>
      <c r="F988" s="185" t="s">
        <v>24</v>
      </c>
      <c r="G988" s="185" t="s">
        <v>1921</v>
      </c>
      <c r="H988" s="185" t="s">
        <v>1628</v>
      </c>
      <c r="I988" s="258" t="str">
        <f t="shared" si="46"/>
        <v>1</v>
      </c>
      <c r="J988" s="221">
        <f t="shared" si="47"/>
        <v>-54426.95</v>
      </c>
      <c r="K988" s="258">
        <f t="shared" si="48"/>
        <v>4</v>
      </c>
      <c r="L988" s="188">
        <v>0</v>
      </c>
      <c r="M988" s="188">
        <v>54426.95</v>
      </c>
      <c r="N988" s="189">
        <v>444444001</v>
      </c>
      <c r="O988" t="s">
        <v>2522</v>
      </c>
      <c r="P988" s="187">
        <v>45037.472233796303</v>
      </c>
      <c r="Q988" s="186">
        <v>9169</v>
      </c>
      <c r="R988" s="185"/>
      <c r="S988" s="185" t="s">
        <v>1548</v>
      </c>
      <c r="T988" t="s">
        <v>1894</v>
      </c>
      <c r="U988" t="str">
        <f>IF($L988&gt;0,VLOOKUP($E988,Valida!$A$1:$G$270,6,FALSE),IF($M988&gt;=0,VLOOKUP($E988,Valida!$A$1:$G$270,7,FALSE)))</f>
        <v>Disponible</v>
      </c>
      <c r="V988" s="190" t="str">
        <f>VLOOKUP(E988,Valida!$A$2:$K$271,4,FALSE)</f>
        <v>Cash and equivalents</v>
      </c>
      <c r="W988" s="185"/>
      <c r="X988" s="185"/>
      <c r="Y988" s="185"/>
      <c r="Z988"/>
    </row>
    <row r="989" spans="1:26">
      <c r="A989" s="185" t="s">
        <v>2451</v>
      </c>
      <c r="B989" s="185" t="s">
        <v>2524</v>
      </c>
      <c r="C989" s="185" t="s">
        <v>1890</v>
      </c>
      <c r="D989" s="185" t="s">
        <v>2525</v>
      </c>
      <c r="E989" s="185">
        <v>23355007</v>
      </c>
      <c r="F989" s="185" t="s">
        <v>1638</v>
      </c>
      <c r="G989" s="185" t="s">
        <v>1921</v>
      </c>
      <c r="H989" s="185" t="s">
        <v>1515</v>
      </c>
      <c r="I989" s="258" t="str">
        <f t="shared" si="46"/>
        <v>2</v>
      </c>
      <c r="J989" s="221">
        <f t="shared" si="47"/>
        <v>53729.38</v>
      </c>
      <c r="K989" s="258">
        <f t="shared" si="48"/>
        <v>4</v>
      </c>
      <c r="L989" s="188">
        <v>53729.38</v>
      </c>
      <c r="M989" s="188">
        <v>0</v>
      </c>
      <c r="N989" s="189">
        <v>444444001</v>
      </c>
      <c r="O989" t="s">
        <v>2524</v>
      </c>
      <c r="P989" s="187">
        <v>45037.472847222198</v>
      </c>
      <c r="Q989" s="186">
        <v>9170</v>
      </c>
      <c r="R989" s="185"/>
      <c r="S989" s="185" t="s">
        <v>1548</v>
      </c>
      <c r="T989"/>
      <c r="U989" t="str">
        <f>IF($L989&gt;0,VLOOKUP($E989,Valida!$A$1:$G$270,6,FALSE),IF($M989&gt;=0,VLOOKUP($E989,Valida!$A$1:$G$270,7,FALSE)))</f>
        <v>(+/-) Ajustes por el incremento (disminución) de cuentas por pagar de origen comercial</v>
      </c>
      <c r="V989" s="190" t="str">
        <f>VLOOKUP(E989,Valida!$A$2:$K$271,4,FALSE)</f>
        <v>Trade and other payables</v>
      </c>
      <c r="W989" s="185"/>
      <c r="X989" s="185"/>
      <c r="Y989" s="185"/>
      <c r="Z989"/>
    </row>
    <row r="990" spans="1:26">
      <c r="A990" s="185" t="s">
        <v>2451</v>
      </c>
      <c r="B990" s="185" t="s">
        <v>2524</v>
      </c>
      <c r="C990" s="185" t="s">
        <v>1890</v>
      </c>
      <c r="D990" s="185" t="s">
        <v>2525</v>
      </c>
      <c r="E990" s="185">
        <v>112005</v>
      </c>
      <c r="F990" s="185" t="s">
        <v>24</v>
      </c>
      <c r="G990" s="185" t="s">
        <v>1921</v>
      </c>
      <c r="H990" s="185" t="s">
        <v>1628</v>
      </c>
      <c r="I990" s="258" t="str">
        <f t="shared" si="46"/>
        <v>1</v>
      </c>
      <c r="J990" s="221">
        <f t="shared" si="47"/>
        <v>-53729.38</v>
      </c>
      <c r="K990" s="258">
        <f t="shared" si="48"/>
        <v>4</v>
      </c>
      <c r="L990" s="188">
        <v>0</v>
      </c>
      <c r="M990" s="188">
        <v>53729.38</v>
      </c>
      <c r="N990" s="189">
        <v>444444001</v>
      </c>
      <c r="O990" t="s">
        <v>2524</v>
      </c>
      <c r="P990" s="187">
        <v>45037.472847222198</v>
      </c>
      <c r="Q990" s="186">
        <v>9171</v>
      </c>
      <c r="R990" s="185"/>
      <c r="S990" s="185" t="s">
        <v>1548</v>
      </c>
      <c r="T990" t="s">
        <v>1894</v>
      </c>
      <c r="U990" t="str">
        <f>IF($L990&gt;0,VLOOKUP($E990,Valida!$A$1:$G$270,6,FALSE),IF($M990&gt;=0,VLOOKUP($E990,Valida!$A$1:$G$270,7,FALSE)))</f>
        <v>Disponible</v>
      </c>
      <c r="V990" s="190" t="str">
        <f>VLOOKUP(E990,Valida!$A$2:$K$271,4,FALSE)</f>
        <v>Cash and equivalents</v>
      </c>
      <c r="W990" s="185"/>
      <c r="X990" s="185"/>
      <c r="Y990" s="185"/>
      <c r="Z990"/>
    </row>
    <row r="991" spans="1:26">
      <c r="A991" s="185" t="s">
        <v>2485</v>
      </c>
      <c r="B991" s="185" t="s">
        <v>2526</v>
      </c>
      <c r="C991" s="185" t="s">
        <v>1890</v>
      </c>
      <c r="D991" s="185" t="s">
        <v>2527</v>
      </c>
      <c r="E991" s="185">
        <v>23355006</v>
      </c>
      <c r="F991" s="185" t="s">
        <v>519</v>
      </c>
      <c r="G991" s="185" t="s">
        <v>1921</v>
      </c>
      <c r="H991" s="185" t="s">
        <v>1515</v>
      </c>
      <c r="I991" s="258" t="str">
        <f t="shared" si="46"/>
        <v>2</v>
      </c>
      <c r="J991" s="221">
        <f t="shared" si="47"/>
        <v>1457040</v>
      </c>
      <c r="K991" s="258">
        <f t="shared" si="48"/>
        <v>4</v>
      </c>
      <c r="L991" s="188">
        <v>1457040</v>
      </c>
      <c r="M991" s="188">
        <v>0</v>
      </c>
      <c r="N991" s="189">
        <v>899999115</v>
      </c>
      <c r="O991" t="s">
        <v>2526</v>
      </c>
      <c r="P991" s="187">
        <v>45037.473993055602</v>
      </c>
      <c r="Q991" s="186">
        <v>9172</v>
      </c>
      <c r="R991" s="185" t="s">
        <v>1827</v>
      </c>
      <c r="S991" s="185" t="s">
        <v>1586</v>
      </c>
      <c r="T991"/>
      <c r="U991" t="str">
        <f>IF($L991&gt;0,VLOOKUP($E991,Valida!$A$1:$G$270,6,FALSE),IF($M991&gt;=0,VLOOKUP($E991,Valida!$A$1:$G$270,7,FALSE)))</f>
        <v>(+/-) Ajustes por el incremento (disminución) de cuentas por pagar de origen comercial</v>
      </c>
      <c r="V991" s="190" t="str">
        <f>VLOOKUP(E991,Valida!$A$2:$K$271,4,FALSE)</f>
        <v>Trade and other payables</v>
      </c>
      <c r="W991" s="185" t="s">
        <v>1828</v>
      </c>
      <c r="X991" s="185" t="s">
        <v>1829</v>
      </c>
      <c r="Y991" s="185" t="s">
        <v>1789</v>
      </c>
      <c r="Z991"/>
    </row>
    <row r="992" spans="1:26">
      <c r="A992" s="185" t="s">
        <v>2485</v>
      </c>
      <c r="B992" s="185" t="s">
        <v>2526</v>
      </c>
      <c r="C992" s="185" t="s">
        <v>1890</v>
      </c>
      <c r="D992" s="185" t="s">
        <v>2527</v>
      </c>
      <c r="E992" s="185">
        <v>112005</v>
      </c>
      <c r="F992" s="185" t="s">
        <v>24</v>
      </c>
      <c r="G992" s="185" t="s">
        <v>1921</v>
      </c>
      <c r="H992" s="185" t="s">
        <v>1628</v>
      </c>
      <c r="I992" s="258" t="str">
        <f t="shared" si="46"/>
        <v>1</v>
      </c>
      <c r="J992" s="221">
        <f t="shared" si="47"/>
        <v>-1457040</v>
      </c>
      <c r="K992" s="258">
        <f t="shared" si="48"/>
        <v>4</v>
      </c>
      <c r="L992" s="188">
        <v>0</v>
      </c>
      <c r="M992" s="188">
        <v>1457040</v>
      </c>
      <c r="N992" s="189">
        <v>899999115</v>
      </c>
      <c r="O992" t="s">
        <v>2526</v>
      </c>
      <c r="P992" s="187">
        <v>45037.473993055602</v>
      </c>
      <c r="Q992" s="186">
        <v>9173</v>
      </c>
      <c r="R992" s="185" t="s">
        <v>1827</v>
      </c>
      <c r="S992" s="185" t="s">
        <v>1586</v>
      </c>
      <c r="T992" t="s">
        <v>1894</v>
      </c>
      <c r="U992" t="str">
        <f>IF($L992&gt;0,VLOOKUP($E992,Valida!$A$1:$G$270,6,FALSE),IF($M992&gt;=0,VLOOKUP($E992,Valida!$A$1:$G$270,7,FALSE)))</f>
        <v>Disponible</v>
      </c>
      <c r="V992" s="190" t="str">
        <f>VLOOKUP(E992,Valida!$A$2:$K$271,4,FALSE)</f>
        <v>Cash and equivalents</v>
      </c>
      <c r="W992" s="185" t="s">
        <v>1828</v>
      </c>
      <c r="X992" s="185" t="s">
        <v>1829</v>
      </c>
      <c r="Y992" s="185" t="s">
        <v>1789</v>
      </c>
      <c r="Z992"/>
    </row>
    <row r="993" spans="1:26">
      <c r="A993" s="185" t="s">
        <v>2485</v>
      </c>
      <c r="B993" s="185" t="s">
        <v>2528</v>
      </c>
      <c r="C993" s="185" t="s">
        <v>1890</v>
      </c>
      <c r="D993" s="185" t="s">
        <v>2529</v>
      </c>
      <c r="E993" s="185">
        <v>23355006</v>
      </c>
      <c r="F993" s="185" t="s">
        <v>519</v>
      </c>
      <c r="G993" s="185" t="s">
        <v>1921</v>
      </c>
      <c r="H993" s="185" t="s">
        <v>1515</v>
      </c>
      <c r="I993" s="258" t="str">
        <f t="shared" si="46"/>
        <v>2</v>
      </c>
      <c r="J993" s="221">
        <f t="shared" si="47"/>
        <v>4245373</v>
      </c>
      <c r="K993" s="258">
        <f t="shared" si="48"/>
        <v>4</v>
      </c>
      <c r="L993" s="188">
        <v>4245373</v>
      </c>
      <c r="M993" s="188">
        <v>0</v>
      </c>
      <c r="N993" s="189">
        <v>800153993</v>
      </c>
      <c r="O993" t="s">
        <v>2528</v>
      </c>
      <c r="P993" s="187">
        <v>45037.474733796298</v>
      </c>
      <c r="Q993" s="186">
        <v>9174</v>
      </c>
      <c r="R993" s="185" t="s">
        <v>1814</v>
      </c>
      <c r="S993" s="185" t="s">
        <v>1556</v>
      </c>
      <c r="T993"/>
      <c r="U993" t="str">
        <f>IF($L993&gt;0,VLOOKUP($E993,Valida!$A$1:$G$270,6,FALSE),IF($M993&gt;=0,VLOOKUP($E993,Valida!$A$1:$G$270,7,FALSE)))</f>
        <v>(+/-) Ajustes por el incremento (disminución) de cuentas por pagar de origen comercial</v>
      </c>
      <c r="V993" s="190" t="str">
        <f>VLOOKUP(E993,Valida!$A$2:$K$271,4,FALSE)</f>
        <v>Trade and other payables</v>
      </c>
      <c r="W993" s="185" t="s">
        <v>1815</v>
      </c>
      <c r="X993" s="185"/>
      <c r="Y993" s="185" t="s">
        <v>1789</v>
      </c>
      <c r="Z993"/>
    </row>
    <row r="994" spans="1:26">
      <c r="A994" s="185" t="s">
        <v>2485</v>
      </c>
      <c r="B994" s="185" t="s">
        <v>2528</v>
      </c>
      <c r="C994" s="185" t="s">
        <v>1890</v>
      </c>
      <c r="D994" s="185" t="s">
        <v>2529</v>
      </c>
      <c r="E994" s="185">
        <v>112005</v>
      </c>
      <c r="F994" s="185" t="s">
        <v>24</v>
      </c>
      <c r="G994" s="185" t="s">
        <v>1921</v>
      </c>
      <c r="H994" s="185" t="s">
        <v>1628</v>
      </c>
      <c r="I994" s="258" t="str">
        <f t="shared" si="46"/>
        <v>1</v>
      </c>
      <c r="J994" s="221">
        <f t="shared" si="47"/>
        <v>-4245373</v>
      </c>
      <c r="K994" s="258">
        <f t="shared" si="48"/>
        <v>4</v>
      </c>
      <c r="L994" s="188">
        <v>0</v>
      </c>
      <c r="M994" s="188">
        <v>4245373</v>
      </c>
      <c r="N994" s="189">
        <v>800153993</v>
      </c>
      <c r="O994" t="s">
        <v>2528</v>
      </c>
      <c r="P994" s="187">
        <v>45037.474733796298</v>
      </c>
      <c r="Q994" s="186">
        <v>9175</v>
      </c>
      <c r="R994" s="185" t="s">
        <v>1814</v>
      </c>
      <c r="S994" s="185" t="s">
        <v>1556</v>
      </c>
      <c r="T994" t="s">
        <v>1894</v>
      </c>
      <c r="U994" t="str">
        <f>IF($L994&gt;0,VLOOKUP($E994,Valida!$A$1:$G$270,6,FALSE),IF($M994&gt;=0,VLOOKUP($E994,Valida!$A$1:$G$270,7,FALSE)))</f>
        <v>Disponible</v>
      </c>
      <c r="V994" s="190" t="str">
        <f>VLOOKUP(E994,Valida!$A$2:$K$271,4,FALSE)</f>
        <v>Cash and equivalents</v>
      </c>
      <c r="W994" s="185" t="s">
        <v>1815</v>
      </c>
      <c r="X994" s="185"/>
      <c r="Y994" s="185" t="s">
        <v>1789</v>
      </c>
      <c r="Z994"/>
    </row>
    <row r="995" spans="1:26">
      <c r="A995" s="185" t="s">
        <v>2485</v>
      </c>
      <c r="B995" s="185" t="s">
        <v>2530</v>
      </c>
      <c r="C995" s="185" t="s">
        <v>1890</v>
      </c>
      <c r="D995" s="185" t="s">
        <v>2531</v>
      </c>
      <c r="E995" s="185">
        <v>23355006</v>
      </c>
      <c r="F995" s="185" t="s">
        <v>519</v>
      </c>
      <c r="G995" s="185" t="s">
        <v>1921</v>
      </c>
      <c r="H995" s="185" t="s">
        <v>1515</v>
      </c>
      <c r="I995" s="258" t="str">
        <f t="shared" si="46"/>
        <v>2</v>
      </c>
      <c r="J995" s="221">
        <f t="shared" si="47"/>
        <v>375224</v>
      </c>
      <c r="K995" s="258">
        <f t="shared" si="48"/>
        <v>4</v>
      </c>
      <c r="L995" s="188">
        <v>375224</v>
      </c>
      <c r="M995" s="188">
        <v>0</v>
      </c>
      <c r="N995" s="189">
        <v>900092385</v>
      </c>
      <c r="O995" t="s">
        <v>2530</v>
      </c>
      <c r="P995" s="187">
        <v>45037.475868055597</v>
      </c>
      <c r="Q995" s="186">
        <v>9176</v>
      </c>
      <c r="R995" s="185" t="s">
        <v>1841</v>
      </c>
      <c r="S995" s="185" t="s">
        <v>1590</v>
      </c>
      <c r="T995"/>
      <c r="U995" t="str">
        <f>IF($L995&gt;0,VLOOKUP($E995,Valida!$A$1:$G$270,6,FALSE),IF($M995&gt;=0,VLOOKUP($E995,Valida!$A$1:$G$270,7,FALSE)))</f>
        <v>(+/-) Ajustes por el incremento (disminución) de cuentas por pagar de origen comercial</v>
      </c>
      <c r="V995" s="190" t="str">
        <f>VLOOKUP(E995,Valida!$A$2:$K$271,4,FALSE)</f>
        <v>Trade and other payables</v>
      </c>
      <c r="W995" s="185" t="s">
        <v>1842</v>
      </c>
      <c r="X995" s="185" t="s">
        <v>1843</v>
      </c>
      <c r="Y995" s="185" t="s">
        <v>1844</v>
      </c>
      <c r="Z995"/>
    </row>
    <row r="996" spans="1:26">
      <c r="A996" s="185" t="s">
        <v>2485</v>
      </c>
      <c r="B996" s="185" t="s">
        <v>2530</v>
      </c>
      <c r="C996" s="185" t="s">
        <v>1890</v>
      </c>
      <c r="D996" s="185" t="s">
        <v>2531</v>
      </c>
      <c r="E996" s="185">
        <v>112005</v>
      </c>
      <c r="F996" s="185" t="s">
        <v>24</v>
      </c>
      <c r="G996" s="185" t="s">
        <v>1921</v>
      </c>
      <c r="H996" s="185" t="s">
        <v>1628</v>
      </c>
      <c r="I996" s="258" t="str">
        <f t="shared" si="46"/>
        <v>1</v>
      </c>
      <c r="J996" s="221">
        <f t="shared" si="47"/>
        <v>-375224</v>
      </c>
      <c r="K996" s="258">
        <f t="shared" si="48"/>
        <v>4</v>
      </c>
      <c r="L996" s="188">
        <v>0</v>
      </c>
      <c r="M996" s="188">
        <v>375224</v>
      </c>
      <c r="N996" s="189">
        <v>900092385</v>
      </c>
      <c r="O996" t="s">
        <v>2530</v>
      </c>
      <c r="P996" s="187">
        <v>45037.475868055597</v>
      </c>
      <c r="Q996" s="186">
        <v>9177</v>
      </c>
      <c r="R996" s="185" t="s">
        <v>1841</v>
      </c>
      <c r="S996" s="185" t="s">
        <v>1590</v>
      </c>
      <c r="T996" t="s">
        <v>1894</v>
      </c>
      <c r="U996" t="str">
        <f>IF($L996&gt;0,VLOOKUP($E996,Valida!$A$1:$G$270,6,FALSE),IF($M996&gt;=0,VLOOKUP($E996,Valida!$A$1:$G$270,7,FALSE)))</f>
        <v>Disponible</v>
      </c>
      <c r="V996" s="190" t="str">
        <f>VLOOKUP(E996,Valida!$A$2:$K$271,4,FALSE)</f>
        <v>Cash and equivalents</v>
      </c>
      <c r="W996" s="185" t="s">
        <v>1842</v>
      </c>
      <c r="X996" s="185" t="s">
        <v>1843</v>
      </c>
      <c r="Y996" s="185" t="s">
        <v>1844</v>
      </c>
      <c r="Z996"/>
    </row>
    <row r="997" spans="1:26">
      <c r="A997" s="185" t="s">
        <v>2485</v>
      </c>
      <c r="B997" s="185" t="s">
        <v>2532</v>
      </c>
      <c r="C997" s="185" t="s">
        <v>1890</v>
      </c>
      <c r="D997" s="185" t="s">
        <v>2533</v>
      </c>
      <c r="E997" s="185">
        <v>23351001</v>
      </c>
      <c r="F997" s="185" t="s">
        <v>453</v>
      </c>
      <c r="G997" s="185" t="s">
        <v>1921</v>
      </c>
      <c r="H997" s="185" t="s">
        <v>1515</v>
      </c>
      <c r="I997" s="258" t="str">
        <f t="shared" si="46"/>
        <v>2</v>
      </c>
      <c r="J997" s="221">
        <f t="shared" si="47"/>
        <v>7200</v>
      </c>
      <c r="K997" s="258">
        <f t="shared" si="48"/>
        <v>4</v>
      </c>
      <c r="L997" s="188">
        <v>7200</v>
      </c>
      <c r="M997" s="188">
        <v>0</v>
      </c>
      <c r="N997" s="189">
        <v>860007322</v>
      </c>
      <c r="O997" t="s">
        <v>2532</v>
      </c>
      <c r="P997" s="187">
        <v>45037.476412037002</v>
      </c>
      <c r="Q997" s="186">
        <v>9178</v>
      </c>
      <c r="R997" s="185" t="s">
        <v>1841</v>
      </c>
      <c r="S997" s="185" t="s">
        <v>1566</v>
      </c>
      <c r="T997"/>
      <c r="U997" t="str">
        <f>IF($L997&gt;0,VLOOKUP($E997,Valida!$A$1:$G$270,6,FALSE),IF($M997&gt;=0,VLOOKUP($E997,Valida!$A$1:$G$270,7,FALSE)))</f>
        <v>(+/-) Ajustes por el incremento (disminución) de cuentas por pagar de origen comercial</v>
      </c>
      <c r="V997" s="190" t="str">
        <f>VLOOKUP(E997,Valida!$A$2:$K$271,4,FALSE)</f>
        <v>Trade and other payables</v>
      </c>
      <c r="W997" s="185" t="s">
        <v>2306</v>
      </c>
      <c r="X997" s="185"/>
      <c r="Y997" s="185" t="s">
        <v>1789</v>
      </c>
      <c r="Z997"/>
    </row>
    <row r="998" spans="1:26">
      <c r="A998" s="185" t="s">
        <v>2485</v>
      </c>
      <c r="B998" s="185" t="s">
        <v>2532</v>
      </c>
      <c r="C998" s="185" t="s">
        <v>1890</v>
      </c>
      <c r="D998" s="185" t="s">
        <v>2533</v>
      </c>
      <c r="E998" s="185">
        <v>112005</v>
      </c>
      <c r="F998" s="185" t="s">
        <v>24</v>
      </c>
      <c r="G998" s="185" t="s">
        <v>1921</v>
      </c>
      <c r="H998" s="185" t="s">
        <v>1628</v>
      </c>
      <c r="I998" s="258" t="str">
        <f t="shared" si="46"/>
        <v>1</v>
      </c>
      <c r="J998" s="221">
        <f t="shared" si="47"/>
        <v>-7200</v>
      </c>
      <c r="K998" s="258">
        <f t="shared" si="48"/>
        <v>4</v>
      </c>
      <c r="L998" s="188">
        <v>0</v>
      </c>
      <c r="M998" s="188">
        <v>7200</v>
      </c>
      <c r="N998" s="189">
        <v>860007322</v>
      </c>
      <c r="O998" t="s">
        <v>2532</v>
      </c>
      <c r="P998" s="187">
        <v>45037.476412037002</v>
      </c>
      <c r="Q998" s="186">
        <v>9179</v>
      </c>
      <c r="R998" s="185" t="s">
        <v>1841</v>
      </c>
      <c r="S998" s="185" t="s">
        <v>1566</v>
      </c>
      <c r="T998" t="s">
        <v>1894</v>
      </c>
      <c r="U998" t="str">
        <f>IF($L998&gt;0,VLOOKUP($E998,Valida!$A$1:$G$270,6,FALSE),IF($M998&gt;=0,VLOOKUP($E998,Valida!$A$1:$G$270,7,FALSE)))</f>
        <v>Disponible</v>
      </c>
      <c r="V998" s="190" t="str">
        <f>VLOOKUP(E998,Valida!$A$2:$K$271,4,FALSE)</f>
        <v>Cash and equivalents</v>
      </c>
      <c r="W998" s="185" t="s">
        <v>2306</v>
      </c>
      <c r="X998" s="185"/>
      <c r="Y998" s="185" t="s">
        <v>1789</v>
      </c>
      <c r="Z998"/>
    </row>
    <row r="999" spans="1:26">
      <c r="A999" s="185" t="s">
        <v>2496</v>
      </c>
      <c r="B999" s="185" t="s">
        <v>2534</v>
      </c>
      <c r="C999" s="185" t="s">
        <v>1890</v>
      </c>
      <c r="D999" s="185" t="s">
        <v>2535</v>
      </c>
      <c r="E999" s="185">
        <v>23359502</v>
      </c>
      <c r="F999" s="185" t="s">
        <v>547</v>
      </c>
      <c r="G999" s="185" t="s">
        <v>2536</v>
      </c>
      <c r="H999" s="185" t="s">
        <v>1515</v>
      </c>
      <c r="I999" s="258" t="str">
        <f t="shared" si="46"/>
        <v>2</v>
      </c>
      <c r="J999" s="221">
        <f t="shared" si="47"/>
        <v>3902890</v>
      </c>
      <c r="K999" s="258">
        <f t="shared" si="48"/>
        <v>4</v>
      </c>
      <c r="L999" s="188">
        <v>3902890</v>
      </c>
      <c r="M999" s="188">
        <v>0</v>
      </c>
      <c r="N999" s="189">
        <v>830062853</v>
      </c>
      <c r="O999" t="s">
        <v>2534</v>
      </c>
      <c r="P999" s="187">
        <v>45037.477511574099</v>
      </c>
      <c r="Q999" s="186">
        <v>9180</v>
      </c>
      <c r="R999" s="185" t="s">
        <v>433</v>
      </c>
      <c r="S999" s="185" t="s">
        <v>1564</v>
      </c>
      <c r="T999"/>
      <c r="U999" t="str">
        <f>IF($L999&gt;0,VLOOKUP($E999,Valida!$A$1:$G$270,6,FALSE),IF($M999&gt;=0,VLOOKUP($E999,Valida!$A$1:$G$270,7,FALSE)))</f>
        <v>(+/-) Ajustes por el incremento (disminución) de cuentas por pagar de origen comercial</v>
      </c>
      <c r="V999" s="190" t="str">
        <f>VLOOKUP(E999,Valida!$A$2:$K$271,4,FALSE)</f>
        <v>Trade and other payables</v>
      </c>
      <c r="W999" s="185" t="s">
        <v>2024</v>
      </c>
      <c r="X999" s="185" t="s">
        <v>2025</v>
      </c>
      <c r="Y999" s="185" t="s">
        <v>1789</v>
      </c>
      <c r="Z999"/>
    </row>
    <row r="1000" spans="1:26">
      <c r="A1000" s="185" t="s">
        <v>2496</v>
      </c>
      <c r="B1000" s="185" t="s">
        <v>2534</v>
      </c>
      <c r="C1000" s="185" t="s">
        <v>1890</v>
      </c>
      <c r="D1000" s="185" t="s">
        <v>2535</v>
      </c>
      <c r="E1000" s="185">
        <v>112005</v>
      </c>
      <c r="F1000" s="185" t="s">
        <v>24</v>
      </c>
      <c r="G1000" s="185" t="s">
        <v>2536</v>
      </c>
      <c r="H1000" s="185" t="s">
        <v>1628</v>
      </c>
      <c r="I1000" s="258" t="str">
        <f t="shared" si="46"/>
        <v>1</v>
      </c>
      <c r="J1000" s="221">
        <f t="shared" si="47"/>
        <v>-3902890</v>
      </c>
      <c r="K1000" s="258">
        <f t="shared" si="48"/>
        <v>4</v>
      </c>
      <c r="L1000" s="188">
        <v>0</v>
      </c>
      <c r="M1000" s="188">
        <v>3902890</v>
      </c>
      <c r="N1000" s="189">
        <v>830062853</v>
      </c>
      <c r="O1000" t="s">
        <v>2534</v>
      </c>
      <c r="P1000" s="187">
        <v>45037.477511574099</v>
      </c>
      <c r="Q1000" s="186">
        <v>9181</v>
      </c>
      <c r="R1000" s="185" t="s">
        <v>433</v>
      </c>
      <c r="S1000" s="185" t="s">
        <v>1564</v>
      </c>
      <c r="T1000" t="s">
        <v>1894</v>
      </c>
      <c r="U1000" t="str">
        <f>IF($L1000&gt;0,VLOOKUP($E1000,Valida!$A$1:$G$270,6,FALSE),IF($M1000&gt;=0,VLOOKUP($E1000,Valida!$A$1:$G$270,7,FALSE)))</f>
        <v>Disponible</v>
      </c>
      <c r="V1000" s="190" t="str">
        <f>VLOOKUP(E1000,Valida!$A$2:$K$271,4,FALSE)</f>
        <v>Cash and equivalents</v>
      </c>
      <c r="W1000" s="185" t="s">
        <v>2024</v>
      </c>
      <c r="X1000" s="185" t="s">
        <v>2025</v>
      </c>
      <c r="Y1000" s="185" t="s">
        <v>1789</v>
      </c>
      <c r="Z1000"/>
    </row>
    <row r="1001" spans="1:26">
      <c r="A1001" s="185" t="s">
        <v>2496</v>
      </c>
      <c r="B1001" s="185" t="s">
        <v>2537</v>
      </c>
      <c r="C1001" s="185" t="s">
        <v>1890</v>
      </c>
      <c r="D1001" s="185" t="s">
        <v>2538</v>
      </c>
      <c r="E1001" s="185">
        <v>23359502</v>
      </c>
      <c r="F1001" s="185" t="s">
        <v>547</v>
      </c>
      <c r="G1001" s="185" t="s">
        <v>1921</v>
      </c>
      <c r="H1001" s="185" t="s">
        <v>1515</v>
      </c>
      <c r="I1001" s="258" t="str">
        <f t="shared" si="46"/>
        <v>2</v>
      </c>
      <c r="J1001" s="221">
        <f t="shared" si="47"/>
        <v>122016</v>
      </c>
      <c r="K1001" s="258">
        <f t="shared" si="48"/>
        <v>4</v>
      </c>
      <c r="L1001" s="188">
        <v>122016</v>
      </c>
      <c r="M1001" s="188">
        <v>0</v>
      </c>
      <c r="N1001" s="189">
        <v>900424409</v>
      </c>
      <c r="O1001" t="s">
        <v>2537</v>
      </c>
      <c r="P1001" s="187">
        <v>45037.478252314802</v>
      </c>
      <c r="Q1001" s="186">
        <v>9182</v>
      </c>
      <c r="R1001" s="185" t="s">
        <v>844</v>
      </c>
      <c r="S1001" s="185" t="s">
        <v>1598</v>
      </c>
      <c r="T1001"/>
      <c r="U1001" t="str">
        <f>IF($L1001&gt;0,VLOOKUP($E1001,Valida!$A$1:$G$270,6,FALSE),IF($M1001&gt;=0,VLOOKUP($E1001,Valida!$A$1:$G$270,7,FALSE)))</f>
        <v>(+/-) Ajustes por el incremento (disminución) de cuentas por pagar de origen comercial</v>
      </c>
      <c r="V1001" s="190" t="str">
        <f>VLOOKUP(E1001,Valida!$A$2:$K$271,4,FALSE)</f>
        <v>Trade and other payables</v>
      </c>
      <c r="W1001" s="185" t="s">
        <v>1864</v>
      </c>
      <c r="X1001" s="185" t="s">
        <v>1865</v>
      </c>
      <c r="Y1001" s="185" t="s">
        <v>1789</v>
      </c>
      <c r="Z1001"/>
    </row>
    <row r="1002" spans="1:26">
      <c r="A1002" s="185" t="s">
        <v>2496</v>
      </c>
      <c r="B1002" s="185" t="s">
        <v>2537</v>
      </c>
      <c r="C1002" s="185" t="s">
        <v>1890</v>
      </c>
      <c r="D1002" s="185" t="s">
        <v>2538</v>
      </c>
      <c r="E1002" s="185">
        <v>112005</v>
      </c>
      <c r="F1002" s="185" t="s">
        <v>24</v>
      </c>
      <c r="G1002" s="185" t="s">
        <v>1921</v>
      </c>
      <c r="H1002" s="185" t="s">
        <v>1628</v>
      </c>
      <c r="I1002" s="258" t="str">
        <f t="shared" si="46"/>
        <v>1</v>
      </c>
      <c r="J1002" s="221">
        <f t="shared" si="47"/>
        <v>-122016</v>
      </c>
      <c r="K1002" s="258">
        <f t="shared" si="48"/>
        <v>4</v>
      </c>
      <c r="L1002" s="188">
        <v>0</v>
      </c>
      <c r="M1002" s="188">
        <v>122016</v>
      </c>
      <c r="N1002" s="189">
        <v>900424409</v>
      </c>
      <c r="O1002" t="s">
        <v>2537</v>
      </c>
      <c r="P1002" s="187">
        <v>45037.478252314802</v>
      </c>
      <c r="Q1002" s="186">
        <v>9183</v>
      </c>
      <c r="R1002" s="185" t="s">
        <v>844</v>
      </c>
      <c r="S1002" s="185" t="s">
        <v>1598</v>
      </c>
      <c r="T1002" t="s">
        <v>1894</v>
      </c>
      <c r="U1002" t="str">
        <f>IF($L1002&gt;0,VLOOKUP($E1002,Valida!$A$1:$G$270,6,FALSE),IF($M1002&gt;=0,VLOOKUP($E1002,Valida!$A$1:$G$270,7,FALSE)))</f>
        <v>Disponible</v>
      </c>
      <c r="V1002" s="190" t="str">
        <f>VLOOKUP(E1002,Valida!$A$2:$K$271,4,FALSE)</f>
        <v>Cash and equivalents</v>
      </c>
      <c r="W1002" s="185" t="s">
        <v>1864</v>
      </c>
      <c r="X1002" s="185" t="s">
        <v>1865</v>
      </c>
      <c r="Y1002" s="185" t="s">
        <v>1789</v>
      </c>
      <c r="Z1002"/>
    </row>
    <row r="1003" spans="1:26">
      <c r="A1003" s="185" t="s">
        <v>2496</v>
      </c>
      <c r="B1003" s="185" t="s">
        <v>2539</v>
      </c>
      <c r="C1003" s="185" t="s">
        <v>1890</v>
      </c>
      <c r="D1003" s="185" t="s">
        <v>2540</v>
      </c>
      <c r="E1003" s="185">
        <v>23359504</v>
      </c>
      <c r="F1003" s="185" t="s">
        <v>553</v>
      </c>
      <c r="G1003" s="185" t="s">
        <v>1921</v>
      </c>
      <c r="H1003" s="185" t="s">
        <v>1515</v>
      </c>
      <c r="I1003" s="258" t="str">
        <f t="shared" si="46"/>
        <v>2</v>
      </c>
      <c r="J1003" s="221">
        <f t="shared" si="47"/>
        <v>330000</v>
      </c>
      <c r="K1003" s="258">
        <f t="shared" si="48"/>
        <v>4</v>
      </c>
      <c r="L1003" s="188">
        <v>330000</v>
      </c>
      <c r="M1003" s="188">
        <v>0</v>
      </c>
      <c r="N1003" s="189">
        <v>800042928</v>
      </c>
      <c r="O1003" t="s">
        <v>2539</v>
      </c>
      <c r="P1003" s="187">
        <v>45037.478935185201</v>
      </c>
      <c r="Q1003" s="186">
        <v>9184</v>
      </c>
      <c r="R1003" s="185" t="s">
        <v>6</v>
      </c>
      <c r="S1003" s="185" t="s">
        <v>1554</v>
      </c>
      <c r="T1003"/>
      <c r="U1003" t="str">
        <f>IF($L1003&gt;0,VLOOKUP($E1003,Valida!$A$1:$G$270,6,FALSE),IF($M1003&gt;=0,VLOOKUP($E1003,Valida!$A$1:$G$270,7,FALSE)))</f>
        <v>(+/-) Ajustes por el incremento (disminución) de cuentas por pagar de origen comercial</v>
      </c>
      <c r="V1003" s="190" t="str">
        <f>VLOOKUP(E1003,Valida!$A$2:$K$271,4,FALSE)</f>
        <v>Trade and other payables</v>
      </c>
      <c r="W1003" s="185" t="s">
        <v>1820</v>
      </c>
      <c r="X1003" s="185" t="s">
        <v>1821</v>
      </c>
      <c r="Y1003" s="185" t="s">
        <v>1789</v>
      </c>
      <c r="Z1003"/>
    </row>
    <row r="1004" spans="1:26">
      <c r="A1004" s="185" t="s">
        <v>2496</v>
      </c>
      <c r="B1004" s="185" t="s">
        <v>2539</v>
      </c>
      <c r="C1004" s="185" t="s">
        <v>1890</v>
      </c>
      <c r="D1004" s="185" t="s">
        <v>2540</v>
      </c>
      <c r="E1004" s="185">
        <v>112005</v>
      </c>
      <c r="F1004" s="185" t="s">
        <v>24</v>
      </c>
      <c r="G1004" s="185" t="s">
        <v>1921</v>
      </c>
      <c r="H1004" s="185" t="s">
        <v>1628</v>
      </c>
      <c r="I1004" s="258" t="str">
        <f t="shared" si="46"/>
        <v>1</v>
      </c>
      <c r="J1004" s="221">
        <f t="shared" si="47"/>
        <v>-330000</v>
      </c>
      <c r="K1004" s="258">
        <f t="shared" si="48"/>
        <v>4</v>
      </c>
      <c r="L1004" s="188">
        <v>0</v>
      </c>
      <c r="M1004" s="188">
        <v>330000</v>
      </c>
      <c r="N1004" s="189">
        <v>800042928</v>
      </c>
      <c r="O1004" t="s">
        <v>2539</v>
      </c>
      <c r="P1004" s="187">
        <v>45037.478935185201</v>
      </c>
      <c r="Q1004" s="186">
        <v>9185</v>
      </c>
      <c r="R1004" s="185" t="s">
        <v>6</v>
      </c>
      <c r="S1004" s="185" t="s">
        <v>1554</v>
      </c>
      <c r="T1004" t="s">
        <v>1894</v>
      </c>
      <c r="U1004" t="str">
        <f>IF($L1004&gt;0,VLOOKUP($E1004,Valida!$A$1:$G$270,6,FALSE),IF($M1004&gt;=0,VLOOKUP($E1004,Valida!$A$1:$G$270,7,FALSE)))</f>
        <v>Disponible</v>
      </c>
      <c r="V1004" s="190" t="str">
        <f>VLOOKUP(E1004,Valida!$A$2:$K$271,4,FALSE)</f>
        <v>Cash and equivalents</v>
      </c>
      <c r="W1004" s="185" t="s">
        <v>1820</v>
      </c>
      <c r="X1004" s="185" t="s">
        <v>1821</v>
      </c>
      <c r="Y1004" s="185" t="s">
        <v>1789</v>
      </c>
      <c r="Z1004"/>
    </row>
    <row r="1005" spans="1:26">
      <c r="A1005" s="185" t="s">
        <v>2496</v>
      </c>
      <c r="B1005" s="185" t="s">
        <v>2541</v>
      </c>
      <c r="C1005" s="185" t="s">
        <v>1890</v>
      </c>
      <c r="D1005" s="185" t="s">
        <v>2542</v>
      </c>
      <c r="E1005" s="185">
        <v>23354001</v>
      </c>
      <c r="F1005" s="185" t="s">
        <v>484</v>
      </c>
      <c r="G1005" s="185" t="s">
        <v>1921</v>
      </c>
      <c r="H1005" s="185" t="s">
        <v>1515</v>
      </c>
      <c r="I1005" s="258" t="str">
        <f t="shared" si="46"/>
        <v>2</v>
      </c>
      <c r="J1005" s="221">
        <f t="shared" si="47"/>
        <v>3955088</v>
      </c>
      <c r="K1005" s="258">
        <f t="shared" si="48"/>
        <v>4</v>
      </c>
      <c r="L1005" s="188">
        <v>3955088</v>
      </c>
      <c r="M1005" s="188">
        <v>0</v>
      </c>
      <c r="N1005" s="189">
        <v>860044821</v>
      </c>
      <c r="O1005" t="s">
        <v>2541</v>
      </c>
      <c r="P1005" s="187">
        <v>45037.479756944398</v>
      </c>
      <c r="Q1005" s="186">
        <v>9186</v>
      </c>
      <c r="R1005" s="185" t="s">
        <v>6</v>
      </c>
      <c r="S1005" s="185" t="s">
        <v>1570</v>
      </c>
      <c r="T1005"/>
      <c r="U1005" t="str">
        <f>IF($L1005&gt;0,VLOOKUP($E1005,Valida!$A$1:$G$270,6,FALSE),IF($M1005&gt;=0,VLOOKUP($E1005,Valida!$A$1:$G$270,7,FALSE)))</f>
        <v>(+/-) Ajustes por el incremento (disminución) de cuentas por pagar de origen comercial</v>
      </c>
      <c r="V1005" s="190" t="str">
        <f>VLOOKUP(E1005,Valida!$A$2:$K$271,4,FALSE)</f>
        <v>Trade and other payables</v>
      </c>
      <c r="W1005" s="185" t="s">
        <v>2048</v>
      </c>
      <c r="X1005" s="185"/>
      <c r="Y1005" s="185" t="s">
        <v>1789</v>
      </c>
      <c r="Z1005"/>
    </row>
    <row r="1006" spans="1:26">
      <c r="A1006" s="185" t="s">
        <v>2496</v>
      </c>
      <c r="B1006" s="185" t="s">
        <v>2541</v>
      </c>
      <c r="C1006" s="185" t="s">
        <v>1890</v>
      </c>
      <c r="D1006" s="185" t="s">
        <v>2542</v>
      </c>
      <c r="E1006" s="185">
        <v>112005</v>
      </c>
      <c r="F1006" s="185" t="s">
        <v>24</v>
      </c>
      <c r="G1006" s="185" t="s">
        <v>1921</v>
      </c>
      <c r="H1006" s="185" t="s">
        <v>1628</v>
      </c>
      <c r="I1006" s="258" t="str">
        <f t="shared" si="46"/>
        <v>1</v>
      </c>
      <c r="J1006" s="221">
        <f t="shared" si="47"/>
        <v>-3955088</v>
      </c>
      <c r="K1006" s="258">
        <f t="shared" si="48"/>
        <v>4</v>
      </c>
      <c r="L1006" s="188">
        <v>0</v>
      </c>
      <c r="M1006" s="188">
        <v>3955088</v>
      </c>
      <c r="N1006" s="189">
        <v>860044821</v>
      </c>
      <c r="O1006" t="s">
        <v>2541</v>
      </c>
      <c r="P1006" s="187">
        <v>45037.479756944398</v>
      </c>
      <c r="Q1006" s="186">
        <v>9187</v>
      </c>
      <c r="R1006" s="185" t="s">
        <v>6</v>
      </c>
      <c r="S1006" s="185" t="s">
        <v>1570</v>
      </c>
      <c r="T1006" t="s">
        <v>1894</v>
      </c>
      <c r="U1006" t="str">
        <f>IF($L1006&gt;0,VLOOKUP($E1006,Valida!$A$1:$G$270,6,FALSE),IF($M1006&gt;=0,VLOOKUP($E1006,Valida!$A$1:$G$270,7,FALSE)))</f>
        <v>Disponible</v>
      </c>
      <c r="V1006" s="190" t="str">
        <f>VLOOKUP(E1006,Valida!$A$2:$K$271,4,FALSE)</f>
        <v>Cash and equivalents</v>
      </c>
      <c r="W1006" s="185" t="s">
        <v>2048</v>
      </c>
      <c r="X1006" s="185"/>
      <c r="Y1006" s="185" t="s">
        <v>1789</v>
      </c>
      <c r="Z1006"/>
    </row>
    <row r="1007" spans="1:26">
      <c r="A1007" s="185" t="s">
        <v>2496</v>
      </c>
      <c r="B1007" s="185" t="s">
        <v>2543</v>
      </c>
      <c r="C1007" s="185" t="s">
        <v>1890</v>
      </c>
      <c r="D1007" s="185" t="s">
        <v>2544</v>
      </c>
      <c r="E1007" s="185">
        <v>23354001</v>
      </c>
      <c r="F1007" s="185" t="s">
        <v>484</v>
      </c>
      <c r="G1007" s="185" t="s">
        <v>1921</v>
      </c>
      <c r="H1007" s="185" t="s">
        <v>1515</v>
      </c>
      <c r="I1007" s="258" t="str">
        <f t="shared" si="46"/>
        <v>2</v>
      </c>
      <c r="J1007" s="221">
        <f t="shared" si="47"/>
        <v>14603085</v>
      </c>
      <c r="K1007" s="258">
        <f t="shared" si="48"/>
        <v>4</v>
      </c>
      <c r="L1007" s="188">
        <v>14603085</v>
      </c>
      <c r="M1007" s="188">
        <v>0</v>
      </c>
      <c r="N1007" s="189">
        <v>900471482</v>
      </c>
      <c r="O1007" t="s">
        <v>2543</v>
      </c>
      <c r="P1007" s="187">
        <v>45037.480347222197</v>
      </c>
      <c r="Q1007" s="186">
        <v>9188</v>
      </c>
      <c r="R1007" s="185" t="s">
        <v>6</v>
      </c>
      <c r="S1007" s="185" t="s">
        <v>1600</v>
      </c>
      <c r="T1007"/>
      <c r="U1007" t="str">
        <f>IF($L1007&gt;0,VLOOKUP($E1007,Valida!$A$1:$G$270,6,FALSE),IF($M1007&gt;=0,VLOOKUP($E1007,Valida!$A$1:$G$270,7,FALSE)))</f>
        <v>(+/-) Ajustes por el incremento (disminución) de cuentas por pagar de origen comercial</v>
      </c>
      <c r="V1007" s="190" t="str">
        <f>VLOOKUP(E1007,Valida!$A$2:$K$271,4,FALSE)</f>
        <v>Trade and other payables</v>
      </c>
      <c r="W1007" s="185" t="s">
        <v>1853</v>
      </c>
      <c r="X1007" s="185" t="s">
        <v>1854</v>
      </c>
      <c r="Y1007" s="185" t="s">
        <v>1789</v>
      </c>
      <c r="Z1007"/>
    </row>
    <row r="1008" spans="1:26">
      <c r="A1008" s="185" t="s">
        <v>2496</v>
      </c>
      <c r="B1008" s="185" t="s">
        <v>2543</v>
      </c>
      <c r="C1008" s="185" t="s">
        <v>1890</v>
      </c>
      <c r="D1008" s="185" t="s">
        <v>2544</v>
      </c>
      <c r="E1008" s="185">
        <v>112005</v>
      </c>
      <c r="F1008" s="185" t="s">
        <v>24</v>
      </c>
      <c r="G1008" s="185" t="s">
        <v>1921</v>
      </c>
      <c r="H1008" s="185" t="s">
        <v>1628</v>
      </c>
      <c r="I1008" s="258" t="str">
        <f t="shared" si="46"/>
        <v>1</v>
      </c>
      <c r="J1008" s="221">
        <f t="shared" si="47"/>
        <v>-14603085</v>
      </c>
      <c r="K1008" s="258">
        <f t="shared" si="48"/>
        <v>4</v>
      </c>
      <c r="L1008" s="188">
        <v>0</v>
      </c>
      <c r="M1008" s="188">
        <v>14603085</v>
      </c>
      <c r="N1008" s="189">
        <v>900471482</v>
      </c>
      <c r="O1008" t="s">
        <v>2543</v>
      </c>
      <c r="P1008" s="187">
        <v>45037.480347222197</v>
      </c>
      <c r="Q1008" s="186">
        <v>9189</v>
      </c>
      <c r="R1008" s="185" t="s">
        <v>6</v>
      </c>
      <c r="S1008" s="185" t="s">
        <v>1600</v>
      </c>
      <c r="T1008" t="s">
        <v>1894</v>
      </c>
      <c r="U1008" t="str">
        <f>IF($L1008&gt;0,VLOOKUP($E1008,Valida!$A$1:$G$270,6,FALSE),IF($M1008&gt;=0,VLOOKUP($E1008,Valida!$A$1:$G$270,7,FALSE)))</f>
        <v>Disponible</v>
      </c>
      <c r="V1008" s="190" t="str">
        <f>VLOOKUP(E1008,Valida!$A$2:$K$271,4,FALSE)</f>
        <v>Cash and equivalents</v>
      </c>
      <c r="W1008" s="185" t="s">
        <v>1853</v>
      </c>
      <c r="X1008" s="185" t="s">
        <v>1854</v>
      </c>
      <c r="Y1008" s="185" t="s">
        <v>1789</v>
      </c>
      <c r="Z1008"/>
    </row>
    <row r="1009" spans="1:26">
      <c r="A1009" s="185" t="s">
        <v>2496</v>
      </c>
      <c r="B1009" s="185" t="s">
        <v>2545</v>
      </c>
      <c r="C1009" s="185" t="s">
        <v>1890</v>
      </c>
      <c r="D1009" s="185" t="s">
        <v>2546</v>
      </c>
      <c r="E1009" s="185">
        <v>23352503</v>
      </c>
      <c r="F1009" s="185" t="s">
        <v>470</v>
      </c>
      <c r="G1009" s="185" t="s">
        <v>1921</v>
      </c>
      <c r="H1009" s="185" t="s">
        <v>1515</v>
      </c>
      <c r="I1009" s="258" t="str">
        <f t="shared" si="46"/>
        <v>2</v>
      </c>
      <c r="J1009" s="221">
        <f t="shared" si="47"/>
        <v>58500</v>
      </c>
      <c r="K1009" s="258">
        <f t="shared" si="48"/>
        <v>4</v>
      </c>
      <c r="L1009" s="188">
        <v>58500</v>
      </c>
      <c r="M1009" s="188">
        <v>0</v>
      </c>
      <c r="N1009" s="189">
        <v>900170994</v>
      </c>
      <c r="O1009" t="s">
        <v>2545</v>
      </c>
      <c r="P1009" s="187">
        <v>45037.480902777803</v>
      </c>
      <c r="Q1009" s="186">
        <v>9190</v>
      </c>
      <c r="R1009" s="185" t="s">
        <v>1841</v>
      </c>
      <c r="S1009" s="185" t="s">
        <v>1592</v>
      </c>
      <c r="T1009"/>
      <c r="U1009" t="str">
        <f>IF($L1009&gt;0,VLOOKUP($E1009,Valida!$A$1:$G$270,6,FALSE),IF($M1009&gt;=0,VLOOKUP($E1009,Valida!$A$1:$G$270,7,FALSE)))</f>
        <v>(+/-) Ajustes por el incremento (disminución) de cuentas por pagar de origen comercial</v>
      </c>
      <c r="V1009" s="190" t="str">
        <f>VLOOKUP(E1009,Valida!$A$2:$K$271,4,FALSE)</f>
        <v>Trade and other payables</v>
      </c>
      <c r="W1009" s="185" t="s">
        <v>2030</v>
      </c>
      <c r="X1009" s="185" t="s">
        <v>2031</v>
      </c>
      <c r="Y1009" s="185" t="s">
        <v>1789</v>
      </c>
      <c r="Z1009"/>
    </row>
    <row r="1010" spans="1:26">
      <c r="A1010" s="185" t="s">
        <v>2496</v>
      </c>
      <c r="B1010" s="185" t="s">
        <v>2545</v>
      </c>
      <c r="C1010" s="185" t="s">
        <v>1890</v>
      </c>
      <c r="D1010" s="185" t="s">
        <v>2546</v>
      </c>
      <c r="E1010" s="185">
        <v>112005</v>
      </c>
      <c r="F1010" s="185" t="s">
        <v>24</v>
      </c>
      <c r="G1010" s="185" t="s">
        <v>1921</v>
      </c>
      <c r="H1010" s="185" t="s">
        <v>1628</v>
      </c>
      <c r="I1010" s="258" t="str">
        <f t="shared" si="46"/>
        <v>1</v>
      </c>
      <c r="J1010" s="221">
        <f t="shared" si="47"/>
        <v>-58500</v>
      </c>
      <c r="K1010" s="258">
        <f t="shared" si="48"/>
        <v>4</v>
      </c>
      <c r="L1010" s="188">
        <v>0</v>
      </c>
      <c r="M1010" s="188">
        <v>58500</v>
      </c>
      <c r="N1010" s="189">
        <v>900170994</v>
      </c>
      <c r="O1010" t="s">
        <v>2545</v>
      </c>
      <c r="P1010" s="187">
        <v>45037.480902777803</v>
      </c>
      <c r="Q1010" s="186">
        <v>9191</v>
      </c>
      <c r="R1010" s="185" t="s">
        <v>1841</v>
      </c>
      <c r="S1010" s="185" t="s">
        <v>1592</v>
      </c>
      <c r="T1010" t="s">
        <v>1894</v>
      </c>
      <c r="U1010" t="str">
        <f>IF($L1010&gt;0,VLOOKUP($E1010,Valida!$A$1:$G$270,6,FALSE),IF($M1010&gt;=0,VLOOKUP($E1010,Valida!$A$1:$G$270,7,FALSE)))</f>
        <v>Disponible</v>
      </c>
      <c r="V1010" s="190" t="str">
        <f>VLOOKUP(E1010,Valida!$A$2:$K$271,4,FALSE)</f>
        <v>Cash and equivalents</v>
      </c>
      <c r="W1010" s="185" t="s">
        <v>2030</v>
      </c>
      <c r="X1010" s="185" t="s">
        <v>2031</v>
      </c>
      <c r="Y1010" s="185" t="s">
        <v>1789</v>
      </c>
      <c r="Z1010"/>
    </row>
    <row r="1011" spans="1:26">
      <c r="A1011" s="185" t="s">
        <v>2547</v>
      </c>
      <c r="B1011" s="185" t="s">
        <v>2548</v>
      </c>
      <c r="C1011" s="185" t="s">
        <v>1785</v>
      </c>
      <c r="D1011" s="185" t="s">
        <v>2071</v>
      </c>
      <c r="E1011" s="185">
        <v>51602001</v>
      </c>
      <c r="F1011" s="185" t="s">
        <v>416</v>
      </c>
      <c r="G1011" s="185" t="s">
        <v>2232</v>
      </c>
      <c r="H1011" s="185" t="s">
        <v>1515</v>
      </c>
      <c r="I1011" s="258" t="str">
        <f t="shared" si="46"/>
        <v>5</v>
      </c>
      <c r="J1011" s="221">
        <f t="shared" si="47"/>
        <v>1596762</v>
      </c>
      <c r="K1011" s="258">
        <f t="shared" si="48"/>
        <v>5</v>
      </c>
      <c r="L1011" s="188">
        <v>1596762</v>
      </c>
      <c r="M1011" s="188">
        <v>0</v>
      </c>
      <c r="N1011" s="189">
        <v>901513634</v>
      </c>
      <c r="O1011"/>
      <c r="P1011" s="187">
        <v>45076.591226851902</v>
      </c>
      <c r="Q1011" s="186">
        <v>11999</v>
      </c>
      <c r="R1011" s="185" t="s">
        <v>6</v>
      </c>
      <c r="S1011" s="185" t="s">
        <v>1518</v>
      </c>
      <c r="T1011"/>
      <c r="U1011" t="str">
        <f>IF($L1011&gt;0,VLOOKUP($E1011,Valida!$A$1:$G$270,6,FALSE),IF($M1011&gt;=0,VLOOKUP($E1011,Valida!$A$1:$G$270,7,FALSE)))</f>
        <v>(+/-) Ganancia (pérdida)</v>
      </c>
      <c r="V1011" s="190" t="str">
        <f>VLOOKUP(E1011,Valida!$A$2:$K$271,4,FALSE)</f>
        <v>P&amp;L</v>
      </c>
      <c r="W1011" s="185" t="s">
        <v>1787</v>
      </c>
      <c r="X1011" s="185" t="s">
        <v>1788</v>
      </c>
      <c r="Y1011" s="185" t="s">
        <v>1789</v>
      </c>
      <c r="Z1011"/>
    </row>
    <row r="1012" spans="1:26">
      <c r="A1012" s="185" t="s">
        <v>2547</v>
      </c>
      <c r="B1012" s="185" t="s">
        <v>2548</v>
      </c>
      <c r="C1012" s="185" t="s">
        <v>1785</v>
      </c>
      <c r="D1012" s="185" t="s">
        <v>2071</v>
      </c>
      <c r="E1012" s="185">
        <v>15922001</v>
      </c>
      <c r="F1012" s="185" t="s">
        <v>416</v>
      </c>
      <c r="G1012" s="185" t="s">
        <v>2232</v>
      </c>
      <c r="H1012" s="185" t="s">
        <v>1628</v>
      </c>
      <c r="I1012" s="258" t="str">
        <f t="shared" si="46"/>
        <v>1</v>
      </c>
      <c r="J1012" s="221">
        <f t="shared" si="47"/>
        <v>-1596762</v>
      </c>
      <c r="K1012" s="258">
        <f t="shared" si="48"/>
        <v>5</v>
      </c>
      <c r="L1012" s="188">
        <v>0</v>
      </c>
      <c r="M1012" s="188">
        <v>1596762</v>
      </c>
      <c r="N1012" s="189">
        <v>901513634</v>
      </c>
      <c r="O1012"/>
      <c r="P1012" s="187">
        <v>45076.591226851902</v>
      </c>
      <c r="Q1012" s="186">
        <v>12000</v>
      </c>
      <c r="R1012" s="185" t="s">
        <v>6</v>
      </c>
      <c r="S1012" s="185" t="s">
        <v>1518</v>
      </c>
      <c r="T1012"/>
      <c r="U1012" t="str">
        <f>IF($L1012&gt;0,VLOOKUP($E1012,Valida!$A$1:$G$270,6,FALSE),IF($M1012&gt;=0,VLOOKUP($E1012,Valida!$A$1:$G$270,7,FALSE)))</f>
        <v>( + ) Ajustes por gastos de depreciación</v>
      </c>
      <c r="V1012" s="190" t="str">
        <f>VLOOKUP(E1012,Valida!$A$2:$K$271,4,FALSE)</f>
        <v>Depreciation</v>
      </c>
      <c r="W1012" s="185" t="s">
        <v>1787</v>
      </c>
      <c r="X1012" s="185" t="s">
        <v>1788</v>
      </c>
      <c r="Y1012" s="185" t="s">
        <v>1789</v>
      </c>
      <c r="Z1012"/>
    </row>
    <row r="1013" spans="1:26">
      <c r="A1013" s="185" t="s">
        <v>2547</v>
      </c>
      <c r="B1013" s="185" t="s">
        <v>2548</v>
      </c>
      <c r="C1013" s="185" t="s">
        <v>1785</v>
      </c>
      <c r="D1013" s="185" t="s">
        <v>2071</v>
      </c>
      <c r="E1013" s="185">
        <v>51602004</v>
      </c>
      <c r="F1013" s="185" t="s">
        <v>404</v>
      </c>
      <c r="G1013" s="185" t="s">
        <v>2236</v>
      </c>
      <c r="H1013" s="185" t="s">
        <v>1515</v>
      </c>
      <c r="I1013" s="258" t="str">
        <f t="shared" si="46"/>
        <v>5</v>
      </c>
      <c r="J1013" s="221">
        <f t="shared" si="47"/>
        <v>163793</v>
      </c>
      <c r="K1013" s="258">
        <f t="shared" si="48"/>
        <v>5</v>
      </c>
      <c r="L1013" s="188">
        <v>163793</v>
      </c>
      <c r="M1013" s="188">
        <v>0</v>
      </c>
      <c r="N1013" s="189">
        <v>901513634</v>
      </c>
      <c r="O1013"/>
      <c r="P1013" s="187">
        <v>45076.591226851902</v>
      </c>
      <c r="Q1013" s="186">
        <v>12001</v>
      </c>
      <c r="R1013" s="185" t="s">
        <v>6</v>
      </c>
      <c r="S1013" s="185" t="s">
        <v>1518</v>
      </c>
      <c r="T1013"/>
      <c r="U1013" t="str">
        <f>IF($L1013&gt;0,VLOOKUP($E1013,Valida!$A$1:$G$270,6,FALSE),IF($M1013&gt;=0,VLOOKUP($E1013,Valida!$A$1:$G$270,7,FALSE)))</f>
        <v>(+/-) Ganancia (pérdida)</v>
      </c>
      <c r="V1013" s="190" t="str">
        <f>VLOOKUP(E1013,Valida!$A$2:$K$271,4,FALSE)</f>
        <v>P&amp;L</v>
      </c>
      <c r="W1013" s="185" t="s">
        <v>1787</v>
      </c>
      <c r="X1013" s="185" t="s">
        <v>1788</v>
      </c>
      <c r="Y1013" s="185" t="s">
        <v>1789</v>
      </c>
      <c r="Z1013"/>
    </row>
    <row r="1014" spans="1:26">
      <c r="A1014" s="185" t="s">
        <v>2547</v>
      </c>
      <c r="B1014" s="185" t="s">
        <v>2548</v>
      </c>
      <c r="C1014" s="185" t="s">
        <v>1785</v>
      </c>
      <c r="D1014" s="185" t="s">
        <v>2071</v>
      </c>
      <c r="E1014" s="185">
        <v>15922004</v>
      </c>
      <c r="F1014" s="185" t="s">
        <v>404</v>
      </c>
      <c r="G1014" s="185" t="s">
        <v>2236</v>
      </c>
      <c r="H1014" s="185" t="s">
        <v>1628</v>
      </c>
      <c r="I1014" s="258" t="str">
        <f t="shared" si="46"/>
        <v>1</v>
      </c>
      <c r="J1014" s="221">
        <f t="shared" si="47"/>
        <v>-163793</v>
      </c>
      <c r="K1014" s="258">
        <f t="shared" si="48"/>
        <v>5</v>
      </c>
      <c r="L1014" s="188">
        <v>0</v>
      </c>
      <c r="M1014" s="188">
        <v>163793</v>
      </c>
      <c r="N1014" s="189">
        <v>901513634</v>
      </c>
      <c r="O1014"/>
      <c r="P1014" s="187">
        <v>45076.591226851902</v>
      </c>
      <c r="Q1014" s="186">
        <v>12002</v>
      </c>
      <c r="R1014" s="185" t="s">
        <v>6</v>
      </c>
      <c r="S1014" s="185" t="s">
        <v>1518</v>
      </c>
      <c r="T1014"/>
      <c r="U1014" t="str">
        <f>IF($L1014&gt;0,VLOOKUP($E1014,Valida!$A$1:$G$270,6,FALSE),IF($M1014&gt;=0,VLOOKUP($E1014,Valida!$A$1:$G$270,7,FALSE)))</f>
        <v>( + ) Ajustes por gastos de depreciación</v>
      </c>
      <c r="V1014" s="190" t="str">
        <f>VLOOKUP(E1014,Valida!$A$2:$K$271,4,FALSE)</f>
        <v>Depreciation</v>
      </c>
      <c r="W1014" s="185" t="s">
        <v>1787</v>
      </c>
      <c r="X1014" s="185" t="s">
        <v>1788</v>
      </c>
      <c r="Y1014" s="185" t="s">
        <v>1789</v>
      </c>
      <c r="Z1014"/>
    </row>
    <row r="1015" spans="1:26">
      <c r="A1015" s="185" t="s">
        <v>2039</v>
      </c>
      <c r="B1015" s="185" t="s">
        <v>2040</v>
      </c>
      <c r="C1015" s="185" t="s">
        <v>1897</v>
      </c>
      <c r="D1015" s="185" t="s">
        <v>2041</v>
      </c>
      <c r="E1015" s="185">
        <v>237005</v>
      </c>
      <c r="F1015" s="185" t="s">
        <v>676</v>
      </c>
      <c r="G1015" s="185" t="s">
        <v>2042</v>
      </c>
      <c r="H1015" s="185" t="s">
        <v>1628</v>
      </c>
      <c r="I1015" s="258" t="str">
        <f t="shared" si="46"/>
        <v>2</v>
      </c>
      <c r="J1015" s="221">
        <f t="shared" si="47"/>
        <v>-56100</v>
      </c>
      <c r="K1015" s="258">
        <f t="shared" si="48"/>
        <v>4</v>
      </c>
      <c r="L1015" s="188">
        <v>0</v>
      </c>
      <c r="M1015" s="188">
        <v>56100</v>
      </c>
      <c r="N1015" s="189">
        <v>800251440</v>
      </c>
      <c r="O1015" t="s">
        <v>2040</v>
      </c>
      <c r="P1015" s="187">
        <v>45042</v>
      </c>
      <c r="Q1015" s="186">
        <v>10507</v>
      </c>
      <c r="R1015" s="185" t="s">
        <v>1901</v>
      </c>
      <c r="S1015" s="185" t="s">
        <v>1560</v>
      </c>
      <c r="T1015"/>
      <c r="U1015" t="str">
        <f>IF($L1015&gt;0,VLOOKUP($E1015,Valida!$A$1:$G$270,6,FALSE),IF($M1015&gt;=0,VLOOKUP($E1015,Valida!$A$1:$G$270,7,FALSE)))</f>
        <v>(+/-) Ajustes por el incremento (disminución) de cuentas por pagar de origen comercial</v>
      </c>
      <c r="V1015" s="190" t="str">
        <f>VLOOKUP(E1015,Valida!$A$2:$K$271,4,FALSE)</f>
        <v>Trade and other payables</v>
      </c>
      <c r="W1015" s="185" t="s">
        <v>1902</v>
      </c>
      <c r="X1015" s="185" t="s">
        <v>1903</v>
      </c>
      <c r="Y1015" s="185" t="s">
        <v>1789</v>
      </c>
      <c r="Z1015"/>
    </row>
    <row r="1016" spans="1:26">
      <c r="A1016" s="185" t="s">
        <v>2039</v>
      </c>
      <c r="B1016" s="185" t="s">
        <v>2040</v>
      </c>
      <c r="C1016" s="185" t="s">
        <v>1897</v>
      </c>
      <c r="D1016" s="185" t="s">
        <v>2041</v>
      </c>
      <c r="E1016" s="185">
        <v>238030</v>
      </c>
      <c r="F1016" s="185" t="s">
        <v>721</v>
      </c>
      <c r="G1016" s="185" t="s">
        <v>2042</v>
      </c>
      <c r="H1016" s="185" t="s">
        <v>1628</v>
      </c>
      <c r="I1016" s="258" t="str">
        <f t="shared" si="46"/>
        <v>2</v>
      </c>
      <c r="J1016" s="221">
        <f t="shared" si="47"/>
        <v>-56100</v>
      </c>
      <c r="K1016" s="258">
        <f t="shared" si="48"/>
        <v>4</v>
      </c>
      <c r="L1016" s="188">
        <v>0</v>
      </c>
      <c r="M1016" s="188">
        <v>56100</v>
      </c>
      <c r="N1016" s="189">
        <v>800224808</v>
      </c>
      <c r="O1016" t="s">
        <v>2040</v>
      </c>
      <c r="P1016" s="187">
        <v>45042</v>
      </c>
      <c r="Q1016" s="186">
        <v>10508</v>
      </c>
      <c r="R1016" s="185" t="s">
        <v>1827</v>
      </c>
      <c r="S1016" s="185" t="s">
        <v>1662</v>
      </c>
      <c r="T1016"/>
      <c r="U1016" t="str">
        <f>IF($L1016&gt;0,VLOOKUP($E1016,Valida!$A$1:$G$270,6,FALSE),IF($M1016&gt;=0,VLOOKUP($E1016,Valida!$A$1:$G$270,7,FALSE)))</f>
        <v>(+/-) Ajustes por el incremento (disminución) de cuentas por pagar de origen comercial</v>
      </c>
      <c r="V1016" s="190" t="str">
        <f>VLOOKUP(E1016,Valida!$A$2:$K$271,4,FALSE)</f>
        <v>Trade and other payables</v>
      </c>
      <c r="W1016" s="185" t="s">
        <v>1911</v>
      </c>
      <c r="X1016" s="185"/>
      <c r="Y1016" s="185" t="s">
        <v>1789</v>
      </c>
      <c r="Z1016"/>
    </row>
    <row r="1017" spans="1:26">
      <c r="A1017" s="185" t="s">
        <v>2039</v>
      </c>
      <c r="B1017" s="185" t="s">
        <v>2040</v>
      </c>
      <c r="C1017" s="185" t="s">
        <v>1897</v>
      </c>
      <c r="D1017" s="185" t="s">
        <v>2041</v>
      </c>
      <c r="E1017" s="185">
        <v>510506</v>
      </c>
      <c r="F1017" s="185" t="s">
        <v>1076</v>
      </c>
      <c r="G1017" s="185" t="s">
        <v>2042</v>
      </c>
      <c r="H1017" s="185" t="s">
        <v>1515</v>
      </c>
      <c r="I1017" s="258" t="str">
        <f t="shared" si="46"/>
        <v>5</v>
      </c>
      <c r="J1017" s="221">
        <f t="shared" si="47"/>
        <v>1276000</v>
      </c>
      <c r="K1017" s="258">
        <f t="shared" si="48"/>
        <v>4</v>
      </c>
      <c r="L1017" s="188">
        <v>1276000</v>
      </c>
      <c r="M1017" s="188">
        <v>0</v>
      </c>
      <c r="N1017" s="189">
        <v>1000018061</v>
      </c>
      <c r="O1017" t="s">
        <v>2040</v>
      </c>
      <c r="P1017" s="187">
        <v>45042</v>
      </c>
      <c r="Q1017" s="186">
        <v>10509</v>
      </c>
      <c r="R1017" s="185"/>
      <c r="S1017" s="185" t="s">
        <v>1522</v>
      </c>
      <c r="T1017"/>
      <c r="U1017" t="str">
        <f>IF($L1017&gt;0,VLOOKUP($E1017,Valida!$A$1:$G$270,6,FALSE),IF($M1017&gt;=0,VLOOKUP($E1017,Valida!$A$1:$G$270,7,FALSE)))</f>
        <v>(+/-) Ganancia (pérdida)</v>
      </c>
      <c r="V1017" s="190" t="str">
        <f>VLOOKUP(E1017,Valida!$A$2:$K$271,4,FALSE)</f>
        <v>P&amp;L</v>
      </c>
      <c r="W1017" s="185" t="s">
        <v>1978</v>
      </c>
      <c r="X1017" s="185"/>
      <c r="Y1017" s="185" t="s">
        <v>1789</v>
      </c>
      <c r="Z1017"/>
    </row>
    <row r="1018" spans="1:26">
      <c r="A1018" s="185" t="s">
        <v>2039</v>
      </c>
      <c r="B1018" s="185" t="s">
        <v>2040</v>
      </c>
      <c r="C1018" s="185" t="s">
        <v>1897</v>
      </c>
      <c r="D1018" s="185" t="s">
        <v>2041</v>
      </c>
      <c r="E1018" s="185">
        <v>510527</v>
      </c>
      <c r="F1018" s="185" t="s">
        <v>1089</v>
      </c>
      <c r="G1018" s="185" t="s">
        <v>2042</v>
      </c>
      <c r="H1018" s="185" t="s">
        <v>1515</v>
      </c>
      <c r="I1018" s="258" t="str">
        <f t="shared" si="46"/>
        <v>5</v>
      </c>
      <c r="J1018" s="221">
        <f t="shared" si="47"/>
        <v>140606</v>
      </c>
      <c r="K1018" s="258">
        <f t="shared" si="48"/>
        <v>4</v>
      </c>
      <c r="L1018" s="188">
        <v>140606</v>
      </c>
      <c r="M1018" s="188">
        <v>0</v>
      </c>
      <c r="N1018" s="189">
        <v>1000018061</v>
      </c>
      <c r="O1018" t="s">
        <v>2040</v>
      </c>
      <c r="P1018" s="187">
        <v>45042</v>
      </c>
      <c r="Q1018" s="186">
        <v>10510</v>
      </c>
      <c r="R1018" s="185"/>
      <c r="S1018" s="185" t="s">
        <v>1522</v>
      </c>
      <c r="T1018"/>
      <c r="U1018" t="str">
        <f>IF($L1018&gt;0,VLOOKUP($E1018,Valida!$A$1:$G$270,6,FALSE),IF($M1018&gt;=0,VLOOKUP($E1018,Valida!$A$1:$G$270,7,FALSE)))</f>
        <v>(+/-) Ganancia (pérdida)</v>
      </c>
      <c r="V1018" s="190" t="str">
        <f>VLOOKUP(E1018,Valida!$A$2:$K$271,4,FALSE)</f>
        <v>P&amp;L</v>
      </c>
      <c r="W1018" s="185" t="s">
        <v>1978</v>
      </c>
      <c r="X1018" s="185"/>
      <c r="Y1018" s="185" t="s">
        <v>1789</v>
      </c>
      <c r="Z1018"/>
    </row>
    <row r="1019" spans="1:26">
      <c r="A1019" s="185" t="s">
        <v>2039</v>
      </c>
      <c r="B1019" s="185" t="s">
        <v>2040</v>
      </c>
      <c r="C1019" s="185" t="s">
        <v>1897</v>
      </c>
      <c r="D1019" s="185" t="s">
        <v>2041</v>
      </c>
      <c r="E1019" s="185">
        <v>133015</v>
      </c>
      <c r="F1019" s="185" t="s">
        <v>138</v>
      </c>
      <c r="G1019" s="185" t="s">
        <v>2042</v>
      </c>
      <c r="H1019" s="185" t="s">
        <v>1628</v>
      </c>
      <c r="I1019" s="258" t="str">
        <f t="shared" si="46"/>
        <v>1</v>
      </c>
      <c r="J1019" s="221">
        <f t="shared" si="47"/>
        <v>-200000</v>
      </c>
      <c r="K1019" s="258">
        <f t="shared" si="48"/>
        <v>4</v>
      </c>
      <c r="L1019" s="188">
        <v>0</v>
      </c>
      <c r="M1019" s="188">
        <v>200000</v>
      </c>
      <c r="N1019" s="189">
        <v>1000018061</v>
      </c>
      <c r="O1019" t="s">
        <v>2040</v>
      </c>
      <c r="P1019" s="187">
        <v>45042</v>
      </c>
      <c r="Q1019" s="186">
        <v>10511</v>
      </c>
      <c r="R1019" s="185"/>
      <c r="S1019" s="185" t="s">
        <v>1522</v>
      </c>
      <c r="T1019"/>
      <c r="U1019" t="str">
        <f>IF($L1019&gt;0,VLOOKUP($E1019,Valida!$A$1:$G$270,6,FALSE),IF($M1019&gt;=0,VLOOKUP($E1019,Valida!$A$1:$G$270,7,FALSE)))</f>
        <v>(+/-) Ajustes por disminuciones (incrementos) en otras cuentas por cobrar derivadas de las actividades de operación</v>
      </c>
      <c r="V1019" s="190" t="str">
        <f>VLOOKUP(E1019,Valida!$A$2:$K$271,4,FALSE)</f>
        <v>Trade and other receivables</v>
      </c>
      <c r="W1019" s="185" t="s">
        <v>1978</v>
      </c>
      <c r="X1019" s="185"/>
      <c r="Y1019" s="185" t="s">
        <v>1789</v>
      </c>
      <c r="Z1019"/>
    </row>
    <row r="1020" spans="1:26">
      <c r="A1020" s="185" t="s">
        <v>2039</v>
      </c>
      <c r="B1020" s="185" t="s">
        <v>2040</v>
      </c>
      <c r="C1020" s="185" t="s">
        <v>1897</v>
      </c>
      <c r="D1020" s="185" t="s">
        <v>2041</v>
      </c>
      <c r="E1020" s="185">
        <v>237005</v>
      </c>
      <c r="F1020" s="185" t="s">
        <v>676</v>
      </c>
      <c r="G1020" s="185" t="s">
        <v>2042</v>
      </c>
      <c r="H1020" s="185" t="s">
        <v>1628</v>
      </c>
      <c r="I1020" s="258" t="str">
        <f t="shared" si="46"/>
        <v>2</v>
      </c>
      <c r="J1020" s="221">
        <f t="shared" si="47"/>
        <v>-51040</v>
      </c>
      <c r="K1020" s="258">
        <f t="shared" si="48"/>
        <v>4</v>
      </c>
      <c r="L1020" s="188">
        <v>0</v>
      </c>
      <c r="M1020" s="188">
        <v>51040</v>
      </c>
      <c r="N1020" s="189">
        <v>830003564</v>
      </c>
      <c r="O1020" t="s">
        <v>2040</v>
      </c>
      <c r="P1020" s="187">
        <v>45042</v>
      </c>
      <c r="Q1020" s="186">
        <v>10512</v>
      </c>
      <c r="R1020" s="185" t="s">
        <v>1814</v>
      </c>
      <c r="S1020" s="185" t="s">
        <v>1652</v>
      </c>
      <c r="T1020"/>
      <c r="U1020" t="str">
        <f>IF($L1020&gt;0,VLOOKUP($E1020,Valida!$A$1:$G$270,6,FALSE),IF($M1020&gt;=0,VLOOKUP($E1020,Valida!$A$1:$G$270,7,FALSE)))</f>
        <v>(+/-) Ajustes por el incremento (disminución) de cuentas por pagar de origen comercial</v>
      </c>
      <c r="V1020" s="190" t="str">
        <f>VLOOKUP(E1020,Valida!$A$2:$K$271,4,FALSE)</f>
        <v>Trade and other payables</v>
      </c>
      <c r="W1020" s="185" t="s">
        <v>1973</v>
      </c>
      <c r="X1020" s="185" t="s">
        <v>1974</v>
      </c>
      <c r="Y1020" s="185" t="s">
        <v>1789</v>
      </c>
      <c r="Z1020"/>
    </row>
    <row r="1021" spans="1:26">
      <c r="A1021" s="185" t="s">
        <v>2039</v>
      </c>
      <c r="B1021" s="185" t="s">
        <v>2040</v>
      </c>
      <c r="C1021" s="185" t="s">
        <v>1897</v>
      </c>
      <c r="D1021" s="185" t="s">
        <v>2041</v>
      </c>
      <c r="E1021" s="185">
        <v>238030</v>
      </c>
      <c r="F1021" s="185" t="s">
        <v>721</v>
      </c>
      <c r="G1021" s="185" t="s">
        <v>2042</v>
      </c>
      <c r="H1021" s="185" t="s">
        <v>1628</v>
      </c>
      <c r="I1021" s="258" t="str">
        <f t="shared" si="46"/>
        <v>2</v>
      </c>
      <c r="J1021" s="221">
        <f t="shared" si="47"/>
        <v>-51040</v>
      </c>
      <c r="K1021" s="258">
        <f t="shared" si="48"/>
        <v>4</v>
      </c>
      <c r="L1021" s="188">
        <v>0</v>
      </c>
      <c r="M1021" s="188">
        <v>51040</v>
      </c>
      <c r="N1021" s="189">
        <v>800227940</v>
      </c>
      <c r="O1021" t="s">
        <v>2040</v>
      </c>
      <c r="P1021" s="187">
        <v>45042</v>
      </c>
      <c r="Q1021" s="186">
        <v>10513</v>
      </c>
      <c r="R1021" s="185"/>
      <c r="S1021" s="185" t="s">
        <v>1664</v>
      </c>
      <c r="T1021"/>
      <c r="U1021" t="str">
        <f>IF($L1021&gt;0,VLOOKUP($E1021,Valida!$A$1:$G$270,6,FALSE),IF($M1021&gt;=0,VLOOKUP($E1021,Valida!$A$1:$G$270,7,FALSE)))</f>
        <v>(+/-) Ajustes por el incremento (disminución) de cuentas por pagar de origen comercial</v>
      </c>
      <c r="V1021" s="190" t="str">
        <f>VLOOKUP(E1021,Valida!$A$2:$K$271,4,FALSE)</f>
        <v>Trade and other payables</v>
      </c>
      <c r="W1021" s="185"/>
      <c r="X1021" s="185"/>
      <c r="Y1021" s="185"/>
      <c r="Z1021"/>
    </row>
    <row r="1022" spans="1:26">
      <c r="A1022" s="185" t="s">
        <v>2039</v>
      </c>
      <c r="B1022" s="185" t="s">
        <v>2040</v>
      </c>
      <c r="C1022" s="185" t="s">
        <v>1897</v>
      </c>
      <c r="D1022" s="185" t="s">
        <v>2041</v>
      </c>
      <c r="E1022" s="185">
        <v>510506</v>
      </c>
      <c r="F1022" s="185" t="s">
        <v>1076</v>
      </c>
      <c r="G1022" s="185" t="s">
        <v>2042</v>
      </c>
      <c r="H1022" s="185" t="s">
        <v>1515</v>
      </c>
      <c r="I1022" s="258" t="str">
        <f t="shared" si="46"/>
        <v>5</v>
      </c>
      <c r="J1022" s="221">
        <f t="shared" si="47"/>
        <v>1500000</v>
      </c>
      <c r="K1022" s="258">
        <f t="shared" si="48"/>
        <v>4</v>
      </c>
      <c r="L1022" s="188">
        <v>1500000</v>
      </c>
      <c r="M1022" s="188">
        <v>0</v>
      </c>
      <c r="N1022" s="189">
        <v>1000036375</v>
      </c>
      <c r="O1022" t="s">
        <v>2040</v>
      </c>
      <c r="P1022" s="187">
        <v>45042</v>
      </c>
      <c r="Q1022" s="186">
        <v>10514</v>
      </c>
      <c r="R1022" s="185"/>
      <c r="S1022" s="185" t="s">
        <v>1524</v>
      </c>
      <c r="T1022"/>
      <c r="U1022" t="str">
        <f>IF($L1022&gt;0,VLOOKUP($E1022,Valida!$A$1:$G$270,6,FALSE),IF($M1022&gt;=0,VLOOKUP($E1022,Valida!$A$1:$G$270,7,FALSE)))</f>
        <v>(+/-) Ganancia (pérdida)</v>
      </c>
      <c r="V1022" s="190" t="str">
        <f>VLOOKUP(E1022,Valida!$A$2:$K$271,4,FALSE)</f>
        <v>P&amp;L</v>
      </c>
      <c r="W1022" s="185" t="s">
        <v>1983</v>
      </c>
      <c r="X1022" s="185"/>
      <c r="Y1022" s="185" t="s">
        <v>1789</v>
      </c>
      <c r="Z1022"/>
    </row>
    <row r="1023" spans="1:26">
      <c r="A1023" s="185" t="s">
        <v>2039</v>
      </c>
      <c r="B1023" s="185" t="s">
        <v>2040</v>
      </c>
      <c r="C1023" s="185" t="s">
        <v>1897</v>
      </c>
      <c r="D1023" s="185" t="s">
        <v>2041</v>
      </c>
      <c r="E1023" s="185">
        <v>510527</v>
      </c>
      <c r="F1023" s="185" t="s">
        <v>1089</v>
      </c>
      <c r="G1023" s="185" t="s">
        <v>2042</v>
      </c>
      <c r="H1023" s="185" t="s">
        <v>1515</v>
      </c>
      <c r="I1023" s="258" t="str">
        <f t="shared" si="46"/>
        <v>5</v>
      </c>
      <c r="J1023" s="221">
        <f t="shared" si="47"/>
        <v>140606</v>
      </c>
      <c r="K1023" s="258">
        <f t="shared" si="48"/>
        <v>4</v>
      </c>
      <c r="L1023" s="188">
        <v>140606</v>
      </c>
      <c r="M1023" s="188">
        <v>0</v>
      </c>
      <c r="N1023" s="189">
        <v>1000036375</v>
      </c>
      <c r="O1023" t="s">
        <v>2040</v>
      </c>
      <c r="P1023" s="187">
        <v>45042</v>
      </c>
      <c r="Q1023" s="186">
        <v>10515</v>
      </c>
      <c r="R1023" s="185"/>
      <c r="S1023" s="185" t="s">
        <v>1524</v>
      </c>
      <c r="T1023"/>
      <c r="U1023" t="str">
        <f>IF($L1023&gt;0,VLOOKUP($E1023,Valida!$A$1:$G$270,6,FALSE),IF($M1023&gt;=0,VLOOKUP($E1023,Valida!$A$1:$G$270,7,FALSE)))</f>
        <v>(+/-) Ganancia (pérdida)</v>
      </c>
      <c r="V1023" s="190" t="str">
        <f>VLOOKUP(E1023,Valida!$A$2:$K$271,4,FALSE)</f>
        <v>P&amp;L</v>
      </c>
      <c r="W1023" s="185" t="s">
        <v>1983</v>
      </c>
      <c r="X1023" s="185"/>
      <c r="Y1023" s="185" t="s">
        <v>1789</v>
      </c>
      <c r="Z1023"/>
    </row>
    <row r="1024" spans="1:26">
      <c r="A1024" s="185" t="s">
        <v>2039</v>
      </c>
      <c r="B1024" s="185" t="s">
        <v>2040</v>
      </c>
      <c r="C1024" s="185" t="s">
        <v>1897</v>
      </c>
      <c r="D1024" s="185" t="s">
        <v>2041</v>
      </c>
      <c r="E1024" s="185">
        <v>510515</v>
      </c>
      <c r="F1024" s="185" t="s">
        <v>1080</v>
      </c>
      <c r="G1024" s="185" t="s">
        <v>2042</v>
      </c>
      <c r="H1024" s="185" t="s">
        <v>1515</v>
      </c>
      <c r="I1024" s="258" t="str">
        <f t="shared" si="46"/>
        <v>5</v>
      </c>
      <c r="J1024" s="221">
        <f t="shared" si="47"/>
        <v>85938</v>
      </c>
      <c r="K1024" s="258">
        <f t="shared" si="48"/>
        <v>4</v>
      </c>
      <c r="L1024" s="188">
        <v>85938</v>
      </c>
      <c r="M1024" s="188">
        <v>0</v>
      </c>
      <c r="N1024" s="189">
        <v>1000036375</v>
      </c>
      <c r="O1024" t="s">
        <v>2040</v>
      </c>
      <c r="P1024" s="187">
        <v>45042</v>
      </c>
      <c r="Q1024" s="186">
        <v>10516</v>
      </c>
      <c r="R1024" s="185"/>
      <c r="S1024" s="185" t="s">
        <v>1524</v>
      </c>
      <c r="T1024"/>
      <c r="U1024" t="str">
        <f>IF($L1024&gt;0,VLOOKUP($E1024,Valida!$A$1:$G$270,6,FALSE),IF($M1024&gt;=0,VLOOKUP($E1024,Valida!$A$1:$G$270,7,FALSE)))</f>
        <v>(+/-) Ganancia (pérdida)</v>
      </c>
      <c r="V1024" s="190" t="str">
        <f>VLOOKUP(E1024,Valida!$A$2:$K$271,4,FALSE)</f>
        <v>P&amp;L</v>
      </c>
      <c r="W1024" s="185" t="s">
        <v>1983</v>
      </c>
      <c r="X1024" s="185"/>
      <c r="Y1024" s="185" t="s">
        <v>1789</v>
      </c>
      <c r="Z1024"/>
    </row>
    <row r="1025" spans="1:26">
      <c r="A1025" s="185" t="s">
        <v>2039</v>
      </c>
      <c r="B1025" s="185" t="s">
        <v>2040</v>
      </c>
      <c r="C1025" s="185" t="s">
        <v>1897</v>
      </c>
      <c r="D1025" s="185" t="s">
        <v>2041</v>
      </c>
      <c r="E1025" s="185">
        <v>510515</v>
      </c>
      <c r="F1025" s="185" t="s">
        <v>1080</v>
      </c>
      <c r="G1025" s="185" t="s">
        <v>2042</v>
      </c>
      <c r="H1025" s="185" t="s">
        <v>1515</v>
      </c>
      <c r="I1025" s="258" t="str">
        <f t="shared" si="46"/>
        <v>5</v>
      </c>
      <c r="J1025" s="221">
        <f t="shared" si="47"/>
        <v>206250</v>
      </c>
      <c r="K1025" s="258">
        <f t="shared" si="48"/>
        <v>4</v>
      </c>
      <c r="L1025" s="188">
        <v>206250</v>
      </c>
      <c r="M1025" s="188">
        <v>0</v>
      </c>
      <c r="N1025" s="189">
        <v>1000036375</v>
      </c>
      <c r="O1025" t="s">
        <v>2040</v>
      </c>
      <c r="P1025" s="187">
        <v>45042</v>
      </c>
      <c r="Q1025" s="186">
        <v>10517</v>
      </c>
      <c r="R1025" s="185"/>
      <c r="S1025" s="185" t="s">
        <v>1524</v>
      </c>
      <c r="T1025"/>
      <c r="U1025" t="str">
        <f>IF($L1025&gt;0,VLOOKUP($E1025,Valida!$A$1:$G$270,6,FALSE),IF($M1025&gt;=0,VLOOKUP($E1025,Valida!$A$1:$G$270,7,FALSE)))</f>
        <v>(+/-) Ganancia (pérdida)</v>
      </c>
      <c r="V1025" s="190" t="str">
        <f>VLOOKUP(E1025,Valida!$A$2:$K$271,4,FALSE)</f>
        <v>P&amp;L</v>
      </c>
      <c r="W1025" s="185" t="s">
        <v>1983</v>
      </c>
      <c r="X1025" s="185"/>
      <c r="Y1025" s="185" t="s">
        <v>1789</v>
      </c>
      <c r="Z1025"/>
    </row>
    <row r="1026" spans="1:26">
      <c r="A1026" s="185" t="s">
        <v>2039</v>
      </c>
      <c r="B1026" s="185" t="s">
        <v>2040</v>
      </c>
      <c r="C1026" s="185" t="s">
        <v>1897</v>
      </c>
      <c r="D1026" s="185" t="s">
        <v>2041</v>
      </c>
      <c r="E1026" s="185">
        <v>237005</v>
      </c>
      <c r="F1026" s="185" t="s">
        <v>676</v>
      </c>
      <c r="G1026" s="185" t="s">
        <v>2042</v>
      </c>
      <c r="H1026" s="185" t="s">
        <v>1628</v>
      </c>
      <c r="I1026" s="258" t="str">
        <f t="shared" si="46"/>
        <v>2</v>
      </c>
      <c r="J1026" s="221">
        <f t="shared" si="47"/>
        <v>-71688</v>
      </c>
      <c r="K1026" s="258">
        <f t="shared" si="48"/>
        <v>4</v>
      </c>
      <c r="L1026" s="188">
        <v>0</v>
      </c>
      <c r="M1026" s="188">
        <v>71688</v>
      </c>
      <c r="N1026" s="189">
        <v>900156264</v>
      </c>
      <c r="O1026" t="s">
        <v>2040</v>
      </c>
      <c r="P1026" s="187">
        <v>45042</v>
      </c>
      <c r="Q1026" s="186">
        <v>10518</v>
      </c>
      <c r="R1026" s="185" t="s">
        <v>433</v>
      </c>
      <c r="S1026" s="185" t="s">
        <v>1654</v>
      </c>
      <c r="T1026"/>
      <c r="U1026" t="str">
        <f>IF($L1026&gt;0,VLOOKUP($E1026,Valida!$A$1:$G$270,6,FALSE),IF($M1026&gt;=0,VLOOKUP($E1026,Valida!$A$1:$G$270,7,FALSE)))</f>
        <v>(+/-) Ajustes por el incremento (disminución) de cuentas por pagar de origen comercial</v>
      </c>
      <c r="V1026" s="190" t="str">
        <f>VLOOKUP(E1026,Valida!$A$2:$K$271,4,FALSE)</f>
        <v>Trade and other payables</v>
      </c>
      <c r="W1026" s="185" t="s">
        <v>1926</v>
      </c>
      <c r="X1026" s="185" t="s">
        <v>1927</v>
      </c>
      <c r="Y1026" s="185" t="s">
        <v>1789</v>
      </c>
      <c r="Z1026"/>
    </row>
    <row r="1027" spans="1:26">
      <c r="A1027" s="185" t="s">
        <v>2039</v>
      </c>
      <c r="B1027" s="185" t="s">
        <v>2040</v>
      </c>
      <c r="C1027" s="185" t="s">
        <v>1897</v>
      </c>
      <c r="D1027" s="185" t="s">
        <v>2041</v>
      </c>
      <c r="E1027" s="185">
        <v>238030</v>
      </c>
      <c r="F1027" s="185" t="s">
        <v>721</v>
      </c>
      <c r="G1027" s="185" t="s">
        <v>2042</v>
      </c>
      <c r="H1027" s="185" t="s">
        <v>1628</v>
      </c>
      <c r="I1027" s="258" t="str">
        <f t="shared" ref="I1027:I1090" si="49">LEFT(E1027,1)</f>
        <v>2</v>
      </c>
      <c r="J1027" s="221">
        <f t="shared" ref="J1027:J1090" si="50">L1027-M1027</f>
        <v>-71688</v>
      </c>
      <c r="K1027" s="258">
        <f t="shared" ref="K1027:K1090" si="51">MONTH(A1027)</f>
        <v>4</v>
      </c>
      <c r="L1027" s="188">
        <v>0</v>
      </c>
      <c r="M1027" s="188">
        <v>71688</v>
      </c>
      <c r="N1027" s="189">
        <v>800224808</v>
      </c>
      <c r="O1027" t="s">
        <v>2040</v>
      </c>
      <c r="P1027" s="187">
        <v>45042</v>
      </c>
      <c r="Q1027" s="186">
        <v>10519</v>
      </c>
      <c r="R1027" s="185" t="s">
        <v>1827</v>
      </c>
      <c r="S1027" s="185" t="s">
        <v>1662</v>
      </c>
      <c r="T1027"/>
      <c r="U1027" t="str">
        <f>IF($L1027&gt;0,VLOOKUP($E1027,Valida!$A$1:$G$270,6,FALSE),IF($M1027&gt;=0,VLOOKUP($E1027,Valida!$A$1:$G$270,7,FALSE)))</f>
        <v>(+/-) Ajustes por el incremento (disminución) de cuentas por pagar de origen comercial</v>
      </c>
      <c r="V1027" s="190" t="str">
        <f>VLOOKUP(E1027,Valida!$A$2:$K$271,4,FALSE)</f>
        <v>Trade and other payables</v>
      </c>
      <c r="W1027" s="185" t="s">
        <v>1911</v>
      </c>
      <c r="X1027" s="185"/>
      <c r="Y1027" s="185" t="s">
        <v>1789</v>
      </c>
      <c r="Z1027"/>
    </row>
    <row r="1028" spans="1:26">
      <c r="A1028" s="185" t="s">
        <v>2039</v>
      </c>
      <c r="B1028" s="185" t="s">
        <v>2040</v>
      </c>
      <c r="C1028" s="185" t="s">
        <v>1897</v>
      </c>
      <c r="D1028" s="185" t="s">
        <v>2041</v>
      </c>
      <c r="E1028" s="185">
        <v>510506</v>
      </c>
      <c r="F1028" s="185" t="s">
        <v>1076</v>
      </c>
      <c r="G1028" s="185" t="s">
        <v>2042</v>
      </c>
      <c r="H1028" s="185" t="s">
        <v>1628</v>
      </c>
      <c r="I1028" s="258" t="str">
        <f t="shared" si="49"/>
        <v>5</v>
      </c>
      <c r="J1028" s="221">
        <f t="shared" si="50"/>
        <v>-28125</v>
      </c>
      <c r="K1028" s="258">
        <f t="shared" si="51"/>
        <v>4</v>
      </c>
      <c r="L1028" s="188">
        <v>0</v>
      </c>
      <c r="M1028" s="188">
        <v>28125</v>
      </c>
      <c r="N1028" s="189">
        <v>1000036375</v>
      </c>
      <c r="O1028" t="s">
        <v>2040</v>
      </c>
      <c r="P1028" s="187">
        <v>45042</v>
      </c>
      <c r="Q1028" s="186">
        <v>10520</v>
      </c>
      <c r="R1028" s="185"/>
      <c r="S1028" s="185" t="s">
        <v>1524</v>
      </c>
      <c r="T1028"/>
      <c r="U1028" t="str">
        <f>IF($L1028&gt;0,VLOOKUP($E1028,Valida!$A$1:$G$270,6,FALSE),IF($M1028&gt;=0,VLOOKUP($E1028,Valida!$A$1:$G$270,7,FALSE)))</f>
        <v>(+/-) Ganancia (pérdida)</v>
      </c>
      <c r="V1028" s="190" t="str">
        <f>VLOOKUP(E1028,Valida!$A$2:$K$271,4,FALSE)</f>
        <v>P&amp;L</v>
      </c>
      <c r="W1028" s="185" t="s">
        <v>1983</v>
      </c>
      <c r="X1028" s="185"/>
      <c r="Y1028" s="185" t="s">
        <v>1789</v>
      </c>
      <c r="Z1028"/>
    </row>
    <row r="1029" spans="1:26">
      <c r="A1029" s="185" t="s">
        <v>2039</v>
      </c>
      <c r="B1029" s="185" t="s">
        <v>2040</v>
      </c>
      <c r="C1029" s="185" t="s">
        <v>1897</v>
      </c>
      <c r="D1029" s="185" t="s">
        <v>2041</v>
      </c>
      <c r="E1029" s="185">
        <v>250505</v>
      </c>
      <c r="F1029" s="185" t="s">
        <v>767</v>
      </c>
      <c r="G1029" s="185" t="s">
        <v>2042</v>
      </c>
      <c r="H1029" s="185" t="s">
        <v>1628</v>
      </c>
      <c r="I1029" s="258" t="str">
        <f t="shared" si="49"/>
        <v>2</v>
      </c>
      <c r="J1029" s="221">
        <f t="shared" si="50"/>
        <v>-1114526</v>
      </c>
      <c r="K1029" s="258">
        <f t="shared" si="51"/>
        <v>4</v>
      </c>
      <c r="L1029" s="188">
        <v>0</v>
      </c>
      <c r="M1029" s="188">
        <v>1114526</v>
      </c>
      <c r="N1029" s="189">
        <v>1000018061</v>
      </c>
      <c r="O1029" t="s">
        <v>2040</v>
      </c>
      <c r="P1029" s="187">
        <v>45042</v>
      </c>
      <c r="Q1029" s="186">
        <v>10521</v>
      </c>
      <c r="R1029" s="185"/>
      <c r="S1029" s="185" t="s">
        <v>1522</v>
      </c>
      <c r="T1029"/>
      <c r="U1029" t="str">
        <f>IF($L1029&gt;0,VLOOKUP($E1029,Valida!$A$1:$G$270,6,FALSE),IF($M1029&gt;=0,VLOOKUP($E1029,Valida!$A$1:$G$270,7,FALSE)))</f>
        <v>(+/-) Ajustes por el incremento (disminución) de cuentas por pagar de origen comercial</v>
      </c>
      <c r="V1029" s="190" t="str">
        <f>VLOOKUP(E1029,Valida!$A$2:$K$271,4,FALSE)</f>
        <v>Trade and other payables</v>
      </c>
      <c r="W1029" s="185" t="s">
        <v>1978</v>
      </c>
      <c r="X1029" s="185"/>
      <c r="Y1029" s="185" t="s">
        <v>1789</v>
      </c>
      <c r="Z1029"/>
    </row>
    <row r="1030" spans="1:26">
      <c r="A1030" s="185" t="s">
        <v>2039</v>
      </c>
      <c r="B1030" s="185" t="s">
        <v>2040</v>
      </c>
      <c r="C1030" s="185" t="s">
        <v>1897</v>
      </c>
      <c r="D1030" s="185" t="s">
        <v>2041</v>
      </c>
      <c r="E1030" s="185">
        <v>250505</v>
      </c>
      <c r="F1030" s="185" t="s">
        <v>767</v>
      </c>
      <c r="G1030" s="185" t="s">
        <v>2042</v>
      </c>
      <c r="H1030" s="185" t="s">
        <v>1628</v>
      </c>
      <c r="I1030" s="258" t="str">
        <f t="shared" si="49"/>
        <v>2</v>
      </c>
      <c r="J1030" s="221">
        <f t="shared" si="50"/>
        <v>-1761293</v>
      </c>
      <c r="K1030" s="258">
        <f t="shared" si="51"/>
        <v>4</v>
      </c>
      <c r="L1030" s="188">
        <v>0</v>
      </c>
      <c r="M1030" s="188">
        <v>1761293</v>
      </c>
      <c r="N1030" s="189">
        <v>1000036375</v>
      </c>
      <c r="O1030" t="s">
        <v>2040</v>
      </c>
      <c r="P1030" s="187">
        <v>45042</v>
      </c>
      <c r="Q1030" s="186">
        <v>10522</v>
      </c>
      <c r="R1030" s="185"/>
      <c r="S1030" s="185" t="s">
        <v>1524</v>
      </c>
      <c r="T1030"/>
      <c r="U1030" t="str">
        <f>IF($L1030&gt;0,VLOOKUP($E1030,Valida!$A$1:$G$270,6,FALSE),IF($M1030&gt;=0,VLOOKUP($E1030,Valida!$A$1:$G$270,7,FALSE)))</f>
        <v>(+/-) Ajustes por el incremento (disminución) de cuentas por pagar de origen comercial</v>
      </c>
      <c r="V1030" s="190" t="str">
        <f>VLOOKUP(E1030,Valida!$A$2:$K$271,4,FALSE)</f>
        <v>Trade and other payables</v>
      </c>
      <c r="W1030" s="185" t="s">
        <v>1983</v>
      </c>
      <c r="X1030" s="185"/>
      <c r="Y1030" s="185" t="s">
        <v>1789</v>
      </c>
      <c r="Z1030"/>
    </row>
    <row r="1031" spans="1:26">
      <c r="A1031" s="185" t="s">
        <v>2039</v>
      </c>
      <c r="B1031" s="185" t="s">
        <v>2040</v>
      </c>
      <c r="C1031" s="185" t="s">
        <v>1897</v>
      </c>
      <c r="D1031" s="185" t="s">
        <v>2041</v>
      </c>
      <c r="E1031" s="185">
        <v>250505</v>
      </c>
      <c r="F1031" s="185" t="s">
        <v>767</v>
      </c>
      <c r="G1031" s="185" t="s">
        <v>2042</v>
      </c>
      <c r="H1031" s="185" t="s">
        <v>1628</v>
      </c>
      <c r="I1031" s="258" t="str">
        <f t="shared" si="49"/>
        <v>2</v>
      </c>
      <c r="J1031" s="221">
        <f t="shared" si="50"/>
        <v>-1520606</v>
      </c>
      <c r="K1031" s="258">
        <f t="shared" si="51"/>
        <v>4</v>
      </c>
      <c r="L1031" s="188">
        <v>0</v>
      </c>
      <c r="M1031" s="188">
        <v>1520606</v>
      </c>
      <c r="N1031" s="189">
        <v>1010101811</v>
      </c>
      <c r="O1031" t="s">
        <v>2040</v>
      </c>
      <c r="P1031" s="187">
        <v>45042</v>
      </c>
      <c r="Q1031" s="186">
        <v>10523</v>
      </c>
      <c r="R1031" s="185"/>
      <c r="S1031" s="185" t="s">
        <v>1528</v>
      </c>
      <c r="T1031"/>
      <c r="U1031" t="str">
        <f>IF($L1031&gt;0,VLOOKUP($E1031,Valida!$A$1:$G$270,6,FALSE),IF($M1031&gt;=0,VLOOKUP($E1031,Valida!$A$1:$G$270,7,FALSE)))</f>
        <v>(+/-) Ajustes por el incremento (disminución) de cuentas por pagar de origen comercial</v>
      </c>
      <c r="V1031" s="190" t="str">
        <f>VLOOKUP(E1031,Valida!$A$2:$K$271,4,FALSE)</f>
        <v>Trade and other payables</v>
      </c>
      <c r="W1031" s="185" t="s">
        <v>1967</v>
      </c>
      <c r="X1031" s="185"/>
      <c r="Y1031" s="185" t="s">
        <v>1789</v>
      </c>
      <c r="Z1031"/>
    </row>
    <row r="1032" spans="1:26">
      <c r="A1032" s="185" t="s">
        <v>2039</v>
      </c>
      <c r="B1032" s="185" t="s">
        <v>2040</v>
      </c>
      <c r="C1032" s="185" t="s">
        <v>1897</v>
      </c>
      <c r="D1032" s="185" t="s">
        <v>2041</v>
      </c>
      <c r="E1032" s="185">
        <v>250505</v>
      </c>
      <c r="F1032" s="185" t="s">
        <v>767</v>
      </c>
      <c r="G1032" s="185" t="s">
        <v>2042</v>
      </c>
      <c r="H1032" s="185" t="s">
        <v>1628</v>
      </c>
      <c r="I1032" s="258" t="str">
        <f t="shared" si="49"/>
        <v>2</v>
      </c>
      <c r="J1032" s="221">
        <f t="shared" si="50"/>
        <v>-1430906</v>
      </c>
      <c r="K1032" s="258">
        <f t="shared" si="51"/>
        <v>4</v>
      </c>
      <c r="L1032" s="188">
        <v>0</v>
      </c>
      <c r="M1032" s="188">
        <v>1430906</v>
      </c>
      <c r="N1032" s="189">
        <v>1020842223</v>
      </c>
      <c r="O1032" t="s">
        <v>2040</v>
      </c>
      <c r="P1032" s="187">
        <v>45042</v>
      </c>
      <c r="Q1032" s="186">
        <v>10524</v>
      </c>
      <c r="R1032" s="185"/>
      <c r="S1032" s="185" t="s">
        <v>1532</v>
      </c>
      <c r="T1032"/>
      <c r="U1032" t="str">
        <f>IF($L1032&gt;0,VLOOKUP($E1032,Valida!$A$1:$G$270,6,FALSE),IF($M1032&gt;=0,VLOOKUP($E1032,Valida!$A$1:$G$270,7,FALSE)))</f>
        <v>(+/-) Ajustes por el incremento (disminución) de cuentas por pagar de origen comercial</v>
      </c>
      <c r="V1032" s="190" t="str">
        <f>VLOOKUP(E1032,Valida!$A$2:$K$271,4,FALSE)</f>
        <v>Trade and other payables</v>
      </c>
      <c r="W1032" s="185" t="s">
        <v>1900</v>
      </c>
      <c r="X1032" s="185"/>
      <c r="Y1032" s="185" t="s">
        <v>1789</v>
      </c>
      <c r="Z1032"/>
    </row>
    <row r="1033" spans="1:26">
      <c r="A1033" s="185" t="s">
        <v>2039</v>
      </c>
      <c r="B1033" s="185" t="s">
        <v>2381</v>
      </c>
      <c r="C1033" s="185" t="s">
        <v>1897</v>
      </c>
      <c r="D1033" s="185" t="s">
        <v>2382</v>
      </c>
      <c r="E1033" s="185">
        <v>237006</v>
      </c>
      <c r="F1033" s="185" t="s">
        <v>680</v>
      </c>
      <c r="G1033" s="185" t="s">
        <v>2549</v>
      </c>
      <c r="H1033" s="185" t="s">
        <v>1628</v>
      </c>
      <c r="I1033" s="258" t="str">
        <f t="shared" si="49"/>
        <v>2</v>
      </c>
      <c r="J1033" s="221">
        <f t="shared" si="50"/>
        <v>-37222</v>
      </c>
      <c r="K1033" s="258">
        <f t="shared" si="51"/>
        <v>4</v>
      </c>
      <c r="L1033" s="188">
        <v>0</v>
      </c>
      <c r="M1033" s="188">
        <v>37222</v>
      </c>
      <c r="N1033" s="189">
        <v>860002503</v>
      </c>
      <c r="O1033" t="s">
        <v>2381</v>
      </c>
      <c r="P1033" s="187">
        <v>45042</v>
      </c>
      <c r="Q1033" s="186">
        <v>10526</v>
      </c>
      <c r="R1033" s="185" t="s">
        <v>433</v>
      </c>
      <c r="S1033" s="185" t="s">
        <v>1656</v>
      </c>
      <c r="T1033"/>
      <c r="U1033" t="str">
        <f>IF($L1033&gt;0,VLOOKUP($E1033,Valida!$A$1:$G$270,6,FALSE),IF($M1033&gt;=0,VLOOKUP($E1033,Valida!$A$1:$G$270,7,FALSE)))</f>
        <v>(+/-) Ajustes por el incremento (disminución) de cuentas por pagar de origen comercial</v>
      </c>
      <c r="V1033" s="190" t="str">
        <f>VLOOKUP(E1033,Valida!$A$2:$K$271,4,FALSE)</f>
        <v>Trade and other payables</v>
      </c>
      <c r="W1033" s="185" t="s">
        <v>1912</v>
      </c>
      <c r="X1033" s="185" t="s">
        <v>1913</v>
      </c>
      <c r="Y1033" s="185" t="s">
        <v>1789</v>
      </c>
      <c r="Z1033"/>
    </row>
    <row r="1034" spans="1:26">
      <c r="A1034" s="185" t="s">
        <v>2039</v>
      </c>
      <c r="B1034" s="185" t="s">
        <v>2381</v>
      </c>
      <c r="C1034" s="185" t="s">
        <v>1897</v>
      </c>
      <c r="D1034" s="185" t="s">
        <v>2382</v>
      </c>
      <c r="E1034" s="185">
        <v>237010</v>
      </c>
      <c r="F1034" s="185" t="s">
        <v>683</v>
      </c>
      <c r="G1034" s="185" t="s">
        <v>2550</v>
      </c>
      <c r="H1034" s="185" t="s">
        <v>1628</v>
      </c>
      <c r="I1034" s="258" t="str">
        <f t="shared" si="49"/>
        <v>2</v>
      </c>
      <c r="J1034" s="221">
        <f t="shared" si="50"/>
        <v>-142614</v>
      </c>
      <c r="K1034" s="258">
        <f t="shared" si="51"/>
        <v>4</v>
      </c>
      <c r="L1034" s="188">
        <v>0</v>
      </c>
      <c r="M1034" s="188">
        <v>142614</v>
      </c>
      <c r="N1034" s="189">
        <v>860066942</v>
      </c>
      <c r="O1034" t="s">
        <v>2381</v>
      </c>
      <c r="P1034" s="187">
        <v>45042</v>
      </c>
      <c r="Q1034" s="186">
        <v>10527</v>
      </c>
      <c r="R1034" s="185" t="s">
        <v>1814</v>
      </c>
      <c r="S1034" s="185" t="s">
        <v>1574</v>
      </c>
      <c r="T1034"/>
      <c r="U1034" t="str">
        <f>IF($L1034&gt;0,VLOOKUP($E1034,Valida!$A$1:$G$270,6,FALSE),IF($M1034&gt;=0,VLOOKUP($E1034,Valida!$A$1:$G$270,7,FALSE)))</f>
        <v>(+/-) Ajustes por el incremento (disminución) de cuentas por pagar de origen comercial</v>
      </c>
      <c r="V1034" s="190" t="str">
        <f>VLOOKUP(E1034,Valida!$A$2:$K$271,4,FALSE)</f>
        <v>Trade and other payables</v>
      </c>
      <c r="W1034" s="185" t="s">
        <v>1914</v>
      </c>
      <c r="X1034" s="185" t="s">
        <v>1915</v>
      </c>
      <c r="Y1034" s="185" t="s">
        <v>1789</v>
      </c>
      <c r="Z1034"/>
    </row>
    <row r="1035" spans="1:26">
      <c r="A1035" s="185" t="s">
        <v>2039</v>
      </c>
      <c r="B1035" s="185" t="s">
        <v>2381</v>
      </c>
      <c r="C1035" s="185" t="s">
        <v>1897</v>
      </c>
      <c r="D1035" s="185" t="s">
        <v>2382</v>
      </c>
      <c r="E1035" s="185">
        <v>238030</v>
      </c>
      <c r="F1035" s="185" t="s">
        <v>721</v>
      </c>
      <c r="G1035" s="185" t="s">
        <v>2551</v>
      </c>
      <c r="H1035" s="185" t="s">
        <v>1628</v>
      </c>
      <c r="I1035" s="258" t="str">
        <f t="shared" si="49"/>
        <v>2</v>
      </c>
      <c r="J1035" s="221">
        <f t="shared" si="50"/>
        <v>-702563</v>
      </c>
      <c r="K1035" s="258">
        <f t="shared" si="51"/>
        <v>4</v>
      </c>
      <c r="L1035" s="188">
        <v>0</v>
      </c>
      <c r="M1035" s="188">
        <v>702563</v>
      </c>
      <c r="N1035" s="189">
        <v>800224808</v>
      </c>
      <c r="O1035" t="s">
        <v>2381</v>
      </c>
      <c r="P1035" s="187">
        <v>45042</v>
      </c>
      <c r="Q1035" s="186">
        <v>10528</v>
      </c>
      <c r="R1035" s="185" t="s">
        <v>1827</v>
      </c>
      <c r="S1035" s="185" t="s">
        <v>1662</v>
      </c>
      <c r="T1035"/>
      <c r="U1035" t="str">
        <f>IF($L1035&gt;0,VLOOKUP($E1035,Valida!$A$1:$G$270,6,FALSE),IF($M1035&gt;=0,VLOOKUP($E1035,Valida!$A$1:$G$270,7,FALSE)))</f>
        <v>(+/-) Ajustes por el incremento (disminución) de cuentas por pagar de origen comercial</v>
      </c>
      <c r="V1035" s="190" t="str">
        <f>VLOOKUP(E1035,Valida!$A$2:$K$271,4,FALSE)</f>
        <v>Trade and other payables</v>
      </c>
      <c r="W1035" s="185" t="s">
        <v>1911</v>
      </c>
      <c r="X1035" s="185"/>
      <c r="Y1035" s="185" t="s">
        <v>1789</v>
      </c>
      <c r="Z1035"/>
    </row>
    <row r="1036" spans="1:26">
      <c r="A1036" s="185" t="s">
        <v>2039</v>
      </c>
      <c r="B1036" s="185" t="s">
        <v>2381</v>
      </c>
      <c r="C1036" s="185" t="s">
        <v>1897</v>
      </c>
      <c r="D1036" s="185" t="s">
        <v>2382</v>
      </c>
      <c r="E1036" s="185">
        <v>238030</v>
      </c>
      <c r="F1036" s="185" t="s">
        <v>721</v>
      </c>
      <c r="G1036" s="185" t="s">
        <v>2551</v>
      </c>
      <c r="H1036" s="185" t="s">
        <v>1628</v>
      </c>
      <c r="I1036" s="258" t="str">
        <f t="shared" si="49"/>
        <v>2</v>
      </c>
      <c r="J1036" s="221">
        <f t="shared" si="50"/>
        <v>-153120</v>
      </c>
      <c r="K1036" s="258">
        <f t="shared" si="51"/>
        <v>4</v>
      </c>
      <c r="L1036" s="188">
        <v>0</v>
      </c>
      <c r="M1036" s="188">
        <v>153120</v>
      </c>
      <c r="N1036" s="189">
        <v>800227940</v>
      </c>
      <c r="O1036" t="s">
        <v>2381</v>
      </c>
      <c r="P1036" s="187">
        <v>45042</v>
      </c>
      <c r="Q1036" s="186">
        <v>10529</v>
      </c>
      <c r="R1036" s="185"/>
      <c r="S1036" s="185" t="s">
        <v>1664</v>
      </c>
      <c r="T1036"/>
      <c r="U1036" t="str">
        <f>IF($L1036&gt;0,VLOOKUP($E1036,Valida!$A$1:$G$270,6,FALSE),IF($M1036&gt;=0,VLOOKUP($E1036,Valida!$A$1:$G$270,7,FALSE)))</f>
        <v>(+/-) Ajustes por el incremento (disminución) de cuentas por pagar de origen comercial</v>
      </c>
      <c r="V1036" s="190" t="str">
        <f>VLOOKUP(E1036,Valida!$A$2:$K$271,4,FALSE)</f>
        <v>Trade and other payables</v>
      </c>
      <c r="W1036" s="185"/>
      <c r="X1036" s="185"/>
      <c r="Y1036" s="185"/>
      <c r="Z1036"/>
    </row>
    <row r="1037" spans="1:26">
      <c r="A1037" s="185" t="s">
        <v>2039</v>
      </c>
      <c r="B1037" s="185" t="s">
        <v>2381</v>
      </c>
      <c r="C1037" s="185" t="s">
        <v>1897</v>
      </c>
      <c r="D1037" s="185" t="s">
        <v>2382</v>
      </c>
      <c r="E1037" s="185">
        <v>251010</v>
      </c>
      <c r="F1037" s="185" t="s">
        <v>776</v>
      </c>
      <c r="G1037" s="185" t="s">
        <v>2552</v>
      </c>
      <c r="H1037" s="185" t="s">
        <v>1628</v>
      </c>
      <c r="I1037" s="258" t="str">
        <f t="shared" si="49"/>
        <v>2</v>
      </c>
      <c r="J1037" s="221">
        <f t="shared" si="50"/>
        <v>-118003</v>
      </c>
      <c r="K1037" s="258">
        <f t="shared" si="51"/>
        <v>4</v>
      </c>
      <c r="L1037" s="188">
        <v>0</v>
      </c>
      <c r="M1037" s="188">
        <v>118003</v>
      </c>
      <c r="N1037" s="189">
        <v>1000018061</v>
      </c>
      <c r="O1037" t="s">
        <v>2381</v>
      </c>
      <c r="P1037" s="187">
        <v>45042</v>
      </c>
      <c r="Q1037" s="186">
        <v>10530</v>
      </c>
      <c r="R1037" s="185"/>
      <c r="S1037" s="185" t="s">
        <v>1522</v>
      </c>
      <c r="T1037"/>
      <c r="U1037" t="str">
        <f>IF($L1037&gt;0,VLOOKUP($E1037,Valida!$A$1:$G$270,6,FALSE),IF($M1037&gt;=0,VLOOKUP($E1037,Valida!$A$1:$G$270,7,FALSE)))</f>
        <v>(+/-) Ajustes por el incremento (disminución) de cuentas por pagar de origen comercial</v>
      </c>
      <c r="V1037" s="190" t="str">
        <f>VLOOKUP(E1037,Valida!$A$2:$K$271,4,FALSE)</f>
        <v>Trade and other payables</v>
      </c>
      <c r="W1037" s="185" t="s">
        <v>1978</v>
      </c>
      <c r="X1037" s="185"/>
      <c r="Y1037" s="185" t="s">
        <v>1789</v>
      </c>
      <c r="Z1037"/>
    </row>
    <row r="1038" spans="1:26">
      <c r="A1038" s="185" t="s">
        <v>2039</v>
      </c>
      <c r="B1038" s="185" t="s">
        <v>2381</v>
      </c>
      <c r="C1038" s="185" t="s">
        <v>1897</v>
      </c>
      <c r="D1038" s="185" t="s">
        <v>2382</v>
      </c>
      <c r="E1038" s="185">
        <v>251010</v>
      </c>
      <c r="F1038" s="185" t="s">
        <v>776</v>
      </c>
      <c r="G1038" s="185" t="s">
        <v>2552</v>
      </c>
      <c r="H1038" s="185" t="s">
        <v>1628</v>
      </c>
      <c r="I1038" s="258" t="str">
        <f t="shared" si="49"/>
        <v>2</v>
      </c>
      <c r="J1038" s="221">
        <f t="shared" si="50"/>
        <v>-161002</v>
      </c>
      <c r="K1038" s="258">
        <f t="shared" si="51"/>
        <v>4</v>
      </c>
      <c r="L1038" s="188">
        <v>0</v>
      </c>
      <c r="M1038" s="188">
        <v>161002</v>
      </c>
      <c r="N1038" s="189">
        <v>1000036375</v>
      </c>
      <c r="O1038" t="s">
        <v>2381</v>
      </c>
      <c r="P1038" s="187">
        <v>45042</v>
      </c>
      <c r="Q1038" s="186">
        <v>10531</v>
      </c>
      <c r="R1038" s="185"/>
      <c r="S1038" s="185" t="s">
        <v>1524</v>
      </c>
      <c r="T1038"/>
      <c r="U1038" t="str">
        <f>IF($L1038&gt;0,VLOOKUP($E1038,Valida!$A$1:$G$270,6,FALSE),IF($M1038&gt;=0,VLOOKUP($E1038,Valida!$A$1:$G$270,7,FALSE)))</f>
        <v>(+/-) Ajustes por el incremento (disminución) de cuentas por pagar de origen comercial</v>
      </c>
      <c r="V1038" s="190" t="str">
        <f>VLOOKUP(E1038,Valida!$A$2:$K$271,4,FALSE)</f>
        <v>Trade and other payables</v>
      </c>
      <c r="W1038" s="185" t="s">
        <v>1983</v>
      </c>
      <c r="X1038" s="185"/>
      <c r="Y1038" s="185" t="s">
        <v>1789</v>
      </c>
      <c r="Z1038"/>
    </row>
    <row r="1039" spans="1:26">
      <c r="A1039" s="185" t="s">
        <v>2039</v>
      </c>
      <c r="B1039" s="185" t="s">
        <v>2381</v>
      </c>
      <c r="C1039" s="185" t="s">
        <v>1897</v>
      </c>
      <c r="D1039" s="185" t="s">
        <v>2382</v>
      </c>
      <c r="E1039" s="185">
        <v>251010</v>
      </c>
      <c r="F1039" s="185" t="s">
        <v>776</v>
      </c>
      <c r="G1039" s="185" t="s">
        <v>2552</v>
      </c>
      <c r="H1039" s="185" t="s">
        <v>1628</v>
      </c>
      <c r="I1039" s="258" t="str">
        <f t="shared" si="49"/>
        <v>2</v>
      </c>
      <c r="J1039" s="221">
        <f t="shared" si="50"/>
        <v>-136662</v>
      </c>
      <c r="K1039" s="258">
        <f t="shared" si="51"/>
        <v>4</v>
      </c>
      <c r="L1039" s="188">
        <v>0</v>
      </c>
      <c r="M1039" s="188">
        <v>136662</v>
      </c>
      <c r="N1039" s="189">
        <v>1010101811</v>
      </c>
      <c r="O1039" t="s">
        <v>2381</v>
      </c>
      <c r="P1039" s="187">
        <v>45042</v>
      </c>
      <c r="Q1039" s="186">
        <v>10532</v>
      </c>
      <c r="R1039" s="185"/>
      <c r="S1039" s="185" t="s">
        <v>1528</v>
      </c>
      <c r="T1039"/>
      <c r="U1039" t="str">
        <f>IF($L1039&gt;0,VLOOKUP($E1039,Valida!$A$1:$G$270,6,FALSE),IF($M1039&gt;=0,VLOOKUP($E1039,Valida!$A$1:$G$270,7,FALSE)))</f>
        <v>(+/-) Ajustes por el incremento (disminución) de cuentas por pagar de origen comercial</v>
      </c>
      <c r="V1039" s="190" t="str">
        <f>VLOOKUP(E1039,Valida!$A$2:$K$271,4,FALSE)</f>
        <v>Trade and other payables</v>
      </c>
      <c r="W1039" s="185" t="s">
        <v>1967</v>
      </c>
      <c r="X1039" s="185"/>
      <c r="Y1039" s="185" t="s">
        <v>1789</v>
      </c>
      <c r="Z1039"/>
    </row>
    <row r="1040" spans="1:26">
      <c r="A1040" s="185" t="s">
        <v>2039</v>
      </c>
      <c r="B1040" s="185" t="s">
        <v>2381</v>
      </c>
      <c r="C1040" s="185" t="s">
        <v>1897</v>
      </c>
      <c r="D1040" s="185" t="s">
        <v>2382</v>
      </c>
      <c r="E1040" s="185">
        <v>251010</v>
      </c>
      <c r="F1040" s="185" t="s">
        <v>776</v>
      </c>
      <c r="G1040" s="185" t="s">
        <v>2552</v>
      </c>
      <c r="H1040" s="185" t="s">
        <v>1628</v>
      </c>
      <c r="I1040" s="258" t="str">
        <f t="shared" si="49"/>
        <v>2</v>
      </c>
      <c r="J1040" s="221">
        <f t="shared" si="50"/>
        <v>-128541</v>
      </c>
      <c r="K1040" s="258">
        <f t="shared" si="51"/>
        <v>4</v>
      </c>
      <c r="L1040" s="188">
        <v>0</v>
      </c>
      <c r="M1040" s="188">
        <v>128541</v>
      </c>
      <c r="N1040" s="189">
        <v>1020842223</v>
      </c>
      <c r="O1040" t="s">
        <v>2381</v>
      </c>
      <c r="P1040" s="187">
        <v>45042</v>
      </c>
      <c r="Q1040" s="186">
        <v>10533</v>
      </c>
      <c r="R1040" s="185"/>
      <c r="S1040" s="185" t="s">
        <v>1532</v>
      </c>
      <c r="T1040"/>
      <c r="U1040" t="str">
        <f>IF($L1040&gt;0,VLOOKUP($E1040,Valida!$A$1:$G$270,6,FALSE),IF($M1040&gt;=0,VLOOKUP($E1040,Valida!$A$1:$G$270,7,FALSE)))</f>
        <v>(+/-) Ajustes por el incremento (disminución) de cuentas por pagar de origen comercial</v>
      </c>
      <c r="V1040" s="190" t="str">
        <f>VLOOKUP(E1040,Valida!$A$2:$K$271,4,FALSE)</f>
        <v>Trade and other payables</v>
      </c>
      <c r="W1040" s="185" t="s">
        <v>1900</v>
      </c>
      <c r="X1040" s="185"/>
      <c r="Y1040" s="185" t="s">
        <v>1789</v>
      </c>
      <c r="Z1040"/>
    </row>
    <row r="1041" spans="1:26">
      <c r="A1041" s="185" t="s">
        <v>2039</v>
      </c>
      <c r="B1041" s="185" t="s">
        <v>2381</v>
      </c>
      <c r="C1041" s="185" t="s">
        <v>1897</v>
      </c>
      <c r="D1041" s="185" t="s">
        <v>2382</v>
      </c>
      <c r="E1041" s="185">
        <v>251010</v>
      </c>
      <c r="F1041" s="185" t="s">
        <v>776</v>
      </c>
      <c r="G1041" s="185" t="s">
        <v>2552</v>
      </c>
      <c r="H1041" s="185" t="s">
        <v>1628</v>
      </c>
      <c r="I1041" s="258" t="str">
        <f t="shared" si="49"/>
        <v>2</v>
      </c>
      <c r="J1041" s="221">
        <f t="shared" si="50"/>
        <v>-108340</v>
      </c>
      <c r="K1041" s="258">
        <f t="shared" si="51"/>
        <v>4</v>
      </c>
      <c r="L1041" s="188">
        <v>0</v>
      </c>
      <c r="M1041" s="188">
        <v>108340</v>
      </c>
      <c r="N1041" s="189">
        <v>1130744136</v>
      </c>
      <c r="O1041" t="s">
        <v>2381</v>
      </c>
      <c r="P1041" s="187">
        <v>45042</v>
      </c>
      <c r="Q1041" s="186">
        <v>10534</v>
      </c>
      <c r="R1041" s="185"/>
      <c r="S1041" s="185" t="s">
        <v>1538</v>
      </c>
      <c r="T1041"/>
      <c r="U1041" t="str">
        <f>IF($L1041&gt;0,VLOOKUP($E1041,Valida!$A$1:$G$270,6,FALSE),IF($M1041&gt;=0,VLOOKUP($E1041,Valida!$A$1:$G$270,7,FALSE)))</f>
        <v>(+/-) Ajustes por el incremento (disminución) de cuentas por pagar de origen comercial</v>
      </c>
      <c r="V1041" s="190" t="str">
        <f>VLOOKUP(E1041,Valida!$A$2:$K$271,4,FALSE)</f>
        <v>Trade and other payables</v>
      </c>
      <c r="W1041" s="185" t="s">
        <v>1909</v>
      </c>
      <c r="X1041" s="185" t="s">
        <v>1910</v>
      </c>
      <c r="Y1041" s="185" t="s">
        <v>1789</v>
      </c>
      <c r="Z1041"/>
    </row>
    <row r="1042" spans="1:26">
      <c r="A1042" s="185" t="s">
        <v>2039</v>
      </c>
      <c r="B1042" s="185" t="s">
        <v>2384</v>
      </c>
      <c r="C1042" s="185" t="s">
        <v>1897</v>
      </c>
      <c r="D1042" s="185" t="s">
        <v>2385</v>
      </c>
      <c r="E1042" s="185">
        <v>252505</v>
      </c>
      <c r="F1042" s="185" t="s">
        <v>787</v>
      </c>
      <c r="G1042" s="185" t="s">
        <v>2553</v>
      </c>
      <c r="H1042" s="185" t="s">
        <v>1515</v>
      </c>
      <c r="I1042" s="258" t="str">
        <f t="shared" si="49"/>
        <v>2</v>
      </c>
      <c r="J1042" s="221">
        <f t="shared" si="50"/>
        <v>177222</v>
      </c>
      <c r="K1042" s="258">
        <f t="shared" si="51"/>
        <v>4</v>
      </c>
      <c r="L1042" s="188">
        <v>177222</v>
      </c>
      <c r="M1042" s="188">
        <v>0</v>
      </c>
      <c r="N1042" s="189">
        <v>901513634</v>
      </c>
      <c r="O1042" t="s">
        <v>2384</v>
      </c>
      <c r="P1042" s="187">
        <v>45042</v>
      </c>
      <c r="Q1042" s="186">
        <v>10571</v>
      </c>
      <c r="R1042" s="185" t="s">
        <v>6</v>
      </c>
      <c r="S1042" s="185" t="s">
        <v>1518</v>
      </c>
      <c r="T1042"/>
      <c r="U1042" t="str">
        <f>IF($L1042&gt;0,VLOOKUP($E1042,Valida!$A$1:$G$270,6,FALSE),IF($M1042&gt;=0,VLOOKUP($E1042,Valida!$A$1:$G$270,7,FALSE)))</f>
        <v>(+/-) Ajustes por el incremento (disminución) de cuentas por pagar de origen comercial</v>
      </c>
      <c r="V1042" s="190" t="str">
        <f>VLOOKUP(E1042,Valida!$A$2:$K$271,4,FALSE)</f>
        <v>Trade and other payables</v>
      </c>
      <c r="W1042" s="185" t="s">
        <v>1787</v>
      </c>
      <c r="X1042" s="185" t="s">
        <v>1788</v>
      </c>
      <c r="Y1042" s="185" t="s">
        <v>1789</v>
      </c>
      <c r="Z1042"/>
    </row>
    <row r="1043" spans="1:26">
      <c r="A1043" s="185" t="s">
        <v>2039</v>
      </c>
      <c r="B1043" s="185" t="s">
        <v>2384</v>
      </c>
      <c r="C1043" s="185" t="s">
        <v>1897</v>
      </c>
      <c r="D1043" s="185" t="s">
        <v>2385</v>
      </c>
      <c r="E1043" s="185">
        <v>510506</v>
      </c>
      <c r="F1043" s="185" t="s">
        <v>1076</v>
      </c>
      <c r="G1043" s="185" t="s">
        <v>2553</v>
      </c>
      <c r="H1043" s="185" t="s">
        <v>1515</v>
      </c>
      <c r="I1043" s="258" t="str">
        <f t="shared" si="49"/>
        <v>5</v>
      </c>
      <c r="J1043" s="221">
        <f t="shared" si="50"/>
        <v>1026667</v>
      </c>
      <c r="K1043" s="258">
        <f t="shared" si="51"/>
        <v>4</v>
      </c>
      <c r="L1043" s="188">
        <v>1026667</v>
      </c>
      <c r="M1043" s="188">
        <v>0</v>
      </c>
      <c r="N1043" s="189">
        <v>80747504</v>
      </c>
      <c r="O1043" t="s">
        <v>2384</v>
      </c>
      <c r="P1043" s="187">
        <v>45042</v>
      </c>
      <c r="Q1043" s="186">
        <v>10572</v>
      </c>
      <c r="R1043" s="185"/>
      <c r="S1043" s="185" t="s">
        <v>1562</v>
      </c>
      <c r="T1043"/>
      <c r="U1043" t="str">
        <f>IF($L1043&gt;0,VLOOKUP($E1043,Valida!$A$1:$G$270,6,FALSE),IF($M1043&gt;=0,VLOOKUP($E1043,Valida!$A$1:$G$270,7,FALSE)))</f>
        <v>(+/-) Ganancia (pérdida)</v>
      </c>
      <c r="V1043" s="190" t="str">
        <f>VLOOKUP(E1043,Valida!$A$2:$K$271,4,FALSE)</f>
        <v>P&amp;L</v>
      </c>
      <c r="W1043" s="185" t="s">
        <v>1918</v>
      </c>
      <c r="X1043" s="185"/>
      <c r="Y1043" s="185" t="s">
        <v>1789</v>
      </c>
      <c r="Z1043"/>
    </row>
    <row r="1044" spans="1:26">
      <c r="A1044" s="185" t="s">
        <v>2039</v>
      </c>
      <c r="B1044" s="185" t="s">
        <v>2384</v>
      </c>
      <c r="C1044" s="185" t="s">
        <v>1897</v>
      </c>
      <c r="D1044" s="185" t="s">
        <v>2385</v>
      </c>
      <c r="E1044" s="185">
        <v>251010</v>
      </c>
      <c r="F1044" s="185" t="s">
        <v>776</v>
      </c>
      <c r="G1044" s="185" t="s">
        <v>2553</v>
      </c>
      <c r="H1044" s="185" t="s">
        <v>1515</v>
      </c>
      <c r="I1044" s="258" t="str">
        <f t="shared" si="49"/>
        <v>2</v>
      </c>
      <c r="J1044" s="221">
        <f t="shared" si="50"/>
        <v>377098</v>
      </c>
      <c r="K1044" s="258">
        <f t="shared" si="51"/>
        <v>4</v>
      </c>
      <c r="L1044" s="188">
        <v>377098</v>
      </c>
      <c r="M1044" s="188">
        <v>0</v>
      </c>
      <c r="N1044" s="189">
        <v>80747504</v>
      </c>
      <c r="O1044" t="s">
        <v>2384</v>
      </c>
      <c r="P1044" s="187">
        <v>45042</v>
      </c>
      <c r="Q1044" s="186">
        <v>10573</v>
      </c>
      <c r="R1044" s="185"/>
      <c r="S1044" s="185" t="s">
        <v>1562</v>
      </c>
      <c r="T1044"/>
      <c r="U1044" t="str">
        <f>IF($L1044&gt;0,VLOOKUP($E1044,Valida!$A$1:$G$270,6,FALSE),IF($M1044&gt;=0,VLOOKUP($E1044,Valida!$A$1:$G$270,7,FALSE)))</f>
        <v>(+/-) Ajustes por el incremento (disminución) de cuentas por pagar de origen comercial</v>
      </c>
      <c r="V1044" s="190" t="str">
        <f>VLOOKUP(E1044,Valida!$A$2:$K$271,4,FALSE)</f>
        <v>Trade and other payables</v>
      </c>
      <c r="W1044" s="185" t="s">
        <v>1918</v>
      </c>
      <c r="X1044" s="185"/>
      <c r="Y1044" s="185" t="s">
        <v>1789</v>
      </c>
      <c r="Z1044"/>
    </row>
    <row r="1045" spans="1:26">
      <c r="A1045" s="185" t="s">
        <v>2039</v>
      </c>
      <c r="B1045" s="185" t="s">
        <v>2384</v>
      </c>
      <c r="C1045" s="185" t="s">
        <v>1897</v>
      </c>
      <c r="D1045" s="185" t="s">
        <v>2385</v>
      </c>
      <c r="E1045" s="185">
        <v>251505</v>
      </c>
      <c r="F1045" s="185" t="s">
        <v>779</v>
      </c>
      <c r="G1045" s="185" t="s">
        <v>2553</v>
      </c>
      <c r="H1045" s="185" t="s">
        <v>1515</v>
      </c>
      <c r="I1045" s="258" t="str">
        <f t="shared" si="49"/>
        <v>2</v>
      </c>
      <c r="J1045" s="221">
        <f t="shared" si="50"/>
        <v>7291</v>
      </c>
      <c r="K1045" s="258">
        <f t="shared" si="51"/>
        <v>4</v>
      </c>
      <c r="L1045" s="188">
        <v>7291</v>
      </c>
      <c r="M1045" s="188">
        <v>0</v>
      </c>
      <c r="N1045" s="189">
        <v>80747504</v>
      </c>
      <c r="O1045" t="s">
        <v>2384</v>
      </c>
      <c r="P1045" s="187">
        <v>45042</v>
      </c>
      <c r="Q1045" s="186">
        <v>10574</v>
      </c>
      <c r="R1045" s="185"/>
      <c r="S1045" s="185" t="s">
        <v>1562</v>
      </c>
      <c r="T1045"/>
      <c r="U1045" t="str">
        <f>IF($L1045&gt;0,VLOOKUP($E1045,Valida!$A$1:$G$270,6,FALSE),IF($M1045&gt;=0,VLOOKUP($E1045,Valida!$A$1:$G$270,7,FALSE)))</f>
        <v>(+/-) Ajustes por el incremento (disminución) de cuentas por pagar de origen comercial</v>
      </c>
      <c r="V1045" s="190" t="str">
        <f>VLOOKUP(E1045,Valida!$A$2:$K$271,4,FALSE)</f>
        <v>Trade and other payables</v>
      </c>
      <c r="W1045" s="185" t="s">
        <v>1918</v>
      </c>
      <c r="X1045" s="185"/>
      <c r="Y1045" s="185" t="s">
        <v>1789</v>
      </c>
      <c r="Z1045"/>
    </row>
    <row r="1046" spans="1:26">
      <c r="A1046" s="185" t="s">
        <v>2039</v>
      </c>
      <c r="B1046" s="185" t="s">
        <v>2384</v>
      </c>
      <c r="C1046" s="185" t="s">
        <v>1897</v>
      </c>
      <c r="D1046" s="185" t="s">
        <v>2385</v>
      </c>
      <c r="E1046" s="185">
        <v>252005</v>
      </c>
      <c r="F1046" s="185" t="s">
        <v>783</v>
      </c>
      <c r="G1046" s="185" t="s">
        <v>2553</v>
      </c>
      <c r="H1046" s="185" t="s">
        <v>1515</v>
      </c>
      <c r="I1046" s="258" t="str">
        <f t="shared" si="49"/>
        <v>2</v>
      </c>
      <c r="J1046" s="221">
        <f t="shared" si="50"/>
        <v>377098</v>
      </c>
      <c r="K1046" s="258">
        <f t="shared" si="51"/>
        <v>4</v>
      </c>
      <c r="L1046" s="188">
        <v>377098</v>
      </c>
      <c r="M1046" s="188">
        <v>0</v>
      </c>
      <c r="N1046" s="189">
        <v>80747504</v>
      </c>
      <c r="O1046" t="s">
        <v>2384</v>
      </c>
      <c r="P1046" s="187">
        <v>45042</v>
      </c>
      <c r="Q1046" s="186">
        <v>10575</v>
      </c>
      <c r="R1046" s="185"/>
      <c r="S1046" s="185" t="s">
        <v>1562</v>
      </c>
      <c r="T1046"/>
      <c r="U1046" t="str">
        <f>IF($L1046&gt;0,VLOOKUP($E1046,Valida!$A$1:$G$270,6,FALSE),IF($M1046&gt;=0,VLOOKUP($E1046,Valida!$A$1:$G$270,7,FALSE)))</f>
        <v>(+/-) Ajustes por el incremento (disminución) de cuentas por pagar de origen comercial</v>
      </c>
      <c r="V1046" s="190" t="str">
        <f>VLOOKUP(E1046,Valida!$A$2:$K$271,4,FALSE)</f>
        <v>Trade and other payables</v>
      </c>
      <c r="W1046" s="185" t="s">
        <v>1918</v>
      </c>
      <c r="X1046" s="185"/>
      <c r="Y1046" s="185" t="s">
        <v>1789</v>
      </c>
      <c r="Z1046"/>
    </row>
    <row r="1047" spans="1:26">
      <c r="A1047" s="185" t="s">
        <v>2039</v>
      </c>
      <c r="B1047" s="185" t="s">
        <v>2384</v>
      </c>
      <c r="C1047" s="185" t="s">
        <v>1897</v>
      </c>
      <c r="D1047" s="185" t="s">
        <v>2385</v>
      </c>
      <c r="E1047" s="185">
        <v>510527</v>
      </c>
      <c r="F1047" s="185" t="s">
        <v>1089</v>
      </c>
      <c r="G1047" s="185" t="s">
        <v>2553</v>
      </c>
      <c r="H1047" s="185" t="s">
        <v>1515</v>
      </c>
      <c r="I1047" s="258" t="str">
        <f t="shared" si="49"/>
        <v>5</v>
      </c>
      <c r="J1047" s="221">
        <f t="shared" si="50"/>
        <v>65616</v>
      </c>
      <c r="K1047" s="258">
        <f t="shared" si="51"/>
        <v>4</v>
      </c>
      <c r="L1047" s="188">
        <v>65616</v>
      </c>
      <c r="M1047" s="188">
        <v>0</v>
      </c>
      <c r="N1047" s="189">
        <v>80747504</v>
      </c>
      <c r="O1047" t="s">
        <v>2384</v>
      </c>
      <c r="P1047" s="187">
        <v>45042</v>
      </c>
      <c r="Q1047" s="186">
        <v>10576</v>
      </c>
      <c r="R1047" s="185"/>
      <c r="S1047" s="185" t="s">
        <v>1562</v>
      </c>
      <c r="T1047"/>
      <c r="U1047" t="str">
        <f>IF($L1047&gt;0,VLOOKUP($E1047,Valida!$A$1:$G$270,6,FALSE),IF($M1047&gt;=0,VLOOKUP($E1047,Valida!$A$1:$G$270,7,FALSE)))</f>
        <v>(+/-) Ganancia (pérdida)</v>
      </c>
      <c r="V1047" s="190" t="str">
        <f>VLOOKUP(E1047,Valida!$A$2:$K$271,4,FALSE)</f>
        <v>P&amp;L</v>
      </c>
      <c r="W1047" s="185" t="s">
        <v>1918</v>
      </c>
      <c r="X1047" s="185"/>
      <c r="Y1047" s="185" t="s">
        <v>1789</v>
      </c>
      <c r="Z1047"/>
    </row>
    <row r="1048" spans="1:26">
      <c r="A1048" s="185" t="s">
        <v>2039</v>
      </c>
      <c r="B1048" s="185" t="s">
        <v>2384</v>
      </c>
      <c r="C1048" s="185" t="s">
        <v>1897</v>
      </c>
      <c r="D1048" s="185" t="s">
        <v>2385</v>
      </c>
      <c r="E1048" s="185">
        <v>237005</v>
      </c>
      <c r="F1048" s="185" t="s">
        <v>676</v>
      </c>
      <c r="G1048" s="185" t="s">
        <v>2553</v>
      </c>
      <c r="H1048" s="185" t="s">
        <v>1628</v>
      </c>
      <c r="I1048" s="258" t="str">
        <f t="shared" si="49"/>
        <v>2</v>
      </c>
      <c r="J1048" s="221">
        <f t="shared" si="50"/>
        <v>-41067</v>
      </c>
      <c r="K1048" s="258">
        <f t="shared" si="51"/>
        <v>4</v>
      </c>
      <c r="L1048" s="188">
        <v>0</v>
      </c>
      <c r="M1048" s="188">
        <v>41067</v>
      </c>
      <c r="N1048" s="189">
        <v>900156264</v>
      </c>
      <c r="O1048" t="s">
        <v>2384</v>
      </c>
      <c r="P1048" s="187">
        <v>45042</v>
      </c>
      <c r="Q1048" s="186">
        <v>10577</v>
      </c>
      <c r="R1048" s="185" t="s">
        <v>433</v>
      </c>
      <c r="S1048" s="185" t="s">
        <v>1654</v>
      </c>
      <c r="T1048"/>
      <c r="U1048" t="str">
        <f>IF($L1048&gt;0,VLOOKUP($E1048,Valida!$A$1:$G$270,6,FALSE),IF($M1048&gt;=0,VLOOKUP($E1048,Valida!$A$1:$G$270,7,FALSE)))</f>
        <v>(+/-) Ajustes por el incremento (disminución) de cuentas por pagar de origen comercial</v>
      </c>
      <c r="V1048" s="190" t="str">
        <f>VLOOKUP(E1048,Valida!$A$2:$K$271,4,FALSE)</f>
        <v>Trade and other payables</v>
      </c>
      <c r="W1048" s="185" t="s">
        <v>1926</v>
      </c>
      <c r="X1048" s="185" t="s">
        <v>1927</v>
      </c>
      <c r="Y1048" s="185" t="s">
        <v>1789</v>
      </c>
      <c r="Z1048"/>
    </row>
    <row r="1049" spans="1:26">
      <c r="A1049" s="185" t="s">
        <v>2039</v>
      </c>
      <c r="B1049" s="185" t="s">
        <v>2384</v>
      </c>
      <c r="C1049" s="185" t="s">
        <v>1897</v>
      </c>
      <c r="D1049" s="185" t="s">
        <v>2385</v>
      </c>
      <c r="E1049" s="185">
        <v>238030</v>
      </c>
      <c r="F1049" s="185" t="s">
        <v>721</v>
      </c>
      <c r="G1049" s="185" t="s">
        <v>2553</v>
      </c>
      <c r="H1049" s="185" t="s">
        <v>1628</v>
      </c>
      <c r="I1049" s="258" t="str">
        <f t="shared" si="49"/>
        <v>2</v>
      </c>
      <c r="J1049" s="221">
        <f t="shared" si="50"/>
        <v>-41067</v>
      </c>
      <c r="K1049" s="258">
        <f t="shared" si="51"/>
        <v>4</v>
      </c>
      <c r="L1049" s="188">
        <v>0</v>
      </c>
      <c r="M1049" s="188">
        <v>41067</v>
      </c>
      <c r="N1049" s="189">
        <v>900336004</v>
      </c>
      <c r="O1049" t="s">
        <v>2384</v>
      </c>
      <c r="P1049" s="187">
        <v>45042</v>
      </c>
      <c r="Q1049" s="186">
        <v>10578</v>
      </c>
      <c r="R1049" s="185" t="s">
        <v>1814</v>
      </c>
      <c r="S1049" s="185" t="s">
        <v>1666</v>
      </c>
      <c r="T1049"/>
      <c r="U1049" t="str">
        <f>IF($L1049&gt;0,VLOOKUP($E1049,Valida!$A$1:$G$270,6,FALSE),IF($M1049&gt;=0,VLOOKUP($E1049,Valida!$A$1:$G$270,7,FALSE)))</f>
        <v>(+/-) Ajustes por el incremento (disminución) de cuentas por pagar de origen comercial</v>
      </c>
      <c r="V1049" s="190" t="str">
        <f>VLOOKUP(E1049,Valida!$A$2:$K$271,4,FALSE)</f>
        <v>Trade and other payables</v>
      </c>
      <c r="W1049" s="185" t="s">
        <v>2554</v>
      </c>
      <c r="X1049" s="185"/>
      <c r="Y1049" s="185" t="s">
        <v>1789</v>
      </c>
      <c r="Z1049"/>
    </row>
    <row r="1050" spans="1:26">
      <c r="A1050" s="185" t="s">
        <v>2039</v>
      </c>
      <c r="B1050" s="185" t="s">
        <v>2384</v>
      </c>
      <c r="C1050" s="185" t="s">
        <v>1897</v>
      </c>
      <c r="D1050" s="185" t="s">
        <v>2385</v>
      </c>
      <c r="E1050" s="185">
        <v>250505</v>
      </c>
      <c r="F1050" s="185" t="s">
        <v>767</v>
      </c>
      <c r="G1050" s="185" t="s">
        <v>2553</v>
      </c>
      <c r="H1050" s="185" t="s">
        <v>1628</v>
      </c>
      <c r="I1050" s="258" t="str">
        <f t="shared" si="49"/>
        <v>2</v>
      </c>
      <c r="J1050" s="221">
        <f t="shared" si="50"/>
        <v>-1948858</v>
      </c>
      <c r="K1050" s="258">
        <f t="shared" si="51"/>
        <v>4</v>
      </c>
      <c r="L1050" s="188">
        <v>0</v>
      </c>
      <c r="M1050" s="188">
        <v>1948858</v>
      </c>
      <c r="N1050" s="189">
        <v>80747504</v>
      </c>
      <c r="O1050" t="s">
        <v>2384</v>
      </c>
      <c r="P1050" s="187">
        <v>45042</v>
      </c>
      <c r="Q1050" s="186">
        <v>10579</v>
      </c>
      <c r="R1050" s="185"/>
      <c r="S1050" s="185" t="s">
        <v>1562</v>
      </c>
      <c r="T1050"/>
      <c r="U1050" t="str">
        <f>IF($L1050&gt;0,VLOOKUP($E1050,Valida!$A$1:$G$270,6,FALSE),IF($M1050&gt;=0,VLOOKUP($E1050,Valida!$A$1:$G$270,7,FALSE)))</f>
        <v>(+/-) Ajustes por el incremento (disminución) de cuentas por pagar de origen comercial</v>
      </c>
      <c r="V1050" s="190" t="str">
        <f>VLOOKUP(E1050,Valida!$A$2:$K$271,4,FALSE)</f>
        <v>Trade and other payables</v>
      </c>
      <c r="W1050" s="185" t="s">
        <v>1918</v>
      </c>
      <c r="X1050" s="185"/>
      <c r="Y1050" s="185" t="s">
        <v>1789</v>
      </c>
      <c r="Z1050"/>
    </row>
    <row r="1051" spans="1:26">
      <c r="A1051" s="185" t="s">
        <v>2039</v>
      </c>
      <c r="B1051" s="185" t="s">
        <v>2555</v>
      </c>
      <c r="C1051" s="185" t="s">
        <v>1897</v>
      </c>
      <c r="D1051" s="185" t="s">
        <v>2556</v>
      </c>
      <c r="E1051" s="185">
        <v>237006</v>
      </c>
      <c r="F1051" s="185" t="s">
        <v>680</v>
      </c>
      <c r="G1051" s="185" t="s">
        <v>2557</v>
      </c>
      <c r="H1051" s="185" t="s">
        <v>1628</v>
      </c>
      <c r="I1051" s="258" t="str">
        <f t="shared" si="49"/>
        <v>2</v>
      </c>
      <c r="J1051" s="221">
        <f t="shared" si="50"/>
        <v>-5359</v>
      </c>
      <c r="K1051" s="258">
        <f t="shared" si="51"/>
        <v>4</v>
      </c>
      <c r="L1051" s="188">
        <v>0</v>
      </c>
      <c r="M1051" s="188">
        <v>5359</v>
      </c>
      <c r="N1051" s="189">
        <v>860002503</v>
      </c>
      <c r="O1051" t="s">
        <v>2555</v>
      </c>
      <c r="P1051" s="187">
        <v>45042</v>
      </c>
      <c r="Q1051" s="186">
        <v>10580</v>
      </c>
      <c r="R1051" s="185" t="s">
        <v>433</v>
      </c>
      <c r="S1051" s="185" t="s">
        <v>1656</v>
      </c>
      <c r="T1051"/>
      <c r="U1051" t="str">
        <f>IF($L1051&gt;0,VLOOKUP($E1051,Valida!$A$1:$G$270,6,FALSE),IF($M1051&gt;=0,VLOOKUP($E1051,Valida!$A$1:$G$270,7,FALSE)))</f>
        <v>(+/-) Ajustes por el incremento (disminución) de cuentas por pagar de origen comercial</v>
      </c>
      <c r="V1051" s="190" t="str">
        <f>VLOOKUP(E1051,Valida!$A$2:$K$271,4,FALSE)</f>
        <v>Trade and other payables</v>
      </c>
      <c r="W1051" s="185" t="s">
        <v>1912</v>
      </c>
      <c r="X1051" s="185" t="s">
        <v>1913</v>
      </c>
      <c r="Y1051" s="185" t="s">
        <v>1789</v>
      </c>
      <c r="Z1051"/>
    </row>
    <row r="1052" spans="1:26">
      <c r="A1052" s="185" t="s">
        <v>2039</v>
      </c>
      <c r="B1052" s="185" t="s">
        <v>2555</v>
      </c>
      <c r="C1052" s="185" t="s">
        <v>1897</v>
      </c>
      <c r="D1052" s="185" t="s">
        <v>2556</v>
      </c>
      <c r="E1052" s="185">
        <v>237010</v>
      </c>
      <c r="F1052" s="185" t="s">
        <v>683</v>
      </c>
      <c r="G1052" s="185" t="s">
        <v>2558</v>
      </c>
      <c r="H1052" s="185" t="s">
        <v>1628</v>
      </c>
      <c r="I1052" s="258" t="str">
        <f t="shared" si="49"/>
        <v>2</v>
      </c>
      <c r="J1052" s="221">
        <f t="shared" si="50"/>
        <v>-20500</v>
      </c>
      <c r="K1052" s="258">
        <f t="shared" si="51"/>
        <v>4</v>
      </c>
      <c r="L1052" s="188">
        <v>0</v>
      </c>
      <c r="M1052" s="188">
        <v>20500</v>
      </c>
      <c r="N1052" s="189">
        <v>860066942</v>
      </c>
      <c r="O1052" t="s">
        <v>2555</v>
      </c>
      <c r="P1052" s="187">
        <v>45042</v>
      </c>
      <c r="Q1052" s="186">
        <v>10581</v>
      </c>
      <c r="R1052" s="185" t="s">
        <v>1814</v>
      </c>
      <c r="S1052" s="185" t="s">
        <v>1574</v>
      </c>
      <c r="T1052"/>
      <c r="U1052" t="str">
        <f>IF($L1052&gt;0,VLOOKUP($E1052,Valida!$A$1:$G$270,6,FALSE),IF($M1052&gt;=0,VLOOKUP($E1052,Valida!$A$1:$G$270,7,FALSE)))</f>
        <v>(+/-) Ajustes por el incremento (disminución) de cuentas por pagar de origen comercial</v>
      </c>
      <c r="V1052" s="190" t="str">
        <f>VLOOKUP(E1052,Valida!$A$2:$K$271,4,FALSE)</f>
        <v>Trade and other payables</v>
      </c>
      <c r="W1052" s="185" t="s">
        <v>1914</v>
      </c>
      <c r="X1052" s="185" t="s">
        <v>1915</v>
      </c>
      <c r="Y1052" s="185" t="s">
        <v>1789</v>
      </c>
      <c r="Z1052"/>
    </row>
    <row r="1053" spans="1:26">
      <c r="A1053" s="185" t="s">
        <v>2039</v>
      </c>
      <c r="B1053" s="185" t="s">
        <v>2555</v>
      </c>
      <c r="C1053" s="185" t="s">
        <v>1897</v>
      </c>
      <c r="D1053" s="185" t="s">
        <v>2556</v>
      </c>
      <c r="E1053" s="185">
        <v>238030</v>
      </c>
      <c r="F1053" s="185" t="s">
        <v>721</v>
      </c>
      <c r="G1053" s="185" t="s">
        <v>2559</v>
      </c>
      <c r="H1053" s="185" t="s">
        <v>1628</v>
      </c>
      <c r="I1053" s="258" t="str">
        <f t="shared" si="49"/>
        <v>2</v>
      </c>
      <c r="J1053" s="221">
        <f t="shared" si="50"/>
        <v>-123200</v>
      </c>
      <c r="K1053" s="258">
        <f t="shared" si="51"/>
        <v>4</v>
      </c>
      <c r="L1053" s="188">
        <v>0</v>
      </c>
      <c r="M1053" s="188">
        <v>123200</v>
      </c>
      <c r="N1053" s="189">
        <v>900336004</v>
      </c>
      <c r="O1053" t="s">
        <v>2555</v>
      </c>
      <c r="P1053" s="187">
        <v>45042</v>
      </c>
      <c r="Q1053" s="186">
        <v>10582</v>
      </c>
      <c r="R1053" s="185" t="s">
        <v>1814</v>
      </c>
      <c r="S1053" s="185" t="s">
        <v>1666</v>
      </c>
      <c r="T1053"/>
      <c r="U1053" t="str">
        <f>IF($L1053&gt;0,VLOOKUP($E1053,Valida!$A$1:$G$270,6,FALSE),IF($M1053&gt;=0,VLOOKUP($E1053,Valida!$A$1:$G$270,7,FALSE)))</f>
        <v>(+/-) Ajustes por el incremento (disminución) de cuentas por pagar de origen comercial</v>
      </c>
      <c r="V1053" s="190" t="str">
        <f>VLOOKUP(E1053,Valida!$A$2:$K$271,4,FALSE)</f>
        <v>Trade and other payables</v>
      </c>
      <c r="W1053" s="185" t="s">
        <v>2554</v>
      </c>
      <c r="X1053" s="185"/>
      <c r="Y1053" s="185" t="s">
        <v>1789</v>
      </c>
      <c r="Z1053"/>
    </row>
    <row r="1054" spans="1:26">
      <c r="A1054" s="185" t="s">
        <v>2039</v>
      </c>
      <c r="B1054" s="185" t="s">
        <v>2555</v>
      </c>
      <c r="C1054" s="185" t="s">
        <v>1897</v>
      </c>
      <c r="D1054" s="185" t="s">
        <v>2556</v>
      </c>
      <c r="E1054" s="185">
        <v>251010</v>
      </c>
      <c r="F1054" s="185" t="s">
        <v>776</v>
      </c>
      <c r="G1054" s="185" t="s">
        <v>2560</v>
      </c>
      <c r="H1054" s="185" t="s">
        <v>1628</v>
      </c>
      <c r="I1054" s="258" t="str">
        <f t="shared" si="49"/>
        <v>2</v>
      </c>
      <c r="J1054" s="221">
        <f t="shared" si="50"/>
        <v>-90987</v>
      </c>
      <c r="K1054" s="258">
        <f t="shared" si="51"/>
        <v>4</v>
      </c>
      <c r="L1054" s="188">
        <v>0</v>
      </c>
      <c r="M1054" s="188">
        <v>90987</v>
      </c>
      <c r="N1054" s="189">
        <v>80747504</v>
      </c>
      <c r="O1054" t="s">
        <v>2555</v>
      </c>
      <c r="P1054" s="187">
        <v>45042</v>
      </c>
      <c r="Q1054" s="186">
        <v>10583</v>
      </c>
      <c r="R1054" s="185"/>
      <c r="S1054" s="185" t="s">
        <v>1562</v>
      </c>
      <c r="T1054"/>
      <c r="U1054" t="str">
        <f>IF($L1054&gt;0,VLOOKUP($E1054,Valida!$A$1:$G$270,6,FALSE),IF($M1054&gt;=0,VLOOKUP($E1054,Valida!$A$1:$G$270,7,FALSE)))</f>
        <v>(+/-) Ajustes por el incremento (disminución) de cuentas por pagar de origen comercial</v>
      </c>
      <c r="V1054" s="190" t="str">
        <f>VLOOKUP(E1054,Valida!$A$2:$K$271,4,FALSE)</f>
        <v>Trade and other payables</v>
      </c>
      <c r="W1054" s="185" t="s">
        <v>1918</v>
      </c>
      <c r="X1054" s="185"/>
      <c r="Y1054" s="185" t="s">
        <v>1789</v>
      </c>
      <c r="Z1054"/>
    </row>
    <row r="1055" spans="1:26">
      <c r="A1055" s="185" t="s">
        <v>2039</v>
      </c>
      <c r="B1055" s="185" t="s">
        <v>2555</v>
      </c>
      <c r="C1055" s="185" t="s">
        <v>1897</v>
      </c>
      <c r="D1055" s="185" t="s">
        <v>2556</v>
      </c>
      <c r="E1055" s="185">
        <v>251505</v>
      </c>
      <c r="F1055" s="185" t="s">
        <v>779</v>
      </c>
      <c r="G1055" s="185" t="s">
        <v>2561</v>
      </c>
      <c r="H1055" s="185" t="s">
        <v>1628</v>
      </c>
      <c r="I1055" s="258" t="str">
        <f t="shared" si="49"/>
        <v>2</v>
      </c>
      <c r="J1055" s="221">
        <f t="shared" si="50"/>
        <v>-10923</v>
      </c>
      <c r="K1055" s="258">
        <f t="shared" si="51"/>
        <v>4</v>
      </c>
      <c r="L1055" s="188">
        <v>0</v>
      </c>
      <c r="M1055" s="188">
        <v>10923</v>
      </c>
      <c r="N1055" s="189">
        <v>800224808</v>
      </c>
      <c r="O1055" t="s">
        <v>2555</v>
      </c>
      <c r="P1055" s="187">
        <v>45042</v>
      </c>
      <c r="Q1055" s="186">
        <v>10584</v>
      </c>
      <c r="R1055" s="185" t="s">
        <v>1827</v>
      </c>
      <c r="S1055" s="185" t="s">
        <v>1662</v>
      </c>
      <c r="T1055"/>
      <c r="U1055" t="str">
        <f>IF($L1055&gt;0,VLOOKUP($E1055,Valida!$A$1:$G$270,6,FALSE),IF($M1055&gt;=0,VLOOKUP($E1055,Valida!$A$1:$G$270,7,FALSE)))</f>
        <v>(+/-) Ajustes por el incremento (disminución) de cuentas por pagar de origen comercial</v>
      </c>
      <c r="V1055" s="190" t="str">
        <f>VLOOKUP(E1055,Valida!$A$2:$K$271,4,FALSE)</f>
        <v>Trade and other payables</v>
      </c>
      <c r="W1055" s="185" t="s">
        <v>1911</v>
      </c>
      <c r="X1055" s="185"/>
      <c r="Y1055" s="185" t="s">
        <v>1789</v>
      </c>
      <c r="Z1055"/>
    </row>
    <row r="1056" spans="1:26">
      <c r="A1056" s="185" t="s">
        <v>2039</v>
      </c>
      <c r="B1056" s="185" t="s">
        <v>2555</v>
      </c>
      <c r="C1056" s="185" t="s">
        <v>1897</v>
      </c>
      <c r="D1056" s="185" t="s">
        <v>2556</v>
      </c>
      <c r="E1056" s="185">
        <v>252005</v>
      </c>
      <c r="F1056" s="185" t="s">
        <v>783</v>
      </c>
      <c r="G1056" s="185" t="s">
        <v>2562</v>
      </c>
      <c r="H1056" s="185" t="s">
        <v>1628</v>
      </c>
      <c r="I1056" s="258" t="str">
        <f t="shared" si="49"/>
        <v>2</v>
      </c>
      <c r="J1056" s="221">
        <f t="shared" si="50"/>
        <v>-90987</v>
      </c>
      <c r="K1056" s="258">
        <f t="shared" si="51"/>
        <v>4</v>
      </c>
      <c r="L1056" s="188">
        <v>0</v>
      </c>
      <c r="M1056" s="188">
        <v>90987</v>
      </c>
      <c r="N1056" s="189">
        <v>80747504</v>
      </c>
      <c r="O1056" t="s">
        <v>2555</v>
      </c>
      <c r="P1056" s="187">
        <v>45042</v>
      </c>
      <c r="Q1056" s="186">
        <v>10585</v>
      </c>
      <c r="R1056" s="185"/>
      <c r="S1056" s="185" t="s">
        <v>1562</v>
      </c>
      <c r="T1056"/>
      <c r="U1056" t="str">
        <f>IF($L1056&gt;0,VLOOKUP($E1056,Valida!$A$1:$G$270,6,FALSE),IF($M1056&gt;=0,VLOOKUP($E1056,Valida!$A$1:$G$270,7,FALSE)))</f>
        <v>(+/-) Ajustes por el incremento (disminución) de cuentas por pagar de origen comercial</v>
      </c>
      <c r="V1056" s="190" t="str">
        <f>VLOOKUP(E1056,Valida!$A$2:$K$271,4,FALSE)</f>
        <v>Trade and other payables</v>
      </c>
      <c r="W1056" s="185" t="s">
        <v>1918</v>
      </c>
      <c r="X1056" s="185"/>
      <c r="Y1056" s="185" t="s">
        <v>1789</v>
      </c>
      <c r="Z1056"/>
    </row>
    <row r="1057" spans="1:26">
      <c r="A1057" s="185" t="s">
        <v>2039</v>
      </c>
      <c r="B1057" s="185" t="s">
        <v>2381</v>
      </c>
      <c r="C1057" s="185" t="s">
        <v>1897</v>
      </c>
      <c r="D1057" s="185" t="s">
        <v>2382</v>
      </c>
      <c r="E1057" s="185">
        <v>251505</v>
      </c>
      <c r="F1057" s="185" t="s">
        <v>779</v>
      </c>
      <c r="G1057" s="185" t="s">
        <v>2563</v>
      </c>
      <c r="H1057" s="185" t="s">
        <v>1628</v>
      </c>
      <c r="I1057" s="258" t="str">
        <f t="shared" si="49"/>
        <v>2</v>
      </c>
      <c r="J1057" s="221">
        <f t="shared" si="50"/>
        <v>-64171</v>
      </c>
      <c r="K1057" s="258">
        <f t="shared" si="51"/>
        <v>4</v>
      </c>
      <c r="L1057" s="188">
        <v>0</v>
      </c>
      <c r="M1057" s="188">
        <v>64171</v>
      </c>
      <c r="N1057" s="189">
        <v>800224808</v>
      </c>
      <c r="O1057" t="s">
        <v>2381</v>
      </c>
      <c r="P1057" s="187">
        <v>45042</v>
      </c>
      <c r="Q1057" s="186">
        <v>10535</v>
      </c>
      <c r="R1057" s="185" t="s">
        <v>1827</v>
      </c>
      <c r="S1057" s="185" t="s">
        <v>1662</v>
      </c>
      <c r="T1057"/>
      <c r="U1057" t="str">
        <f>IF($L1057&gt;0,VLOOKUP($E1057,Valida!$A$1:$G$270,6,FALSE),IF($M1057&gt;=0,VLOOKUP($E1057,Valida!$A$1:$G$270,7,FALSE)))</f>
        <v>(+/-) Ajustes por el incremento (disminución) de cuentas por pagar de origen comercial</v>
      </c>
      <c r="V1057" s="190" t="str">
        <f>VLOOKUP(E1057,Valida!$A$2:$K$271,4,FALSE)</f>
        <v>Trade and other payables</v>
      </c>
      <c r="W1057" s="185" t="s">
        <v>1911</v>
      </c>
      <c r="X1057" s="185"/>
      <c r="Y1057" s="185" t="s">
        <v>1789</v>
      </c>
      <c r="Z1057"/>
    </row>
    <row r="1058" spans="1:26">
      <c r="A1058" s="185" t="s">
        <v>2039</v>
      </c>
      <c r="B1058" s="185" t="s">
        <v>2381</v>
      </c>
      <c r="C1058" s="185" t="s">
        <v>1897</v>
      </c>
      <c r="D1058" s="185" t="s">
        <v>2382</v>
      </c>
      <c r="E1058" s="185">
        <v>251505</v>
      </c>
      <c r="F1058" s="185" t="s">
        <v>779</v>
      </c>
      <c r="G1058" s="185" t="s">
        <v>2563</v>
      </c>
      <c r="H1058" s="185" t="s">
        <v>1628</v>
      </c>
      <c r="I1058" s="258" t="str">
        <f t="shared" si="49"/>
        <v>2</v>
      </c>
      <c r="J1058" s="221">
        <f t="shared" si="50"/>
        <v>-14166</v>
      </c>
      <c r="K1058" s="258">
        <f t="shared" si="51"/>
        <v>4</v>
      </c>
      <c r="L1058" s="188">
        <v>0</v>
      </c>
      <c r="M1058" s="188">
        <v>14166</v>
      </c>
      <c r="N1058" s="189">
        <v>800227940</v>
      </c>
      <c r="O1058" t="s">
        <v>2381</v>
      </c>
      <c r="P1058" s="187">
        <v>45042</v>
      </c>
      <c r="Q1058" s="186">
        <v>10536</v>
      </c>
      <c r="R1058" s="185"/>
      <c r="S1058" s="185" t="s">
        <v>1664</v>
      </c>
      <c r="T1058"/>
      <c r="U1058" t="str">
        <f>IF($L1058&gt;0,VLOOKUP($E1058,Valida!$A$1:$G$270,6,FALSE),IF($M1058&gt;=0,VLOOKUP($E1058,Valida!$A$1:$G$270,7,FALSE)))</f>
        <v>(+/-) Ajustes por el incremento (disminución) de cuentas por pagar de origen comercial</v>
      </c>
      <c r="V1058" s="190" t="str">
        <f>VLOOKUP(E1058,Valida!$A$2:$K$271,4,FALSE)</f>
        <v>Trade and other payables</v>
      </c>
      <c r="W1058" s="185"/>
      <c r="X1058" s="185"/>
      <c r="Y1058" s="185"/>
      <c r="Z1058"/>
    </row>
    <row r="1059" spans="1:26">
      <c r="A1059" s="185" t="s">
        <v>2039</v>
      </c>
      <c r="B1059" s="185" t="s">
        <v>2381</v>
      </c>
      <c r="C1059" s="185" t="s">
        <v>1897</v>
      </c>
      <c r="D1059" s="185" t="s">
        <v>2382</v>
      </c>
      <c r="E1059" s="185">
        <v>252005</v>
      </c>
      <c r="F1059" s="185" t="s">
        <v>783</v>
      </c>
      <c r="G1059" s="185" t="s">
        <v>2564</v>
      </c>
      <c r="H1059" s="185" t="s">
        <v>1628</v>
      </c>
      <c r="I1059" s="258" t="str">
        <f t="shared" si="49"/>
        <v>2</v>
      </c>
      <c r="J1059" s="221">
        <f t="shared" si="50"/>
        <v>-118003</v>
      </c>
      <c r="K1059" s="258">
        <f t="shared" si="51"/>
        <v>4</v>
      </c>
      <c r="L1059" s="188">
        <v>0</v>
      </c>
      <c r="M1059" s="188">
        <v>118003</v>
      </c>
      <c r="N1059" s="189">
        <v>1000018061</v>
      </c>
      <c r="O1059" t="s">
        <v>2381</v>
      </c>
      <c r="P1059" s="187">
        <v>45042</v>
      </c>
      <c r="Q1059" s="186">
        <v>10537</v>
      </c>
      <c r="R1059" s="185"/>
      <c r="S1059" s="185" t="s">
        <v>1522</v>
      </c>
      <c r="T1059"/>
      <c r="U1059" t="str">
        <f>IF($L1059&gt;0,VLOOKUP($E1059,Valida!$A$1:$G$270,6,FALSE),IF($M1059&gt;=0,VLOOKUP($E1059,Valida!$A$1:$G$270,7,FALSE)))</f>
        <v>(+/-) Ajustes por el incremento (disminución) de cuentas por pagar de origen comercial</v>
      </c>
      <c r="V1059" s="190" t="str">
        <f>VLOOKUP(E1059,Valida!$A$2:$K$271,4,FALSE)</f>
        <v>Trade and other payables</v>
      </c>
      <c r="W1059" s="185" t="s">
        <v>1978</v>
      </c>
      <c r="X1059" s="185"/>
      <c r="Y1059" s="185" t="s">
        <v>1789</v>
      </c>
      <c r="Z1059"/>
    </row>
    <row r="1060" spans="1:26">
      <c r="A1060" s="185" t="s">
        <v>2039</v>
      </c>
      <c r="B1060" s="185" t="s">
        <v>2040</v>
      </c>
      <c r="C1060" s="185" t="s">
        <v>1897</v>
      </c>
      <c r="D1060" s="185" t="s">
        <v>2041</v>
      </c>
      <c r="E1060" s="185">
        <v>250505</v>
      </c>
      <c r="F1060" s="185" t="s">
        <v>767</v>
      </c>
      <c r="G1060" s="185" t="s">
        <v>2042</v>
      </c>
      <c r="H1060" s="185" t="s">
        <v>1628</v>
      </c>
      <c r="I1060" s="258" t="str">
        <f t="shared" si="49"/>
        <v>2</v>
      </c>
      <c r="J1060" s="221">
        <f t="shared" si="50"/>
        <v>-1207806</v>
      </c>
      <c r="K1060" s="258">
        <f t="shared" si="51"/>
        <v>4</v>
      </c>
      <c r="L1060" s="188">
        <v>0</v>
      </c>
      <c r="M1060" s="188">
        <v>1207806</v>
      </c>
      <c r="N1060" s="189">
        <v>1130744136</v>
      </c>
      <c r="O1060" t="s">
        <v>2040</v>
      </c>
      <c r="P1060" s="187">
        <v>45042</v>
      </c>
      <c r="Q1060" s="186">
        <v>10525</v>
      </c>
      <c r="R1060" s="185"/>
      <c r="S1060" s="185" t="s">
        <v>1538</v>
      </c>
      <c r="T1060"/>
      <c r="U1060" t="str">
        <f>IF($L1060&gt;0,VLOOKUP($E1060,Valida!$A$1:$G$270,6,FALSE),IF($M1060&gt;=0,VLOOKUP($E1060,Valida!$A$1:$G$270,7,FALSE)))</f>
        <v>(+/-) Ajustes por el incremento (disminución) de cuentas por pagar de origen comercial</v>
      </c>
      <c r="V1060" s="190" t="str">
        <f>VLOOKUP(E1060,Valida!$A$2:$K$271,4,FALSE)</f>
        <v>Trade and other payables</v>
      </c>
      <c r="W1060" s="185" t="s">
        <v>1909</v>
      </c>
      <c r="X1060" s="185" t="s">
        <v>1910</v>
      </c>
      <c r="Y1060" s="185" t="s">
        <v>1789</v>
      </c>
      <c r="Z1060"/>
    </row>
    <row r="1061" spans="1:26">
      <c r="A1061" s="185" t="s">
        <v>2039</v>
      </c>
      <c r="B1061" s="185" t="s">
        <v>2555</v>
      </c>
      <c r="C1061" s="185" t="s">
        <v>1897</v>
      </c>
      <c r="D1061" s="185" t="s">
        <v>2556</v>
      </c>
      <c r="E1061" s="185">
        <v>252505</v>
      </c>
      <c r="F1061" s="185" t="s">
        <v>787</v>
      </c>
      <c r="G1061" s="185" t="s">
        <v>2565</v>
      </c>
      <c r="H1061" s="185" t="s">
        <v>1628</v>
      </c>
      <c r="I1061" s="258" t="str">
        <f t="shared" si="49"/>
        <v>2</v>
      </c>
      <c r="J1061" s="221">
        <f t="shared" si="50"/>
        <v>-42812</v>
      </c>
      <c r="K1061" s="258">
        <f t="shared" si="51"/>
        <v>4</v>
      </c>
      <c r="L1061" s="188">
        <v>0</v>
      </c>
      <c r="M1061" s="188">
        <v>42812</v>
      </c>
      <c r="N1061" s="189">
        <v>80747504</v>
      </c>
      <c r="O1061" t="s">
        <v>2555</v>
      </c>
      <c r="P1061" s="187">
        <v>45042</v>
      </c>
      <c r="Q1061" s="186">
        <v>10586</v>
      </c>
      <c r="R1061" s="185"/>
      <c r="S1061" s="185" t="s">
        <v>1562</v>
      </c>
      <c r="T1061"/>
      <c r="U1061" t="str">
        <f>IF($L1061&gt;0,VLOOKUP($E1061,Valida!$A$1:$G$270,6,FALSE),IF($M1061&gt;=0,VLOOKUP($E1061,Valida!$A$1:$G$270,7,FALSE)))</f>
        <v>(+/-) Ajustes por el incremento (disminución) de cuentas por pagar de origen comercial</v>
      </c>
      <c r="V1061" s="190" t="str">
        <f>VLOOKUP(E1061,Valida!$A$2:$K$271,4,FALSE)</f>
        <v>Trade and other payables</v>
      </c>
      <c r="W1061" s="185" t="s">
        <v>1918</v>
      </c>
      <c r="X1061" s="185"/>
      <c r="Y1061" s="185" t="s">
        <v>1789</v>
      </c>
      <c r="Z1061"/>
    </row>
    <row r="1062" spans="1:26">
      <c r="A1062" s="185" t="s">
        <v>2039</v>
      </c>
      <c r="B1062" s="185" t="s">
        <v>2555</v>
      </c>
      <c r="C1062" s="185" t="s">
        <v>1897</v>
      </c>
      <c r="D1062" s="185" t="s">
        <v>2556</v>
      </c>
      <c r="E1062" s="185">
        <v>510530</v>
      </c>
      <c r="F1062" s="185" t="s">
        <v>813</v>
      </c>
      <c r="G1062" s="185" t="s">
        <v>2560</v>
      </c>
      <c r="H1062" s="185" t="s">
        <v>1515</v>
      </c>
      <c r="I1062" s="258" t="str">
        <f t="shared" si="49"/>
        <v>5</v>
      </c>
      <c r="J1062" s="221">
        <f t="shared" si="50"/>
        <v>90987</v>
      </c>
      <c r="K1062" s="258">
        <f t="shared" si="51"/>
        <v>4</v>
      </c>
      <c r="L1062" s="188">
        <v>90987</v>
      </c>
      <c r="M1062" s="188">
        <v>0</v>
      </c>
      <c r="N1062" s="189">
        <v>901513634</v>
      </c>
      <c r="O1062" t="s">
        <v>2555</v>
      </c>
      <c r="P1062" s="187">
        <v>45042</v>
      </c>
      <c r="Q1062" s="186">
        <v>10587</v>
      </c>
      <c r="R1062" s="185" t="s">
        <v>6</v>
      </c>
      <c r="S1062" s="185" t="s">
        <v>1518</v>
      </c>
      <c r="T1062"/>
      <c r="U1062" t="str">
        <f>IF($L1062&gt;0,VLOOKUP($E1062,Valida!$A$1:$G$270,6,FALSE),IF($M1062&gt;=0,VLOOKUP($E1062,Valida!$A$1:$G$270,7,FALSE)))</f>
        <v>(+/-) Ganancia (pérdida)</v>
      </c>
      <c r="V1062" s="190" t="str">
        <f>VLOOKUP(E1062,Valida!$A$2:$K$271,4,FALSE)</f>
        <v>P&amp;L</v>
      </c>
      <c r="W1062" s="185" t="s">
        <v>1787</v>
      </c>
      <c r="X1062" s="185" t="s">
        <v>1788</v>
      </c>
      <c r="Y1062" s="185" t="s">
        <v>1789</v>
      </c>
      <c r="Z1062"/>
    </row>
    <row r="1063" spans="1:26">
      <c r="A1063" s="185" t="s">
        <v>2039</v>
      </c>
      <c r="B1063" s="185" t="s">
        <v>2555</v>
      </c>
      <c r="C1063" s="185" t="s">
        <v>1897</v>
      </c>
      <c r="D1063" s="185" t="s">
        <v>2556</v>
      </c>
      <c r="E1063" s="185">
        <v>510533</v>
      </c>
      <c r="F1063" s="185" t="s">
        <v>779</v>
      </c>
      <c r="G1063" s="185" t="s">
        <v>2561</v>
      </c>
      <c r="H1063" s="185" t="s">
        <v>1515</v>
      </c>
      <c r="I1063" s="258" t="str">
        <f t="shared" si="49"/>
        <v>5</v>
      </c>
      <c r="J1063" s="221">
        <f t="shared" si="50"/>
        <v>10923</v>
      </c>
      <c r="K1063" s="258">
        <f t="shared" si="51"/>
        <v>4</v>
      </c>
      <c r="L1063" s="188">
        <v>10923</v>
      </c>
      <c r="M1063" s="188">
        <v>0</v>
      </c>
      <c r="N1063" s="189">
        <v>901513634</v>
      </c>
      <c r="O1063" t="s">
        <v>2555</v>
      </c>
      <c r="P1063" s="187">
        <v>45042</v>
      </c>
      <c r="Q1063" s="186">
        <v>10588</v>
      </c>
      <c r="R1063" s="185" t="s">
        <v>6</v>
      </c>
      <c r="S1063" s="185" t="s">
        <v>1518</v>
      </c>
      <c r="T1063"/>
      <c r="U1063" t="str">
        <f>IF($L1063&gt;0,VLOOKUP($E1063,Valida!$A$1:$G$270,6,FALSE),IF($M1063&gt;=0,VLOOKUP($E1063,Valida!$A$1:$G$270,7,FALSE)))</f>
        <v>(+/-) Ganancia (pérdida)</v>
      </c>
      <c r="V1063" s="190" t="str">
        <f>VLOOKUP(E1063,Valida!$A$2:$K$271,4,FALSE)</f>
        <v>P&amp;L</v>
      </c>
      <c r="W1063" s="185" t="s">
        <v>1787</v>
      </c>
      <c r="X1063" s="185" t="s">
        <v>1788</v>
      </c>
      <c r="Y1063" s="185" t="s">
        <v>1789</v>
      </c>
      <c r="Z1063"/>
    </row>
    <row r="1064" spans="1:26">
      <c r="A1064" s="185" t="s">
        <v>2039</v>
      </c>
      <c r="B1064" s="185" t="s">
        <v>2555</v>
      </c>
      <c r="C1064" s="185" t="s">
        <v>1897</v>
      </c>
      <c r="D1064" s="185" t="s">
        <v>2556</v>
      </c>
      <c r="E1064" s="185">
        <v>510536</v>
      </c>
      <c r="F1064" s="185" t="s">
        <v>783</v>
      </c>
      <c r="G1064" s="185" t="s">
        <v>2562</v>
      </c>
      <c r="H1064" s="185" t="s">
        <v>1515</v>
      </c>
      <c r="I1064" s="258" t="str">
        <f t="shared" si="49"/>
        <v>5</v>
      </c>
      <c r="J1064" s="221">
        <f t="shared" si="50"/>
        <v>90987</v>
      </c>
      <c r="K1064" s="258">
        <f t="shared" si="51"/>
        <v>4</v>
      </c>
      <c r="L1064" s="188">
        <v>90987</v>
      </c>
      <c r="M1064" s="188">
        <v>0</v>
      </c>
      <c r="N1064" s="189">
        <v>901513634</v>
      </c>
      <c r="O1064" t="s">
        <v>2555</v>
      </c>
      <c r="P1064" s="187">
        <v>45042</v>
      </c>
      <c r="Q1064" s="186">
        <v>10589</v>
      </c>
      <c r="R1064" s="185" t="s">
        <v>6</v>
      </c>
      <c r="S1064" s="185" t="s">
        <v>1518</v>
      </c>
      <c r="T1064"/>
      <c r="U1064" t="str">
        <f>IF($L1064&gt;0,VLOOKUP($E1064,Valida!$A$1:$G$270,6,FALSE),IF($M1064&gt;=0,VLOOKUP($E1064,Valida!$A$1:$G$270,7,FALSE)))</f>
        <v>(+/-) Ganancia (pérdida)</v>
      </c>
      <c r="V1064" s="190" t="str">
        <f>VLOOKUP(E1064,Valida!$A$2:$K$271,4,FALSE)</f>
        <v>P&amp;L</v>
      </c>
      <c r="W1064" s="185" t="s">
        <v>1787</v>
      </c>
      <c r="X1064" s="185" t="s">
        <v>1788</v>
      </c>
      <c r="Y1064" s="185" t="s">
        <v>1789</v>
      </c>
      <c r="Z1064"/>
    </row>
    <row r="1065" spans="1:26">
      <c r="A1065" s="185" t="s">
        <v>2039</v>
      </c>
      <c r="B1065" s="185" t="s">
        <v>2555</v>
      </c>
      <c r="C1065" s="185" t="s">
        <v>1897</v>
      </c>
      <c r="D1065" s="185" t="s">
        <v>2556</v>
      </c>
      <c r="E1065" s="185">
        <v>510539</v>
      </c>
      <c r="F1065" s="185" t="s">
        <v>818</v>
      </c>
      <c r="G1065" s="185" t="s">
        <v>2565</v>
      </c>
      <c r="H1065" s="185" t="s">
        <v>1515</v>
      </c>
      <c r="I1065" s="258" t="str">
        <f t="shared" si="49"/>
        <v>5</v>
      </c>
      <c r="J1065" s="221">
        <f t="shared" si="50"/>
        <v>42812</v>
      </c>
      <c r="K1065" s="258">
        <f t="shared" si="51"/>
        <v>4</v>
      </c>
      <c r="L1065" s="188">
        <v>42812</v>
      </c>
      <c r="M1065" s="188">
        <v>0</v>
      </c>
      <c r="N1065" s="189">
        <v>901513634</v>
      </c>
      <c r="O1065" t="s">
        <v>2555</v>
      </c>
      <c r="P1065" s="187">
        <v>45042</v>
      </c>
      <c r="Q1065" s="186">
        <v>10590</v>
      </c>
      <c r="R1065" s="185" t="s">
        <v>6</v>
      </c>
      <c r="S1065" s="185" t="s">
        <v>1518</v>
      </c>
      <c r="T1065"/>
      <c r="U1065" t="str">
        <f>IF($L1065&gt;0,VLOOKUP($E1065,Valida!$A$1:$G$270,6,FALSE),IF($M1065&gt;=0,VLOOKUP($E1065,Valida!$A$1:$G$270,7,FALSE)))</f>
        <v>(+/-) Ganancia (pérdida)</v>
      </c>
      <c r="V1065" s="190" t="str">
        <f>VLOOKUP(E1065,Valida!$A$2:$K$271,4,FALSE)</f>
        <v>P&amp;L</v>
      </c>
      <c r="W1065" s="185" t="s">
        <v>1787</v>
      </c>
      <c r="X1065" s="185" t="s">
        <v>1788</v>
      </c>
      <c r="Y1065" s="185" t="s">
        <v>1789</v>
      </c>
      <c r="Z1065"/>
    </row>
    <row r="1066" spans="1:26">
      <c r="A1066" s="185" t="s">
        <v>2039</v>
      </c>
      <c r="B1066" s="185" t="s">
        <v>2555</v>
      </c>
      <c r="C1066" s="185" t="s">
        <v>1897</v>
      </c>
      <c r="D1066" s="185" t="s">
        <v>2556</v>
      </c>
      <c r="E1066" s="185">
        <v>510568</v>
      </c>
      <c r="F1066" s="185" t="s">
        <v>680</v>
      </c>
      <c r="G1066" s="185" t="s">
        <v>2557</v>
      </c>
      <c r="H1066" s="185" t="s">
        <v>1515</v>
      </c>
      <c r="I1066" s="258" t="str">
        <f t="shared" si="49"/>
        <v>5</v>
      </c>
      <c r="J1066" s="221">
        <f t="shared" si="50"/>
        <v>5359</v>
      </c>
      <c r="K1066" s="258">
        <f t="shared" si="51"/>
        <v>4</v>
      </c>
      <c r="L1066" s="188">
        <v>5359</v>
      </c>
      <c r="M1066" s="188">
        <v>0</v>
      </c>
      <c r="N1066" s="189">
        <v>860002503</v>
      </c>
      <c r="O1066" t="s">
        <v>2555</v>
      </c>
      <c r="P1066" s="187">
        <v>45042</v>
      </c>
      <c r="Q1066" s="186">
        <v>10591</v>
      </c>
      <c r="R1066" s="185" t="s">
        <v>433</v>
      </c>
      <c r="S1066" s="185" t="s">
        <v>1656</v>
      </c>
      <c r="T1066"/>
      <c r="U1066" t="str">
        <f>IF($L1066&gt;0,VLOOKUP($E1066,Valida!$A$1:$G$270,6,FALSE),IF($M1066&gt;=0,VLOOKUP($E1066,Valida!$A$1:$G$270,7,FALSE)))</f>
        <v>(+/-) Ganancia (pérdida)</v>
      </c>
      <c r="V1066" s="190" t="str">
        <f>VLOOKUP(E1066,Valida!$A$2:$K$271,4,FALSE)</f>
        <v>P&amp;L</v>
      </c>
      <c r="W1066" s="185" t="s">
        <v>1912</v>
      </c>
      <c r="X1066" s="185" t="s">
        <v>1913</v>
      </c>
      <c r="Y1066" s="185" t="s">
        <v>1789</v>
      </c>
      <c r="Z1066"/>
    </row>
    <row r="1067" spans="1:26">
      <c r="A1067" s="185" t="s">
        <v>2039</v>
      </c>
      <c r="B1067" s="185" t="s">
        <v>2555</v>
      </c>
      <c r="C1067" s="185" t="s">
        <v>1897</v>
      </c>
      <c r="D1067" s="185" t="s">
        <v>2556</v>
      </c>
      <c r="E1067" s="185">
        <v>510570</v>
      </c>
      <c r="F1067" s="185" t="s">
        <v>1116</v>
      </c>
      <c r="G1067" s="185" t="s">
        <v>2559</v>
      </c>
      <c r="H1067" s="185" t="s">
        <v>1515</v>
      </c>
      <c r="I1067" s="258" t="str">
        <f t="shared" si="49"/>
        <v>5</v>
      </c>
      <c r="J1067" s="221">
        <f t="shared" si="50"/>
        <v>123200</v>
      </c>
      <c r="K1067" s="258">
        <f t="shared" si="51"/>
        <v>4</v>
      </c>
      <c r="L1067" s="188">
        <v>123200</v>
      </c>
      <c r="M1067" s="188">
        <v>0</v>
      </c>
      <c r="N1067" s="189">
        <v>900336004</v>
      </c>
      <c r="O1067" t="s">
        <v>2555</v>
      </c>
      <c r="P1067" s="187">
        <v>45042</v>
      </c>
      <c r="Q1067" s="186">
        <v>10592</v>
      </c>
      <c r="R1067" s="185" t="s">
        <v>1814</v>
      </c>
      <c r="S1067" s="185" t="s">
        <v>1666</v>
      </c>
      <c r="T1067"/>
      <c r="U1067" t="str">
        <f>IF($L1067&gt;0,VLOOKUP($E1067,Valida!$A$1:$G$270,6,FALSE),IF($M1067&gt;=0,VLOOKUP($E1067,Valida!$A$1:$G$270,7,FALSE)))</f>
        <v>(+/-) Ganancia (pérdida)</v>
      </c>
      <c r="V1067" s="190" t="str">
        <f>VLOOKUP(E1067,Valida!$A$2:$K$271,4,FALSE)</f>
        <v>P&amp;L</v>
      </c>
      <c r="W1067" s="185" t="s">
        <v>2554</v>
      </c>
      <c r="X1067" s="185"/>
      <c r="Y1067" s="185" t="s">
        <v>1789</v>
      </c>
      <c r="Z1067"/>
    </row>
    <row r="1068" spans="1:26">
      <c r="A1068" s="185" t="s">
        <v>2039</v>
      </c>
      <c r="B1068" s="185" t="s">
        <v>2555</v>
      </c>
      <c r="C1068" s="185" t="s">
        <v>1897</v>
      </c>
      <c r="D1068" s="185" t="s">
        <v>2556</v>
      </c>
      <c r="E1068" s="185">
        <v>510572</v>
      </c>
      <c r="F1068" s="185" t="s">
        <v>1118</v>
      </c>
      <c r="G1068" s="185" t="s">
        <v>2558</v>
      </c>
      <c r="H1068" s="185" t="s">
        <v>1515</v>
      </c>
      <c r="I1068" s="258" t="str">
        <f t="shared" si="49"/>
        <v>5</v>
      </c>
      <c r="J1068" s="221">
        <f t="shared" si="50"/>
        <v>20500</v>
      </c>
      <c r="K1068" s="258">
        <f t="shared" si="51"/>
        <v>4</v>
      </c>
      <c r="L1068" s="188">
        <v>20500</v>
      </c>
      <c r="M1068" s="188">
        <v>0</v>
      </c>
      <c r="N1068" s="189">
        <v>860066942</v>
      </c>
      <c r="O1068" t="s">
        <v>2555</v>
      </c>
      <c r="P1068" s="187">
        <v>45042</v>
      </c>
      <c r="Q1068" s="186">
        <v>10593</v>
      </c>
      <c r="R1068" s="185" t="s">
        <v>1814</v>
      </c>
      <c r="S1068" s="185" t="s">
        <v>1574</v>
      </c>
      <c r="T1068"/>
      <c r="U1068" t="str">
        <f>IF($L1068&gt;0,VLOOKUP($E1068,Valida!$A$1:$G$270,6,FALSE),IF($M1068&gt;=0,VLOOKUP($E1068,Valida!$A$1:$G$270,7,FALSE)))</f>
        <v>(+/-) Ganancia (pérdida)</v>
      </c>
      <c r="V1068" s="190" t="str">
        <f>VLOOKUP(E1068,Valida!$A$2:$K$271,4,FALSE)</f>
        <v>P&amp;L</v>
      </c>
      <c r="W1068" s="185" t="s">
        <v>1914</v>
      </c>
      <c r="X1068" s="185" t="s">
        <v>1915</v>
      </c>
      <c r="Y1068" s="185" t="s">
        <v>1789</v>
      </c>
      <c r="Z1068"/>
    </row>
    <row r="1069" spans="1:26">
      <c r="A1069" s="185" t="s">
        <v>2566</v>
      </c>
      <c r="B1069" s="185" t="s">
        <v>2567</v>
      </c>
      <c r="C1069" s="185" t="s">
        <v>1890</v>
      </c>
      <c r="D1069" s="185" t="s">
        <v>2568</v>
      </c>
      <c r="E1069" s="185">
        <v>250505</v>
      </c>
      <c r="F1069" s="185" t="s">
        <v>767</v>
      </c>
      <c r="G1069" s="185" t="s">
        <v>2569</v>
      </c>
      <c r="H1069" s="185" t="s">
        <v>1515</v>
      </c>
      <c r="I1069" s="258" t="str">
        <f t="shared" si="49"/>
        <v>2</v>
      </c>
      <c r="J1069" s="221">
        <f t="shared" si="50"/>
        <v>1430906</v>
      </c>
      <c r="K1069" s="258">
        <f t="shared" si="51"/>
        <v>4</v>
      </c>
      <c r="L1069" s="188">
        <v>1430906</v>
      </c>
      <c r="M1069" s="188">
        <v>0</v>
      </c>
      <c r="N1069" s="189">
        <v>1020842223</v>
      </c>
      <c r="O1069" t="s">
        <v>2567</v>
      </c>
      <c r="P1069" s="187">
        <v>45042.695416666698</v>
      </c>
      <c r="Q1069" s="186">
        <v>10594</v>
      </c>
      <c r="R1069" s="185"/>
      <c r="S1069" s="185" t="s">
        <v>1532</v>
      </c>
      <c r="T1069"/>
      <c r="U1069" t="str">
        <f>IF($L1069&gt;0,VLOOKUP($E1069,Valida!$A$1:$G$270,6,FALSE),IF($M1069&gt;=0,VLOOKUP($E1069,Valida!$A$1:$G$270,7,FALSE)))</f>
        <v>(+/-) Ajustes por el incremento (disminución) de cuentas por pagar de origen comercial</v>
      </c>
      <c r="V1069" s="190" t="str">
        <f>VLOOKUP(E1069,Valida!$A$2:$K$271,4,FALSE)</f>
        <v>Trade and other payables</v>
      </c>
      <c r="W1069" s="185" t="s">
        <v>1900</v>
      </c>
      <c r="X1069" s="185"/>
      <c r="Y1069" s="185" t="s">
        <v>1789</v>
      </c>
      <c r="Z1069"/>
    </row>
    <row r="1070" spans="1:26">
      <c r="A1070" s="185" t="s">
        <v>2566</v>
      </c>
      <c r="B1070" s="185" t="s">
        <v>2567</v>
      </c>
      <c r="C1070" s="185" t="s">
        <v>1890</v>
      </c>
      <c r="D1070" s="185" t="s">
        <v>2568</v>
      </c>
      <c r="E1070" s="185">
        <v>112005</v>
      </c>
      <c r="F1070" s="185" t="s">
        <v>24</v>
      </c>
      <c r="G1070" s="185" t="s">
        <v>2569</v>
      </c>
      <c r="H1070" s="185" t="s">
        <v>1628</v>
      </c>
      <c r="I1070" s="258" t="str">
        <f t="shared" si="49"/>
        <v>1</v>
      </c>
      <c r="J1070" s="221">
        <f t="shared" si="50"/>
        <v>-1430906</v>
      </c>
      <c r="K1070" s="258">
        <f t="shared" si="51"/>
        <v>4</v>
      </c>
      <c r="L1070" s="188">
        <v>0</v>
      </c>
      <c r="M1070" s="188">
        <v>1430906</v>
      </c>
      <c r="N1070" s="189">
        <v>1020842223</v>
      </c>
      <c r="O1070" t="s">
        <v>2567</v>
      </c>
      <c r="P1070" s="187">
        <v>45042.695416666698</v>
      </c>
      <c r="Q1070" s="186">
        <v>10595</v>
      </c>
      <c r="R1070" s="185"/>
      <c r="S1070" s="185" t="s">
        <v>1532</v>
      </c>
      <c r="T1070" t="s">
        <v>1894</v>
      </c>
      <c r="U1070" t="str">
        <f>IF($L1070&gt;0,VLOOKUP($E1070,Valida!$A$1:$G$270,6,FALSE),IF($M1070&gt;=0,VLOOKUP($E1070,Valida!$A$1:$G$270,7,FALSE)))</f>
        <v>Disponible</v>
      </c>
      <c r="V1070" s="190" t="str">
        <f>VLOOKUP(E1070,Valida!$A$2:$K$271,4,FALSE)</f>
        <v>Cash and equivalents</v>
      </c>
      <c r="W1070" s="185" t="s">
        <v>1900</v>
      </c>
      <c r="X1070" s="185"/>
      <c r="Y1070" s="185" t="s">
        <v>1789</v>
      </c>
      <c r="Z1070"/>
    </row>
    <row r="1071" spans="1:26">
      <c r="A1071" s="185" t="s">
        <v>2566</v>
      </c>
      <c r="B1071" s="185" t="s">
        <v>2570</v>
      </c>
      <c r="C1071" s="185" t="s">
        <v>1890</v>
      </c>
      <c r="D1071" s="185" t="s">
        <v>2571</v>
      </c>
      <c r="E1071" s="185">
        <v>250505</v>
      </c>
      <c r="F1071" s="185" t="s">
        <v>767</v>
      </c>
      <c r="G1071" s="185" t="s">
        <v>2569</v>
      </c>
      <c r="H1071" s="185" t="s">
        <v>1515</v>
      </c>
      <c r="I1071" s="258" t="str">
        <f t="shared" si="49"/>
        <v>2</v>
      </c>
      <c r="J1071" s="221">
        <f t="shared" si="50"/>
        <v>1207806</v>
      </c>
      <c r="K1071" s="258">
        <f t="shared" si="51"/>
        <v>4</v>
      </c>
      <c r="L1071" s="188">
        <v>1207806</v>
      </c>
      <c r="M1071" s="188">
        <v>0</v>
      </c>
      <c r="N1071" s="189">
        <v>1130744136</v>
      </c>
      <c r="O1071" t="s">
        <v>2570</v>
      </c>
      <c r="P1071" s="187">
        <v>45042.695891203701</v>
      </c>
      <c r="Q1071" s="186">
        <v>10596</v>
      </c>
      <c r="R1071" s="185"/>
      <c r="S1071" s="185" t="s">
        <v>1538</v>
      </c>
      <c r="T1071"/>
      <c r="U1071" t="str">
        <f>IF($L1071&gt;0,VLOOKUP($E1071,Valida!$A$1:$G$270,6,FALSE),IF($M1071&gt;=0,VLOOKUP($E1071,Valida!$A$1:$G$270,7,FALSE)))</f>
        <v>(+/-) Ajustes por el incremento (disminución) de cuentas por pagar de origen comercial</v>
      </c>
      <c r="V1071" s="190" t="str">
        <f>VLOOKUP(E1071,Valida!$A$2:$K$271,4,FALSE)</f>
        <v>Trade and other payables</v>
      </c>
      <c r="W1071" s="185" t="s">
        <v>1909</v>
      </c>
      <c r="X1071" s="185" t="s">
        <v>1910</v>
      </c>
      <c r="Y1071" s="185" t="s">
        <v>1789</v>
      </c>
      <c r="Z1071"/>
    </row>
    <row r="1072" spans="1:26">
      <c r="A1072" s="185" t="s">
        <v>2566</v>
      </c>
      <c r="B1072" s="185" t="s">
        <v>2570</v>
      </c>
      <c r="C1072" s="185" t="s">
        <v>1890</v>
      </c>
      <c r="D1072" s="185" t="s">
        <v>2571</v>
      </c>
      <c r="E1072" s="185">
        <v>112005</v>
      </c>
      <c r="F1072" s="185" t="s">
        <v>24</v>
      </c>
      <c r="G1072" s="185" t="s">
        <v>2569</v>
      </c>
      <c r="H1072" s="185" t="s">
        <v>1628</v>
      </c>
      <c r="I1072" s="258" t="str">
        <f t="shared" si="49"/>
        <v>1</v>
      </c>
      <c r="J1072" s="221">
        <f t="shared" si="50"/>
        <v>-1207806</v>
      </c>
      <c r="K1072" s="258">
        <f t="shared" si="51"/>
        <v>4</v>
      </c>
      <c r="L1072" s="188">
        <v>0</v>
      </c>
      <c r="M1072" s="188">
        <v>1207806</v>
      </c>
      <c r="N1072" s="189">
        <v>1130744136</v>
      </c>
      <c r="O1072" t="s">
        <v>2570</v>
      </c>
      <c r="P1072" s="187">
        <v>45042.695891203701</v>
      </c>
      <c r="Q1072" s="186">
        <v>10597</v>
      </c>
      <c r="R1072" s="185"/>
      <c r="S1072" s="185" t="s">
        <v>1538</v>
      </c>
      <c r="T1072" t="s">
        <v>1894</v>
      </c>
      <c r="U1072" t="str">
        <f>IF($L1072&gt;0,VLOOKUP($E1072,Valida!$A$1:$G$270,6,FALSE),IF($M1072&gt;=0,VLOOKUP($E1072,Valida!$A$1:$G$270,7,FALSE)))</f>
        <v>Disponible</v>
      </c>
      <c r="V1072" s="190" t="str">
        <f>VLOOKUP(E1072,Valida!$A$2:$K$271,4,FALSE)</f>
        <v>Cash and equivalents</v>
      </c>
      <c r="W1072" s="185" t="s">
        <v>1909</v>
      </c>
      <c r="X1072" s="185" t="s">
        <v>1910</v>
      </c>
      <c r="Y1072" s="185" t="s">
        <v>1789</v>
      </c>
      <c r="Z1072"/>
    </row>
    <row r="1073" spans="1:26">
      <c r="A1073" s="185" t="s">
        <v>2566</v>
      </c>
      <c r="B1073" s="185" t="s">
        <v>2572</v>
      </c>
      <c r="C1073" s="185" t="s">
        <v>1890</v>
      </c>
      <c r="D1073" s="185" t="s">
        <v>2573</v>
      </c>
      <c r="E1073" s="185">
        <v>250505</v>
      </c>
      <c r="F1073" s="185" t="s">
        <v>767</v>
      </c>
      <c r="G1073" s="185" t="s">
        <v>2569</v>
      </c>
      <c r="H1073" s="185" t="s">
        <v>1515</v>
      </c>
      <c r="I1073" s="258" t="str">
        <f t="shared" si="49"/>
        <v>2</v>
      </c>
      <c r="J1073" s="221">
        <f t="shared" si="50"/>
        <v>1520606</v>
      </c>
      <c r="K1073" s="258">
        <f t="shared" si="51"/>
        <v>4</v>
      </c>
      <c r="L1073" s="188">
        <v>1520606</v>
      </c>
      <c r="M1073" s="188">
        <v>0</v>
      </c>
      <c r="N1073" s="189">
        <v>1010101811</v>
      </c>
      <c r="O1073" t="s">
        <v>2572</v>
      </c>
      <c r="P1073" s="187">
        <v>45042.696284722202</v>
      </c>
      <c r="Q1073" s="186">
        <v>10598</v>
      </c>
      <c r="R1073" s="185"/>
      <c r="S1073" s="185" t="s">
        <v>1528</v>
      </c>
      <c r="T1073"/>
      <c r="U1073" t="str">
        <f>IF($L1073&gt;0,VLOOKUP($E1073,Valida!$A$1:$G$270,6,FALSE),IF($M1073&gt;=0,VLOOKUP($E1073,Valida!$A$1:$G$270,7,FALSE)))</f>
        <v>(+/-) Ajustes por el incremento (disminución) de cuentas por pagar de origen comercial</v>
      </c>
      <c r="V1073" s="190" t="str">
        <f>VLOOKUP(E1073,Valida!$A$2:$K$271,4,FALSE)</f>
        <v>Trade and other payables</v>
      </c>
      <c r="W1073" s="185" t="s">
        <v>1967</v>
      </c>
      <c r="X1073" s="185"/>
      <c r="Y1073" s="185" t="s">
        <v>1789</v>
      </c>
      <c r="Z1073"/>
    </row>
    <row r="1074" spans="1:26">
      <c r="A1074" s="185" t="s">
        <v>2566</v>
      </c>
      <c r="B1074" s="185" t="s">
        <v>2572</v>
      </c>
      <c r="C1074" s="185" t="s">
        <v>1890</v>
      </c>
      <c r="D1074" s="185" t="s">
        <v>2573</v>
      </c>
      <c r="E1074" s="185">
        <v>112005</v>
      </c>
      <c r="F1074" s="185" t="s">
        <v>24</v>
      </c>
      <c r="G1074" s="185" t="s">
        <v>2569</v>
      </c>
      <c r="H1074" s="185" t="s">
        <v>1628</v>
      </c>
      <c r="I1074" s="258" t="str">
        <f t="shared" si="49"/>
        <v>1</v>
      </c>
      <c r="J1074" s="221">
        <f t="shared" si="50"/>
        <v>-1520606</v>
      </c>
      <c r="K1074" s="258">
        <f t="shared" si="51"/>
        <v>4</v>
      </c>
      <c r="L1074" s="188">
        <v>0</v>
      </c>
      <c r="M1074" s="188">
        <v>1520606</v>
      </c>
      <c r="N1074" s="189">
        <v>1010101811</v>
      </c>
      <c r="O1074" t="s">
        <v>2572</v>
      </c>
      <c r="P1074" s="187">
        <v>45042.696284722202</v>
      </c>
      <c r="Q1074" s="186">
        <v>10599</v>
      </c>
      <c r="R1074" s="185"/>
      <c r="S1074" s="185" t="s">
        <v>1528</v>
      </c>
      <c r="T1074" t="s">
        <v>1894</v>
      </c>
      <c r="U1074" t="str">
        <f>IF($L1074&gt;0,VLOOKUP($E1074,Valida!$A$1:$G$270,6,FALSE),IF($M1074&gt;=0,VLOOKUP($E1074,Valida!$A$1:$G$270,7,FALSE)))</f>
        <v>Disponible</v>
      </c>
      <c r="V1074" s="190" t="str">
        <f>VLOOKUP(E1074,Valida!$A$2:$K$271,4,FALSE)</f>
        <v>Cash and equivalents</v>
      </c>
      <c r="W1074" s="185" t="s">
        <v>1967</v>
      </c>
      <c r="X1074" s="185"/>
      <c r="Y1074" s="185" t="s">
        <v>1789</v>
      </c>
      <c r="Z1074"/>
    </row>
    <row r="1075" spans="1:26">
      <c r="A1075" s="185" t="s">
        <v>2566</v>
      </c>
      <c r="B1075" s="185" t="s">
        <v>2574</v>
      </c>
      <c r="C1075" s="185" t="s">
        <v>1890</v>
      </c>
      <c r="D1075" s="185" t="s">
        <v>2575</v>
      </c>
      <c r="E1075" s="185">
        <v>250505</v>
      </c>
      <c r="F1075" s="185" t="s">
        <v>767</v>
      </c>
      <c r="G1075" s="185" t="s">
        <v>2569</v>
      </c>
      <c r="H1075" s="185" t="s">
        <v>1515</v>
      </c>
      <c r="I1075" s="258" t="str">
        <f t="shared" si="49"/>
        <v>2</v>
      </c>
      <c r="J1075" s="221">
        <f t="shared" si="50"/>
        <v>1114526</v>
      </c>
      <c r="K1075" s="258">
        <f t="shared" si="51"/>
        <v>4</v>
      </c>
      <c r="L1075" s="188">
        <v>1114526</v>
      </c>
      <c r="M1075" s="188">
        <v>0</v>
      </c>
      <c r="N1075" s="189">
        <v>1000018061</v>
      </c>
      <c r="O1075" t="s">
        <v>2574</v>
      </c>
      <c r="P1075" s="187">
        <v>45042.696689814802</v>
      </c>
      <c r="Q1075" s="186">
        <v>10600</v>
      </c>
      <c r="R1075" s="185"/>
      <c r="S1075" s="185" t="s">
        <v>1522</v>
      </c>
      <c r="T1075"/>
      <c r="U1075" t="str">
        <f>IF($L1075&gt;0,VLOOKUP($E1075,Valida!$A$1:$G$270,6,FALSE),IF($M1075&gt;=0,VLOOKUP($E1075,Valida!$A$1:$G$270,7,FALSE)))</f>
        <v>(+/-) Ajustes por el incremento (disminución) de cuentas por pagar de origen comercial</v>
      </c>
      <c r="V1075" s="190" t="str">
        <f>VLOOKUP(E1075,Valida!$A$2:$K$271,4,FALSE)</f>
        <v>Trade and other payables</v>
      </c>
      <c r="W1075" s="185" t="s">
        <v>1978</v>
      </c>
      <c r="X1075" s="185"/>
      <c r="Y1075" s="185" t="s">
        <v>1789</v>
      </c>
      <c r="Z1075"/>
    </row>
    <row r="1076" spans="1:26">
      <c r="A1076" s="185" t="s">
        <v>2566</v>
      </c>
      <c r="B1076" s="185" t="s">
        <v>2574</v>
      </c>
      <c r="C1076" s="185" t="s">
        <v>1890</v>
      </c>
      <c r="D1076" s="185" t="s">
        <v>2575</v>
      </c>
      <c r="E1076" s="185">
        <v>112005</v>
      </c>
      <c r="F1076" s="185" t="s">
        <v>24</v>
      </c>
      <c r="G1076" s="185" t="s">
        <v>2569</v>
      </c>
      <c r="H1076" s="185" t="s">
        <v>1628</v>
      </c>
      <c r="I1076" s="258" t="str">
        <f t="shared" si="49"/>
        <v>1</v>
      </c>
      <c r="J1076" s="221">
        <f t="shared" si="50"/>
        <v>-1114526</v>
      </c>
      <c r="K1076" s="258">
        <f t="shared" si="51"/>
        <v>4</v>
      </c>
      <c r="L1076" s="188">
        <v>0</v>
      </c>
      <c r="M1076" s="188">
        <v>1114526</v>
      </c>
      <c r="N1076" s="189">
        <v>1000018061</v>
      </c>
      <c r="O1076" t="s">
        <v>2574</v>
      </c>
      <c r="P1076" s="187">
        <v>45042.696689814802</v>
      </c>
      <c r="Q1076" s="186">
        <v>10601</v>
      </c>
      <c r="R1076" s="185"/>
      <c r="S1076" s="185" t="s">
        <v>1522</v>
      </c>
      <c r="T1076" t="s">
        <v>1894</v>
      </c>
      <c r="U1076" t="str">
        <f>IF($L1076&gt;0,VLOOKUP($E1076,Valida!$A$1:$G$270,6,FALSE),IF($M1076&gt;=0,VLOOKUP($E1076,Valida!$A$1:$G$270,7,FALSE)))</f>
        <v>Disponible</v>
      </c>
      <c r="V1076" s="190" t="str">
        <f>VLOOKUP(E1076,Valida!$A$2:$K$271,4,FALSE)</f>
        <v>Cash and equivalents</v>
      </c>
      <c r="W1076" s="185" t="s">
        <v>1978</v>
      </c>
      <c r="X1076" s="185"/>
      <c r="Y1076" s="185" t="s">
        <v>1789</v>
      </c>
      <c r="Z1076"/>
    </row>
    <row r="1077" spans="1:26">
      <c r="A1077" s="185" t="s">
        <v>2566</v>
      </c>
      <c r="B1077" s="185" t="s">
        <v>2576</v>
      </c>
      <c r="C1077" s="185" t="s">
        <v>1890</v>
      </c>
      <c r="D1077" s="185" t="s">
        <v>2577</v>
      </c>
      <c r="E1077" s="185">
        <v>250505</v>
      </c>
      <c r="F1077" s="185" t="s">
        <v>767</v>
      </c>
      <c r="G1077" s="185" t="s">
        <v>2569</v>
      </c>
      <c r="H1077" s="185" t="s">
        <v>1515</v>
      </c>
      <c r="I1077" s="258" t="str">
        <f t="shared" si="49"/>
        <v>2</v>
      </c>
      <c r="J1077" s="221">
        <f t="shared" si="50"/>
        <v>1761293</v>
      </c>
      <c r="K1077" s="258">
        <f t="shared" si="51"/>
        <v>4</v>
      </c>
      <c r="L1077" s="188">
        <v>1761293</v>
      </c>
      <c r="M1077" s="188">
        <v>0</v>
      </c>
      <c r="N1077" s="189">
        <v>1000036375</v>
      </c>
      <c r="O1077" t="s">
        <v>2576</v>
      </c>
      <c r="P1077" s="187">
        <v>45042.697037037004</v>
      </c>
      <c r="Q1077" s="186">
        <v>10602</v>
      </c>
      <c r="R1077" s="185"/>
      <c r="S1077" s="185" t="s">
        <v>1524</v>
      </c>
      <c r="T1077"/>
      <c r="U1077" t="str">
        <f>IF($L1077&gt;0,VLOOKUP($E1077,Valida!$A$1:$G$270,6,FALSE),IF($M1077&gt;=0,VLOOKUP($E1077,Valida!$A$1:$G$270,7,FALSE)))</f>
        <v>(+/-) Ajustes por el incremento (disminución) de cuentas por pagar de origen comercial</v>
      </c>
      <c r="V1077" s="190" t="str">
        <f>VLOOKUP(E1077,Valida!$A$2:$K$271,4,FALSE)</f>
        <v>Trade and other payables</v>
      </c>
      <c r="W1077" s="185" t="s">
        <v>1983</v>
      </c>
      <c r="X1077" s="185"/>
      <c r="Y1077" s="185" t="s">
        <v>1789</v>
      </c>
      <c r="Z1077"/>
    </row>
    <row r="1078" spans="1:26">
      <c r="A1078" s="185" t="s">
        <v>2566</v>
      </c>
      <c r="B1078" s="185" t="s">
        <v>2576</v>
      </c>
      <c r="C1078" s="185" t="s">
        <v>1890</v>
      </c>
      <c r="D1078" s="185" t="s">
        <v>2577</v>
      </c>
      <c r="E1078" s="185">
        <v>112005</v>
      </c>
      <c r="F1078" s="185" t="s">
        <v>24</v>
      </c>
      <c r="G1078" s="185" t="s">
        <v>2569</v>
      </c>
      <c r="H1078" s="185" t="s">
        <v>1628</v>
      </c>
      <c r="I1078" s="258" t="str">
        <f t="shared" si="49"/>
        <v>1</v>
      </c>
      <c r="J1078" s="221">
        <f t="shared" si="50"/>
        <v>-1761293</v>
      </c>
      <c r="K1078" s="258">
        <f t="shared" si="51"/>
        <v>4</v>
      </c>
      <c r="L1078" s="188">
        <v>0</v>
      </c>
      <c r="M1078" s="188">
        <v>1761293</v>
      </c>
      <c r="N1078" s="189">
        <v>1000036375</v>
      </c>
      <c r="O1078" t="s">
        <v>2576</v>
      </c>
      <c r="P1078" s="187">
        <v>45042.697037037004</v>
      </c>
      <c r="Q1078" s="186">
        <v>10603</v>
      </c>
      <c r="R1078" s="185"/>
      <c r="S1078" s="185" t="s">
        <v>1524</v>
      </c>
      <c r="T1078" t="s">
        <v>1894</v>
      </c>
      <c r="U1078" t="str">
        <f>IF($L1078&gt;0,VLOOKUP($E1078,Valida!$A$1:$G$270,6,FALSE),IF($M1078&gt;=0,VLOOKUP($E1078,Valida!$A$1:$G$270,7,FALSE)))</f>
        <v>Disponible</v>
      </c>
      <c r="V1078" s="190" t="str">
        <f>VLOOKUP(E1078,Valida!$A$2:$K$271,4,FALSE)</f>
        <v>Cash and equivalents</v>
      </c>
      <c r="W1078" s="185" t="s">
        <v>1983</v>
      </c>
      <c r="X1078" s="185"/>
      <c r="Y1078" s="185" t="s">
        <v>1789</v>
      </c>
      <c r="Z1078"/>
    </row>
    <row r="1079" spans="1:26">
      <c r="A1079" s="185" t="s">
        <v>2566</v>
      </c>
      <c r="B1079" s="185" t="s">
        <v>2578</v>
      </c>
      <c r="C1079" s="185" t="s">
        <v>1890</v>
      </c>
      <c r="D1079" s="185" t="s">
        <v>2579</v>
      </c>
      <c r="E1079" s="185">
        <v>250505</v>
      </c>
      <c r="F1079" s="185" t="s">
        <v>767</v>
      </c>
      <c r="G1079" s="185" t="s">
        <v>2580</v>
      </c>
      <c r="H1079" s="185" t="s">
        <v>1515</v>
      </c>
      <c r="I1079" s="258" t="str">
        <f t="shared" si="49"/>
        <v>2</v>
      </c>
      <c r="J1079" s="221">
        <f t="shared" si="50"/>
        <v>1948858</v>
      </c>
      <c r="K1079" s="258">
        <f t="shared" si="51"/>
        <v>4</v>
      </c>
      <c r="L1079" s="188">
        <v>1948858</v>
      </c>
      <c r="M1079" s="188">
        <v>0</v>
      </c>
      <c r="N1079" s="189">
        <v>80747504</v>
      </c>
      <c r="O1079" t="s">
        <v>2578</v>
      </c>
      <c r="P1079" s="187">
        <v>45042.697789351798</v>
      </c>
      <c r="Q1079" s="186">
        <v>10604</v>
      </c>
      <c r="R1079" s="185"/>
      <c r="S1079" s="185" t="s">
        <v>1562</v>
      </c>
      <c r="T1079"/>
      <c r="U1079" t="str">
        <f>IF($L1079&gt;0,VLOOKUP($E1079,Valida!$A$1:$G$270,6,FALSE),IF($M1079&gt;=0,VLOOKUP($E1079,Valida!$A$1:$G$270,7,FALSE)))</f>
        <v>(+/-) Ajustes por el incremento (disminución) de cuentas por pagar de origen comercial</v>
      </c>
      <c r="V1079" s="190" t="str">
        <f>VLOOKUP(E1079,Valida!$A$2:$K$271,4,FALSE)</f>
        <v>Trade and other payables</v>
      </c>
      <c r="W1079" s="185" t="s">
        <v>1918</v>
      </c>
      <c r="X1079" s="185"/>
      <c r="Y1079" s="185" t="s">
        <v>1789</v>
      </c>
      <c r="Z1079"/>
    </row>
    <row r="1080" spans="1:26">
      <c r="A1080" s="185" t="s">
        <v>2566</v>
      </c>
      <c r="B1080" s="185" t="s">
        <v>2578</v>
      </c>
      <c r="C1080" s="185" t="s">
        <v>1890</v>
      </c>
      <c r="D1080" s="185" t="s">
        <v>2579</v>
      </c>
      <c r="E1080" s="185">
        <v>112005</v>
      </c>
      <c r="F1080" s="185" t="s">
        <v>24</v>
      </c>
      <c r="G1080" s="185" t="s">
        <v>2580</v>
      </c>
      <c r="H1080" s="185" t="s">
        <v>1628</v>
      </c>
      <c r="I1080" s="258" t="str">
        <f t="shared" si="49"/>
        <v>1</v>
      </c>
      <c r="J1080" s="221">
        <f t="shared" si="50"/>
        <v>-1948858</v>
      </c>
      <c r="K1080" s="258">
        <f t="shared" si="51"/>
        <v>4</v>
      </c>
      <c r="L1080" s="188">
        <v>0</v>
      </c>
      <c r="M1080" s="188">
        <v>1948858</v>
      </c>
      <c r="N1080" s="189">
        <v>80747504</v>
      </c>
      <c r="O1080" t="s">
        <v>2578</v>
      </c>
      <c r="P1080" s="187">
        <v>45042.697800925896</v>
      </c>
      <c r="Q1080" s="186">
        <v>10605</v>
      </c>
      <c r="R1080" s="185"/>
      <c r="S1080" s="185" t="s">
        <v>1562</v>
      </c>
      <c r="T1080" t="s">
        <v>1894</v>
      </c>
      <c r="U1080" t="str">
        <f>IF($L1080&gt;0,VLOOKUP($E1080,Valida!$A$1:$G$270,6,FALSE),IF($M1080&gt;=0,VLOOKUP($E1080,Valida!$A$1:$G$270,7,FALSE)))</f>
        <v>Disponible</v>
      </c>
      <c r="V1080" s="190" t="str">
        <f>VLOOKUP(E1080,Valida!$A$2:$K$271,4,FALSE)</f>
        <v>Cash and equivalents</v>
      </c>
      <c r="W1080" s="185" t="s">
        <v>1918</v>
      </c>
      <c r="X1080" s="185"/>
      <c r="Y1080" s="185" t="s">
        <v>1789</v>
      </c>
      <c r="Z1080"/>
    </row>
    <row r="1081" spans="1:26">
      <c r="A1081" s="185" t="s">
        <v>2581</v>
      </c>
      <c r="B1081" s="185" t="s">
        <v>2582</v>
      </c>
      <c r="C1081" s="185" t="s">
        <v>1792</v>
      </c>
      <c r="D1081" s="185" t="s">
        <v>1943</v>
      </c>
      <c r="E1081" s="185">
        <v>51952501</v>
      </c>
      <c r="F1081" s="185" t="s">
        <v>1412</v>
      </c>
      <c r="G1081" s="185" t="s">
        <v>2127</v>
      </c>
      <c r="H1081" s="185" t="s">
        <v>1515</v>
      </c>
      <c r="I1081" s="258" t="str">
        <f t="shared" si="49"/>
        <v>5</v>
      </c>
      <c r="J1081" s="221">
        <f t="shared" si="50"/>
        <v>1516522</v>
      </c>
      <c r="K1081" s="258">
        <f t="shared" si="51"/>
        <v>4</v>
      </c>
      <c r="L1081" s="188">
        <v>1516522</v>
      </c>
      <c r="M1081" s="188">
        <v>0</v>
      </c>
      <c r="N1081" s="189">
        <v>830062853</v>
      </c>
      <c r="O1081" t="s">
        <v>2583</v>
      </c>
      <c r="P1081" s="187">
        <v>45042.724247685197</v>
      </c>
      <c r="Q1081" s="186">
        <v>10606</v>
      </c>
      <c r="R1081" s="185" t="s">
        <v>433</v>
      </c>
      <c r="S1081" s="185" t="s">
        <v>1564</v>
      </c>
      <c r="T1081"/>
      <c r="U1081" t="str">
        <f>IF($L1081&gt;0,VLOOKUP($E1081,Valida!$A$1:$G$270,6,FALSE),IF($M1081&gt;=0,VLOOKUP($E1081,Valida!$A$1:$G$270,7,FALSE)))</f>
        <v>(+/-) Ganancia (pérdida)</v>
      </c>
      <c r="V1081" s="190" t="str">
        <f>VLOOKUP(E1081,Valida!$A$2:$K$271,4,FALSE)</f>
        <v>P&amp;L</v>
      </c>
      <c r="W1081" s="185" t="s">
        <v>2024</v>
      </c>
      <c r="X1081" s="185" t="s">
        <v>2025</v>
      </c>
      <c r="Y1081" s="185" t="s">
        <v>1789</v>
      </c>
      <c r="Z1081"/>
    </row>
    <row r="1082" spans="1:26">
      <c r="A1082" s="185" t="s">
        <v>2581</v>
      </c>
      <c r="B1082" s="185" t="s">
        <v>2582</v>
      </c>
      <c r="C1082" s="185" t="s">
        <v>1792</v>
      </c>
      <c r="D1082" s="185" t="s">
        <v>1943</v>
      </c>
      <c r="E1082" s="185">
        <v>24081001</v>
      </c>
      <c r="F1082" s="185" t="s">
        <v>1670</v>
      </c>
      <c r="G1082" s="185" t="s">
        <v>2127</v>
      </c>
      <c r="H1082" s="185" t="s">
        <v>1515</v>
      </c>
      <c r="I1082" s="258" t="str">
        <f t="shared" si="49"/>
        <v>2</v>
      </c>
      <c r="J1082" s="221">
        <f t="shared" si="50"/>
        <v>288139</v>
      </c>
      <c r="K1082" s="258">
        <f t="shared" si="51"/>
        <v>4</v>
      </c>
      <c r="L1082" s="188">
        <v>288139</v>
      </c>
      <c r="M1082" s="188">
        <v>0</v>
      </c>
      <c r="N1082" s="189">
        <v>830062853</v>
      </c>
      <c r="O1082" t="s">
        <v>2583</v>
      </c>
      <c r="P1082" s="187">
        <v>45042.724247685197</v>
      </c>
      <c r="Q1082" s="186">
        <v>10607</v>
      </c>
      <c r="R1082" s="185" t="s">
        <v>433</v>
      </c>
      <c r="S1082" s="185" t="s">
        <v>1564</v>
      </c>
      <c r="T1082"/>
      <c r="U1082" t="str">
        <f>IF($L1082&gt;0,VLOOKUP($E1082,Valida!$A$1:$G$270,6,FALSE),IF($M1082&gt;=0,VLOOKUP($E1082,Valida!$A$1:$G$270,7,FALSE)))</f>
        <v>(+/-) Ajustes por el incremento (disminución) de cuentas por pagar de origen comercial</v>
      </c>
      <c r="V1082" s="190" t="str">
        <f>VLOOKUP(E1082,Valida!$A$2:$K$271,4,FALSE)</f>
        <v>Trade and other payables</v>
      </c>
      <c r="W1082" s="185" t="s">
        <v>2024</v>
      </c>
      <c r="X1082" s="185" t="s">
        <v>2025</v>
      </c>
      <c r="Y1082" s="185" t="s">
        <v>1789</v>
      </c>
      <c r="Z1082"/>
    </row>
    <row r="1083" spans="1:26">
      <c r="A1083" s="185" t="s">
        <v>2581</v>
      </c>
      <c r="B1083" s="185" t="s">
        <v>2582</v>
      </c>
      <c r="C1083" s="185" t="s">
        <v>1792</v>
      </c>
      <c r="D1083" s="185" t="s">
        <v>1943</v>
      </c>
      <c r="E1083" s="185">
        <v>51952502</v>
      </c>
      <c r="F1083" s="185" t="s">
        <v>1414</v>
      </c>
      <c r="G1083" s="185" t="s">
        <v>2129</v>
      </c>
      <c r="H1083" s="185" t="s">
        <v>1515</v>
      </c>
      <c r="I1083" s="258" t="str">
        <f t="shared" si="49"/>
        <v>5</v>
      </c>
      <c r="J1083" s="221">
        <f t="shared" si="50"/>
        <v>1770495</v>
      </c>
      <c r="K1083" s="258">
        <f t="shared" si="51"/>
        <v>4</v>
      </c>
      <c r="L1083" s="188">
        <v>1770495</v>
      </c>
      <c r="M1083" s="188">
        <v>0</v>
      </c>
      <c r="N1083" s="189">
        <v>830062853</v>
      </c>
      <c r="O1083" t="s">
        <v>2583</v>
      </c>
      <c r="P1083" s="187">
        <v>45042.724247685197</v>
      </c>
      <c r="Q1083" s="186">
        <v>10608</v>
      </c>
      <c r="R1083" s="185" t="s">
        <v>433</v>
      </c>
      <c r="S1083" s="185" t="s">
        <v>1564</v>
      </c>
      <c r="T1083"/>
      <c r="U1083" t="str">
        <f>IF($L1083&gt;0,VLOOKUP($E1083,Valida!$A$1:$G$270,6,FALSE),IF($M1083&gt;=0,VLOOKUP($E1083,Valida!$A$1:$G$270,7,FALSE)))</f>
        <v>(+/-) Ganancia (pérdida)</v>
      </c>
      <c r="V1083" s="190" t="str">
        <f>VLOOKUP(E1083,Valida!$A$2:$K$271,4,FALSE)</f>
        <v>P&amp;L</v>
      </c>
      <c r="W1083" s="185" t="s">
        <v>2024</v>
      </c>
      <c r="X1083" s="185" t="s">
        <v>2025</v>
      </c>
      <c r="Y1083" s="185" t="s">
        <v>1789</v>
      </c>
      <c r="Z1083"/>
    </row>
    <row r="1084" spans="1:26">
      <c r="A1084" s="185" t="s">
        <v>2581</v>
      </c>
      <c r="B1084" s="185" t="s">
        <v>2582</v>
      </c>
      <c r="C1084" s="185" t="s">
        <v>1792</v>
      </c>
      <c r="D1084" s="185" t="s">
        <v>1943</v>
      </c>
      <c r="E1084" s="185">
        <v>24081005</v>
      </c>
      <c r="F1084" s="185" t="s">
        <v>1688</v>
      </c>
      <c r="G1084" s="185" t="s">
        <v>2129</v>
      </c>
      <c r="H1084" s="185" t="s">
        <v>1515</v>
      </c>
      <c r="I1084" s="258" t="str">
        <f t="shared" si="49"/>
        <v>2</v>
      </c>
      <c r="J1084" s="221">
        <f t="shared" si="50"/>
        <v>88525</v>
      </c>
      <c r="K1084" s="258">
        <f t="shared" si="51"/>
        <v>4</v>
      </c>
      <c r="L1084" s="188">
        <v>88525</v>
      </c>
      <c r="M1084" s="188">
        <v>0</v>
      </c>
      <c r="N1084" s="189">
        <v>830062853</v>
      </c>
      <c r="O1084" t="s">
        <v>2583</v>
      </c>
      <c r="P1084" s="187">
        <v>45042.724247685197</v>
      </c>
      <c r="Q1084" s="186">
        <v>10609</v>
      </c>
      <c r="R1084" s="185" t="s">
        <v>433</v>
      </c>
      <c r="S1084" s="185" t="s">
        <v>1564</v>
      </c>
      <c r="T1084"/>
      <c r="U1084" t="str">
        <f>IF($L1084&gt;0,VLOOKUP($E1084,Valida!$A$1:$G$270,6,FALSE),IF($M1084&gt;=0,VLOOKUP($E1084,Valida!$A$1:$G$270,7,FALSE)))</f>
        <v>(+/-) Ajustes por el incremento (disminución) de cuentas por pagar de origen comercial</v>
      </c>
      <c r="V1084" s="190" t="str">
        <f>VLOOKUP(E1084,Valida!$A$2:$K$271,4,FALSE)</f>
        <v>Trade and other payables</v>
      </c>
      <c r="W1084" s="185" t="s">
        <v>2024</v>
      </c>
      <c r="X1084" s="185" t="s">
        <v>2025</v>
      </c>
      <c r="Y1084" s="185" t="s">
        <v>1789</v>
      </c>
      <c r="Z1084"/>
    </row>
    <row r="1085" spans="1:26">
      <c r="A1085" s="185" t="s">
        <v>2581</v>
      </c>
      <c r="B1085" s="185" t="s">
        <v>2582</v>
      </c>
      <c r="C1085" s="185" t="s">
        <v>1792</v>
      </c>
      <c r="D1085" s="185" t="s">
        <v>1943</v>
      </c>
      <c r="E1085" s="185">
        <v>51952502</v>
      </c>
      <c r="F1085" s="185" t="s">
        <v>1414</v>
      </c>
      <c r="G1085" s="185" t="s">
        <v>2129</v>
      </c>
      <c r="H1085" s="185" t="s">
        <v>1515</v>
      </c>
      <c r="I1085" s="258" t="str">
        <f t="shared" si="49"/>
        <v>5</v>
      </c>
      <c r="J1085" s="221">
        <f t="shared" si="50"/>
        <v>305656</v>
      </c>
      <c r="K1085" s="258">
        <f t="shared" si="51"/>
        <v>4</v>
      </c>
      <c r="L1085" s="188">
        <v>305656</v>
      </c>
      <c r="M1085" s="188">
        <v>0</v>
      </c>
      <c r="N1085" s="189">
        <v>830062853</v>
      </c>
      <c r="O1085" t="s">
        <v>2583</v>
      </c>
      <c r="P1085" s="187">
        <v>45042.724247685197</v>
      </c>
      <c r="Q1085" s="186">
        <v>10610</v>
      </c>
      <c r="R1085" s="185" t="s">
        <v>433</v>
      </c>
      <c r="S1085" s="185" t="s">
        <v>1564</v>
      </c>
      <c r="T1085"/>
      <c r="U1085" t="str">
        <f>IF($L1085&gt;0,VLOOKUP($E1085,Valida!$A$1:$G$270,6,FALSE),IF($M1085&gt;=0,VLOOKUP($E1085,Valida!$A$1:$G$270,7,FALSE)))</f>
        <v>(+/-) Ganancia (pérdida)</v>
      </c>
      <c r="V1085" s="190" t="str">
        <f>VLOOKUP(E1085,Valida!$A$2:$K$271,4,FALSE)</f>
        <v>P&amp;L</v>
      </c>
      <c r="W1085" s="185" t="s">
        <v>2024</v>
      </c>
      <c r="X1085" s="185" t="s">
        <v>2025</v>
      </c>
      <c r="Y1085" s="185" t="s">
        <v>1789</v>
      </c>
      <c r="Z1085"/>
    </row>
    <row r="1086" spans="1:26">
      <c r="A1086" s="185" t="s">
        <v>2581</v>
      </c>
      <c r="B1086" s="185" t="s">
        <v>2582</v>
      </c>
      <c r="C1086" s="185" t="s">
        <v>1792</v>
      </c>
      <c r="D1086" s="185" t="s">
        <v>1943</v>
      </c>
      <c r="E1086" s="185">
        <v>24081001</v>
      </c>
      <c r="F1086" s="185" t="s">
        <v>1670</v>
      </c>
      <c r="G1086" s="185" t="s">
        <v>2129</v>
      </c>
      <c r="H1086" s="185" t="s">
        <v>1515</v>
      </c>
      <c r="I1086" s="258" t="str">
        <f t="shared" si="49"/>
        <v>2</v>
      </c>
      <c r="J1086" s="221">
        <f t="shared" si="50"/>
        <v>58074</v>
      </c>
      <c r="K1086" s="258">
        <f t="shared" si="51"/>
        <v>4</v>
      </c>
      <c r="L1086" s="188">
        <v>58074</v>
      </c>
      <c r="M1086" s="188">
        <v>0</v>
      </c>
      <c r="N1086" s="189">
        <v>830062853</v>
      </c>
      <c r="O1086" t="s">
        <v>2583</v>
      </c>
      <c r="P1086" s="187">
        <v>45042.724247685197</v>
      </c>
      <c r="Q1086" s="186">
        <v>10611</v>
      </c>
      <c r="R1086" s="185" t="s">
        <v>433</v>
      </c>
      <c r="S1086" s="185" t="s">
        <v>1564</v>
      </c>
      <c r="T1086"/>
      <c r="U1086" t="str">
        <f>IF($L1086&gt;0,VLOOKUP($E1086,Valida!$A$1:$G$270,6,FALSE),IF($M1086&gt;=0,VLOOKUP($E1086,Valida!$A$1:$G$270,7,FALSE)))</f>
        <v>(+/-) Ajustes por el incremento (disminución) de cuentas por pagar de origen comercial</v>
      </c>
      <c r="V1086" s="190" t="str">
        <f>VLOOKUP(E1086,Valida!$A$2:$K$271,4,FALSE)</f>
        <v>Trade and other payables</v>
      </c>
      <c r="W1086" s="185" t="s">
        <v>2024</v>
      </c>
      <c r="X1086" s="185" t="s">
        <v>2025</v>
      </c>
      <c r="Y1086" s="185" t="s">
        <v>1789</v>
      </c>
      <c r="Z1086"/>
    </row>
    <row r="1087" spans="1:26">
      <c r="A1087" s="185" t="s">
        <v>2581</v>
      </c>
      <c r="B1087" s="185" t="s">
        <v>2582</v>
      </c>
      <c r="C1087" s="185" t="s">
        <v>1792</v>
      </c>
      <c r="D1087" s="185" t="s">
        <v>1943</v>
      </c>
      <c r="E1087" s="185">
        <v>23654001</v>
      </c>
      <c r="F1087" s="185" t="s">
        <v>622</v>
      </c>
      <c r="G1087" s="185" t="s">
        <v>2130</v>
      </c>
      <c r="H1087" s="185" t="s">
        <v>1628</v>
      </c>
      <c r="I1087" s="258" t="str">
        <f t="shared" si="49"/>
        <v>2</v>
      </c>
      <c r="J1087" s="221">
        <f t="shared" si="50"/>
        <v>-89817</v>
      </c>
      <c r="K1087" s="258">
        <f t="shared" si="51"/>
        <v>4</v>
      </c>
      <c r="L1087" s="188">
        <v>0</v>
      </c>
      <c r="M1087" s="188">
        <v>89817</v>
      </c>
      <c r="N1087" s="189">
        <v>830062853</v>
      </c>
      <c r="O1087" t="s">
        <v>2583</v>
      </c>
      <c r="P1087" s="187">
        <v>45042.724247685197</v>
      </c>
      <c r="Q1087" s="186">
        <v>10612</v>
      </c>
      <c r="R1087" s="185" t="s">
        <v>433</v>
      </c>
      <c r="S1087" s="185" t="s">
        <v>1564</v>
      </c>
      <c r="T1087"/>
      <c r="U1087" t="str">
        <f>IF($L1087&gt;0,VLOOKUP($E1087,Valida!$A$1:$G$270,6,FALSE),IF($M1087&gt;=0,VLOOKUP($E1087,Valida!$A$1:$G$270,7,FALSE)))</f>
        <v>(+/-) Ajustes por el incremento (disminución) de cuentas por pagar de origen comercial</v>
      </c>
      <c r="V1087" s="190" t="str">
        <f>VLOOKUP(E1087,Valida!$A$2:$K$271,4,FALSE)</f>
        <v>Trade and other payables</v>
      </c>
      <c r="W1087" s="185" t="s">
        <v>2024</v>
      </c>
      <c r="X1087" s="185" t="s">
        <v>2025</v>
      </c>
      <c r="Y1087" s="185" t="s">
        <v>1789</v>
      </c>
      <c r="Z1087"/>
    </row>
    <row r="1088" spans="1:26">
      <c r="A1088" s="185" t="s">
        <v>2581</v>
      </c>
      <c r="B1088" s="185" t="s">
        <v>2582</v>
      </c>
      <c r="C1088" s="185" t="s">
        <v>1792</v>
      </c>
      <c r="D1088" s="185" t="s">
        <v>1943</v>
      </c>
      <c r="E1088" s="185">
        <v>23680504</v>
      </c>
      <c r="F1088" s="185" t="s">
        <v>668</v>
      </c>
      <c r="G1088" s="185" t="s">
        <v>2130</v>
      </c>
      <c r="H1088" s="185" t="s">
        <v>1628</v>
      </c>
      <c r="I1088" s="258" t="str">
        <f t="shared" si="49"/>
        <v>2</v>
      </c>
      <c r="J1088" s="221">
        <f t="shared" si="50"/>
        <v>-39663</v>
      </c>
      <c r="K1088" s="258">
        <f t="shared" si="51"/>
        <v>4</v>
      </c>
      <c r="L1088" s="188">
        <v>0</v>
      </c>
      <c r="M1088" s="188">
        <v>39663</v>
      </c>
      <c r="N1088" s="189">
        <v>830062853</v>
      </c>
      <c r="O1088" t="s">
        <v>2583</v>
      </c>
      <c r="P1088" s="187">
        <v>45042.724247685197</v>
      </c>
      <c r="Q1088" s="186">
        <v>10613</v>
      </c>
      <c r="R1088" s="185" t="s">
        <v>433</v>
      </c>
      <c r="S1088" s="185" t="s">
        <v>1564</v>
      </c>
      <c r="T1088"/>
      <c r="U1088" t="str">
        <f>IF($L1088&gt;0,VLOOKUP($E1088,Valida!$A$1:$G$270,6,FALSE),IF($M1088&gt;=0,VLOOKUP($E1088,Valida!$A$1:$G$270,7,FALSE)))</f>
        <v>(+/-) Ajustes por el incremento (disminución) de cuentas por pagar de origen comercial</v>
      </c>
      <c r="V1088" s="190" t="str">
        <f>VLOOKUP(E1088,Valida!$A$2:$K$271,4,FALSE)</f>
        <v>Trade and other payables</v>
      </c>
      <c r="W1088" s="185" t="s">
        <v>2024</v>
      </c>
      <c r="X1088" s="185" t="s">
        <v>2025</v>
      </c>
      <c r="Y1088" s="185" t="s">
        <v>1789</v>
      </c>
      <c r="Z1088"/>
    </row>
    <row r="1089" spans="1:26">
      <c r="A1089" s="185" t="s">
        <v>2581</v>
      </c>
      <c r="B1089" s="185" t="s">
        <v>2582</v>
      </c>
      <c r="C1089" s="185" t="s">
        <v>1792</v>
      </c>
      <c r="D1089" s="185" t="s">
        <v>1943</v>
      </c>
      <c r="E1089" s="185">
        <v>23359502</v>
      </c>
      <c r="F1089" s="185" t="s">
        <v>547</v>
      </c>
      <c r="G1089" s="185" t="s">
        <v>2130</v>
      </c>
      <c r="H1089" s="185" t="s">
        <v>1628</v>
      </c>
      <c r="I1089" s="258" t="str">
        <f t="shared" si="49"/>
        <v>2</v>
      </c>
      <c r="J1089" s="221">
        <f t="shared" si="50"/>
        <v>-3897931</v>
      </c>
      <c r="K1089" s="258">
        <f t="shared" si="51"/>
        <v>4</v>
      </c>
      <c r="L1089" s="188">
        <v>0</v>
      </c>
      <c r="M1089" s="188">
        <v>3897931</v>
      </c>
      <c r="N1089" s="189">
        <v>830062853</v>
      </c>
      <c r="O1089" t="s">
        <v>2583</v>
      </c>
      <c r="P1089" s="187">
        <v>45042.724247685197</v>
      </c>
      <c r="Q1089" s="186">
        <v>10614</v>
      </c>
      <c r="R1089" s="185" t="s">
        <v>433</v>
      </c>
      <c r="S1089" s="185" t="s">
        <v>1564</v>
      </c>
      <c r="T1089"/>
      <c r="U1089" t="str">
        <f>IF($L1089&gt;0,VLOOKUP($E1089,Valida!$A$1:$G$270,6,FALSE),IF($M1089&gt;=0,VLOOKUP($E1089,Valida!$A$1:$G$270,7,FALSE)))</f>
        <v>(+/-) Ajustes por el incremento (disminución) de cuentas por pagar de origen comercial</v>
      </c>
      <c r="V1089" s="190" t="str">
        <f>VLOOKUP(E1089,Valida!$A$2:$K$271,4,FALSE)</f>
        <v>Trade and other payables</v>
      </c>
      <c r="W1089" s="185" t="s">
        <v>2024</v>
      </c>
      <c r="X1089" s="185" t="s">
        <v>2025</v>
      </c>
      <c r="Y1089" s="185" t="s">
        <v>1789</v>
      </c>
      <c r="Z1089"/>
    </row>
    <row r="1090" spans="1:26">
      <c r="A1090" s="185" t="s">
        <v>2584</v>
      </c>
      <c r="B1090" s="185" t="s">
        <v>2585</v>
      </c>
      <c r="C1090" s="185" t="s">
        <v>1785</v>
      </c>
      <c r="D1090" s="185" t="s">
        <v>1969</v>
      </c>
      <c r="E1090" s="185">
        <v>13300502</v>
      </c>
      <c r="F1090" s="185" t="s">
        <v>129</v>
      </c>
      <c r="G1090" s="185" t="s">
        <v>2130</v>
      </c>
      <c r="H1090" s="185" t="s">
        <v>1628</v>
      </c>
      <c r="I1090" s="258" t="str">
        <f t="shared" si="49"/>
        <v>1</v>
      </c>
      <c r="J1090" s="221">
        <f t="shared" si="50"/>
        <v>-3897931</v>
      </c>
      <c r="K1090" s="258">
        <f t="shared" si="51"/>
        <v>4</v>
      </c>
      <c r="L1090" s="188">
        <v>0</v>
      </c>
      <c r="M1090" s="188">
        <v>3897931</v>
      </c>
      <c r="N1090" s="189">
        <v>830062853</v>
      </c>
      <c r="O1090" t="s">
        <v>2585</v>
      </c>
      <c r="P1090" s="187">
        <v>45042.725671296299</v>
      </c>
      <c r="Q1090" s="186">
        <v>10615</v>
      </c>
      <c r="R1090" s="185" t="s">
        <v>433</v>
      </c>
      <c r="S1090" s="185" t="s">
        <v>1564</v>
      </c>
      <c r="T1090"/>
      <c r="U1090" t="str">
        <f>IF($L1090&gt;0,VLOOKUP($E1090,Valida!$A$1:$G$270,6,FALSE),IF($M1090&gt;=0,VLOOKUP($E1090,Valida!$A$1:$G$270,7,FALSE)))</f>
        <v>(+/-) Ajustes por disminuciones (incrementos) en otras cuentas por cobrar derivadas de las actividades de operación</v>
      </c>
      <c r="V1090" s="190" t="str">
        <f>VLOOKUP(E1090,Valida!$A$2:$K$271,4,FALSE)</f>
        <v>Trade and other receivables</v>
      </c>
      <c r="W1090" s="185" t="s">
        <v>2024</v>
      </c>
      <c r="X1090" s="185" t="s">
        <v>2025</v>
      </c>
      <c r="Y1090" s="185" t="s">
        <v>1789</v>
      </c>
      <c r="Z1090"/>
    </row>
    <row r="1091" spans="1:26">
      <c r="A1091" s="185" t="s">
        <v>2584</v>
      </c>
      <c r="B1091" s="185" t="s">
        <v>2585</v>
      </c>
      <c r="C1091" s="185" t="s">
        <v>1785</v>
      </c>
      <c r="D1091" s="185" t="s">
        <v>1969</v>
      </c>
      <c r="E1091" s="185">
        <v>23359502</v>
      </c>
      <c r="F1091" s="185" t="s">
        <v>547</v>
      </c>
      <c r="G1091" s="185" t="s">
        <v>2130</v>
      </c>
      <c r="H1091" s="185" t="s">
        <v>1515</v>
      </c>
      <c r="I1091" s="258" t="str">
        <f t="shared" ref="I1091:I1154" si="52">LEFT(E1091,1)</f>
        <v>2</v>
      </c>
      <c r="J1091" s="221">
        <f t="shared" ref="J1091:J1154" si="53">L1091-M1091</f>
        <v>3897931</v>
      </c>
      <c r="K1091" s="258">
        <f t="shared" ref="K1091:K1154" si="54">MONTH(A1091)</f>
        <v>4</v>
      </c>
      <c r="L1091" s="188">
        <v>3897931</v>
      </c>
      <c r="M1091" s="188">
        <v>0</v>
      </c>
      <c r="N1091" s="189">
        <v>830062853</v>
      </c>
      <c r="O1091" t="s">
        <v>2585</v>
      </c>
      <c r="P1091" s="187">
        <v>45042.725671296299</v>
      </c>
      <c r="Q1091" s="186">
        <v>10616</v>
      </c>
      <c r="R1091" s="185" t="s">
        <v>433</v>
      </c>
      <c r="S1091" s="185" t="s">
        <v>1564</v>
      </c>
      <c r="T1091"/>
      <c r="U1091" t="str">
        <f>IF($L1091&gt;0,VLOOKUP($E1091,Valida!$A$1:$G$270,6,FALSE),IF($M1091&gt;=0,VLOOKUP($E1091,Valida!$A$1:$G$270,7,FALSE)))</f>
        <v>(+/-) Ajustes por el incremento (disminución) de cuentas por pagar de origen comercial</v>
      </c>
      <c r="V1091" s="190" t="str">
        <f>VLOOKUP(E1091,Valida!$A$2:$K$271,4,FALSE)</f>
        <v>Trade and other payables</v>
      </c>
      <c r="W1091" s="185" t="s">
        <v>2024</v>
      </c>
      <c r="X1091" s="185" t="s">
        <v>2025</v>
      </c>
      <c r="Y1091" s="185" t="s">
        <v>1789</v>
      </c>
      <c r="Z1091"/>
    </row>
    <row r="1092" spans="1:26">
      <c r="A1092" s="185" t="s">
        <v>2584</v>
      </c>
      <c r="B1092" s="185" t="s">
        <v>2586</v>
      </c>
      <c r="C1092" s="185" t="s">
        <v>1785</v>
      </c>
      <c r="D1092" s="185" t="s">
        <v>1976</v>
      </c>
      <c r="E1092" s="185">
        <v>237005</v>
      </c>
      <c r="F1092" s="185" t="s">
        <v>676</v>
      </c>
      <c r="G1092" s="185" t="s">
        <v>2587</v>
      </c>
      <c r="H1092" s="185" t="s">
        <v>1515</v>
      </c>
      <c r="I1092" s="258" t="str">
        <f t="shared" si="52"/>
        <v>2</v>
      </c>
      <c r="J1092" s="221">
        <f t="shared" si="53"/>
        <v>102500</v>
      </c>
      <c r="K1092" s="258">
        <f t="shared" si="54"/>
        <v>4</v>
      </c>
      <c r="L1092" s="188">
        <v>102500</v>
      </c>
      <c r="M1092" s="188">
        <v>0</v>
      </c>
      <c r="N1092" s="189">
        <v>800251440</v>
      </c>
      <c r="O1092" t="s">
        <v>2586</v>
      </c>
      <c r="P1092" s="187">
        <v>45042.731539351902</v>
      </c>
      <c r="Q1092" s="186">
        <v>10617</v>
      </c>
      <c r="R1092" s="185" t="s">
        <v>1901</v>
      </c>
      <c r="S1092" s="185" t="s">
        <v>1560</v>
      </c>
      <c r="T1092"/>
      <c r="U1092" t="str">
        <f>IF($L1092&gt;0,VLOOKUP($E1092,Valida!$A$1:$G$270,6,FALSE),IF($M1092&gt;=0,VLOOKUP($E1092,Valida!$A$1:$G$270,7,FALSE)))</f>
        <v>(+/-) Ajustes por el incremento (disminución) de cuentas por pagar de origen comercial</v>
      </c>
      <c r="V1092" s="190" t="str">
        <f>VLOOKUP(E1092,Valida!$A$2:$K$271,4,FALSE)</f>
        <v>Trade and other payables</v>
      </c>
      <c r="W1092" s="185" t="s">
        <v>1902</v>
      </c>
      <c r="X1092" s="185" t="s">
        <v>1903</v>
      </c>
      <c r="Y1092" s="185" t="s">
        <v>1789</v>
      </c>
      <c r="Z1092"/>
    </row>
    <row r="1093" spans="1:26">
      <c r="A1093" s="185" t="s">
        <v>2584</v>
      </c>
      <c r="B1093" s="185" t="s">
        <v>2586</v>
      </c>
      <c r="C1093" s="185" t="s">
        <v>1785</v>
      </c>
      <c r="D1093" s="185" t="s">
        <v>1976</v>
      </c>
      <c r="E1093" s="185">
        <v>237005</v>
      </c>
      <c r="F1093" s="185" t="s">
        <v>676</v>
      </c>
      <c r="G1093" s="185" t="s">
        <v>2587</v>
      </c>
      <c r="H1093" s="185" t="s">
        <v>1515</v>
      </c>
      <c r="I1093" s="258" t="str">
        <f t="shared" si="52"/>
        <v>2</v>
      </c>
      <c r="J1093" s="221">
        <f t="shared" si="53"/>
        <v>51040</v>
      </c>
      <c r="K1093" s="258">
        <f t="shared" si="54"/>
        <v>4</v>
      </c>
      <c r="L1093" s="188">
        <v>51040</v>
      </c>
      <c r="M1093" s="188">
        <v>0</v>
      </c>
      <c r="N1093" s="189">
        <v>830003564</v>
      </c>
      <c r="O1093" t="s">
        <v>2586</v>
      </c>
      <c r="P1093" s="187">
        <v>45042.731539351902</v>
      </c>
      <c r="Q1093" s="186">
        <v>10618</v>
      </c>
      <c r="R1093" s="185" t="s">
        <v>1814</v>
      </c>
      <c r="S1093" s="185" t="s">
        <v>1652</v>
      </c>
      <c r="T1093"/>
      <c r="U1093" t="str">
        <f>IF($L1093&gt;0,VLOOKUP($E1093,Valida!$A$1:$G$270,6,FALSE),IF($M1093&gt;=0,VLOOKUP($E1093,Valida!$A$1:$G$270,7,FALSE)))</f>
        <v>(+/-) Ajustes por el incremento (disminución) de cuentas por pagar de origen comercial</v>
      </c>
      <c r="V1093" s="190" t="str">
        <f>VLOOKUP(E1093,Valida!$A$2:$K$271,4,FALSE)</f>
        <v>Trade and other payables</v>
      </c>
      <c r="W1093" s="185" t="s">
        <v>1973</v>
      </c>
      <c r="X1093" s="185" t="s">
        <v>1974</v>
      </c>
      <c r="Y1093" s="185" t="s">
        <v>1789</v>
      </c>
      <c r="Z1093"/>
    </row>
    <row r="1094" spans="1:26">
      <c r="A1094" s="185" t="s">
        <v>2584</v>
      </c>
      <c r="B1094" s="185" t="s">
        <v>2586</v>
      </c>
      <c r="C1094" s="185" t="s">
        <v>1785</v>
      </c>
      <c r="D1094" s="185" t="s">
        <v>1976</v>
      </c>
      <c r="E1094" s="185">
        <v>237005</v>
      </c>
      <c r="F1094" s="185" t="s">
        <v>676</v>
      </c>
      <c r="G1094" s="185" t="s">
        <v>2587</v>
      </c>
      <c r="H1094" s="185" t="s">
        <v>1515</v>
      </c>
      <c r="I1094" s="258" t="str">
        <f t="shared" si="52"/>
        <v>2</v>
      </c>
      <c r="J1094" s="221">
        <f t="shared" si="53"/>
        <v>60000</v>
      </c>
      <c r="K1094" s="258">
        <f t="shared" si="54"/>
        <v>4</v>
      </c>
      <c r="L1094" s="188">
        <v>60000</v>
      </c>
      <c r="M1094" s="188">
        <v>0</v>
      </c>
      <c r="N1094" s="189">
        <v>860066942</v>
      </c>
      <c r="O1094" t="s">
        <v>2586</v>
      </c>
      <c r="P1094" s="187">
        <v>45042.731550925899</v>
      </c>
      <c r="Q1094" s="186">
        <v>10619</v>
      </c>
      <c r="R1094" s="185" t="s">
        <v>1814</v>
      </c>
      <c r="S1094" s="185" t="s">
        <v>1574</v>
      </c>
      <c r="T1094"/>
      <c r="U1094" t="str">
        <f>IF($L1094&gt;0,VLOOKUP($E1094,Valida!$A$1:$G$270,6,FALSE),IF($M1094&gt;=0,VLOOKUP($E1094,Valida!$A$1:$G$270,7,FALSE)))</f>
        <v>(+/-) Ajustes por el incremento (disminución) de cuentas por pagar de origen comercial</v>
      </c>
      <c r="V1094" s="190" t="str">
        <f>VLOOKUP(E1094,Valida!$A$2:$K$271,4,FALSE)</f>
        <v>Trade and other payables</v>
      </c>
      <c r="W1094" s="185" t="s">
        <v>1914</v>
      </c>
      <c r="X1094" s="185" t="s">
        <v>1915</v>
      </c>
      <c r="Y1094" s="185" t="s">
        <v>1789</v>
      </c>
      <c r="Z1094"/>
    </row>
    <row r="1095" spans="1:26">
      <c r="A1095" s="185" t="s">
        <v>2584</v>
      </c>
      <c r="B1095" s="185" t="s">
        <v>2586</v>
      </c>
      <c r="C1095" s="185" t="s">
        <v>1785</v>
      </c>
      <c r="D1095" s="185" t="s">
        <v>1976</v>
      </c>
      <c r="E1095" s="185">
        <v>237005</v>
      </c>
      <c r="F1095" s="185" t="s">
        <v>676</v>
      </c>
      <c r="G1095" s="185" t="s">
        <v>2587</v>
      </c>
      <c r="H1095" s="185" t="s">
        <v>1515</v>
      </c>
      <c r="I1095" s="258" t="str">
        <f t="shared" si="52"/>
        <v>2</v>
      </c>
      <c r="J1095" s="221">
        <f t="shared" si="53"/>
        <v>112755</v>
      </c>
      <c r="K1095" s="258">
        <f t="shared" si="54"/>
        <v>4</v>
      </c>
      <c r="L1095" s="188">
        <v>112755</v>
      </c>
      <c r="M1095" s="188">
        <v>0</v>
      </c>
      <c r="N1095" s="189">
        <v>900156264</v>
      </c>
      <c r="O1095" t="s">
        <v>2586</v>
      </c>
      <c r="P1095" s="187">
        <v>45042.731550925899</v>
      </c>
      <c r="Q1095" s="186">
        <v>10620</v>
      </c>
      <c r="R1095" s="185" t="s">
        <v>433</v>
      </c>
      <c r="S1095" s="185" t="s">
        <v>1654</v>
      </c>
      <c r="T1095"/>
      <c r="U1095" t="str">
        <f>IF($L1095&gt;0,VLOOKUP($E1095,Valida!$A$1:$G$270,6,FALSE),IF($M1095&gt;=0,VLOOKUP($E1095,Valida!$A$1:$G$270,7,FALSE)))</f>
        <v>(+/-) Ajustes por el incremento (disminución) de cuentas por pagar de origen comercial</v>
      </c>
      <c r="V1095" s="190" t="str">
        <f>VLOOKUP(E1095,Valida!$A$2:$K$271,4,FALSE)</f>
        <v>Trade and other payables</v>
      </c>
      <c r="W1095" s="185" t="s">
        <v>1926</v>
      </c>
      <c r="X1095" s="185" t="s">
        <v>1927</v>
      </c>
      <c r="Y1095" s="185" t="s">
        <v>1789</v>
      </c>
      <c r="Z1095"/>
    </row>
    <row r="1096" spans="1:26">
      <c r="A1096" s="185" t="s">
        <v>2039</v>
      </c>
      <c r="B1096" s="185" t="s">
        <v>2381</v>
      </c>
      <c r="C1096" s="185" t="s">
        <v>1897</v>
      </c>
      <c r="D1096" s="185" t="s">
        <v>2382</v>
      </c>
      <c r="E1096" s="185">
        <v>252005</v>
      </c>
      <c r="F1096" s="185" t="s">
        <v>783</v>
      </c>
      <c r="G1096" s="185" t="s">
        <v>2564</v>
      </c>
      <c r="H1096" s="185" t="s">
        <v>1628</v>
      </c>
      <c r="I1096" s="258" t="str">
        <f t="shared" si="52"/>
        <v>2</v>
      </c>
      <c r="J1096" s="221">
        <f t="shared" si="53"/>
        <v>-161002</v>
      </c>
      <c r="K1096" s="258">
        <f t="shared" si="54"/>
        <v>4</v>
      </c>
      <c r="L1096" s="188">
        <v>0</v>
      </c>
      <c r="M1096" s="188">
        <v>161002</v>
      </c>
      <c r="N1096" s="189">
        <v>1000036375</v>
      </c>
      <c r="O1096" t="s">
        <v>2381</v>
      </c>
      <c r="P1096" s="187">
        <v>45042</v>
      </c>
      <c r="Q1096" s="186">
        <v>10538</v>
      </c>
      <c r="R1096" s="185"/>
      <c r="S1096" s="185" t="s">
        <v>1524</v>
      </c>
      <c r="T1096"/>
      <c r="U1096" t="str">
        <f>IF($L1096&gt;0,VLOOKUP($E1096,Valida!$A$1:$G$270,6,FALSE),IF($M1096&gt;=0,VLOOKUP($E1096,Valida!$A$1:$G$270,7,FALSE)))</f>
        <v>(+/-) Ajustes por el incremento (disminución) de cuentas por pagar de origen comercial</v>
      </c>
      <c r="V1096" s="190" t="str">
        <f>VLOOKUP(E1096,Valida!$A$2:$K$271,4,FALSE)</f>
        <v>Trade and other payables</v>
      </c>
      <c r="W1096" s="185" t="s">
        <v>1983</v>
      </c>
      <c r="X1096" s="185"/>
      <c r="Y1096" s="185" t="s">
        <v>1789</v>
      </c>
      <c r="Z1096"/>
    </row>
    <row r="1097" spans="1:26">
      <c r="A1097" s="185" t="s">
        <v>2039</v>
      </c>
      <c r="B1097" s="185" t="s">
        <v>2381</v>
      </c>
      <c r="C1097" s="185" t="s">
        <v>1897</v>
      </c>
      <c r="D1097" s="185" t="s">
        <v>2382</v>
      </c>
      <c r="E1097" s="185">
        <v>252005</v>
      </c>
      <c r="F1097" s="185" t="s">
        <v>783</v>
      </c>
      <c r="G1097" s="185" t="s">
        <v>2564</v>
      </c>
      <c r="H1097" s="185" t="s">
        <v>1628</v>
      </c>
      <c r="I1097" s="258" t="str">
        <f t="shared" si="52"/>
        <v>2</v>
      </c>
      <c r="J1097" s="221">
        <f t="shared" si="53"/>
        <v>-136662</v>
      </c>
      <c r="K1097" s="258">
        <f t="shared" si="54"/>
        <v>4</v>
      </c>
      <c r="L1097" s="188">
        <v>0</v>
      </c>
      <c r="M1097" s="188">
        <v>136662</v>
      </c>
      <c r="N1097" s="189">
        <v>1010101811</v>
      </c>
      <c r="O1097" t="s">
        <v>2381</v>
      </c>
      <c r="P1097" s="187">
        <v>45042</v>
      </c>
      <c r="Q1097" s="186">
        <v>10539</v>
      </c>
      <c r="R1097" s="185"/>
      <c r="S1097" s="185" t="s">
        <v>1528</v>
      </c>
      <c r="T1097"/>
      <c r="U1097" t="str">
        <f>IF($L1097&gt;0,VLOOKUP($E1097,Valida!$A$1:$G$270,6,FALSE),IF($M1097&gt;=0,VLOOKUP($E1097,Valida!$A$1:$G$270,7,FALSE)))</f>
        <v>(+/-) Ajustes por el incremento (disminución) de cuentas por pagar de origen comercial</v>
      </c>
      <c r="V1097" s="190" t="str">
        <f>VLOOKUP(E1097,Valida!$A$2:$K$271,4,FALSE)</f>
        <v>Trade and other payables</v>
      </c>
      <c r="W1097" s="185" t="s">
        <v>1967</v>
      </c>
      <c r="X1097" s="185"/>
      <c r="Y1097" s="185" t="s">
        <v>1789</v>
      </c>
      <c r="Z1097"/>
    </row>
    <row r="1098" spans="1:26">
      <c r="A1098" s="185" t="s">
        <v>2039</v>
      </c>
      <c r="B1098" s="185" t="s">
        <v>2381</v>
      </c>
      <c r="C1098" s="185" t="s">
        <v>1897</v>
      </c>
      <c r="D1098" s="185" t="s">
        <v>2382</v>
      </c>
      <c r="E1098" s="185">
        <v>252005</v>
      </c>
      <c r="F1098" s="185" t="s">
        <v>783</v>
      </c>
      <c r="G1098" s="185" t="s">
        <v>2564</v>
      </c>
      <c r="H1098" s="185" t="s">
        <v>1628</v>
      </c>
      <c r="I1098" s="258" t="str">
        <f t="shared" si="52"/>
        <v>2</v>
      </c>
      <c r="J1098" s="221">
        <f t="shared" si="53"/>
        <v>-128541</v>
      </c>
      <c r="K1098" s="258">
        <f t="shared" si="54"/>
        <v>4</v>
      </c>
      <c r="L1098" s="188">
        <v>0</v>
      </c>
      <c r="M1098" s="188">
        <v>128541</v>
      </c>
      <c r="N1098" s="189">
        <v>1020842223</v>
      </c>
      <c r="O1098" t="s">
        <v>2381</v>
      </c>
      <c r="P1098" s="187">
        <v>45042</v>
      </c>
      <c r="Q1098" s="186">
        <v>10540</v>
      </c>
      <c r="R1098" s="185"/>
      <c r="S1098" s="185" t="s">
        <v>1532</v>
      </c>
      <c r="T1098"/>
      <c r="U1098" t="str">
        <f>IF($L1098&gt;0,VLOOKUP($E1098,Valida!$A$1:$G$270,6,FALSE),IF($M1098&gt;=0,VLOOKUP($E1098,Valida!$A$1:$G$270,7,FALSE)))</f>
        <v>(+/-) Ajustes por el incremento (disminución) de cuentas por pagar de origen comercial</v>
      </c>
      <c r="V1098" s="190" t="str">
        <f>VLOOKUP(E1098,Valida!$A$2:$K$271,4,FALSE)</f>
        <v>Trade and other payables</v>
      </c>
      <c r="W1098" s="185" t="s">
        <v>1900</v>
      </c>
      <c r="X1098" s="185"/>
      <c r="Y1098" s="185" t="s">
        <v>1789</v>
      </c>
      <c r="Z1098"/>
    </row>
    <row r="1099" spans="1:26">
      <c r="A1099" s="185" t="s">
        <v>2039</v>
      </c>
      <c r="B1099" s="185" t="s">
        <v>2381</v>
      </c>
      <c r="C1099" s="185" t="s">
        <v>1897</v>
      </c>
      <c r="D1099" s="185" t="s">
        <v>2382</v>
      </c>
      <c r="E1099" s="185">
        <v>252005</v>
      </c>
      <c r="F1099" s="185" t="s">
        <v>783</v>
      </c>
      <c r="G1099" s="185" t="s">
        <v>2564</v>
      </c>
      <c r="H1099" s="185" t="s">
        <v>1628</v>
      </c>
      <c r="I1099" s="258" t="str">
        <f t="shared" si="52"/>
        <v>2</v>
      </c>
      <c r="J1099" s="221">
        <f t="shared" si="53"/>
        <v>-108340</v>
      </c>
      <c r="K1099" s="258">
        <f t="shared" si="54"/>
        <v>4</v>
      </c>
      <c r="L1099" s="188">
        <v>0</v>
      </c>
      <c r="M1099" s="188">
        <v>108340</v>
      </c>
      <c r="N1099" s="189">
        <v>1130744136</v>
      </c>
      <c r="O1099" t="s">
        <v>2381</v>
      </c>
      <c r="P1099" s="187">
        <v>45042</v>
      </c>
      <c r="Q1099" s="186">
        <v>10541</v>
      </c>
      <c r="R1099" s="185"/>
      <c r="S1099" s="185" t="s">
        <v>1538</v>
      </c>
      <c r="T1099"/>
      <c r="U1099" t="str">
        <f>IF($L1099&gt;0,VLOOKUP($E1099,Valida!$A$1:$G$270,6,FALSE),IF($M1099&gt;=0,VLOOKUP($E1099,Valida!$A$1:$G$270,7,FALSE)))</f>
        <v>(+/-) Ajustes por el incremento (disminución) de cuentas por pagar de origen comercial</v>
      </c>
      <c r="V1099" s="190" t="str">
        <f>VLOOKUP(E1099,Valida!$A$2:$K$271,4,FALSE)</f>
        <v>Trade and other payables</v>
      </c>
      <c r="W1099" s="185" t="s">
        <v>1909</v>
      </c>
      <c r="X1099" s="185" t="s">
        <v>1910</v>
      </c>
      <c r="Y1099" s="185" t="s">
        <v>1789</v>
      </c>
      <c r="Z1099"/>
    </row>
    <row r="1100" spans="1:26">
      <c r="A1100" s="185" t="s">
        <v>2039</v>
      </c>
      <c r="B1100" s="185" t="s">
        <v>2381</v>
      </c>
      <c r="C1100" s="185" t="s">
        <v>1897</v>
      </c>
      <c r="D1100" s="185" t="s">
        <v>2382</v>
      </c>
      <c r="E1100" s="185">
        <v>252505</v>
      </c>
      <c r="F1100" s="185" t="s">
        <v>787</v>
      </c>
      <c r="G1100" s="185" t="s">
        <v>2588</v>
      </c>
      <c r="H1100" s="185" t="s">
        <v>1628</v>
      </c>
      <c r="I1100" s="258" t="str">
        <f t="shared" si="52"/>
        <v>2</v>
      </c>
      <c r="J1100" s="221">
        <f t="shared" si="53"/>
        <v>-53209</v>
      </c>
      <c r="K1100" s="258">
        <f t="shared" si="54"/>
        <v>4</v>
      </c>
      <c r="L1100" s="188">
        <v>0</v>
      </c>
      <c r="M1100" s="188">
        <v>53209</v>
      </c>
      <c r="N1100" s="189">
        <v>1000018061</v>
      </c>
      <c r="O1100" t="s">
        <v>2381</v>
      </c>
      <c r="P1100" s="187">
        <v>45042</v>
      </c>
      <c r="Q1100" s="186">
        <v>10542</v>
      </c>
      <c r="R1100" s="185"/>
      <c r="S1100" s="185" t="s">
        <v>1522</v>
      </c>
      <c r="T1100"/>
      <c r="U1100" t="str">
        <f>IF($L1100&gt;0,VLOOKUP($E1100,Valida!$A$1:$G$270,6,FALSE),IF($M1100&gt;=0,VLOOKUP($E1100,Valida!$A$1:$G$270,7,FALSE)))</f>
        <v>(+/-) Ajustes por el incremento (disminución) de cuentas por pagar de origen comercial</v>
      </c>
      <c r="V1100" s="190" t="str">
        <f>VLOOKUP(E1100,Valida!$A$2:$K$271,4,FALSE)</f>
        <v>Trade and other payables</v>
      </c>
      <c r="W1100" s="185" t="s">
        <v>1978</v>
      </c>
      <c r="X1100" s="185"/>
      <c r="Y1100" s="185" t="s">
        <v>1789</v>
      </c>
      <c r="Z1100"/>
    </row>
    <row r="1101" spans="1:26">
      <c r="A1101" s="185" t="s">
        <v>2039</v>
      </c>
      <c r="B1101" s="185" t="s">
        <v>2381</v>
      </c>
      <c r="C1101" s="185" t="s">
        <v>1897</v>
      </c>
      <c r="D1101" s="185" t="s">
        <v>2382</v>
      </c>
      <c r="E1101" s="185">
        <v>252505</v>
      </c>
      <c r="F1101" s="185" t="s">
        <v>787</v>
      </c>
      <c r="G1101" s="185" t="s">
        <v>2588</v>
      </c>
      <c r="H1101" s="185" t="s">
        <v>1628</v>
      </c>
      <c r="I1101" s="258" t="str">
        <f t="shared" si="52"/>
        <v>2</v>
      </c>
      <c r="J1101" s="221">
        <f t="shared" si="53"/>
        <v>-71151</v>
      </c>
      <c r="K1101" s="258">
        <f t="shared" si="54"/>
        <v>4</v>
      </c>
      <c r="L1101" s="188">
        <v>0</v>
      </c>
      <c r="M1101" s="188">
        <v>71151</v>
      </c>
      <c r="N1101" s="189">
        <v>1000036375</v>
      </c>
      <c r="O1101" t="s">
        <v>2381</v>
      </c>
      <c r="P1101" s="187">
        <v>45042</v>
      </c>
      <c r="Q1101" s="186">
        <v>10543</v>
      </c>
      <c r="R1101" s="185"/>
      <c r="S1101" s="185" t="s">
        <v>1524</v>
      </c>
      <c r="T1101"/>
      <c r="U1101" t="str">
        <f>IF($L1101&gt;0,VLOOKUP($E1101,Valida!$A$1:$G$270,6,FALSE),IF($M1101&gt;=0,VLOOKUP($E1101,Valida!$A$1:$G$270,7,FALSE)))</f>
        <v>(+/-) Ajustes por el incremento (disminución) de cuentas por pagar de origen comercial</v>
      </c>
      <c r="V1101" s="190" t="str">
        <f>VLOOKUP(E1101,Valida!$A$2:$K$271,4,FALSE)</f>
        <v>Trade and other payables</v>
      </c>
      <c r="W1101" s="185" t="s">
        <v>1983</v>
      </c>
      <c r="X1101" s="185"/>
      <c r="Y1101" s="185" t="s">
        <v>1789</v>
      </c>
      <c r="Z1101"/>
    </row>
    <row r="1102" spans="1:26">
      <c r="A1102" s="185" t="s">
        <v>2039</v>
      </c>
      <c r="B1102" s="185" t="s">
        <v>2381</v>
      </c>
      <c r="C1102" s="185" t="s">
        <v>1897</v>
      </c>
      <c r="D1102" s="185" t="s">
        <v>2382</v>
      </c>
      <c r="E1102" s="185">
        <v>252505</v>
      </c>
      <c r="F1102" s="185" t="s">
        <v>787</v>
      </c>
      <c r="G1102" s="185" t="s">
        <v>2588</v>
      </c>
      <c r="H1102" s="185" t="s">
        <v>1628</v>
      </c>
      <c r="I1102" s="258" t="str">
        <f t="shared" si="52"/>
        <v>2</v>
      </c>
      <c r="J1102" s="221">
        <f t="shared" si="53"/>
        <v>-62550</v>
      </c>
      <c r="K1102" s="258">
        <f t="shared" si="54"/>
        <v>4</v>
      </c>
      <c r="L1102" s="188">
        <v>0</v>
      </c>
      <c r="M1102" s="188">
        <v>62550</v>
      </c>
      <c r="N1102" s="189">
        <v>1010101811</v>
      </c>
      <c r="O1102" t="s">
        <v>2381</v>
      </c>
      <c r="P1102" s="187">
        <v>45042</v>
      </c>
      <c r="Q1102" s="186">
        <v>10544</v>
      </c>
      <c r="R1102" s="185"/>
      <c r="S1102" s="185" t="s">
        <v>1528</v>
      </c>
      <c r="T1102"/>
      <c r="U1102" t="str">
        <f>IF($L1102&gt;0,VLOOKUP($E1102,Valida!$A$1:$G$270,6,FALSE),IF($M1102&gt;=0,VLOOKUP($E1102,Valida!$A$1:$G$270,7,FALSE)))</f>
        <v>(+/-) Ajustes por el incremento (disminución) de cuentas por pagar de origen comercial</v>
      </c>
      <c r="V1102" s="190" t="str">
        <f>VLOOKUP(E1102,Valida!$A$2:$K$271,4,FALSE)</f>
        <v>Trade and other payables</v>
      </c>
      <c r="W1102" s="185" t="s">
        <v>1967</v>
      </c>
      <c r="X1102" s="185"/>
      <c r="Y1102" s="185" t="s">
        <v>1789</v>
      </c>
      <c r="Z1102"/>
    </row>
    <row r="1103" spans="1:26">
      <c r="A1103" s="185" t="s">
        <v>2039</v>
      </c>
      <c r="B1103" s="185" t="s">
        <v>2381</v>
      </c>
      <c r="C1103" s="185" t="s">
        <v>1897</v>
      </c>
      <c r="D1103" s="185" t="s">
        <v>2382</v>
      </c>
      <c r="E1103" s="185">
        <v>252505</v>
      </c>
      <c r="F1103" s="185" t="s">
        <v>787</v>
      </c>
      <c r="G1103" s="185" t="s">
        <v>2588</v>
      </c>
      <c r="H1103" s="185" t="s">
        <v>1628</v>
      </c>
      <c r="I1103" s="258" t="str">
        <f t="shared" si="52"/>
        <v>2</v>
      </c>
      <c r="J1103" s="221">
        <f t="shared" si="53"/>
        <v>-56920</v>
      </c>
      <c r="K1103" s="258">
        <f t="shared" si="54"/>
        <v>4</v>
      </c>
      <c r="L1103" s="188">
        <v>0</v>
      </c>
      <c r="M1103" s="188">
        <v>56920</v>
      </c>
      <c r="N1103" s="189">
        <v>1020842223</v>
      </c>
      <c r="O1103" t="s">
        <v>2381</v>
      </c>
      <c r="P1103" s="187">
        <v>45042</v>
      </c>
      <c r="Q1103" s="186">
        <v>10545</v>
      </c>
      <c r="R1103" s="185"/>
      <c r="S1103" s="185" t="s">
        <v>1532</v>
      </c>
      <c r="T1103"/>
      <c r="U1103" t="str">
        <f>IF($L1103&gt;0,VLOOKUP($E1103,Valida!$A$1:$G$270,6,FALSE),IF($M1103&gt;=0,VLOOKUP($E1103,Valida!$A$1:$G$270,7,FALSE)))</f>
        <v>(+/-) Ajustes por el incremento (disminución) de cuentas por pagar de origen comercial</v>
      </c>
      <c r="V1103" s="190" t="str">
        <f>VLOOKUP(E1103,Valida!$A$2:$K$271,4,FALSE)</f>
        <v>Trade and other payables</v>
      </c>
      <c r="W1103" s="185" t="s">
        <v>1900</v>
      </c>
      <c r="X1103" s="185"/>
      <c r="Y1103" s="185" t="s">
        <v>1789</v>
      </c>
      <c r="Z1103"/>
    </row>
    <row r="1104" spans="1:26">
      <c r="A1104" s="185" t="s">
        <v>2039</v>
      </c>
      <c r="B1104" s="185" t="s">
        <v>2381</v>
      </c>
      <c r="C1104" s="185" t="s">
        <v>1897</v>
      </c>
      <c r="D1104" s="185" t="s">
        <v>2382</v>
      </c>
      <c r="E1104" s="185">
        <v>252505</v>
      </c>
      <c r="F1104" s="185" t="s">
        <v>787</v>
      </c>
      <c r="G1104" s="185" t="s">
        <v>2588</v>
      </c>
      <c r="H1104" s="185" t="s">
        <v>1628</v>
      </c>
      <c r="I1104" s="258" t="str">
        <f t="shared" si="52"/>
        <v>2</v>
      </c>
      <c r="J1104" s="221">
        <f t="shared" si="53"/>
        <v>-48372</v>
      </c>
      <c r="K1104" s="258">
        <f t="shared" si="54"/>
        <v>4</v>
      </c>
      <c r="L1104" s="188">
        <v>0</v>
      </c>
      <c r="M1104" s="188">
        <v>48372</v>
      </c>
      <c r="N1104" s="189">
        <v>1130744136</v>
      </c>
      <c r="O1104" t="s">
        <v>2381</v>
      </c>
      <c r="P1104" s="187">
        <v>45042</v>
      </c>
      <c r="Q1104" s="186">
        <v>10546</v>
      </c>
      <c r="R1104" s="185"/>
      <c r="S1104" s="185" t="s">
        <v>1538</v>
      </c>
      <c r="T1104"/>
      <c r="U1104" t="str">
        <f>IF($L1104&gt;0,VLOOKUP($E1104,Valida!$A$1:$G$270,6,FALSE),IF($M1104&gt;=0,VLOOKUP($E1104,Valida!$A$1:$G$270,7,FALSE)))</f>
        <v>(+/-) Ajustes por el incremento (disminución) de cuentas por pagar de origen comercial</v>
      </c>
      <c r="V1104" s="190" t="str">
        <f>VLOOKUP(E1104,Valida!$A$2:$K$271,4,FALSE)</f>
        <v>Trade and other payables</v>
      </c>
      <c r="W1104" s="185" t="s">
        <v>1909</v>
      </c>
      <c r="X1104" s="185" t="s">
        <v>1910</v>
      </c>
      <c r="Y1104" s="185" t="s">
        <v>1789</v>
      </c>
      <c r="Z1104"/>
    </row>
    <row r="1105" spans="1:26">
      <c r="A1105" s="185" t="s">
        <v>2039</v>
      </c>
      <c r="B1105" s="185" t="s">
        <v>2381</v>
      </c>
      <c r="C1105" s="185" t="s">
        <v>1897</v>
      </c>
      <c r="D1105" s="185" t="s">
        <v>2382</v>
      </c>
      <c r="E1105" s="185">
        <v>510530</v>
      </c>
      <c r="F1105" s="185" t="s">
        <v>813</v>
      </c>
      <c r="G1105" s="185" t="s">
        <v>2552</v>
      </c>
      <c r="H1105" s="185" t="s">
        <v>1515</v>
      </c>
      <c r="I1105" s="258" t="str">
        <f t="shared" si="52"/>
        <v>5</v>
      </c>
      <c r="J1105" s="221">
        <f t="shared" si="53"/>
        <v>118003</v>
      </c>
      <c r="K1105" s="258">
        <f t="shared" si="54"/>
        <v>4</v>
      </c>
      <c r="L1105" s="188">
        <v>118003</v>
      </c>
      <c r="M1105" s="188">
        <v>0</v>
      </c>
      <c r="N1105" s="189">
        <v>1000018061</v>
      </c>
      <c r="O1105" t="s">
        <v>2381</v>
      </c>
      <c r="P1105" s="187">
        <v>45042</v>
      </c>
      <c r="Q1105" s="186">
        <v>10547</v>
      </c>
      <c r="R1105" s="185"/>
      <c r="S1105" s="185" t="s">
        <v>1522</v>
      </c>
      <c r="T1105"/>
      <c r="U1105" t="str">
        <f>IF($L1105&gt;0,VLOOKUP($E1105,Valida!$A$1:$G$270,6,FALSE),IF($M1105&gt;=0,VLOOKUP($E1105,Valida!$A$1:$G$270,7,FALSE)))</f>
        <v>(+/-) Ganancia (pérdida)</v>
      </c>
      <c r="V1105" s="190" t="str">
        <f>VLOOKUP(E1105,Valida!$A$2:$K$271,4,FALSE)</f>
        <v>P&amp;L</v>
      </c>
      <c r="W1105" s="185" t="s">
        <v>1978</v>
      </c>
      <c r="X1105" s="185"/>
      <c r="Y1105" s="185" t="s">
        <v>1789</v>
      </c>
      <c r="Z1105"/>
    </row>
    <row r="1106" spans="1:26">
      <c r="A1106" s="185" t="s">
        <v>2584</v>
      </c>
      <c r="B1106" s="185" t="s">
        <v>2586</v>
      </c>
      <c r="C1106" s="185" t="s">
        <v>1785</v>
      </c>
      <c r="D1106" s="185" t="s">
        <v>1976</v>
      </c>
      <c r="E1106" s="185">
        <v>237006</v>
      </c>
      <c r="F1106" s="185" t="s">
        <v>680</v>
      </c>
      <c r="G1106" s="185" t="s">
        <v>2587</v>
      </c>
      <c r="H1106" s="185" t="s">
        <v>1515</v>
      </c>
      <c r="I1106" s="258" t="str">
        <f t="shared" si="52"/>
        <v>2</v>
      </c>
      <c r="J1106" s="221">
        <f t="shared" si="53"/>
        <v>42581</v>
      </c>
      <c r="K1106" s="258">
        <f t="shared" si="54"/>
        <v>4</v>
      </c>
      <c r="L1106" s="188">
        <v>42581</v>
      </c>
      <c r="M1106" s="188">
        <v>0</v>
      </c>
      <c r="N1106" s="189">
        <v>860002503</v>
      </c>
      <c r="O1106" t="s">
        <v>2586</v>
      </c>
      <c r="P1106" s="187">
        <v>45042.731550925899</v>
      </c>
      <c r="Q1106" s="186">
        <v>10621</v>
      </c>
      <c r="R1106" s="185" t="s">
        <v>433</v>
      </c>
      <c r="S1106" s="185" t="s">
        <v>1656</v>
      </c>
      <c r="T1106"/>
      <c r="U1106" t="str">
        <f>IF($L1106&gt;0,VLOOKUP($E1106,Valida!$A$1:$G$270,6,FALSE),IF($M1106&gt;=0,VLOOKUP($E1106,Valida!$A$1:$G$270,7,FALSE)))</f>
        <v>(+/-) Ajustes por el incremento (disminución) de cuentas por pagar de origen comercial</v>
      </c>
      <c r="V1106" s="190" t="str">
        <f>VLOOKUP(E1106,Valida!$A$2:$K$271,4,FALSE)</f>
        <v>Trade and other payables</v>
      </c>
      <c r="W1106" s="185" t="s">
        <v>1912</v>
      </c>
      <c r="X1106" s="185" t="s">
        <v>1913</v>
      </c>
      <c r="Y1106" s="185" t="s">
        <v>1789</v>
      </c>
      <c r="Z1106"/>
    </row>
    <row r="1107" spans="1:26">
      <c r="A1107" s="185" t="s">
        <v>2584</v>
      </c>
      <c r="B1107" s="185" t="s">
        <v>2586</v>
      </c>
      <c r="C1107" s="185" t="s">
        <v>1785</v>
      </c>
      <c r="D1107" s="185" t="s">
        <v>1976</v>
      </c>
      <c r="E1107" s="185">
        <v>237010</v>
      </c>
      <c r="F1107" s="185" t="s">
        <v>683</v>
      </c>
      <c r="G1107" s="185" t="s">
        <v>2587</v>
      </c>
      <c r="H1107" s="185" t="s">
        <v>1515</v>
      </c>
      <c r="I1107" s="258" t="str">
        <f t="shared" si="52"/>
        <v>2</v>
      </c>
      <c r="J1107" s="221">
        <f t="shared" si="53"/>
        <v>163114</v>
      </c>
      <c r="K1107" s="258">
        <f t="shared" si="54"/>
        <v>4</v>
      </c>
      <c r="L1107" s="188">
        <v>163114</v>
      </c>
      <c r="M1107" s="188">
        <v>0</v>
      </c>
      <c r="N1107" s="189">
        <v>860066942</v>
      </c>
      <c r="O1107" t="s">
        <v>2586</v>
      </c>
      <c r="P1107" s="187">
        <v>45042.731550925899</v>
      </c>
      <c r="Q1107" s="186">
        <v>10622</v>
      </c>
      <c r="R1107" s="185" t="s">
        <v>1814</v>
      </c>
      <c r="S1107" s="185" t="s">
        <v>1574</v>
      </c>
      <c r="T1107"/>
      <c r="U1107" t="str">
        <f>IF($L1107&gt;0,VLOOKUP($E1107,Valida!$A$1:$G$270,6,FALSE),IF($M1107&gt;=0,VLOOKUP($E1107,Valida!$A$1:$G$270,7,FALSE)))</f>
        <v>(+/-) Ajustes por el incremento (disminución) de cuentas por pagar de origen comercial</v>
      </c>
      <c r="V1107" s="190" t="str">
        <f>VLOOKUP(E1107,Valida!$A$2:$K$271,4,FALSE)</f>
        <v>Trade and other payables</v>
      </c>
      <c r="W1107" s="185" t="s">
        <v>1914</v>
      </c>
      <c r="X1107" s="185" t="s">
        <v>1915</v>
      </c>
      <c r="Y1107" s="185" t="s">
        <v>1789</v>
      </c>
      <c r="Z1107"/>
    </row>
    <row r="1108" spans="1:26">
      <c r="A1108" s="185" t="s">
        <v>2584</v>
      </c>
      <c r="B1108" s="185" t="s">
        <v>2586</v>
      </c>
      <c r="C1108" s="185" t="s">
        <v>1785</v>
      </c>
      <c r="D1108" s="185" t="s">
        <v>1976</v>
      </c>
      <c r="E1108" s="185">
        <v>238030</v>
      </c>
      <c r="F1108" s="185" t="s">
        <v>721</v>
      </c>
      <c r="G1108" s="185" t="s">
        <v>2587</v>
      </c>
      <c r="H1108" s="185" t="s">
        <v>1515</v>
      </c>
      <c r="I1108" s="258" t="str">
        <f t="shared" si="52"/>
        <v>2</v>
      </c>
      <c r="J1108" s="221">
        <f t="shared" si="53"/>
        <v>936751</v>
      </c>
      <c r="K1108" s="258">
        <f t="shared" si="54"/>
        <v>4</v>
      </c>
      <c r="L1108" s="188">
        <v>936751</v>
      </c>
      <c r="M1108" s="188">
        <v>0</v>
      </c>
      <c r="N1108" s="189">
        <v>800224808</v>
      </c>
      <c r="O1108" t="s">
        <v>2586</v>
      </c>
      <c r="P1108" s="187">
        <v>45042.731550925899</v>
      </c>
      <c r="Q1108" s="186">
        <v>10623</v>
      </c>
      <c r="R1108" s="185" t="s">
        <v>1827</v>
      </c>
      <c r="S1108" s="185" t="s">
        <v>1662</v>
      </c>
      <c r="T1108"/>
      <c r="U1108" t="str">
        <f>IF($L1108&gt;0,VLOOKUP($E1108,Valida!$A$1:$G$270,6,FALSE),IF($M1108&gt;=0,VLOOKUP($E1108,Valida!$A$1:$G$270,7,FALSE)))</f>
        <v>(+/-) Ajustes por el incremento (disminución) de cuentas por pagar de origen comercial</v>
      </c>
      <c r="V1108" s="190" t="str">
        <f>VLOOKUP(E1108,Valida!$A$2:$K$271,4,FALSE)</f>
        <v>Trade and other payables</v>
      </c>
      <c r="W1108" s="185" t="s">
        <v>1911</v>
      </c>
      <c r="X1108" s="185"/>
      <c r="Y1108" s="185" t="s">
        <v>1789</v>
      </c>
      <c r="Z1108"/>
    </row>
    <row r="1109" spans="1:26">
      <c r="A1109" s="185" t="s">
        <v>2584</v>
      </c>
      <c r="B1109" s="185" t="s">
        <v>2586</v>
      </c>
      <c r="C1109" s="185" t="s">
        <v>1785</v>
      </c>
      <c r="D1109" s="185" t="s">
        <v>1976</v>
      </c>
      <c r="E1109" s="185">
        <v>238030</v>
      </c>
      <c r="F1109" s="185" t="s">
        <v>721</v>
      </c>
      <c r="G1109" s="185" t="s">
        <v>2587</v>
      </c>
      <c r="H1109" s="185" t="s">
        <v>1515</v>
      </c>
      <c r="I1109" s="258" t="str">
        <f t="shared" si="52"/>
        <v>2</v>
      </c>
      <c r="J1109" s="221">
        <f t="shared" si="53"/>
        <v>204160</v>
      </c>
      <c r="K1109" s="258">
        <f t="shared" si="54"/>
        <v>4</v>
      </c>
      <c r="L1109" s="188">
        <v>204160</v>
      </c>
      <c r="M1109" s="188">
        <v>0</v>
      </c>
      <c r="N1109" s="189">
        <v>800227940</v>
      </c>
      <c r="O1109" t="s">
        <v>2586</v>
      </c>
      <c r="P1109" s="187">
        <v>45042.731550925899</v>
      </c>
      <c r="Q1109" s="186">
        <v>10624</v>
      </c>
      <c r="R1109" s="185"/>
      <c r="S1109" s="185" t="s">
        <v>1664</v>
      </c>
      <c r="T1109"/>
      <c r="U1109" t="str">
        <f>IF($L1109&gt;0,VLOOKUP($E1109,Valida!$A$1:$G$270,6,FALSE),IF($M1109&gt;=0,VLOOKUP($E1109,Valida!$A$1:$G$270,7,FALSE)))</f>
        <v>(+/-) Ajustes por el incremento (disminución) de cuentas por pagar de origen comercial</v>
      </c>
      <c r="V1109" s="190" t="str">
        <f>VLOOKUP(E1109,Valida!$A$2:$K$271,4,FALSE)</f>
        <v>Trade and other payables</v>
      </c>
      <c r="W1109" s="185"/>
      <c r="X1109" s="185"/>
      <c r="Y1109" s="185"/>
      <c r="Z1109"/>
    </row>
    <row r="1110" spans="1:26">
      <c r="A1110" s="185" t="s">
        <v>2584</v>
      </c>
      <c r="B1110" s="185" t="s">
        <v>2586</v>
      </c>
      <c r="C1110" s="185" t="s">
        <v>1785</v>
      </c>
      <c r="D1110" s="185" t="s">
        <v>1976</v>
      </c>
      <c r="E1110" s="185">
        <v>238030</v>
      </c>
      <c r="F1110" s="185" t="s">
        <v>721</v>
      </c>
      <c r="G1110" s="185" t="s">
        <v>2587</v>
      </c>
      <c r="H1110" s="185" t="s">
        <v>1515</v>
      </c>
      <c r="I1110" s="258" t="str">
        <f t="shared" si="52"/>
        <v>2</v>
      </c>
      <c r="J1110" s="221">
        <f t="shared" si="53"/>
        <v>164267</v>
      </c>
      <c r="K1110" s="258">
        <f t="shared" si="54"/>
        <v>4</v>
      </c>
      <c r="L1110" s="188">
        <v>164267</v>
      </c>
      <c r="M1110" s="188">
        <v>0</v>
      </c>
      <c r="N1110" s="189">
        <v>900336004</v>
      </c>
      <c r="O1110" t="s">
        <v>2586</v>
      </c>
      <c r="P1110" s="187">
        <v>45042.731550925899</v>
      </c>
      <c r="Q1110" s="186">
        <v>10625</v>
      </c>
      <c r="R1110" s="185" t="s">
        <v>1814</v>
      </c>
      <c r="S1110" s="185" t="s">
        <v>1666</v>
      </c>
      <c r="T1110"/>
      <c r="U1110" t="str">
        <f>IF($L1110&gt;0,VLOOKUP($E1110,Valida!$A$1:$G$270,6,FALSE),IF($M1110&gt;=0,VLOOKUP($E1110,Valida!$A$1:$G$270,7,FALSE)))</f>
        <v>(+/-) Ajustes por el incremento (disminución) de cuentas por pagar de origen comercial</v>
      </c>
      <c r="V1110" s="190" t="str">
        <f>VLOOKUP(E1110,Valida!$A$2:$K$271,4,FALSE)</f>
        <v>Trade and other payables</v>
      </c>
      <c r="W1110" s="185" t="s">
        <v>2554</v>
      </c>
      <c r="X1110" s="185"/>
      <c r="Y1110" s="185" t="s">
        <v>1789</v>
      </c>
      <c r="Z1110"/>
    </row>
    <row r="1111" spans="1:26">
      <c r="A1111" s="185" t="s">
        <v>2584</v>
      </c>
      <c r="B1111" s="185" t="s">
        <v>2586</v>
      </c>
      <c r="C1111" s="185" t="s">
        <v>1785</v>
      </c>
      <c r="D1111" s="185" t="s">
        <v>1976</v>
      </c>
      <c r="E1111" s="185">
        <v>237095</v>
      </c>
      <c r="F1111" s="185" t="s">
        <v>150</v>
      </c>
      <c r="G1111" s="185" t="s">
        <v>2587</v>
      </c>
      <c r="H1111" s="185" t="s">
        <v>1628</v>
      </c>
      <c r="I1111" s="258" t="str">
        <f t="shared" si="52"/>
        <v>2</v>
      </c>
      <c r="J1111" s="221">
        <f t="shared" si="53"/>
        <v>-1838000</v>
      </c>
      <c r="K1111" s="258">
        <f t="shared" si="54"/>
        <v>4</v>
      </c>
      <c r="L1111" s="188">
        <v>0</v>
      </c>
      <c r="M1111" s="188">
        <v>1838000</v>
      </c>
      <c r="N1111" s="189">
        <v>860066942</v>
      </c>
      <c r="O1111" t="s">
        <v>2586</v>
      </c>
      <c r="P1111" s="187">
        <v>45042.731550925899</v>
      </c>
      <c r="Q1111" s="186">
        <v>10626</v>
      </c>
      <c r="R1111" s="185" t="s">
        <v>1814</v>
      </c>
      <c r="S1111" s="185" t="s">
        <v>1574</v>
      </c>
      <c r="T1111"/>
      <c r="U1111" t="str">
        <f>IF($L1111&gt;0,VLOOKUP($E1111,Valida!$A$1:$G$270,6,FALSE),IF($M1111&gt;=0,VLOOKUP($E1111,Valida!$A$1:$G$270,7,FALSE)))</f>
        <v>(+/-) Ajustes por el incremento (disminución) de cuentas por pagar de origen comercial</v>
      </c>
      <c r="V1111" s="190" t="str">
        <f>VLOOKUP(E1111,Valida!$A$2:$K$271,4,FALSE)</f>
        <v>Trade and other payables</v>
      </c>
      <c r="W1111" s="185" t="s">
        <v>1914</v>
      </c>
      <c r="X1111" s="185" t="s">
        <v>1915</v>
      </c>
      <c r="Y1111" s="185" t="s">
        <v>1789</v>
      </c>
      <c r="Z1111"/>
    </row>
    <row r="1112" spans="1:26">
      <c r="A1112" s="185" t="s">
        <v>2584</v>
      </c>
      <c r="B1112" s="185" t="s">
        <v>2586</v>
      </c>
      <c r="C1112" s="185" t="s">
        <v>1785</v>
      </c>
      <c r="D1112" s="185" t="s">
        <v>1976</v>
      </c>
      <c r="E1112" s="185">
        <v>53059510</v>
      </c>
      <c r="F1112" s="185" t="s">
        <v>1065</v>
      </c>
      <c r="G1112" s="185" t="s">
        <v>2587</v>
      </c>
      <c r="H1112" s="185" t="s">
        <v>1515</v>
      </c>
      <c r="I1112" s="258" t="str">
        <f t="shared" si="52"/>
        <v>5</v>
      </c>
      <c r="J1112" s="221">
        <f t="shared" si="53"/>
        <v>832</v>
      </c>
      <c r="K1112" s="258">
        <f t="shared" si="54"/>
        <v>4</v>
      </c>
      <c r="L1112" s="188">
        <v>832</v>
      </c>
      <c r="M1112" s="188">
        <v>0</v>
      </c>
      <c r="N1112" s="189">
        <v>860066942</v>
      </c>
      <c r="O1112" t="s">
        <v>2586</v>
      </c>
      <c r="P1112" s="187">
        <v>45042.731550925899</v>
      </c>
      <c r="Q1112" s="186">
        <v>10627</v>
      </c>
      <c r="R1112" s="185" t="s">
        <v>1814</v>
      </c>
      <c r="S1112" s="185" t="s">
        <v>1574</v>
      </c>
      <c r="T1112"/>
      <c r="U1112" t="str">
        <f>IF($L1112&gt;0,VLOOKUP($E1112,Valida!$A$1:$G$270,6,FALSE),IF($M1112&gt;=0,VLOOKUP($E1112,Valida!$A$1:$G$270,7,FALSE)))</f>
        <v>(+/-) Ganancia (pérdida)</v>
      </c>
      <c r="V1112" s="190" t="str">
        <f>VLOOKUP(E1112,Valida!$A$2:$K$271,4,FALSE)</f>
        <v>P&amp;L</v>
      </c>
      <c r="W1112" s="185" t="s">
        <v>1914</v>
      </c>
      <c r="X1112" s="185" t="s">
        <v>1915</v>
      </c>
      <c r="Y1112" s="185" t="s">
        <v>1789</v>
      </c>
      <c r="Z1112"/>
    </row>
    <row r="1113" spans="1:26">
      <c r="A1113" s="185" t="s">
        <v>2589</v>
      </c>
      <c r="B1113" s="185" t="s">
        <v>2590</v>
      </c>
      <c r="C1113" s="185" t="s">
        <v>1960</v>
      </c>
      <c r="D1113" s="185" t="s">
        <v>2591</v>
      </c>
      <c r="E1113" s="185">
        <v>112005</v>
      </c>
      <c r="F1113" s="185" t="s">
        <v>24</v>
      </c>
      <c r="G1113" s="185" t="s">
        <v>1961</v>
      </c>
      <c r="H1113" s="185" t="s">
        <v>1515</v>
      </c>
      <c r="I1113" s="258" t="str">
        <f t="shared" si="52"/>
        <v>1</v>
      </c>
      <c r="J1113" s="221">
        <f t="shared" si="53"/>
        <v>4996.2</v>
      </c>
      <c r="K1113" s="258">
        <f t="shared" si="54"/>
        <v>3</v>
      </c>
      <c r="L1113" s="188">
        <v>4996.2</v>
      </c>
      <c r="M1113" s="188">
        <v>0</v>
      </c>
      <c r="N1113" s="189">
        <v>890903938</v>
      </c>
      <c r="O1113" t="s">
        <v>2590</v>
      </c>
      <c r="P1113" s="187">
        <v>45042.802696759303</v>
      </c>
      <c r="Q1113" s="186">
        <v>10628</v>
      </c>
      <c r="R1113" s="185" t="s">
        <v>1827</v>
      </c>
      <c r="S1113" s="185" t="s">
        <v>1580</v>
      </c>
      <c r="T1113" t="s">
        <v>1894</v>
      </c>
      <c r="U1113" t="str">
        <f>IF($L1113&gt;0,VLOOKUP($E1113,Valida!$A$1:$G$270,6,FALSE),IF($M1113&gt;=0,VLOOKUP($E1113,Valida!$A$1:$G$270,7,FALSE)))</f>
        <v>Disponible</v>
      </c>
      <c r="V1113" s="190" t="str">
        <f>VLOOKUP(E1113,Valida!$A$2:$K$271,4,FALSE)</f>
        <v>Cash and equivalents</v>
      </c>
      <c r="W1113" s="185" t="s">
        <v>1955</v>
      </c>
      <c r="X1113" s="185"/>
      <c r="Y1113" s="185" t="s">
        <v>1844</v>
      </c>
      <c r="Z1113"/>
    </row>
    <row r="1114" spans="1:26">
      <c r="A1114" s="185" t="s">
        <v>2589</v>
      </c>
      <c r="B1114" s="185" t="s">
        <v>2590</v>
      </c>
      <c r="C1114" s="185" t="s">
        <v>1960</v>
      </c>
      <c r="D1114" s="185" t="s">
        <v>2591</v>
      </c>
      <c r="E1114" s="185">
        <v>42100501</v>
      </c>
      <c r="F1114" s="185" t="s">
        <v>1039</v>
      </c>
      <c r="G1114" s="185" t="s">
        <v>1961</v>
      </c>
      <c r="H1114" s="185" t="s">
        <v>1628</v>
      </c>
      <c r="I1114" s="258" t="str">
        <f t="shared" si="52"/>
        <v>4</v>
      </c>
      <c r="J1114" s="221">
        <f t="shared" si="53"/>
        <v>-4996.2</v>
      </c>
      <c r="K1114" s="258">
        <f t="shared" si="54"/>
        <v>3</v>
      </c>
      <c r="L1114" s="188">
        <v>0</v>
      </c>
      <c r="M1114" s="188">
        <v>4996.2</v>
      </c>
      <c r="N1114" s="189">
        <v>890903938</v>
      </c>
      <c r="O1114" t="s">
        <v>2590</v>
      </c>
      <c r="P1114" s="187">
        <v>45042.802696759303</v>
      </c>
      <c r="Q1114" s="186">
        <v>10629</v>
      </c>
      <c r="R1114" s="185" t="s">
        <v>1827</v>
      </c>
      <c r="S1114" s="185" t="s">
        <v>1580</v>
      </c>
      <c r="T1114"/>
      <c r="U1114" t="str">
        <f>IF($L1114&gt;0,VLOOKUP($E1114,Valida!$A$1:$G$270,6,FALSE),IF($M1114&gt;=0,VLOOKUP($E1114,Valida!$A$1:$G$270,7,FALSE)))</f>
        <v>(+/-) Ganancia (pérdida)</v>
      </c>
      <c r="V1114" s="190" t="str">
        <f>VLOOKUP(E1114,Valida!$A$2:$K$271,4,FALSE)</f>
        <v>P&amp;L</v>
      </c>
      <c r="W1114" s="185" t="s">
        <v>1955</v>
      </c>
      <c r="X1114" s="185"/>
      <c r="Y1114" s="185" t="s">
        <v>1844</v>
      </c>
      <c r="Z1114"/>
    </row>
    <row r="1115" spans="1:26">
      <c r="A1115" s="185" t="s">
        <v>2403</v>
      </c>
      <c r="B1115" s="185" t="s">
        <v>2592</v>
      </c>
      <c r="C1115" s="185" t="s">
        <v>1952</v>
      </c>
      <c r="D1115" s="185" t="s">
        <v>2591</v>
      </c>
      <c r="E1115" s="185">
        <v>53050501</v>
      </c>
      <c r="F1115" s="185" t="s">
        <v>1462</v>
      </c>
      <c r="G1115" s="185" t="s">
        <v>1954</v>
      </c>
      <c r="H1115" s="185" t="s">
        <v>1515</v>
      </c>
      <c r="I1115" s="258" t="str">
        <f t="shared" si="52"/>
        <v>5</v>
      </c>
      <c r="J1115" s="221">
        <f t="shared" si="53"/>
        <v>69200</v>
      </c>
      <c r="K1115" s="258">
        <f t="shared" si="54"/>
        <v>3</v>
      </c>
      <c r="L1115" s="188">
        <v>69200</v>
      </c>
      <c r="M1115" s="188">
        <v>0</v>
      </c>
      <c r="N1115" s="189">
        <v>890903938</v>
      </c>
      <c r="O1115" t="s">
        <v>2592</v>
      </c>
      <c r="P1115" s="187">
        <v>45042.805879629603</v>
      </c>
      <c r="Q1115" s="186">
        <v>10630</v>
      </c>
      <c r="R1115" s="185" t="s">
        <v>1827</v>
      </c>
      <c r="S1115" s="185" t="s">
        <v>1580</v>
      </c>
      <c r="T1115"/>
      <c r="U1115" t="str">
        <f>IF($L1115&gt;0,VLOOKUP($E1115,Valida!$A$1:$G$270,6,FALSE),IF($M1115&gt;=0,VLOOKUP($E1115,Valida!$A$1:$G$270,7,FALSE)))</f>
        <v>(+/-) Ganancia (pérdida)</v>
      </c>
      <c r="V1115" s="190" t="str">
        <f>VLOOKUP(E1115,Valida!$A$2:$K$271,4,FALSE)</f>
        <v>P&amp;L</v>
      </c>
      <c r="W1115" s="185" t="s">
        <v>1955</v>
      </c>
      <c r="X1115" s="185"/>
      <c r="Y1115" s="185" t="s">
        <v>1844</v>
      </c>
      <c r="Z1115"/>
    </row>
    <row r="1116" spans="1:26">
      <c r="A1116" s="185" t="s">
        <v>2403</v>
      </c>
      <c r="B1116" s="185" t="s">
        <v>2592</v>
      </c>
      <c r="C1116" s="185" t="s">
        <v>1952</v>
      </c>
      <c r="D1116" s="185" t="s">
        <v>2591</v>
      </c>
      <c r="E1116" s="185">
        <v>24081002</v>
      </c>
      <c r="F1116" s="185" t="s">
        <v>1687</v>
      </c>
      <c r="G1116" s="185" t="s">
        <v>1954</v>
      </c>
      <c r="H1116" s="185" t="s">
        <v>1515</v>
      </c>
      <c r="I1116" s="258" t="str">
        <f t="shared" si="52"/>
        <v>2</v>
      </c>
      <c r="J1116" s="221">
        <f t="shared" si="53"/>
        <v>13148</v>
      </c>
      <c r="K1116" s="258">
        <f t="shared" si="54"/>
        <v>3</v>
      </c>
      <c r="L1116" s="188">
        <v>13148</v>
      </c>
      <c r="M1116" s="188">
        <v>0</v>
      </c>
      <c r="N1116" s="189">
        <v>890903938</v>
      </c>
      <c r="O1116" t="s">
        <v>2592</v>
      </c>
      <c r="P1116" s="187">
        <v>45042.805879629603</v>
      </c>
      <c r="Q1116" s="186">
        <v>10631</v>
      </c>
      <c r="R1116" s="185" t="s">
        <v>1827</v>
      </c>
      <c r="S1116" s="185" t="s">
        <v>1580</v>
      </c>
      <c r="T1116"/>
      <c r="U1116" t="str">
        <f>IF($L1116&gt;0,VLOOKUP($E1116,Valida!$A$1:$G$270,6,FALSE),IF($M1116&gt;=0,VLOOKUP($E1116,Valida!$A$1:$G$270,7,FALSE)))</f>
        <v>(+/-) Ajustes por el incremento (disminución) de cuentas por pagar de origen comercial</v>
      </c>
      <c r="V1116" s="190" t="str">
        <f>VLOOKUP(E1116,Valida!$A$2:$K$271,4,FALSE)</f>
        <v>Trade and other payables</v>
      </c>
      <c r="W1116" s="185" t="s">
        <v>1955</v>
      </c>
      <c r="X1116" s="185"/>
      <c r="Y1116" s="185" t="s">
        <v>1844</v>
      </c>
      <c r="Z1116"/>
    </row>
    <row r="1117" spans="1:26">
      <c r="A1117" s="185" t="s">
        <v>2403</v>
      </c>
      <c r="B1117" s="185" t="s">
        <v>2592</v>
      </c>
      <c r="C1117" s="185" t="s">
        <v>1952</v>
      </c>
      <c r="D1117" s="185" t="s">
        <v>2591</v>
      </c>
      <c r="E1117" s="185">
        <v>112005</v>
      </c>
      <c r="F1117" s="185" t="s">
        <v>24</v>
      </c>
      <c r="G1117" s="185" t="s">
        <v>1954</v>
      </c>
      <c r="H1117" s="185" t="s">
        <v>1628</v>
      </c>
      <c r="I1117" s="258" t="str">
        <f t="shared" si="52"/>
        <v>1</v>
      </c>
      <c r="J1117" s="221">
        <f t="shared" si="53"/>
        <v>-69200</v>
      </c>
      <c r="K1117" s="258">
        <f t="shared" si="54"/>
        <v>3</v>
      </c>
      <c r="L1117" s="188">
        <v>0</v>
      </c>
      <c r="M1117" s="188">
        <v>69200</v>
      </c>
      <c r="N1117" s="189">
        <v>890903938</v>
      </c>
      <c r="O1117" t="s">
        <v>2592</v>
      </c>
      <c r="P1117" s="187">
        <v>45042.805879629603</v>
      </c>
      <c r="Q1117" s="186">
        <v>10632</v>
      </c>
      <c r="R1117" s="185" t="s">
        <v>1827</v>
      </c>
      <c r="S1117" s="185" t="s">
        <v>1580</v>
      </c>
      <c r="T1117" t="s">
        <v>1894</v>
      </c>
      <c r="U1117" t="str">
        <f>IF($L1117&gt;0,VLOOKUP($E1117,Valida!$A$1:$G$270,6,FALSE),IF($M1117&gt;=0,VLOOKUP($E1117,Valida!$A$1:$G$270,7,FALSE)))</f>
        <v>Disponible</v>
      </c>
      <c r="V1117" s="190" t="str">
        <f>VLOOKUP(E1117,Valida!$A$2:$K$271,4,FALSE)</f>
        <v>Cash and equivalents</v>
      </c>
      <c r="W1117" s="185" t="s">
        <v>1955</v>
      </c>
      <c r="X1117" s="185"/>
      <c r="Y1117" s="185" t="s">
        <v>1844</v>
      </c>
      <c r="Z1117"/>
    </row>
    <row r="1118" spans="1:26">
      <c r="A1118" s="185" t="s">
        <v>2403</v>
      </c>
      <c r="B1118" s="185" t="s">
        <v>2592</v>
      </c>
      <c r="C1118" s="185" t="s">
        <v>1952</v>
      </c>
      <c r="D1118" s="185" t="s">
        <v>2591</v>
      </c>
      <c r="E1118" s="185">
        <v>112005</v>
      </c>
      <c r="F1118" s="185" t="s">
        <v>24</v>
      </c>
      <c r="G1118" s="185" t="s">
        <v>1956</v>
      </c>
      <c r="H1118" s="185" t="s">
        <v>1628</v>
      </c>
      <c r="I1118" s="258" t="str">
        <f t="shared" si="52"/>
        <v>1</v>
      </c>
      <c r="J1118" s="221">
        <f t="shared" si="53"/>
        <v>-13148</v>
      </c>
      <c r="K1118" s="258">
        <f t="shared" si="54"/>
        <v>3</v>
      </c>
      <c r="L1118" s="188">
        <v>0</v>
      </c>
      <c r="M1118" s="188">
        <v>13148</v>
      </c>
      <c r="N1118" s="189">
        <v>890903938</v>
      </c>
      <c r="O1118" t="s">
        <v>2592</v>
      </c>
      <c r="P1118" s="187">
        <v>45042.805879629603</v>
      </c>
      <c r="Q1118" s="186">
        <v>10633</v>
      </c>
      <c r="R1118" s="185" t="s">
        <v>1827</v>
      </c>
      <c r="S1118" s="185" t="s">
        <v>1580</v>
      </c>
      <c r="T1118" t="s">
        <v>1894</v>
      </c>
      <c r="U1118" t="str">
        <f>IF($L1118&gt;0,VLOOKUP($E1118,Valida!$A$1:$G$270,6,FALSE),IF($M1118&gt;=0,VLOOKUP($E1118,Valida!$A$1:$G$270,7,FALSE)))</f>
        <v>Disponible</v>
      </c>
      <c r="V1118" s="190" t="str">
        <f>VLOOKUP(E1118,Valida!$A$2:$K$271,4,FALSE)</f>
        <v>Cash and equivalents</v>
      </c>
      <c r="W1118" s="185" t="s">
        <v>1955</v>
      </c>
      <c r="X1118" s="185"/>
      <c r="Y1118" s="185" t="s">
        <v>1844</v>
      </c>
      <c r="Z1118"/>
    </row>
    <row r="1119" spans="1:26">
      <c r="A1119" s="185" t="s">
        <v>2403</v>
      </c>
      <c r="B1119" s="185" t="s">
        <v>2592</v>
      </c>
      <c r="C1119" s="185" t="s">
        <v>1952</v>
      </c>
      <c r="D1119" s="185" t="s">
        <v>2591</v>
      </c>
      <c r="E1119" s="185">
        <v>53050503</v>
      </c>
      <c r="F1119" s="185" t="s">
        <v>1468</v>
      </c>
      <c r="G1119" s="185" t="s">
        <v>1957</v>
      </c>
      <c r="H1119" s="185" t="s">
        <v>1515</v>
      </c>
      <c r="I1119" s="258" t="str">
        <f t="shared" si="52"/>
        <v>5</v>
      </c>
      <c r="J1119" s="221">
        <f t="shared" si="53"/>
        <v>77548.649999999994</v>
      </c>
      <c r="K1119" s="258">
        <f t="shared" si="54"/>
        <v>3</v>
      </c>
      <c r="L1119" s="188">
        <v>77548.649999999994</v>
      </c>
      <c r="M1119" s="188">
        <v>0</v>
      </c>
      <c r="N1119" s="189">
        <v>890903938</v>
      </c>
      <c r="O1119" t="s">
        <v>2592</v>
      </c>
      <c r="P1119" s="187">
        <v>45042.805879629603</v>
      </c>
      <c r="Q1119" s="186">
        <v>10634</v>
      </c>
      <c r="R1119" s="185" t="s">
        <v>1827</v>
      </c>
      <c r="S1119" s="185" t="s">
        <v>1580</v>
      </c>
      <c r="T1119"/>
      <c r="U1119" t="str">
        <f>IF($L1119&gt;0,VLOOKUP($E1119,Valida!$A$1:$G$270,6,FALSE),IF($M1119&gt;=0,VLOOKUP($E1119,Valida!$A$1:$G$270,7,FALSE)))</f>
        <v>(+/-) Ganancia (pérdida)</v>
      </c>
      <c r="V1119" s="190" t="str">
        <f>VLOOKUP(E1119,Valida!$A$2:$K$271,4,FALSE)</f>
        <v>P&amp;L</v>
      </c>
      <c r="W1119" s="185" t="s">
        <v>1955</v>
      </c>
      <c r="X1119" s="185"/>
      <c r="Y1119" s="185" t="s">
        <v>1844</v>
      </c>
      <c r="Z1119"/>
    </row>
    <row r="1120" spans="1:26">
      <c r="A1120" s="185" t="s">
        <v>2403</v>
      </c>
      <c r="B1120" s="185" t="s">
        <v>2592</v>
      </c>
      <c r="C1120" s="185" t="s">
        <v>1952</v>
      </c>
      <c r="D1120" s="185" t="s">
        <v>2591</v>
      </c>
      <c r="E1120" s="185">
        <v>24081002</v>
      </c>
      <c r="F1120" s="185" t="s">
        <v>1687</v>
      </c>
      <c r="G1120" s="185" t="s">
        <v>1957</v>
      </c>
      <c r="H1120" s="185" t="s">
        <v>1515</v>
      </c>
      <c r="I1120" s="258" t="str">
        <f t="shared" si="52"/>
        <v>2</v>
      </c>
      <c r="J1120" s="221">
        <f t="shared" si="53"/>
        <v>14734.35</v>
      </c>
      <c r="K1120" s="258">
        <f t="shared" si="54"/>
        <v>3</v>
      </c>
      <c r="L1120" s="188">
        <v>14734.35</v>
      </c>
      <c r="M1120" s="188">
        <v>0</v>
      </c>
      <c r="N1120" s="189">
        <v>890903938</v>
      </c>
      <c r="O1120" t="s">
        <v>2592</v>
      </c>
      <c r="P1120" s="187">
        <v>45042.805879629603</v>
      </c>
      <c r="Q1120" s="186">
        <v>10635</v>
      </c>
      <c r="R1120" s="185" t="s">
        <v>1827</v>
      </c>
      <c r="S1120" s="185" t="s">
        <v>1580</v>
      </c>
      <c r="T1120"/>
      <c r="U1120" t="str">
        <f>IF($L1120&gt;0,VLOOKUP($E1120,Valida!$A$1:$G$270,6,FALSE),IF($M1120&gt;=0,VLOOKUP($E1120,Valida!$A$1:$G$270,7,FALSE)))</f>
        <v>(+/-) Ajustes por el incremento (disminución) de cuentas por pagar de origen comercial</v>
      </c>
      <c r="V1120" s="190" t="str">
        <f>VLOOKUP(E1120,Valida!$A$2:$K$271,4,FALSE)</f>
        <v>Trade and other payables</v>
      </c>
      <c r="W1120" s="185" t="s">
        <v>1955</v>
      </c>
      <c r="X1120" s="185"/>
      <c r="Y1120" s="185" t="s">
        <v>1844</v>
      </c>
      <c r="Z1120"/>
    </row>
    <row r="1121" spans="1:26">
      <c r="A1121" s="185" t="s">
        <v>2403</v>
      </c>
      <c r="B1121" s="185" t="s">
        <v>2592</v>
      </c>
      <c r="C1121" s="185" t="s">
        <v>1952</v>
      </c>
      <c r="D1121" s="185" t="s">
        <v>2591</v>
      </c>
      <c r="E1121" s="185">
        <v>112005</v>
      </c>
      <c r="F1121" s="185" t="s">
        <v>24</v>
      </c>
      <c r="G1121" s="185" t="s">
        <v>1957</v>
      </c>
      <c r="H1121" s="185" t="s">
        <v>1628</v>
      </c>
      <c r="I1121" s="258" t="str">
        <f t="shared" si="52"/>
        <v>1</v>
      </c>
      <c r="J1121" s="221">
        <f t="shared" si="53"/>
        <v>-77548.649999999994</v>
      </c>
      <c r="K1121" s="258">
        <f t="shared" si="54"/>
        <v>3</v>
      </c>
      <c r="L1121" s="188">
        <v>0</v>
      </c>
      <c r="M1121" s="188">
        <v>77548.649999999994</v>
      </c>
      <c r="N1121" s="189">
        <v>890903938</v>
      </c>
      <c r="O1121" t="s">
        <v>2592</v>
      </c>
      <c r="P1121" s="187">
        <v>45042.805879629603</v>
      </c>
      <c r="Q1121" s="186">
        <v>10636</v>
      </c>
      <c r="R1121" s="185" t="s">
        <v>1827</v>
      </c>
      <c r="S1121" s="185" t="s">
        <v>1580</v>
      </c>
      <c r="T1121" t="s">
        <v>1894</v>
      </c>
      <c r="U1121" t="str">
        <f>IF($L1121&gt;0,VLOOKUP($E1121,Valida!$A$1:$G$270,6,FALSE),IF($M1121&gt;=0,VLOOKUP($E1121,Valida!$A$1:$G$270,7,FALSE)))</f>
        <v>Disponible</v>
      </c>
      <c r="V1121" s="190" t="str">
        <f>VLOOKUP(E1121,Valida!$A$2:$K$271,4,FALSE)</f>
        <v>Cash and equivalents</v>
      </c>
      <c r="W1121" s="185" t="s">
        <v>1955</v>
      </c>
      <c r="X1121" s="185"/>
      <c r="Y1121" s="185" t="s">
        <v>1844</v>
      </c>
      <c r="Z1121"/>
    </row>
    <row r="1122" spans="1:26">
      <c r="A1122" s="185" t="s">
        <v>2403</v>
      </c>
      <c r="B1122" s="185" t="s">
        <v>2592</v>
      </c>
      <c r="C1122" s="185" t="s">
        <v>1952</v>
      </c>
      <c r="D1122" s="185" t="s">
        <v>2591</v>
      </c>
      <c r="E1122" s="185">
        <v>112005</v>
      </c>
      <c r="F1122" s="185" t="s">
        <v>24</v>
      </c>
      <c r="G1122" s="185" t="s">
        <v>1957</v>
      </c>
      <c r="H1122" s="185" t="s">
        <v>1628</v>
      </c>
      <c r="I1122" s="258" t="str">
        <f t="shared" si="52"/>
        <v>1</v>
      </c>
      <c r="J1122" s="221">
        <f t="shared" si="53"/>
        <v>-14734.35</v>
      </c>
      <c r="K1122" s="258">
        <f t="shared" si="54"/>
        <v>3</v>
      </c>
      <c r="L1122" s="188">
        <v>0</v>
      </c>
      <c r="M1122" s="188">
        <v>14734.35</v>
      </c>
      <c r="N1122" s="189">
        <v>890903938</v>
      </c>
      <c r="O1122" t="s">
        <v>2592</v>
      </c>
      <c r="P1122" s="187">
        <v>45042.805879629603</v>
      </c>
      <c r="Q1122" s="186">
        <v>10637</v>
      </c>
      <c r="R1122" s="185" t="s">
        <v>1827</v>
      </c>
      <c r="S1122" s="185" t="s">
        <v>1580</v>
      </c>
      <c r="T1122" t="s">
        <v>1894</v>
      </c>
      <c r="U1122" t="str">
        <f>IF($L1122&gt;0,VLOOKUP($E1122,Valida!$A$1:$G$270,6,FALSE),IF($M1122&gt;=0,VLOOKUP($E1122,Valida!$A$1:$G$270,7,FALSE)))</f>
        <v>Disponible</v>
      </c>
      <c r="V1122" s="190" t="str">
        <f>VLOOKUP(E1122,Valida!$A$2:$K$271,4,FALSE)</f>
        <v>Cash and equivalents</v>
      </c>
      <c r="W1122" s="185" t="s">
        <v>1955</v>
      </c>
      <c r="X1122" s="185"/>
      <c r="Y1122" s="185" t="s">
        <v>1844</v>
      </c>
      <c r="Z1122"/>
    </row>
    <row r="1123" spans="1:26">
      <c r="A1123" s="185" t="s">
        <v>2403</v>
      </c>
      <c r="B1123" s="185" t="s">
        <v>2592</v>
      </c>
      <c r="C1123" s="185" t="s">
        <v>1952</v>
      </c>
      <c r="D1123" s="185" t="s">
        <v>2591</v>
      </c>
      <c r="E1123" s="185">
        <v>53050502</v>
      </c>
      <c r="F1123" s="185" t="s">
        <v>1465</v>
      </c>
      <c r="G1123" s="185" t="s">
        <v>1466</v>
      </c>
      <c r="H1123" s="185" t="s">
        <v>1515</v>
      </c>
      <c r="I1123" s="258" t="str">
        <f t="shared" si="52"/>
        <v>5</v>
      </c>
      <c r="J1123" s="221">
        <f t="shared" si="53"/>
        <v>12990</v>
      </c>
      <c r="K1123" s="258">
        <f t="shared" si="54"/>
        <v>3</v>
      </c>
      <c r="L1123" s="188">
        <v>12990</v>
      </c>
      <c r="M1123" s="188">
        <v>0</v>
      </c>
      <c r="N1123" s="189">
        <v>890903938</v>
      </c>
      <c r="O1123" t="s">
        <v>2592</v>
      </c>
      <c r="P1123" s="187">
        <v>45042.805879629603</v>
      </c>
      <c r="Q1123" s="186">
        <v>10638</v>
      </c>
      <c r="R1123" s="185" t="s">
        <v>1827</v>
      </c>
      <c r="S1123" s="185" t="s">
        <v>1580</v>
      </c>
      <c r="T1123"/>
      <c r="U1123" t="str">
        <f>IF($L1123&gt;0,VLOOKUP($E1123,Valida!$A$1:$G$270,6,FALSE),IF($M1123&gt;=0,VLOOKUP($E1123,Valida!$A$1:$G$270,7,FALSE)))</f>
        <v>(+/-) Ganancia (pérdida)</v>
      </c>
      <c r="V1123" s="190" t="str">
        <f>VLOOKUP(E1123,Valida!$A$2:$K$271,4,FALSE)</f>
        <v>P&amp;L</v>
      </c>
      <c r="W1123" s="185" t="s">
        <v>1955</v>
      </c>
      <c r="X1123" s="185"/>
      <c r="Y1123" s="185" t="s">
        <v>1844</v>
      </c>
      <c r="Z1123"/>
    </row>
    <row r="1124" spans="1:26">
      <c r="A1124" s="185" t="s">
        <v>2403</v>
      </c>
      <c r="B1124" s="185" t="s">
        <v>2592</v>
      </c>
      <c r="C1124" s="185" t="s">
        <v>1952</v>
      </c>
      <c r="D1124" s="185" t="s">
        <v>2591</v>
      </c>
      <c r="E1124" s="185">
        <v>112005</v>
      </c>
      <c r="F1124" s="185" t="s">
        <v>24</v>
      </c>
      <c r="G1124" s="185" t="s">
        <v>1466</v>
      </c>
      <c r="H1124" s="185" t="s">
        <v>1628</v>
      </c>
      <c r="I1124" s="258" t="str">
        <f t="shared" si="52"/>
        <v>1</v>
      </c>
      <c r="J1124" s="221">
        <f t="shared" si="53"/>
        <v>-12990</v>
      </c>
      <c r="K1124" s="258">
        <f t="shared" si="54"/>
        <v>3</v>
      </c>
      <c r="L1124" s="188">
        <v>0</v>
      </c>
      <c r="M1124" s="188">
        <v>12990</v>
      </c>
      <c r="N1124" s="189">
        <v>890903938</v>
      </c>
      <c r="O1124" t="s">
        <v>2592</v>
      </c>
      <c r="P1124" s="187">
        <v>45042.805879629603</v>
      </c>
      <c r="Q1124" s="186">
        <v>10639</v>
      </c>
      <c r="R1124" s="185" t="s">
        <v>1827</v>
      </c>
      <c r="S1124" s="185" t="s">
        <v>1580</v>
      </c>
      <c r="T1124" t="s">
        <v>1894</v>
      </c>
      <c r="U1124" t="str">
        <f>IF($L1124&gt;0,VLOOKUP($E1124,Valida!$A$1:$G$270,6,FALSE),IF($M1124&gt;=0,VLOOKUP($E1124,Valida!$A$1:$G$270,7,FALSE)))</f>
        <v>Disponible</v>
      </c>
      <c r="V1124" s="190" t="str">
        <f>VLOOKUP(E1124,Valida!$A$2:$K$271,4,FALSE)</f>
        <v>Cash and equivalents</v>
      </c>
      <c r="W1124" s="185" t="s">
        <v>1955</v>
      </c>
      <c r="X1124" s="185"/>
      <c r="Y1124" s="185" t="s">
        <v>1844</v>
      </c>
      <c r="Z1124"/>
    </row>
    <row r="1125" spans="1:26">
      <c r="A1125" s="185" t="s">
        <v>2403</v>
      </c>
      <c r="B1125" s="185" t="s">
        <v>2592</v>
      </c>
      <c r="C1125" s="185" t="s">
        <v>1952</v>
      </c>
      <c r="D1125" s="185" t="s">
        <v>2591</v>
      </c>
      <c r="E1125" s="185">
        <v>51159501</v>
      </c>
      <c r="F1125" s="185" t="s">
        <v>1181</v>
      </c>
      <c r="G1125" s="185" t="s">
        <v>1958</v>
      </c>
      <c r="H1125" s="185" t="s">
        <v>1515</v>
      </c>
      <c r="I1125" s="258" t="str">
        <f t="shared" si="52"/>
        <v>5</v>
      </c>
      <c r="J1125" s="221">
        <f t="shared" si="53"/>
        <v>207095.42</v>
      </c>
      <c r="K1125" s="258">
        <f t="shared" si="54"/>
        <v>3</v>
      </c>
      <c r="L1125" s="188">
        <v>207095.42</v>
      </c>
      <c r="M1125" s="188">
        <v>0</v>
      </c>
      <c r="N1125" s="189">
        <v>890903938</v>
      </c>
      <c r="O1125" t="s">
        <v>2592</v>
      </c>
      <c r="P1125" s="187">
        <v>45042.805891203701</v>
      </c>
      <c r="Q1125" s="186">
        <v>10640</v>
      </c>
      <c r="R1125" s="185" t="s">
        <v>1827</v>
      </c>
      <c r="S1125" s="185" t="s">
        <v>1580</v>
      </c>
      <c r="T1125"/>
      <c r="U1125" t="str">
        <f>IF($L1125&gt;0,VLOOKUP($E1125,Valida!$A$1:$G$270,6,FALSE),IF($M1125&gt;=0,VLOOKUP($E1125,Valida!$A$1:$G$270,7,FALSE)))</f>
        <v>(+/-) Ganancia (pérdida)</v>
      </c>
      <c r="V1125" s="190" t="str">
        <f>VLOOKUP(E1125,Valida!$A$2:$K$271,4,FALSE)</f>
        <v>P&amp;L</v>
      </c>
      <c r="W1125" s="185" t="s">
        <v>1955</v>
      </c>
      <c r="X1125" s="185"/>
      <c r="Y1125" s="185" t="s">
        <v>1844</v>
      </c>
      <c r="Z1125"/>
    </row>
    <row r="1126" spans="1:26">
      <c r="A1126" s="185" t="s">
        <v>2403</v>
      </c>
      <c r="B1126" s="185" t="s">
        <v>2592</v>
      </c>
      <c r="C1126" s="185" t="s">
        <v>1952</v>
      </c>
      <c r="D1126" s="185" t="s">
        <v>2591</v>
      </c>
      <c r="E1126" s="185">
        <v>112005</v>
      </c>
      <c r="F1126" s="185" t="s">
        <v>24</v>
      </c>
      <c r="G1126" s="185" t="s">
        <v>1958</v>
      </c>
      <c r="H1126" s="185" t="s">
        <v>1628</v>
      </c>
      <c r="I1126" s="258" t="str">
        <f t="shared" si="52"/>
        <v>1</v>
      </c>
      <c r="J1126" s="221">
        <f t="shared" si="53"/>
        <v>-207095.42</v>
      </c>
      <c r="K1126" s="258">
        <f t="shared" si="54"/>
        <v>3</v>
      </c>
      <c r="L1126" s="188">
        <v>0</v>
      </c>
      <c r="M1126" s="188">
        <v>207095.42</v>
      </c>
      <c r="N1126" s="189">
        <v>890903938</v>
      </c>
      <c r="O1126" t="s">
        <v>2592</v>
      </c>
      <c r="P1126" s="187">
        <v>45042.805891203701</v>
      </c>
      <c r="Q1126" s="186">
        <v>10641</v>
      </c>
      <c r="R1126" s="185" t="s">
        <v>1827</v>
      </c>
      <c r="S1126" s="185" t="s">
        <v>1580</v>
      </c>
      <c r="T1126" t="s">
        <v>1894</v>
      </c>
      <c r="U1126" t="str">
        <f>IF($L1126&gt;0,VLOOKUP($E1126,Valida!$A$1:$G$270,6,FALSE),IF($M1126&gt;=0,VLOOKUP($E1126,Valida!$A$1:$G$270,7,FALSE)))</f>
        <v>Disponible</v>
      </c>
      <c r="V1126" s="190" t="str">
        <f>VLOOKUP(E1126,Valida!$A$2:$K$271,4,FALSE)</f>
        <v>Cash and equivalents</v>
      </c>
      <c r="W1126" s="185" t="s">
        <v>1955</v>
      </c>
      <c r="X1126" s="185"/>
      <c r="Y1126" s="185" t="s">
        <v>1844</v>
      </c>
      <c r="Z1126"/>
    </row>
    <row r="1127" spans="1:26">
      <c r="A1127" s="185" t="s">
        <v>2039</v>
      </c>
      <c r="B1127" s="185" t="s">
        <v>2381</v>
      </c>
      <c r="C1127" s="185" t="s">
        <v>1897</v>
      </c>
      <c r="D1127" s="185" t="s">
        <v>2382</v>
      </c>
      <c r="E1127" s="185">
        <v>510530</v>
      </c>
      <c r="F1127" s="185" t="s">
        <v>813</v>
      </c>
      <c r="G1127" s="185" t="s">
        <v>2552</v>
      </c>
      <c r="H1127" s="185" t="s">
        <v>1515</v>
      </c>
      <c r="I1127" s="258" t="str">
        <f t="shared" si="52"/>
        <v>5</v>
      </c>
      <c r="J1127" s="221">
        <f t="shared" si="53"/>
        <v>161002</v>
      </c>
      <c r="K1127" s="258">
        <f t="shared" si="54"/>
        <v>4</v>
      </c>
      <c r="L1127" s="188">
        <v>161002</v>
      </c>
      <c r="M1127" s="188">
        <v>0</v>
      </c>
      <c r="N1127" s="189">
        <v>1000036375</v>
      </c>
      <c r="O1127" t="s">
        <v>2381</v>
      </c>
      <c r="P1127" s="187">
        <v>45042</v>
      </c>
      <c r="Q1127" s="186">
        <v>10548</v>
      </c>
      <c r="R1127" s="185"/>
      <c r="S1127" s="185" t="s">
        <v>1524</v>
      </c>
      <c r="T1127"/>
      <c r="U1127" t="str">
        <f>IF($L1127&gt;0,VLOOKUP($E1127,Valida!$A$1:$G$270,6,FALSE),IF($M1127&gt;=0,VLOOKUP($E1127,Valida!$A$1:$G$270,7,FALSE)))</f>
        <v>(+/-) Ganancia (pérdida)</v>
      </c>
      <c r="V1127" s="190" t="str">
        <f>VLOOKUP(E1127,Valida!$A$2:$K$271,4,FALSE)</f>
        <v>P&amp;L</v>
      </c>
      <c r="W1127" s="185" t="s">
        <v>1983</v>
      </c>
      <c r="X1127" s="185"/>
      <c r="Y1127" s="185" t="s">
        <v>1789</v>
      </c>
      <c r="Z1127"/>
    </row>
    <row r="1128" spans="1:26">
      <c r="A1128" s="185" t="s">
        <v>2039</v>
      </c>
      <c r="B1128" s="185" t="s">
        <v>2381</v>
      </c>
      <c r="C1128" s="185" t="s">
        <v>1897</v>
      </c>
      <c r="D1128" s="185" t="s">
        <v>2382</v>
      </c>
      <c r="E1128" s="185">
        <v>510530</v>
      </c>
      <c r="F1128" s="185" t="s">
        <v>813</v>
      </c>
      <c r="G1128" s="185" t="s">
        <v>2552</v>
      </c>
      <c r="H1128" s="185" t="s">
        <v>1515</v>
      </c>
      <c r="I1128" s="258" t="str">
        <f t="shared" si="52"/>
        <v>5</v>
      </c>
      <c r="J1128" s="221">
        <f t="shared" si="53"/>
        <v>136662</v>
      </c>
      <c r="K1128" s="258">
        <f t="shared" si="54"/>
        <v>4</v>
      </c>
      <c r="L1128" s="188">
        <v>136662</v>
      </c>
      <c r="M1128" s="188">
        <v>0</v>
      </c>
      <c r="N1128" s="189">
        <v>1010101811</v>
      </c>
      <c r="O1128" t="s">
        <v>2381</v>
      </c>
      <c r="P1128" s="187">
        <v>45042</v>
      </c>
      <c r="Q1128" s="186">
        <v>10549</v>
      </c>
      <c r="R1128" s="185"/>
      <c r="S1128" s="185" t="s">
        <v>1528</v>
      </c>
      <c r="T1128"/>
      <c r="U1128" t="str">
        <f>IF($L1128&gt;0,VLOOKUP($E1128,Valida!$A$1:$G$270,6,FALSE),IF($M1128&gt;=0,VLOOKUP($E1128,Valida!$A$1:$G$270,7,FALSE)))</f>
        <v>(+/-) Ganancia (pérdida)</v>
      </c>
      <c r="V1128" s="190" t="str">
        <f>VLOOKUP(E1128,Valida!$A$2:$K$271,4,FALSE)</f>
        <v>P&amp;L</v>
      </c>
      <c r="W1128" s="185" t="s">
        <v>1967</v>
      </c>
      <c r="X1128" s="185"/>
      <c r="Y1128" s="185" t="s">
        <v>1789</v>
      </c>
      <c r="Z1128"/>
    </row>
    <row r="1129" spans="1:26">
      <c r="A1129" s="185" t="s">
        <v>2039</v>
      </c>
      <c r="B1129" s="185" t="s">
        <v>2381</v>
      </c>
      <c r="C1129" s="185" t="s">
        <v>1897</v>
      </c>
      <c r="D1129" s="185" t="s">
        <v>2382</v>
      </c>
      <c r="E1129" s="185">
        <v>510530</v>
      </c>
      <c r="F1129" s="185" t="s">
        <v>813</v>
      </c>
      <c r="G1129" s="185" t="s">
        <v>2552</v>
      </c>
      <c r="H1129" s="185" t="s">
        <v>1515</v>
      </c>
      <c r="I1129" s="258" t="str">
        <f t="shared" si="52"/>
        <v>5</v>
      </c>
      <c r="J1129" s="221">
        <f t="shared" si="53"/>
        <v>128541</v>
      </c>
      <c r="K1129" s="258">
        <f t="shared" si="54"/>
        <v>4</v>
      </c>
      <c r="L1129" s="188">
        <v>128541</v>
      </c>
      <c r="M1129" s="188">
        <v>0</v>
      </c>
      <c r="N1129" s="189">
        <v>1020842223</v>
      </c>
      <c r="O1129" t="s">
        <v>2381</v>
      </c>
      <c r="P1129" s="187">
        <v>45042</v>
      </c>
      <c r="Q1129" s="186">
        <v>10550</v>
      </c>
      <c r="R1129" s="185"/>
      <c r="S1129" s="185" t="s">
        <v>1532</v>
      </c>
      <c r="T1129"/>
      <c r="U1129" t="str">
        <f>IF($L1129&gt;0,VLOOKUP($E1129,Valida!$A$1:$G$270,6,FALSE),IF($M1129&gt;=0,VLOOKUP($E1129,Valida!$A$1:$G$270,7,FALSE)))</f>
        <v>(+/-) Ganancia (pérdida)</v>
      </c>
      <c r="V1129" s="190" t="str">
        <f>VLOOKUP(E1129,Valida!$A$2:$K$271,4,FALSE)</f>
        <v>P&amp;L</v>
      </c>
      <c r="W1129" s="185" t="s">
        <v>1900</v>
      </c>
      <c r="X1129" s="185"/>
      <c r="Y1129" s="185" t="s">
        <v>1789</v>
      </c>
      <c r="Z1129"/>
    </row>
    <row r="1130" spans="1:26">
      <c r="A1130" s="185" t="s">
        <v>2039</v>
      </c>
      <c r="B1130" s="185" t="s">
        <v>2381</v>
      </c>
      <c r="C1130" s="185" t="s">
        <v>1897</v>
      </c>
      <c r="D1130" s="185" t="s">
        <v>2382</v>
      </c>
      <c r="E1130" s="185">
        <v>510530</v>
      </c>
      <c r="F1130" s="185" t="s">
        <v>813</v>
      </c>
      <c r="G1130" s="185" t="s">
        <v>2552</v>
      </c>
      <c r="H1130" s="185" t="s">
        <v>1515</v>
      </c>
      <c r="I1130" s="258" t="str">
        <f t="shared" si="52"/>
        <v>5</v>
      </c>
      <c r="J1130" s="221">
        <f t="shared" si="53"/>
        <v>108340</v>
      </c>
      <c r="K1130" s="258">
        <f t="shared" si="54"/>
        <v>4</v>
      </c>
      <c r="L1130" s="188">
        <v>108340</v>
      </c>
      <c r="M1130" s="188">
        <v>0</v>
      </c>
      <c r="N1130" s="189">
        <v>1130744136</v>
      </c>
      <c r="O1130" t="s">
        <v>2381</v>
      </c>
      <c r="P1130" s="187">
        <v>45042</v>
      </c>
      <c r="Q1130" s="186">
        <v>10551</v>
      </c>
      <c r="R1130" s="185"/>
      <c r="S1130" s="185" t="s">
        <v>1538</v>
      </c>
      <c r="T1130"/>
      <c r="U1130" t="str">
        <f>IF($L1130&gt;0,VLOOKUP($E1130,Valida!$A$1:$G$270,6,FALSE),IF($M1130&gt;=0,VLOOKUP($E1130,Valida!$A$1:$G$270,7,FALSE)))</f>
        <v>(+/-) Ganancia (pérdida)</v>
      </c>
      <c r="V1130" s="190" t="str">
        <f>VLOOKUP(E1130,Valida!$A$2:$K$271,4,FALSE)</f>
        <v>P&amp;L</v>
      </c>
      <c r="W1130" s="185" t="s">
        <v>1909</v>
      </c>
      <c r="X1130" s="185" t="s">
        <v>1910</v>
      </c>
      <c r="Y1130" s="185" t="s">
        <v>1789</v>
      </c>
      <c r="Z1130"/>
    </row>
    <row r="1131" spans="1:26">
      <c r="A1131" s="185" t="s">
        <v>2039</v>
      </c>
      <c r="B1131" s="185" t="s">
        <v>2381</v>
      </c>
      <c r="C1131" s="185" t="s">
        <v>1897</v>
      </c>
      <c r="D1131" s="185" t="s">
        <v>2382</v>
      </c>
      <c r="E1131" s="185">
        <v>510533</v>
      </c>
      <c r="F1131" s="185" t="s">
        <v>779</v>
      </c>
      <c r="G1131" s="185" t="s">
        <v>2563</v>
      </c>
      <c r="H1131" s="185" t="s">
        <v>1515</v>
      </c>
      <c r="I1131" s="258" t="str">
        <f t="shared" si="52"/>
        <v>5</v>
      </c>
      <c r="J1131" s="221">
        <f t="shared" si="53"/>
        <v>14166</v>
      </c>
      <c r="K1131" s="258">
        <f t="shared" si="54"/>
        <v>4</v>
      </c>
      <c r="L1131" s="188">
        <v>14166</v>
      </c>
      <c r="M1131" s="188">
        <v>0</v>
      </c>
      <c r="N1131" s="189">
        <v>1000018061</v>
      </c>
      <c r="O1131" t="s">
        <v>2381</v>
      </c>
      <c r="P1131" s="187">
        <v>45042</v>
      </c>
      <c r="Q1131" s="186">
        <v>10552</v>
      </c>
      <c r="R1131" s="185"/>
      <c r="S1131" s="185" t="s">
        <v>1522</v>
      </c>
      <c r="T1131"/>
      <c r="U1131" t="str">
        <f>IF($L1131&gt;0,VLOOKUP($E1131,Valida!$A$1:$G$270,6,FALSE),IF($M1131&gt;=0,VLOOKUP($E1131,Valida!$A$1:$G$270,7,FALSE)))</f>
        <v>(+/-) Ganancia (pérdida)</v>
      </c>
      <c r="V1131" s="190" t="str">
        <f>VLOOKUP(E1131,Valida!$A$2:$K$271,4,FALSE)</f>
        <v>P&amp;L</v>
      </c>
      <c r="W1131" s="185" t="s">
        <v>1978</v>
      </c>
      <c r="X1131" s="185"/>
      <c r="Y1131" s="185" t="s">
        <v>1789</v>
      </c>
      <c r="Z1131"/>
    </row>
    <row r="1132" spans="1:26">
      <c r="A1132" s="185" t="s">
        <v>2039</v>
      </c>
      <c r="B1132" s="185" t="s">
        <v>2381</v>
      </c>
      <c r="C1132" s="185" t="s">
        <v>1897</v>
      </c>
      <c r="D1132" s="185" t="s">
        <v>2382</v>
      </c>
      <c r="E1132" s="185">
        <v>510533</v>
      </c>
      <c r="F1132" s="185" t="s">
        <v>779</v>
      </c>
      <c r="G1132" s="185" t="s">
        <v>2563</v>
      </c>
      <c r="H1132" s="185" t="s">
        <v>1515</v>
      </c>
      <c r="I1132" s="258" t="str">
        <f t="shared" si="52"/>
        <v>5</v>
      </c>
      <c r="J1132" s="221">
        <f t="shared" si="53"/>
        <v>19328</v>
      </c>
      <c r="K1132" s="258">
        <f t="shared" si="54"/>
        <v>4</v>
      </c>
      <c r="L1132" s="188">
        <v>19328</v>
      </c>
      <c r="M1132" s="188">
        <v>0</v>
      </c>
      <c r="N1132" s="189">
        <v>1000036375</v>
      </c>
      <c r="O1132" t="s">
        <v>2381</v>
      </c>
      <c r="P1132" s="187">
        <v>45042</v>
      </c>
      <c r="Q1132" s="186">
        <v>10553</v>
      </c>
      <c r="R1132" s="185"/>
      <c r="S1132" s="185" t="s">
        <v>1524</v>
      </c>
      <c r="T1132"/>
      <c r="U1132" t="str">
        <f>IF($L1132&gt;0,VLOOKUP($E1132,Valida!$A$1:$G$270,6,FALSE),IF($M1132&gt;=0,VLOOKUP($E1132,Valida!$A$1:$G$270,7,FALSE)))</f>
        <v>(+/-) Ganancia (pérdida)</v>
      </c>
      <c r="V1132" s="190" t="str">
        <f>VLOOKUP(E1132,Valida!$A$2:$K$271,4,FALSE)</f>
        <v>P&amp;L</v>
      </c>
      <c r="W1132" s="185" t="s">
        <v>1983</v>
      </c>
      <c r="X1132" s="185"/>
      <c r="Y1132" s="185" t="s">
        <v>1789</v>
      </c>
      <c r="Z1132"/>
    </row>
    <row r="1133" spans="1:26">
      <c r="A1133" s="185" t="s">
        <v>2039</v>
      </c>
      <c r="B1133" s="185" t="s">
        <v>2381</v>
      </c>
      <c r="C1133" s="185" t="s">
        <v>1897</v>
      </c>
      <c r="D1133" s="185" t="s">
        <v>2382</v>
      </c>
      <c r="E1133" s="185">
        <v>510533</v>
      </c>
      <c r="F1133" s="185" t="s">
        <v>779</v>
      </c>
      <c r="G1133" s="185" t="s">
        <v>2563</v>
      </c>
      <c r="H1133" s="185" t="s">
        <v>1515</v>
      </c>
      <c r="I1133" s="258" t="str">
        <f t="shared" si="52"/>
        <v>5</v>
      </c>
      <c r="J1133" s="221">
        <f t="shared" si="53"/>
        <v>16406</v>
      </c>
      <c r="K1133" s="258">
        <f t="shared" si="54"/>
        <v>4</v>
      </c>
      <c r="L1133" s="188">
        <v>16406</v>
      </c>
      <c r="M1133" s="188">
        <v>0</v>
      </c>
      <c r="N1133" s="189">
        <v>1010101811</v>
      </c>
      <c r="O1133" t="s">
        <v>2381</v>
      </c>
      <c r="P1133" s="187">
        <v>45042</v>
      </c>
      <c r="Q1133" s="186">
        <v>10554</v>
      </c>
      <c r="R1133" s="185"/>
      <c r="S1133" s="185" t="s">
        <v>1528</v>
      </c>
      <c r="T1133"/>
      <c r="U1133" t="str">
        <f>IF($L1133&gt;0,VLOOKUP($E1133,Valida!$A$1:$G$270,6,FALSE),IF($M1133&gt;=0,VLOOKUP($E1133,Valida!$A$1:$G$270,7,FALSE)))</f>
        <v>(+/-) Ganancia (pérdida)</v>
      </c>
      <c r="V1133" s="190" t="str">
        <f>VLOOKUP(E1133,Valida!$A$2:$K$271,4,FALSE)</f>
        <v>P&amp;L</v>
      </c>
      <c r="W1133" s="185" t="s">
        <v>1967</v>
      </c>
      <c r="X1133" s="185"/>
      <c r="Y1133" s="185" t="s">
        <v>1789</v>
      </c>
      <c r="Z1133"/>
    </row>
    <row r="1134" spans="1:26">
      <c r="A1134" s="185" t="s">
        <v>2039</v>
      </c>
      <c r="B1134" s="185" t="s">
        <v>2381</v>
      </c>
      <c r="C1134" s="185" t="s">
        <v>1897</v>
      </c>
      <c r="D1134" s="185" t="s">
        <v>2382</v>
      </c>
      <c r="E1134" s="185">
        <v>510533</v>
      </c>
      <c r="F1134" s="185" t="s">
        <v>779</v>
      </c>
      <c r="G1134" s="185" t="s">
        <v>2563</v>
      </c>
      <c r="H1134" s="185" t="s">
        <v>1515</v>
      </c>
      <c r="I1134" s="258" t="str">
        <f t="shared" si="52"/>
        <v>5</v>
      </c>
      <c r="J1134" s="221">
        <f t="shared" si="53"/>
        <v>15431</v>
      </c>
      <c r="K1134" s="258">
        <f t="shared" si="54"/>
        <v>4</v>
      </c>
      <c r="L1134" s="188">
        <v>15431</v>
      </c>
      <c r="M1134" s="188">
        <v>0</v>
      </c>
      <c r="N1134" s="189">
        <v>1020842223</v>
      </c>
      <c r="O1134" t="s">
        <v>2381</v>
      </c>
      <c r="P1134" s="187">
        <v>45042</v>
      </c>
      <c r="Q1134" s="186">
        <v>10555</v>
      </c>
      <c r="R1134" s="185"/>
      <c r="S1134" s="185" t="s">
        <v>1532</v>
      </c>
      <c r="T1134"/>
      <c r="U1134" t="str">
        <f>IF($L1134&gt;0,VLOOKUP($E1134,Valida!$A$1:$G$270,6,FALSE),IF($M1134&gt;=0,VLOOKUP($E1134,Valida!$A$1:$G$270,7,FALSE)))</f>
        <v>(+/-) Ganancia (pérdida)</v>
      </c>
      <c r="V1134" s="190" t="str">
        <f>VLOOKUP(E1134,Valida!$A$2:$K$271,4,FALSE)</f>
        <v>P&amp;L</v>
      </c>
      <c r="W1134" s="185" t="s">
        <v>1900</v>
      </c>
      <c r="X1134" s="185"/>
      <c r="Y1134" s="185" t="s">
        <v>1789</v>
      </c>
      <c r="Z1134"/>
    </row>
    <row r="1135" spans="1:26">
      <c r="A1135" s="185" t="s">
        <v>2039</v>
      </c>
      <c r="B1135" s="185" t="s">
        <v>2381</v>
      </c>
      <c r="C1135" s="185" t="s">
        <v>1897</v>
      </c>
      <c r="D1135" s="185" t="s">
        <v>2382</v>
      </c>
      <c r="E1135" s="185">
        <v>510533</v>
      </c>
      <c r="F1135" s="185" t="s">
        <v>779</v>
      </c>
      <c r="G1135" s="185" t="s">
        <v>2563</v>
      </c>
      <c r="H1135" s="185" t="s">
        <v>1515</v>
      </c>
      <c r="I1135" s="258" t="str">
        <f t="shared" si="52"/>
        <v>5</v>
      </c>
      <c r="J1135" s="221">
        <f t="shared" si="53"/>
        <v>13006</v>
      </c>
      <c r="K1135" s="258">
        <f t="shared" si="54"/>
        <v>4</v>
      </c>
      <c r="L1135" s="188">
        <v>13006</v>
      </c>
      <c r="M1135" s="188">
        <v>0</v>
      </c>
      <c r="N1135" s="189">
        <v>1130744136</v>
      </c>
      <c r="O1135" t="s">
        <v>2381</v>
      </c>
      <c r="P1135" s="187">
        <v>45042</v>
      </c>
      <c r="Q1135" s="186">
        <v>10556</v>
      </c>
      <c r="R1135" s="185"/>
      <c r="S1135" s="185" t="s">
        <v>1538</v>
      </c>
      <c r="T1135"/>
      <c r="U1135" t="str">
        <f>IF($L1135&gt;0,VLOOKUP($E1135,Valida!$A$1:$G$270,6,FALSE),IF($M1135&gt;=0,VLOOKUP($E1135,Valida!$A$1:$G$270,7,FALSE)))</f>
        <v>(+/-) Ganancia (pérdida)</v>
      </c>
      <c r="V1135" s="190" t="str">
        <f>VLOOKUP(E1135,Valida!$A$2:$K$271,4,FALSE)</f>
        <v>P&amp;L</v>
      </c>
      <c r="W1135" s="185" t="s">
        <v>1909</v>
      </c>
      <c r="X1135" s="185" t="s">
        <v>1910</v>
      </c>
      <c r="Y1135" s="185" t="s">
        <v>1789</v>
      </c>
      <c r="Z1135"/>
    </row>
    <row r="1136" spans="1:26">
      <c r="A1136" s="185" t="s">
        <v>2039</v>
      </c>
      <c r="B1136" s="185" t="s">
        <v>2381</v>
      </c>
      <c r="C1136" s="185" t="s">
        <v>1897</v>
      </c>
      <c r="D1136" s="185" t="s">
        <v>2382</v>
      </c>
      <c r="E1136" s="185">
        <v>510536</v>
      </c>
      <c r="F1136" s="185" t="s">
        <v>783</v>
      </c>
      <c r="G1136" s="185" t="s">
        <v>2564</v>
      </c>
      <c r="H1136" s="185" t="s">
        <v>1515</v>
      </c>
      <c r="I1136" s="258" t="str">
        <f t="shared" si="52"/>
        <v>5</v>
      </c>
      <c r="J1136" s="221">
        <f t="shared" si="53"/>
        <v>118003</v>
      </c>
      <c r="K1136" s="258">
        <f t="shared" si="54"/>
        <v>4</v>
      </c>
      <c r="L1136" s="188">
        <v>118003</v>
      </c>
      <c r="M1136" s="188">
        <v>0</v>
      </c>
      <c r="N1136" s="189">
        <v>1000018061</v>
      </c>
      <c r="O1136" t="s">
        <v>2381</v>
      </c>
      <c r="P1136" s="187">
        <v>45042</v>
      </c>
      <c r="Q1136" s="186">
        <v>10557</v>
      </c>
      <c r="R1136" s="185"/>
      <c r="S1136" s="185" t="s">
        <v>1522</v>
      </c>
      <c r="T1136"/>
      <c r="U1136" t="str">
        <f>IF($L1136&gt;0,VLOOKUP($E1136,Valida!$A$1:$G$270,6,FALSE),IF($M1136&gt;=0,VLOOKUP($E1136,Valida!$A$1:$G$270,7,FALSE)))</f>
        <v>(+/-) Ganancia (pérdida)</v>
      </c>
      <c r="V1136" s="190" t="str">
        <f>VLOOKUP(E1136,Valida!$A$2:$K$271,4,FALSE)</f>
        <v>P&amp;L</v>
      </c>
      <c r="W1136" s="185" t="s">
        <v>1978</v>
      </c>
      <c r="X1136" s="185"/>
      <c r="Y1136" s="185" t="s">
        <v>1789</v>
      </c>
      <c r="Z1136"/>
    </row>
    <row r="1137" spans="1:26">
      <c r="A1137" s="185" t="s">
        <v>2039</v>
      </c>
      <c r="B1137" s="185" t="s">
        <v>2381</v>
      </c>
      <c r="C1137" s="185" t="s">
        <v>1897</v>
      </c>
      <c r="D1137" s="185" t="s">
        <v>2382</v>
      </c>
      <c r="E1137" s="185">
        <v>510536</v>
      </c>
      <c r="F1137" s="185" t="s">
        <v>783</v>
      </c>
      <c r="G1137" s="185" t="s">
        <v>2564</v>
      </c>
      <c r="H1137" s="185" t="s">
        <v>1515</v>
      </c>
      <c r="I1137" s="258" t="str">
        <f t="shared" si="52"/>
        <v>5</v>
      </c>
      <c r="J1137" s="221">
        <f t="shared" si="53"/>
        <v>161002</v>
      </c>
      <c r="K1137" s="258">
        <f t="shared" si="54"/>
        <v>4</v>
      </c>
      <c r="L1137" s="188">
        <v>161002</v>
      </c>
      <c r="M1137" s="188">
        <v>0</v>
      </c>
      <c r="N1137" s="189">
        <v>1000036375</v>
      </c>
      <c r="O1137" t="s">
        <v>2381</v>
      </c>
      <c r="P1137" s="187">
        <v>45042</v>
      </c>
      <c r="Q1137" s="186">
        <v>10558</v>
      </c>
      <c r="R1137" s="185"/>
      <c r="S1137" s="185" t="s">
        <v>1524</v>
      </c>
      <c r="T1137"/>
      <c r="U1137" t="str">
        <f>IF($L1137&gt;0,VLOOKUP($E1137,Valida!$A$1:$G$270,6,FALSE),IF($M1137&gt;=0,VLOOKUP($E1137,Valida!$A$1:$G$270,7,FALSE)))</f>
        <v>(+/-) Ganancia (pérdida)</v>
      </c>
      <c r="V1137" s="190" t="str">
        <f>VLOOKUP(E1137,Valida!$A$2:$K$271,4,FALSE)</f>
        <v>P&amp;L</v>
      </c>
      <c r="W1137" s="185" t="s">
        <v>1983</v>
      </c>
      <c r="X1137" s="185"/>
      <c r="Y1137" s="185" t="s">
        <v>1789</v>
      </c>
      <c r="Z1137"/>
    </row>
    <row r="1138" spans="1:26">
      <c r="A1138" s="185" t="s">
        <v>2039</v>
      </c>
      <c r="B1138" s="185" t="s">
        <v>2381</v>
      </c>
      <c r="C1138" s="185" t="s">
        <v>1897</v>
      </c>
      <c r="D1138" s="185" t="s">
        <v>2382</v>
      </c>
      <c r="E1138" s="185">
        <v>510536</v>
      </c>
      <c r="F1138" s="185" t="s">
        <v>783</v>
      </c>
      <c r="G1138" s="185" t="s">
        <v>2564</v>
      </c>
      <c r="H1138" s="185" t="s">
        <v>1515</v>
      </c>
      <c r="I1138" s="258" t="str">
        <f t="shared" si="52"/>
        <v>5</v>
      </c>
      <c r="J1138" s="221">
        <f t="shared" si="53"/>
        <v>136662</v>
      </c>
      <c r="K1138" s="258">
        <f t="shared" si="54"/>
        <v>4</v>
      </c>
      <c r="L1138" s="188">
        <v>136662</v>
      </c>
      <c r="M1138" s="188">
        <v>0</v>
      </c>
      <c r="N1138" s="189">
        <v>1010101811</v>
      </c>
      <c r="O1138" t="s">
        <v>2381</v>
      </c>
      <c r="P1138" s="187">
        <v>45042</v>
      </c>
      <c r="Q1138" s="186">
        <v>10559</v>
      </c>
      <c r="R1138" s="185"/>
      <c r="S1138" s="185" t="s">
        <v>1528</v>
      </c>
      <c r="T1138"/>
      <c r="U1138" t="str">
        <f>IF($L1138&gt;0,VLOOKUP($E1138,Valida!$A$1:$G$270,6,FALSE),IF($M1138&gt;=0,VLOOKUP($E1138,Valida!$A$1:$G$270,7,FALSE)))</f>
        <v>(+/-) Ganancia (pérdida)</v>
      </c>
      <c r="V1138" s="190" t="str">
        <f>VLOOKUP(E1138,Valida!$A$2:$K$271,4,FALSE)</f>
        <v>P&amp;L</v>
      </c>
      <c r="W1138" s="185" t="s">
        <v>1967</v>
      </c>
      <c r="X1138" s="185"/>
      <c r="Y1138" s="185" t="s">
        <v>1789</v>
      </c>
      <c r="Z1138"/>
    </row>
    <row r="1139" spans="1:26">
      <c r="A1139" s="185" t="s">
        <v>2039</v>
      </c>
      <c r="B1139" s="185" t="s">
        <v>2381</v>
      </c>
      <c r="C1139" s="185" t="s">
        <v>1897</v>
      </c>
      <c r="D1139" s="185" t="s">
        <v>2382</v>
      </c>
      <c r="E1139" s="185">
        <v>510536</v>
      </c>
      <c r="F1139" s="185" t="s">
        <v>783</v>
      </c>
      <c r="G1139" s="185" t="s">
        <v>2564</v>
      </c>
      <c r="H1139" s="185" t="s">
        <v>1515</v>
      </c>
      <c r="I1139" s="258" t="str">
        <f t="shared" si="52"/>
        <v>5</v>
      </c>
      <c r="J1139" s="221">
        <f t="shared" si="53"/>
        <v>128541</v>
      </c>
      <c r="K1139" s="258">
        <f t="shared" si="54"/>
        <v>4</v>
      </c>
      <c r="L1139" s="188">
        <v>128541</v>
      </c>
      <c r="M1139" s="188">
        <v>0</v>
      </c>
      <c r="N1139" s="189">
        <v>1020842223</v>
      </c>
      <c r="O1139" t="s">
        <v>2381</v>
      </c>
      <c r="P1139" s="187">
        <v>45042</v>
      </c>
      <c r="Q1139" s="186">
        <v>10560</v>
      </c>
      <c r="R1139" s="185"/>
      <c r="S1139" s="185" t="s">
        <v>1532</v>
      </c>
      <c r="T1139"/>
      <c r="U1139" t="str">
        <f>IF($L1139&gt;0,VLOOKUP($E1139,Valida!$A$1:$G$270,6,FALSE),IF($M1139&gt;=0,VLOOKUP($E1139,Valida!$A$1:$G$270,7,FALSE)))</f>
        <v>(+/-) Ganancia (pérdida)</v>
      </c>
      <c r="V1139" s="190" t="str">
        <f>VLOOKUP(E1139,Valida!$A$2:$K$271,4,FALSE)</f>
        <v>P&amp;L</v>
      </c>
      <c r="W1139" s="185" t="s">
        <v>1900</v>
      </c>
      <c r="X1139" s="185"/>
      <c r="Y1139" s="185" t="s">
        <v>1789</v>
      </c>
      <c r="Z1139"/>
    </row>
    <row r="1140" spans="1:26">
      <c r="A1140" s="185" t="s">
        <v>2039</v>
      </c>
      <c r="B1140" s="185" t="s">
        <v>2381</v>
      </c>
      <c r="C1140" s="185" t="s">
        <v>1897</v>
      </c>
      <c r="D1140" s="185" t="s">
        <v>2382</v>
      </c>
      <c r="E1140" s="185">
        <v>510536</v>
      </c>
      <c r="F1140" s="185" t="s">
        <v>783</v>
      </c>
      <c r="G1140" s="185" t="s">
        <v>2564</v>
      </c>
      <c r="H1140" s="185" t="s">
        <v>1515</v>
      </c>
      <c r="I1140" s="258" t="str">
        <f t="shared" si="52"/>
        <v>5</v>
      </c>
      <c r="J1140" s="221">
        <f t="shared" si="53"/>
        <v>108340</v>
      </c>
      <c r="K1140" s="258">
        <f t="shared" si="54"/>
        <v>4</v>
      </c>
      <c r="L1140" s="188">
        <v>108340</v>
      </c>
      <c r="M1140" s="188">
        <v>0</v>
      </c>
      <c r="N1140" s="189">
        <v>1130744136</v>
      </c>
      <c r="O1140" t="s">
        <v>2381</v>
      </c>
      <c r="P1140" s="187">
        <v>45042</v>
      </c>
      <c r="Q1140" s="186">
        <v>10561</v>
      </c>
      <c r="R1140" s="185"/>
      <c r="S1140" s="185" t="s">
        <v>1538</v>
      </c>
      <c r="T1140"/>
      <c r="U1140" t="str">
        <f>IF($L1140&gt;0,VLOOKUP($E1140,Valida!$A$1:$G$270,6,FALSE),IF($M1140&gt;=0,VLOOKUP($E1140,Valida!$A$1:$G$270,7,FALSE)))</f>
        <v>(+/-) Ganancia (pérdida)</v>
      </c>
      <c r="V1140" s="190" t="str">
        <f>VLOOKUP(E1140,Valida!$A$2:$K$271,4,FALSE)</f>
        <v>P&amp;L</v>
      </c>
      <c r="W1140" s="185" t="s">
        <v>1909</v>
      </c>
      <c r="X1140" s="185" t="s">
        <v>1910</v>
      </c>
      <c r="Y1140" s="185" t="s">
        <v>1789</v>
      </c>
      <c r="Z1140"/>
    </row>
    <row r="1141" spans="1:26">
      <c r="A1141" s="185" t="s">
        <v>2039</v>
      </c>
      <c r="B1141" s="185" t="s">
        <v>2381</v>
      </c>
      <c r="C1141" s="185" t="s">
        <v>1897</v>
      </c>
      <c r="D1141" s="185" t="s">
        <v>2382</v>
      </c>
      <c r="E1141" s="185">
        <v>510539</v>
      </c>
      <c r="F1141" s="185" t="s">
        <v>818</v>
      </c>
      <c r="G1141" s="185" t="s">
        <v>2588</v>
      </c>
      <c r="H1141" s="185" t="s">
        <v>1515</v>
      </c>
      <c r="I1141" s="258" t="str">
        <f t="shared" si="52"/>
        <v>5</v>
      </c>
      <c r="J1141" s="221">
        <f t="shared" si="53"/>
        <v>53209</v>
      </c>
      <c r="K1141" s="258">
        <f t="shared" si="54"/>
        <v>4</v>
      </c>
      <c r="L1141" s="188">
        <v>53209</v>
      </c>
      <c r="M1141" s="188">
        <v>0</v>
      </c>
      <c r="N1141" s="189">
        <v>1000018061</v>
      </c>
      <c r="O1141" t="s">
        <v>2381</v>
      </c>
      <c r="P1141" s="187">
        <v>45042</v>
      </c>
      <c r="Q1141" s="186">
        <v>10562</v>
      </c>
      <c r="R1141" s="185"/>
      <c r="S1141" s="185" t="s">
        <v>1522</v>
      </c>
      <c r="T1141"/>
      <c r="U1141" t="str">
        <f>IF($L1141&gt;0,VLOOKUP($E1141,Valida!$A$1:$G$270,6,FALSE),IF($M1141&gt;=0,VLOOKUP($E1141,Valida!$A$1:$G$270,7,FALSE)))</f>
        <v>(+/-) Ganancia (pérdida)</v>
      </c>
      <c r="V1141" s="190" t="str">
        <f>VLOOKUP(E1141,Valida!$A$2:$K$271,4,FALSE)</f>
        <v>P&amp;L</v>
      </c>
      <c r="W1141" s="185" t="s">
        <v>1978</v>
      </c>
      <c r="X1141" s="185"/>
      <c r="Y1141" s="185" t="s">
        <v>1789</v>
      </c>
      <c r="Z1141"/>
    </row>
    <row r="1142" spans="1:26">
      <c r="A1142" s="185" t="s">
        <v>2039</v>
      </c>
      <c r="B1142" s="185" t="s">
        <v>2381</v>
      </c>
      <c r="C1142" s="185" t="s">
        <v>1897</v>
      </c>
      <c r="D1142" s="185" t="s">
        <v>2382</v>
      </c>
      <c r="E1142" s="185">
        <v>510539</v>
      </c>
      <c r="F1142" s="185" t="s">
        <v>818</v>
      </c>
      <c r="G1142" s="185" t="s">
        <v>2588</v>
      </c>
      <c r="H1142" s="185" t="s">
        <v>1515</v>
      </c>
      <c r="I1142" s="258" t="str">
        <f t="shared" si="52"/>
        <v>5</v>
      </c>
      <c r="J1142" s="221">
        <f t="shared" si="53"/>
        <v>71151</v>
      </c>
      <c r="K1142" s="258">
        <f t="shared" si="54"/>
        <v>4</v>
      </c>
      <c r="L1142" s="188">
        <v>71151</v>
      </c>
      <c r="M1142" s="188">
        <v>0</v>
      </c>
      <c r="N1142" s="189">
        <v>1000036375</v>
      </c>
      <c r="O1142" t="s">
        <v>2381</v>
      </c>
      <c r="P1142" s="187">
        <v>45042</v>
      </c>
      <c r="Q1142" s="186">
        <v>10563</v>
      </c>
      <c r="R1142" s="185"/>
      <c r="S1142" s="185" t="s">
        <v>1524</v>
      </c>
      <c r="T1142"/>
      <c r="U1142" t="str">
        <f>IF($L1142&gt;0,VLOOKUP($E1142,Valida!$A$1:$G$270,6,FALSE),IF($M1142&gt;=0,VLOOKUP($E1142,Valida!$A$1:$G$270,7,FALSE)))</f>
        <v>(+/-) Ganancia (pérdida)</v>
      </c>
      <c r="V1142" s="190" t="str">
        <f>VLOOKUP(E1142,Valida!$A$2:$K$271,4,FALSE)</f>
        <v>P&amp;L</v>
      </c>
      <c r="W1142" s="185" t="s">
        <v>1983</v>
      </c>
      <c r="X1142" s="185"/>
      <c r="Y1142" s="185" t="s">
        <v>1789</v>
      </c>
      <c r="Z1142"/>
    </row>
    <row r="1143" spans="1:26">
      <c r="A1143" s="185" t="s">
        <v>2039</v>
      </c>
      <c r="B1143" s="185" t="s">
        <v>2381</v>
      </c>
      <c r="C1143" s="185" t="s">
        <v>1897</v>
      </c>
      <c r="D1143" s="185" t="s">
        <v>2382</v>
      </c>
      <c r="E1143" s="185">
        <v>510539</v>
      </c>
      <c r="F1143" s="185" t="s">
        <v>818</v>
      </c>
      <c r="G1143" s="185" t="s">
        <v>2588</v>
      </c>
      <c r="H1143" s="185" t="s">
        <v>1515</v>
      </c>
      <c r="I1143" s="258" t="str">
        <f t="shared" si="52"/>
        <v>5</v>
      </c>
      <c r="J1143" s="221">
        <f t="shared" si="53"/>
        <v>62550</v>
      </c>
      <c r="K1143" s="258">
        <f t="shared" si="54"/>
        <v>4</v>
      </c>
      <c r="L1143" s="188">
        <v>62550</v>
      </c>
      <c r="M1143" s="188">
        <v>0</v>
      </c>
      <c r="N1143" s="189">
        <v>1010101811</v>
      </c>
      <c r="O1143" t="s">
        <v>2381</v>
      </c>
      <c r="P1143" s="187">
        <v>45042</v>
      </c>
      <c r="Q1143" s="186">
        <v>10564</v>
      </c>
      <c r="R1143" s="185"/>
      <c r="S1143" s="185" t="s">
        <v>1528</v>
      </c>
      <c r="T1143"/>
      <c r="U1143" t="str">
        <f>IF($L1143&gt;0,VLOOKUP($E1143,Valida!$A$1:$G$270,6,FALSE),IF($M1143&gt;=0,VLOOKUP($E1143,Valida!$A$1:$G$270,7,FALSE)))</f>
        <v>(+/-) Ganancia (pérdida)</v>
      </c>
      <c r="V1143" s="190" t="str">
        <f>VLOOKUP(E1143,Valida!$A$2:$K$271,4,FALSE)</f>
        <v>P&amp;L</v>
      </c>
      <c r="W1143" s="185" t="s">
        <v>1967</v>
      </c>
      <c r="X1143" s="185"/>
      <c r="Y1143" s="185" t="s">
        <v>1789</v>
      </c>
      <c r="Z1143"/>
    </row>
    <row r="1144" spans="1:26">
      <c r="A1144" s="185" t="s">
        <v>2039</v>
      </c>
      <c r="B1144" s="185" t="s">
        <v>2381</v>
      </c>
      <c r="C1144" s="185" t="s">
        <v>1897</v>
      </c>
      <c r="D1144" s="185" t="s">
        <v>2382</v>
      </c>
      <c r="E1144" s="185">
        <v>510539</v>
      </c>
      <c r="F1144" s="185" t="s">
        <v>818</v>
      </c>
      <c r="G1144" s="185" t="s">
        <v>2588</v>
      </c>
      <c r="H1144" s="185" t="s">
        <v>1515</v>
      </c>
      <c r="I1144" s="258" t="str">
        <f t="shared" si="52"/>
        <v>5</v>
      </c>
      <c r="J1144" s="221">
        <f t="shared" si="53"/>
        <v>56920</v>
      </c>
      <c r="K1144" s="258">
        <f t="shared" si="54"/>
        <v>4</v>
      </c>
      <c r="L1144" s="188">
        <v>56920</v>
      </c>
      <c r="M1144" s="188">
        <v>0</v>
      </c>
      <c r="N1144" s="189">
        <v>1020842223</v>
      </c>
      <c r="O1144" t="s">
        <v>2381</v>
      </c>
      <c r="P1144" s="187">
        <v>45042</v>
      </c>
      <c r="Q1144" s="186">
        <v>10565</v>
      </c>
      <c r="R1144" s="185"/>
      <c r="S1144" s="185" t="s">
        <v>1532</v>
      </c>
      <c r="T1144"/>
      <c r="U1144" t="str">
        <f>IF($L1144&gt;0,VLOOKUP($E1144,Valida!$A$1:$G$270,6,FALSE),IF($M1144&gt;=0,VLOOKUP($E1144,Valida!$A$1:$G$270,7,FALSE)))</f>
        <v>(+/-) Ganancia (pérdida)</v>
      </c>
      <c r="V1144" s="190" t="str">
        <f>VLOOKUP(E1144,Valida!$A$2:$K$271,4,FALSE)</f>
        <v>P&amp;L</v>
      </c>
      <c r="W1144" s="185" t="s">
        <v>1900</v>
      </c>
      <c r="X1144" s="185"/>
      <c r="Y1144" s="185" t="s">
        <v>1789</v>
      </c>
      <c r="Z1144"/>
    </row>
    <row r="1145" spans="1:26">
      <c r="A1145" s="185" t="s">
        <v>2039</v>
      </c>
      <c r="B1145" s="185" t="s">
        <v>2381</v>
      </c>
      <c r="C1145" s="185" t="s">
        <v>1897</v>
      </c>
      <c r="D1145" s="185" t="s">
        <v>2382</v>
      </c>
      <c r="E1145" s="185">
        <v>510539</v>
      </c>
      <c r="F1145" s="185" t="s">
        <v>818</v>
      </c>
      <c r="G1145" s="185" t="s">
        <v>2588</v>
      </c>
      <c r="H1145" s="185" t="s">
        <v>1515</v>
      </c>
      <c r="I1145" s="258" t="str">
        <f t="shared" si="52"/>
        <v>5</v>
      </c>
      <c r="J1145" s="221">
        <f t="shared" si="53"/>
        <v>48372</v>
      </c>
      <c r="K1145" s="258">
        <f t="shared" si="54"/>
        <v>4</v>
      </c>
      <c r="L1145" s="188">
        <v>48372</v>
      </c>
      <c r="M1145" s="188">
        <v>0</v>
      </c>
      <c r="N1145" s="189">
        <v>1130744136</v>
      </c>
      <c r="O1145" t="s">
        <v>2381</v>
      </c>
      <c r="P1145" s="187">
        <v>45042</v>
      </c>
      <c r="Q1145" s="186">
        <v>10566</v>
      </c>
      <c r="R1145" s="185"/>
      <c r="S1145" s="185" t="s">
        <v>1538</v>
      </c>
      <c r="T1145"/>
      <c r="U1145" t="str">
        <f>IF($L1145&gt;0,VLOOKUP($E1145,Valida!$A$1:$G$270,6,FALSE),IF($M1145&gt;=0,VLOOKUP($E1145,Valida!$A$1:$G$270,7,FALSE)))</f>
        <v>(+/-) Ganancia (pérdida)</v>
      </c>
      <c r="V1145" s="190" t="str">
        <f>VLOOKUP(E1145,Valida!$A$2:$K$271,4,FALSE)</f>
        <v>P&amp;L</v>
      </c>
      <c r="W1145" s="185" t="s">
        <v>1909</v>
      </c>
      <c r="X1145" s="185" t="s">
        <v>1910</v>
      </c>
      <c r="Y1145" s="185" t="s">
        <v>1789</v>
      </c>
      <c r="Z1145"/>
    </row>
    <row r="1146" spans="1:26">
      <c r="A1146" s="185" t="s">
        <v>2039</v>
      </c>
      <c r="B1146" s="185" t="s">
        <v>2381</v>
      </c>
      <c r="C1146" s="185" t="s">
        <v>1897</v>
      </c>
      <c r="D1146" s="185" t="s">
        <v>2382</v>
      </c>
      <c r="E1146" s="185">
        <v>510568</v>
      </c>
      <c r="F1146" s="185" t="s">
        <v>680</v>
      </c>
      <c r="G1146" s="185" t="s">
        <v>2549</v>
      </c>
      <c r="H1146" s="185" t="s">
        <v>1515</v>
      </c>
      <c r="I1146" s="258" t="str">
        <f t="shared" si="52"/>
        <v>5</v>
      </c>
      <c r="J1146" s="221">
        <f t="shared" si="53"/>
        <v>37222</v>
      </c>
      <c r="K1146" s="258">
        <f t="shared" si="54"/>
        <v>4</v>
      </c>
      <c r="L1146" s="188">
        <v>37222</v>
      </c>
      <c r="M1146" s="188">
        <v>0</v>
      </c>
      <c r="N1146" s="189">
        <v>860002503</v>
      </c>
      <c r="O1146" t="s">
        <v>2381</v>
      </c>
      <c r="P1146" s="187">
        <v>45042</v>
      </c>
      <c r="Q1146" s="186">
        <v>10567</v>
      </c>
      <c r="R1146" s="185" t="s">
        <v>433</v>
      </c>
      <c r="S1146" s="185" t="s">
        <v>1656</v>
      </c>
      <c r="T1146"/>
      <c r="U1146" t="str">
        <f>IF($L1146&gt;0,VLOOKUP($E1146,Valida!$A$1:$G$270,6,FALSE),IF($M1146&gt;=0,VLOOKUP($E1146,Valida!$A$1:$G$270,7,FALSE)))</f>
        <v>(+/-) Ganancia (pérdida)</v>
      </c>
      <c r="V1146" s="190" t="str">
        <f>VLOOKUP(E1146,Valida!$A$2:$K$271,4,FALSE)</f>
        <v>P&amp;L</v>
      </c>
      <c r="W1146" s="185" t="s">
        <v>1912</v>
      </c>
      <c r="X1146" s="185" t="s">
        <v>1913</v>
      </c>
      <c r="Y1146" s="185" t="s">
        <v>1789</v>
      </c>
      <c r="Z1146"/>
    </row>
    <row r="1147" spans="1:26">
      <c r="A1147" s="185" t="s">
        <v>2039</v>
      </c>
      <c r="B1147" s="185" t="s">
        <v>2381</v>
      </c>
      <c r="C1147" s="185" t="s">
        <v>1897</v>
      </c>
      <c r="D1147" s="185" t="s">
        <v>2382</v>
      </c>
      <c r="E1147" s="185">
        <v>510570</v>
      </c>
      <c r="F1147" s="185" t="s">
        <v>1116</v>
      </c>
      <c r="G1147" s="185" t="s">
        <v>2551</v>
      </c>
      <c r="H1147" s="185" t="s">
        <v>1515</v>
      </c>
      <c r="I1147" s="258" t="str">
        <f t="shared" si="52"/>
        <v>5</v>
      </c>
      <c r="J1147" s="221">
        <f t="shared" si="53"/>
        <v>702563</v>
      </c>
      <c r="K1147" s="258">
        <f t="shared" si="54"/>
        <v>4</v>
      </c>
      <c r="L1147" s="188">
        <v>702563</v>
      </c>
      <c r="M1147" s="188">
        <v>0</v>
      </c>
      <c r="N1147" s="189">
        <v>800224808</v>
      </c>
      <c r="O1147" t="s">
        <v>2381</v>
      </c>
      <c r="P1147" s="187">
        <v>45042</v>
      </c>
      <c r="Q1147" s="186">
        <v>10568</v>
      </c>
      <c r="R1147" s="185" t="s">
        <v>1827</v>
      </c>
      <c r="S1147" s="185" t="s">
        <v>1662</v>
      </c>
      <c r="T1147"/>
      <c r="U1147" t="str">
        <f>IF($L1147&gt;0,VLOOKUP($E1147,Valida!$A$1:$G$270,6,FALSE),IF($M1147&gt;=0,VLOOKUP($E1147,Valida!$A$1:$G$270,7,FALSE)))</f>
        <v>(+/-) Ganancia (pérdida)</v>
      </c>
      <c r="V1147" s="190" t="str">
        <f>VLOOKUP(E1147,Valida!$A$2:$K$271,4,FALSE)</f>
        <v>P&amp;L</v>
      </c>
      <c r="W1147" s="185" t="s">
        <v>1911</v>
      </c>
      <c r="X1147" s="185"/>
      <c r="Y1147" s="185" t="s">
        <v>1789</v>
      </c>
      <c r="Z1147"/>
    </row>
    <row r="1148" spans="1:26">
      <c r="A1148" s="185" t="s">
        <v>2039</v>
      </c>
      <c r="B1148" s="185" t="s">
        <v>2381</v>
      </c>
      <c r="C1148" s="185" t="s">
        <v>1897</v>
      </c>
      <c r="D1148" s="185" t="s">
        <v>2382</v>
      </c>
      <c r="E1148" s="185">
        <v>510570</v>
      </c>
      <c r="F1148" s="185" t="s">
        <v>1116</v>
      </c>
      <c r="G1148" s="185" t="s">
        <v>2551</v>
      </c>
      <c r="H1148" s="185" t="s">
        <v>1515</v>
      </c>
      <c r="I1148" s="258" t="str">
        <f t="shared" si="52"/>
        <v>5</v>
      </c>
      <c r="J1148" s="221">
        <f t="shared" si="53"/>
        <v>153120</v>
      </c>
      <c r="K1148" s="258">
        <f t="shared" si="54"/>
        <v>4</v>
      </c>
      <c r="L1148" s="188">
        <v>153120</v>
      </c>
      <c r="M1148" s="188">
        <v>0</v>
      </c>
      <c r="N1148" s="189">
        <v>800227940</v>
      </c>
      <c r="O1148" t="s">
        <v>2381</v>
      </c>
      <c r="P1148" s="187">
        <v>45042</v>
      </c>
      <c r="Q1148" s="186">
        <v>10569</v>
      </c>
      <c r="R1148" s="185"/>
      <c r="S1148" s="185" t="s">
        <v>1664</v>
      </c>
      <c r="T1148"/>
      <c r="U1148" t="str">
        <f>IF($L1148&gt;0,VLOOKUP($E1148,Valida!$A$1:$G$270,6,FALSE),IF($M1148&gt;=0,VLOOKUP($E1148,Valida!$A$1:$G$270,7,FALSE)))</f>
        <v>(+/-) Ganancia (pérdida)</v>
      </c>
      <c r="V1148" s="190" t="str">
        <f>VLOOKUP(E1148,Valida!$A$2:$K$271,4,FALSE)</f>
        <v>P&amp;L</v>
      </c>
      <c r="W1148" s="185"/>
      <c r="X1148" s="185"/>
      <c r="Y1148" s="185"/>
      <c r="Z1148"/>
    </row>
    <row r="1149" spans="1:26">
      <c r="A1149" s="185" t="s">
        <v>2039</v>
      </c>
      <c r="B1149" s="185" t="s">
        <v>2381</v>
      </c>
      <c r="C1149" s="185" t="s">
        <v>1897</v>
      </c>
      <c r="D1149" s="185" t="s">
        <v>2382</v>
      </c>
      <c r="E1149" s="185">
        <v>510572</v>
      </c>
      <c r="F1149" s="185" t="s">
        <v>1118</v>
      </c>
      <c r="G1149" s="185" t="s">
        <v>2550</v>
      </c>
      <c r="H1149" s="185" t="s">
        <v>1515</v>
      </c>
      <c r="I1149" s="258" t="str">
        <f t="shared" si="52"/>
        <v>5</v>
      </c>
      <c r="J1149" s="221">
        <f t="shared" si="53"/>
        <v>142614</v>
      </c>
      <c r="K1149" s="258">
        <f t="shared" si="54"/>
        <v>4</v>
      </c>
      <c r="L1149" s="188">
        <v>142614</v>
      </c>
      <c r="M1149" s="188">
        <v>0</v>
      </c>
      <c r="N1149" s="189">
        <v>860066942</v>
      </c>
      <c r="O1149" t="s">
        <v>2381</v>
      </c>
      <c r="P1149" s="187">
        <v>45042</v>
      </c>
      <c r="Q1149" s="186">
        <v>10570</v>
      </c>
      <c r="R1149" s="185" t="s">
        <v>1814</v>
      </c>
      <c r="S1149" s="185" t="s">
        <v>1574</v>
      </c>
      <c r="T1149"/>
      <c r="U1149" t="str">
        <f>IF($L1149&gt;0,VLOOKUP($E1149,Valida!$A$1:$G$270,6,FALSE),IF($M1149&gt;=0,VLOOKUP($E1149,Valida!$A$1:$G$270,7,FALSE)))</f>
        <v>(+/-) Ganancia (pérdida)</v>
      </c>
      <c r="V1149" s="190" t="str">
        <f>VLOOKUP(E1149,Valida!$A$2:$K$271,4,FALSE)</f>
        <v>P&amp;L</v>
      </c>
      <c r="W1149" s="185" t="s">
        <v>1914</v>
      </c>
      <c r="X1149" s="185" t="s">
        <v>1915</v>
      </c>
      <c r="Y1149" s="185" t="s">
        <v>1789</v>
      </c>
      <c r="Z1149"/>
    </row>
    <row r="1150" spans="1:26">
      <c r="A1150" s="185" t="s">
        <v>2309</v>
      </c>
      <c r="B1150" s="185" t="s">
        <v>2310</v>
      </c>
      <c r="C1150" s="185" t="s">
        <v>1890</v>
      </c>
      <c r="D1150" s="185" t="s">
        <v>2311</v>
      </c>
      <c r="E1150" s="185">
        <v>237095</v>
      </c>
      <c r="F1150" s="185" t="s">
        <v>150</v>
      </c>
      <c r="G1150" s="185" t="s">
        <v>2312</v>
      </c>
      <c r="H1150" s="185" t="s">
        <v>1515</v>
      </c>
      <c r="I1150" s="258" t="str">
        <f t="shared" si="52"/>
        <v>2</v>
      </c>
      <c r="J1150" s="221">
        <f t="shared" si="53"/>
        <v>1856200</v>
      </c>
      <c r="K1150" s="258">
        <f t="shared" si="54"/>
        <v>3</v>
      </c>
      <c r="L1150" s="188">
        <v>1856200</v>
      </c>
      <c r="M1150" s="188">
        <v>0</v>
      </c>
      <c r="N1150" s="189">
        <v>860066942</v>
      </c>
      <c r="O1150" t="s">
        <v>2310</v>
      </c>
      <c r="P1150" s="187">
        <v>45044</v>
      </c>
      <c r="Q1150" s="186">
        <v>11187</v>
      </c>
      <c r="R1150" s="185" t="s">
        <v>1814</v>
      </c>
      <c r="S1150" s="185" t="s">
        <v>1574</v>
      </c>
      <c r="T1150"/>
      <c r="U1150" t="str">
        <f>IF($L1150&gt;0,VLOOKUP($E1150,Valida!$A$1:$G$270,6,FALSE),IF($M1150&gt;=0,VLOOKUP($E1150,Valida!$A$1:$G$270,7,FALSE)))</f>
        <v>(+/-) Ajustes por el incremento (disminución) de cuentas por pagar de origen comercial</v>
      </c>
      <c r="V1150" s="190" t="str">
        <f>VLOOKUP(E1150,Valida!$A$2:$K$271,4,FALSE)</f>
        <v>Trade and other payables</v>
      </c>
      <c r="W1150" s="185" t="s">
        <v>1914</v>
      </c>
      <c r="X1150" s="185" t="s">
        <v>1915</v>
      </c>
      <c r="Y1150" s="185" t="s">
        <v>1789</v>
      </c>
      <c r="Z1150"/>
    </row>
    <row r="1151" spans="1:26">
      <c r="A1151" s="185" t="s">
        <v>1799</v>
      </c>
      <c r="B1151" s="185" t="s">
        <v>2593</v>
      </c>
      <c r="C1151" s="185" t="s">
        <v>1785</v>
      </c>
      <c r="D1151" s="185" t="s">
        <v>2594</v>
      </c>
      <c r="E1151" s="185">
        <v>237005</v>
      </c>
      <c r="F1151" s="185" t="s">
        <v>676</v>
      </c>
      <c r="G1151" s="185" t="s">
        <v>2207</v>
      </c>
      <c r="H1151" s="185" t="s">
        <v>1515</v>
      </c>
      <c r="I1151" s="258" t="str">
        <f t="shared" si="52"/>
        <v>2</v>
      </c>
      <c r="J1151" s="221">
        <f t="shared" si="53"/>
        <v>60000</v>
      </c>
      <c r="K1151" s="258">
        <f t="shared" si="54"/>
        <v>1</v>
      </c>
      <c r="L1151" s="188">
        <v>60000</v>
      </c>
      <c r="M1151" s="188">
        <v>0</v>
      </c>
      <c r="N1151" s="189">
        <v>860066942</v>
      </c>
      <c r="O1151"/>
      <c r="P1151" s="187">
        <v>45044.536550925899</v>
      </c>
      <c r="Q1151" s="186">
        <v>11191</v>
      </c>
      <c r="R1151" s="185" t="s">
        <v>1814</v>
      </c>
      <c r="S1151" s="185" t="s">
        <v>1574</v>
      </c>
      <c r="T1151"/>
      <c r="U1151" t="str">
        <f>IF($L1151&gt;0,VLOOKUP($E1151,Valida!$A$1:$G$270,6,FALSE),IF($M1151&gt;=0,VLOOKUP($E1151,Valida!$A$1:$G$270,7,FALSE)))</f>
        <v>(+/-) Ajustes por el incremento (disminución) de cuentas por pagar de origen comercial</v>
      </c>
      <c r="V1151" s="190" t="str">
        <f>VLOOKUP(E1151,Valida!$A$2:$K$271,4,FALSE)</f>
        <v>Trade and other payables</v>
      </c>
      <c r="W1151" s="185" t="s">
        <v>1914</v>
      </c>
      <c r="X1151" s="185" t="s">
        <v>1915</v>
      </c>
      <c r="Y1151" s="185" t="s">
        <v>1789</v>
      </c>
      <c r="Z1151"/>
    </row>
    <row r="1152" spans="1:26">
      <c r="A1152" s="185" t="s">
        <v>1799</v>
      </c>
      <c r="B1152" s="185" t="s">
        <v>2593</v>
      </c>
      <c r="C1152" s="185" t="s">
        <v>1785</v>
      </c>
      <c r="D1152" s="185" t="s">
        <v>2594</v>
      </c>
      <c r="E1152" s="185">
        <v>237005</v>
      </c>
      <c r="F1152" s="185" t="s">
        <v>676</v>
      </c>
      <c r="G1152" s="185" t="s">
        <v>2207</v>
      </c>
      <c r="H1152" s="185" t="s">
        <v>1515</v>
      </c>
      <c r="I1152" s="258" t="str">
        <f t="shared" si="52"/>
        <v>2</v>
      </c>
      <c r="J1152" s="221">
        <f t="shared" si="53"/>
        <v>46400</v>
      </c>
      <c r="K1152" s="258">
        <f t="shared" si="54"/>
        <v>1</v>
      </c>
      <c r="L1152" s="188">
        <v>46400</v>
      </c>
      <c r="M1152" s="188">
        <v>0</v>
      </c>
      <c r="N1152" s="189">
        <v>800251440</v>
      </c>
      <c r="O1152"/>
      <c r="P1152" s="187">
        <v>45044.536550925899</v>
      </c>
      <c r="Q1152" s="186">
        <v>11192</v>
      </c>
      <c r="R1152" s="185" t="s">
        <v>1901</v>
      </c>
      <c r="S1152" s="185" t="s">
        <v>1560</v>
      </c>
      <c r="T1152"/>
      <c r="U1152" t="str">
        <f>IF($L1152&gt;0,VLOOKUP($E1152,Valida!$A$1:$G$270,6,FALSE),IF($M1152&gt;=0,VLOOKUP($E1152,Valida!$A$1:$G$270,7,FALSE)))</f>
        <v>(+/-) Ajustes por el incremento (disminución) de cuentas por pagar de origen comercial</v>
      </c>
      <c r="V1152" s="190" t="str">
        <f>VLOOKUP(E1152,Valida!$A$2:$K$271,4,FALSE)</f>
        <v>Trade and other payables</v>
      </c>
      <c r="W1152" s="185" t="s">
        <v>1902</v>
      </c>
      <c r="X1152" s="185" t="s">
        <v>1903</v>
      </c>
      <c r="Y1152" s="185" t="s">
        <v>1789</v>
      </c>
      <c r="Z1152"/>
    </row>
    <row r="1153" spans="1:26">
      <c r="A1153" s="185" t="s">
        <v>1799</v>
      </c>
      <c r="B1153" s="185" t="s">
        <v>2593</v>
      </c>
      <c r="C1153" s="185" t="s">
        <v>1785</v>
      </c>
      <c r="D1153" s="185" t="s">
        <v>2594</v>
      </c>
      <c r="E1153" s="185">
        <v>237005</v>
      </c>
      <c r="F1153" s="185" t="s">
        <v>676</v>
      </c>
      <c r="G1153" s="185" t="s">
        <v>2207</v>
      </c>
      <c r="H1153" s="185" t="s">
        <v>1515</v>
      </c>
      <c r="I1153" s="258" t="str">
        <f t="shared" si="52"/>
        <v>2</v>
      </c>
      <c r="J1153" s="221">
        <f t="shared" si="53"/>
        <v>106740</v>
      </c>
      <c r="K1153" s="258">
        <f t="shared" si="54"/>
        <v>1</v>
      </c>
      <c r="L1153" s="188">
        <v>106740</v>
      </c>
      <c r="M1153" s="188">
        <v>0</v>
      </c>
      <c r="N1153" s="189">
        <v>830003564</v>
      </c>
      <c r="O1153"/>
      <c r="P1153" s="187">
        <v>45044.536550925899</v>
      </c>
      <c r="Q1153" s="186">
        <v>11193</v>
      </c>
      <c r="R1153" s="185" t="s">
        <v>1814</v>
      </c>
      <c r="S1153" s="185" t="s">
        <v>1652</v>
      </c>
      <c r="T1153"/>
      <c r="U1153" t="str">
        <f>IF($L1153&gt;0,VLOOKUP($E1153,Valida!$A$1:$G$270,6,FALSE),IF($M1153&gt;=0,VLOOKUP($E1153,Valida!$A$1:$G$270,7,FALSE)))</f>
        <v>(+/-) Ajustes por el incremento (disminución) de cuentas por pagar de origen comercial</v>
      </c>
      <c r="V1153" s="190" t="str">
        <f>VLOOKUP(E1153,Valida!$A$2:$K$271,4,FALSE)</f>
        <v>Trade and other payables</v>
      </c>
      <c r="W1153" s="185" t="s">
        <v>1973</v>
      </c>
      <c r="X1153" s="185" t="s">
        <v>1974</v>
      </c>
      <c r="Y1153" s="185" t="s">
        <v>1789</v>
      </c>
      <c r="Z1153"/>
    </row>
    <row r="1154" spans="1:26">
      <c r="A1154" s="185" t="s">
        <v>1799</v>
      </c>
      <c r="B1154" s="185" t="s">
        <v>2593</v>
      </c>
      <c r="C1154" s="185" t="s">
        <v>1785</v>
      </c>
      <c r="D1154" s="185" t="s">
        <v>2594</v>
      </c>
      <c r="E1154" s="185">
        <v>237005</v>
      </c>
      <c r="F1154" s="185" t="s">
        <v>676</v>
      </c>
      <c r="G1154" s="185" t="s">
        <v>2207</v>
      </c>
      <c r="H1154" s="185" t="s">
        <v>1515</v>
      </c>
      <c r="I1154" s="258" t="str">
        <f t="shared" si="52"/>
        <v>2</v>
      </c>
      <c r="J1154" s="221">
        <f t="shared" si="53"/>
        <v>64125</v>
      </c>
      <c r="K1154" s="258">
        <f t="shared" si="54"/>
        <v>1</v>
      </c>
      <c r="L1154" s="188">
        <v>64125</v>
      </c>
      <c r="M1154" s="188">
        <v>0</v>
      </c>
      <c r="N1154" s="189">
        <v>900156264</v>
      </c>
      <c r="O1154"/>
      <c r="P1154" s="187">
        <v>45044.536550925899</v>
      </c>
      <c r="Q1154" s="186">
        <v>11194</v>
      </c>
      <c r="R1154" s="185" t="s">
        <v>433</v>
      </c>
      <c r="S1154" s="185" t="s">
        <v>1654</v>
      </c>
      <c r="T1154"/>
      <c r="U1154" t="str">
        <f>IF($L1154&gt;0,VLOOKUP($E1154,Valida!$A$1:$G$270,6,FALSE),IF($M1154&gt;=0,VLOOKUP($E1154,Valida!$A$1:$G$270,7,FALSE)))</f>
        <v>(+/-) Ajustes por el incremento (disminución) de cuentas por pagar de origen comercial</v>
      </c>
      <c r="V1154" s="190" t="str">
        <f>VLOOKUP(E1154,Valida!$A$2:$K$271,4,FALSE)</f>
        <v>Trade and other payables</v>
      </c>
      <c r="W1154" s="185" t="s">
        <v>1926</v>
      </c>
      <c r="X1154" s="185" t="s">
        <v>1927</v>
      </c>
      <c r="Y1154" s="185" t="s">
        <v>1789</v>
      </c>
      <c r="Z1154"/>
    </row>
    <row r="1155" spans="1:26">
      <c r="A1155" s="185" t="s">
        <v>1799</v>
      </c>
      <c r="B1155" s="185" t="s">
        <v>2593</v>
      </c>
      <c r="C1155" s="185" t="s">
        <v>1785</v>
      </c>
      <c r="D1155" s="185" t="s">
        <v>2594</v>
      </c>
      <c r="E1155" s="185">
        <v>53059510</v>
      </c>
      <c r="F1155" s="185" t="s">
        <v>1065</v>
      </c>
      <c r="G1155" s="185" t="s">
        <v>2207</v>
      </c>
      <c r="H1155" s="185" t="s">
        <v>1515</v>
      </c>
      <c r="I1155" s="258" t="str">
        <f t="shared" ref="I1155:I1218" si="55">LEFT(E1155,1)</f>
        <v>5</v>
      </c>
      <c r="J1155" s="221">
        <f t="shared" ref="J1155:J1218" si="56">L1155-M1155</f>
        <v>35</v>
      </c>
      <c r="K1155" s="258">
        <f t="shared" ref="K1155:K1218" si="57">MONTH(A1155)</f>
        <v>1</v>
      </c>
      <c r="L1155" s="188">
        <v>35</v>
      </c>
      <c r="M1155" s="188">
        <v>0</v>
      </c>
      <c r="N1155" s="189">
        <v>860066942</v>
      </c>
      <c r="O1155"/>
      <c r="P1155" s="187">
        <v>45044.536550925899</v>
      </c>
      <c r="Q1155" s="186">
        <v>11195</v>
      </c>
      <c r="R1155" s="185" t="s">
        <v>1814</v>
      </c>
      <c r="S1155" s="185" t="s">
        <v>1574</v>
      </c>
      <c r="T1155"/>
      <c r="U1155" t="str">
        <f>IF($L1155&gt;0,VLOOKUP($E1155,Valida!$A$1:$G$270,6,FALSE),IF($M1155&gt;=0,VLOOKUP($E1155,Valida!$A$1:$G$270,7,FALSE)))</f>
        <v>(+/-) Ganancia (pérdida)</v>
      </c>
      <c r="V1155" s="190" t="str">
        <f>VLOOKUP(E1155,Valida!$A$2:$K$271,4,FALSE)</f>
        <v>P&amp;L</v>
      </c>
      <c r="W1155" s="185" t="s">
        <v>1914</v>
      </c>
      <c r="X1155" s="185" t="s">
        <v>1915</v>
      </c>
      <c r="Y1155" s="185" t="s">
        <v>1789</v>
      </c>
      <c r="Z1155"/>
    </row>
    <row r="1156" spans="1:26">
      <c r="A1156" s="185" t="s">
        <v>1799</v>
      </c>
      <c r="B1156" s="185" t="s">
        <v>2593</v>
      </c>
      <c r="C1156" s="185" t="s">
        <v>1785</v>
      </c>
      <c r="D1156" s="185" t="s">
        <v>2594</v>
      </c>
      <c r="E1156" s="185">
        <v>510569</v>
      </c>
      <c r="F1156" s="185" t="s">
        <v>1114</v>
      </c>
      <c r="G1156" s="185" t="s">
        <v>2207</v>
      </c>
      <c r="H1156" s="185" t="s">
        <v>1515</v>
      </c>
      <c r="I1156" s="258" t="str">
        <f t="shared" si="55"/>
        <v>5</v>
      </c>
      <c r="J1156" s="221">
        <f t="shared" si="56"/>
        <v>8700</v>
      </c>
      <c r="K1156" s="258">
        <f t="shared" si="57"/>
        <v>1</v>
      </c>
      <c r="L1156" s="188">
        <v>8700</v>
      </c>
      <c r="M1156" s="188">
        <v>0</v>
      </c>
      <c r="N1156" s="189">
        <v>860066942</v>
      </c>
      <c r="O1156"/>
      <c r="P1156" s="187">
        <v>45044.536550925899</v>
      </c>
      <c r="Q1156" s="186">
        <v>11196</v>
      </c>
      <c r="R1156" s="185" t="s">
        <v>1814</v>
      </c>
      <c r="S1156" s="185" t="s">
        <v>1574</v>
      </c>
      <c r="T1156"/>
      <c r="U1156" t="str">
        <f>IF($L1156&gt;0,VLOOKUP($E1156,Valida!$A$1:$G$270,6,FALSE),IF($M1156&gt;=0,VLOOKUP($E1156,Valida!$A$1:$G$270,7,FALSE)))</f>
        <v>(+/-) Ganancia (pérdida)</v>
      </c>
      <c r="V1156" s="190" t="str">
        <f>VLOOKUP(E1156,Valida!$A$2:$K$271,4,FALSE)</f>
        <v>P&amp;L</v>
      </c>
      <c r="W1156" s="185" t="s">
        <v>1914</v>
      </c>
      <c r="X1156" s="185" t="s">
        <v>1915</v>
      </c>
      <c r="Y1156" s="185" t="s">
        <v>1789</v>
      </c>
      <c r="Z1156"/>
    </row>
    <row r="1157" spans="1:26">
      <c r="A1157" s="185" t="s">
        <v>1799</v>
      </c>
      <c r="B1157" s="185" t="s">
        <v>2593</v>
      </c>
      <c r="C1157" s="185" t="s">
        <v>1785</v>
      </c>
      <c r="D1157" s="185" t="s">
        <v>2594</v>
      </c>
      <c r="E1157" s="185">
        <v>237095</v>
      </c>
      <c r="F1157" s="185" t="s">
        <v>150</v>
      </c>
      <c r="G1157" s="185" t="s">
        <v>2207</v>
      </c>
      <c r="H1157" s="185" t="s">
        <v>1628</v>
      </c>
      <c r="I1157" s="258" t="str">
        <f t="shared" si="55"/>
        <v>2</v>
      </c>
      <c r="J1157" s="221">
        <f t="shared" si="56"/>
        <v>-286000</v>
      </c>
      <c r="K1157" s="258">
        <f t="shared" si="57"/>
        <v>1</v>
      </c>
      <c r="L1157" s="188">
        <v>0</v>
      </c>
      <c r="M1157" s="188">
        <v>286000</v>
      </c>
      <c r="N1157" s="189">
        <v>860066942</v>
      </c>
      <c r="O1157"/>
      <c r="P1157" s="187">
        <v>45044.536550925899</v>
      </c>
      <c r="Q1157" s="186">
        <v>11197</v>
      </c>
      <c r="R1157" s="185" t="s">
        <v>1814</v>
      </c>
      <c r="S1157" s="185" t="s">
        <v>1574</v>
      </c>
      <c r="T1157"/>
      <c r="U1157" t="str">
        <f>IF($L1157&gt;0,VLOOKUP($E1157,Valida!$A$1:$G$270,6,FALSE),IF($M1157&gt;=0,VLOOKUP($E1157,Valida!$A$1:$G$270,7,FALSE)))</f>
        <v>(+/-) Ajustes por el incremento (disminución) de cuentas por pagar de origen comercial</v>
      </c>
      <c r="V1157" s="190" t="str">
        <f>VLOOKUP(E1157,Valida!$A$2:$K$271,4,FALSE)</f>
        <v>Trade and other payables</v>
      </c>
      <c r="W1157" s="185" t="s">
        <v>1914</v>
      </c>
      <c r="X1157" s="185" t="s">
        <v>1915</v>
      </c>
      <c r="Y1157" s="185" t="s">
        <v>1789</v>
      </c>
      <c r="Z1157"/>
    </row>
    <row r="1158" spans="1:26">
      <c r="A1158" s="185" t="s">
        <v>2039</v>
      </c>
      <c r="B1158" s="185" t="s">
        <v>2595</v>
      </c>
      <c r="C1158" s="185" t="s">
        <v>1960</v>
      </c>
      <c r="D1158" s="185" t="s">
        <v>2596</v>
      </c>
      <c r="E1158" s="185">
        <v>53050501</v>
      </c>
      <c r="F1158" s="185" t="s">
        <v>1462</v>
      </c>
      <c r="G1158" s="185" t="s">
        <v>1954</v>
      </c>
      <c r="H1158" s="185" t="s">
        <v>1515</v>
      </c>
      <c r="I1158" s="258" t="str">
        <f t="shared" si="55"/>
        <v>5</v>
      </c>
      <c r="J1158" s="221">
        <f t="shared" si="56"/>
        <v>69200</v>
      </c>
      <c r="K1158" s="258">
        <f t="shared" si="57"/>
        <v>4</v>
      </c>
      <c r="L1158" s="188">
        <v>69200</v>
      </c>
      <c r="M1158" s="188">
        <v>0</v>
      </c>
      <c r="N1158" s="189">
        <v>890903938</v>
      </c>
      <c r="O1158"/>
      <c r="P1158" s="187">
        <v>45049.644224536998</v>
      </c>
      <c r="Q1158" s="186">
        <v>11205</v>
      </c>
      <c r="R1158" s="185" t="s">
        <v>1827</v>
      </c>
      <c r="S1158" s="185" t="s">
        <v>1580</v>
      </c>
      <c r="T1158"/>
      <c r="U1158" t="str">
        <f>IF($L1158&gt;0,VLOOKUP($E1158,Valida!$A$1:$G$270,6,FALSE),IF($M1158&gt;=0,VLOOKUP($E1158,Valida!$A$1:$G$270,7,FALSE)))</f>
        <v>(+/-) Ganancia (pérdida)</v>
      </c>
      <c r="V1158" s="190" t="str">
        <f>VLOOKUP(E1158,Valida!$A$2:$K$271,4,FALSE)</f>
        <v>P&amp;L</v>
      </c>
      <c r="W1158" s="185" t="s">
        <v>1955</v>
      </c>
      <c r="X1158" s="185"/>
      <c r="Y1158" s="185" t="s">
        <v>1844</v>
      </c>
      <c r="Z1158"/>
    </row>
    <row r="1159" spans="1:26">
      <c r="A1159" s="185" t="s">
        <v>2039</v>
      </c>
      <c r="B1159" s="185" t="s">
        <v>2595</v>
      </c>
      <c r="C1159" s="185" t="s">
        <v>1960</v>
      </c>
      <c r="D1159" s="185" t="s">
        <v>2596</v>
      </c>
      <c r="E1159" s="185">
        <v>24081002</v>
      </c>
      <c r="F1159" s="185" t="s">
        <v>1687</v>
      </c>
      <c r="G1159" s="185" t="s">
        <v>1954</v>
      </c>
      <c r="H1159" s="185" t="s">
        <v>1515</v>
      </c>
      <c r="I1159" s="258" t="str">
        <f t="shared" si="55"/>
        <v>2</v>
      </c>
      <c r="J1159" s="221">
        <f t="shared" si="56"/>
        <v>13148</v>
      </c>
      <c r="K1159" s="258">
        <f t="shared" si="57"/>
        <v>4</v>
      </c>
      <c r="L1159" s="188">
        <v>13148</v>
      </c>
      <c r="M1159" s="188">
        <v>0</v>
      </c>
      <c r="N1159" s="189">
        <v>890903938</v>
      </c>
      <c r="O1159"/>
      <c r="P1159" s="187">
        <v>45049.644224536998</v>
      </c>
      <c r="Q1159" s="186">
        <v>11206</v>
      </c>
      <c r="R1159" s="185" t="s">
        <v>1827</v>
      </c>
      <c r="S1159" s="185" t="s">
        <v>1580</v>
      </c>
      <c r="T1159"/>
      <c r="U1159" t="str">
        <f>IF($L1159&gt;0,VLOOKUP($E1159,Valida!$A$1:$G$270,6,FALSE),IF($M1159&gt;=0,VLOOKUP($E1159,Valida!$A$1:$G$270,7,FALSE)))</f>
        <v>(+/-) Ajustes por el incremento (disminución) de cuentas por pagar de origen comercial</v>
      </c>
      <c r="V1159" s="190" t="str">
        <f>VLOOKUP(E1159,Valida!$A$2:$K$271,4,FALSE)</f>
        <v>Trade and other payables</v>
      </c>
      <c r="W1159" s="185" t="s">
        <v>1955</v>
      </c>
      <c r="X1159" s="185"/>
      <c r="Y1159" s="185" t="s">
        <v>1844</v>
      </c>
      <c r="Z1159"/>
    </row>
    <row r="1160" spans="1:26">
      <c r="A1160" s="185" t="s">
        <v>2039</v>
      </c>
      <c r="B1160" s="185" t="s">
        <v>2595</v>
      </c>
      <c r="C1160" s="185" t="s">
        <v>1960</v>
      </c>
      <c r="D1160" s="185" t="s">
        <v>2596</v>
      </c>
      <c r="E1160" s="185">
        <v>112005</v>
      </c>
      <c r="F1160" s="185" t="s">
        <v>24</v>
      </c>
      <c r="G1160" s="185" t="s">
        <v>1954</v>
      </c>
      <c r="H1160" s="185" t="s">
        <v>1628</v>
      </c>
      <c r="I1160" s="258" t="str">
        <f t="shared" si="55"/>
        <v>1</v>
      </c>
      <c r="J1160" s="221">
        <f t="shared" si="56"/>
        <v>-69200</v>
      </c>
      <c r="K1160" s="258">
        <f t="shared" si="57"/>
        <v>4</v>
      </c>
      <c r="L1160" s="188">
        <v>0</v>
      </c>
      <c r="M1160" s="188">
        <v>69200</v>
      </c>
      <c r="N1160" s="189">
        <v>890903938</v>
      </c>
      <c r="O1160"/>
      <c r="P1160" s="187">
        <v>45049.644236111097</v>
      </c>
      <c r="Q1160" s="186">
        <v>11207</v>
      </c>
      <c r="R1160" s="185" t="s">
        <v>1827</v>
      </c>
      <c r="S1160" s="185" t="s">
        <v>1580</v>
      </c>
      <c r="T1160" t="s">
        <v>1894</v>
      </c>
      <c r="U1160" t="str">
        <f>IF($L1160&gt;0,VLOOKUP($E1160,Valida!$A$1:$G$270,6,FALSE),IF($M1160&gt;=0,VLOOKUP($E1160,Valida!$A$1:$G$270,7,FALSE)))</f>
        <v>Disponible</v>
      </c>
      <c r="V1160" s="190" t="str">
        <f>VLOOKUP(E1160,Valida!$A$2:$K$271,4,FALSE)</f>
        <v>Cash and equivalents</v>
      </c>
      <c r="W1160" s="185" t="s">
        <v>1955</v>
      </c>
      <c r="X1160" s="185"/>
      <c r="Y1160" s="185" t="s">
        <v>1844</v>
      </c>
      <c r="Z1160"/>
    </row>
    <row r="1161" spans="1:26">
      <c r="A1161" s="185" t="s">
        <v>2039</v>
      </c>
      <c r="B1161" s="185" t="s">
        <v>2595</v>
      </c>
      <c r="C1161" s="185" t="s">
        <v>1960</v>
      </c>
      <c r="D1161" s="185" t="s">
        <v>2596</v>
      </c>
      <c r="E1161" s="185">
        <v>112005</v>
      </c>
      <c r="F1161" s="185" t="s">
        <v>24</v>
      </c>
      <c r="G1161" s="185" t="s">
        <v>1956</v>
      </c>
      <c r="H1161" s="185" t="s">
        <v>1628</v>
      </c>
      <c r="I1161" s="258" t="str">
        <f t="shared" si="55"/>
        <v>1</v>
      </c>
      <c r="J1161" s="221">
        <f t="shared" si="56"/>
        <v>-13148</v>
      </c>
      <c r="K1161" s="258">
        <f t="shared" si="57"/>
        <v>4</v>
      </c>
      <c r="L1161" s="188">
        <v>0</v>
      </c>
      <c r="M1161" s="188">
        <v>13148</v>
      </c>
      <c r="N1161" s="189">
        <v>890903938</v>
      </c>
      <c r="O1161"/>
      <c r="P1161" s="187">
        <v>45049.644236111097</v>
      </c>
      <c r="Q1161" s="186">
        <v>11208</v>
      </c>
      <c r="R1161" s="185" t="s">
        <v>1827</v>
      </c>
      <c r="S1161" s="185" t="s">
        <v>1580</v>
      </c>
      <c r="T1161" t="s">
        <v>1894</v>
      </c>
      <c r="U1161" t="str">
        <f>IF($L1161&gt;0,VLOOKUP($E1161,Valida!$A$1:$G$270,6,FALSE),IF($M1161&gt;=0,VLOOKUP($E1161,Valida!$A$1:$G$270,7,FALSE)))</f>
        <v>Disponible</v>
      </c>
      <c r="V1161" s="190" t="str">
        <f>VLOOKUP(E1161,Valida!$A$2:$K$271,4,FALSE)</f>
        <v>Cash and equivalents</v>
      </c>
      <c r="W1161" s="185" t="s">
        <v>1955</v>
      </c>
      <c r="X1161" s="185"/>
      <c r="Y1161" s="185" t="s">
        <v>1844</v>
      </c>
      <c r="Z1161"/>
    </row>
    <row r="1162" spans="1:26">
      <c r="A1162" s="185" t="s">
        <v>2039</v>
      </c>
      <c r="B1162" s="185" t="s">
        <v>2595</v>
      </c>
      <c r="C1162" s="185" t="s">
        <v>1960</v>
      </c>
      <c r="D1162" s="185" t="s">
        <v>2596</v>
      </c>
      <c r="E1162" s="185">
        <v>53050503</v>
      </c>
      <c r="F1162" s="185" t="s">
        <v>1468</v>
      </c>
      <c r="G1162" s="185" t="s">
        <v>1957</v>
      </c>
      <c r="H1162" s="185" t="s">
        <v>1515</v>
      </c>
      <c r="I1162" s="258" t="str">
        <f t="shared" si="55"/>
        <v>5</v>
      </c>
      <c r="J1162" s="221">
        <f t="shared" si="56"/>
        <v>70568.83</v>
      </c>
      <c r="K1162" s="258">
        <f t="shared" si="57"/>
        <v>4</v>
      </c>
      <c r="L1162" s="188">
        <v>70568.83</v>
      </c>
      <c r="M1162" s="188">
        <v>0</v>
      </c>
      <c r="N1162" s="189">
        <v>890903938</v>
      </c>
      <c r="O1162"/>
      <c r="P1162" s="187">
        <v>45049.644236111097</v>
      </c>
      <c r="Q1162" s="186">
        <v>11209</v>
      </c>
      <c r="R1162" s="185" t="s">
        <v>1827</v>
      </c>
      <c r="S1162" s="185" t="s">
        <v>1580</v>
      </c>
      <c r="T1162"/>
      <c r="U1162" t="str">
        <f>IF($L1162&gt;0,VLOOKUP($E1162,Valida!$A$1:$G$270,6,FALSE),IF($M1162&gt;=0,VLOOKUP($E1162,Valida!$A$1:$G$270,7,FALSE)))</f>
        <v>(+/-) Ganancia (pérdida)</v>
      </c>
      <c r="V1162" s="190" t="str">
        <f>VLOOKUP(E1162,Valida!$A$2:$K$271,4,FALSE)</f>
        <v>P&amp;L</v>
      </c>
      <c r="W1162" s="185" t="s">
        <v>1955</v>
      </c>
      <c r="X1162" s="185"/>
      <c r="Y1162" s="185" t="s">
        <v>1844</v>
      </c>
      <c r="Z1162"/>
    </row>
    <row r="1163" spans="1:26">
      <c r="A1163" s="185" t="s">
        <v>2039</v>
      </c>
      <c r="B1163" s="185" t="s">
        <v>2595</v>
      </c>
      <c r="C1163" s="185" t="s">
        <v>1960</v>
      </c>
      <c r="D1163" s="185" t="s">
        <v>2596</v>
      </c>
      <c r="E1163" s="185">
        <v>24081002</v>
      </c>
      <c r="F1163" s="185" t="s">
        <v>1687</v>
      </c>
      <c r="G1163" s="185" t="s">
        <v>1957</v>
      </c>
      <c r="H1163" s="185" t="s">
        <v>1515</v>
      </c>
      <c r="I1163" s="258" t="str">
        <f t="shared" si="55"/>
        <v>2</v>
      </c>
      <c r="J1163" s="221">
        <f t="shared" si="56"/>
        <v>13408.17</v>
      </c>
      <c r="K1163" s="258">
        <f t="shared" si="57"/>
        <v>4</v>
      </c>
      <c r="L1163" s="188">
        <v>13408.17</v>
      </c>
      <c r="M1163" s="188">
        <v>0</v>
      </c>
      <c r="N1163" s="189">
        <v>890903938</v>
      </c>
      <c r="O1163"/>
      <c r="P1163" s="187">
        <v>45049.644236111097</v>
      </c>
      <c r="Q1163" s="186">
        <v>11210</v>
      </c>
      <c r="R1163" s="185" t="s">
        <v>1827</v>
      </c>
      <c r="S1163" s="185" t="s">
        <v>1580</v>
      </c>
      <c r="T1163"/>
      <c r="U1163" t="str">
        <f>IF($L1163&gt;0,VLOOKUP($E1163,Valida!$A$1:$G$270,6,FALSE),IF($M1163&gt;=0,VLOOKUP($E1163,Valida!$A$1:$G$270,7,FALSE)))</f>
        <v>(+/-) Ajustes por el incremento (disminución) de cuentas por pagar de origen comercial</v>
      </c>
      <c r="V1163" s="190" t="str">
        <f>VLOOKUP(E1163,Valida!$A$2:$K$271,4,FALSE)</f>
        <v>Trade and other payables</v>
      </c>
      <c r="W1163" s="185" t="s">
        <v>1955</v>
      </c>
      <c r="X1163" s="185"/>
      <c r="Y1163" s="185" t="s">
        <v>1844</v>
      </c>
      <c r="Z1163"/>
    </row>
    <row r="1164" spans="1:26">
      <c r="A1164" s="185" t="s">
        <v>2039</v>
      </c>
      <c r="B1164" s="185" t="s">
        <v>2595</v>
      </c>
      <c r="C1164" s="185" t="s">
        <v>1960</v>
      </c>
      <c r="D1164" s="185" t="s">
        <v>2596</v>
      </c>
      <c r="E1164" s="185">
        <v>112005</v>
      </c>
      <c r="F1164" s="185" t="s">
        <v>24</v>
      </c>
      <c r="G1164" s="185" t="s">
        <v>1957</v>
      </c>
      <c r="H1164" s="185" t="s">
        <v>1628</v>
      </c>
      <c r="I1164" s="258" t="str">
        <f t="shared" si="55"/>
        <v>1</v>
      </c>
      <c r="J1164" s="221">
        <f t="shared" si="56"/>
        <v>-70568.83</v>
      </c>
      <c r="K1164" s="258">
        <f t="shared" si="57"/>
        <v>4</v>
      </c>
      <c r="L1164" s="188">
        <v>0</v>
      </c>
      <c r="M1164" s="188">
        <v>70568.83</v>
      </c>
      <c r="N1164" s="189">
        <v>890903938</v>
      </c>
      <c r="O1164"/>
      <c r="P1164" s="187">
        <v>45049.644236111097</v>
      </c>
      <c r="Q1164" s="186">
        <v>11211</v>
      </c>
      <c r="R1164" s="185" t="s">
        <v>1827</v>
      </c>
      <c r="S1164" s="185" t="s">
        <v>1580</v>
      </c>
      <c r="T1164" t="s">
        <v>1894</v>
      </c>
      <c r="U1164" t="str">
        <f>IF($L1164&gt;0,VLOOKUP($E1164,Valida!$A$1:$G$270,6,FALSE),IF($M1164&gt;=0,VLOOKUP($E1164,Valida!$A$1:$G$270,7,FALSE)))</f>
        <v>Disponible</v>
      </c>
      <c r="V1164" s="190" t="str">
        <f>VLOOKUP(E1164,Valida!$A$2:$K$271,4,FALSE)</f>
        <v>Cash and equivalents</v>
      </c>
      <c r="W1164" s="185" t="s">
        <v>1955</v>
      </c>
      <c r="X1164" s="185"/>
      <c r="Y1164" s="185" t="s">
        <v>1844</v>
      </c>
      <c r="Z1164"/>
    </row>
    <row r="1165" spans="1:26">
      <c r="A1165" s="185" t="s">
        <v>2039</v>
      </c>
      <c r="B1165" s="185" t="s">
        <v>2595</v>
      </c>
      <c r="C1165" s="185" t="s">
        <v>1960</v>
      </c>
      <c r="D1165" s="185" t="s">
        <v>2596</v>
      </c>
      <c r="E1165" s="185">
        <v>112005</v>
      </c>
      <c r="F1165" s="185" t="s">
        <v>24</v>
      </c>
      <c r="G1165" s="185" t="s">
        <v>1957</v>
      </c>
      <c r="H1165" s="185" t="s">
        <v>1628</v>
      </c>
      <c r="I1165" s="258" t="str">
        <f t="shared" si="55"/>
        <v>1</v>
      </c>
      <c r="J1165" s="221">
        <f t="shared" si="56"/>
        <v>-13408.17</v>
      </c>
      <c r="K1165" s="258">
        <f t="shared" si="57"/>
        <v>4</v>
      </c>
      <c r="L1165" s="188">
        <v>0</v>
      </c>
      <c r="M1165" s="188">
        <v>13408.17</v>
      </c>
      <c r="N1165" s="189">
        <v>890903938</v>
      </c>
      <c r="O1165"/>
      <c r="P1165" s="187">
        <v>45049.644236111097</v>
      </c>
      <c r="Q1165" s="186">
        <v>11212</v>
      </c>
      <c r="R1165" s="185" t="s">
        <v>1827</v>
      </c>
      <c r="S1165" s="185" t="s">
        <v>1580</v>
      </c>
      <c r="T1165" t="s">
        <v>1894</v>
      </c>
      <c r="U1165" t="str">
        <f>IF($L1165&gt;0,VLOOKUP($E1165,Valida!$A$1:$G$270,6,FALSE),IF($M1165&gt;=0,VLOOKUP($E1165,Valida!$A$1:$G$270,7,FALSE)))</f>
        <v>Disponible</v>
      </c>
      <c r="V1165" s="190" t="str">
        <f>VLOOKUP(E1165,Valida!$A$2:$K$271,4,FALSE)</f>
        <v>Cash and equivalents</v>
      </c>
      <c r="W1165" s="185" t="s">
        <v>1955</v>
      </c>
      <c r="X1165" s="185"/>
      <c r="Y1165" s="185" t="s">
        <v>1844</v>
      </c>
      <c r="Z1165"/>
    </row>
    <row r="1166" spans="1:26">
      <c r="A1166" s="185" t="s">
        <v>2039</v>
      </c>
      <c r="B1166" s="185" t="s">
        <v>2595</v>
      </c>
      <c r="C1166" s="185" t="s">
        <v>1960</v>
      </c>
      <c r="D1166" s="185" t="s">
        <v>2596</v>
      </c>
      <c r="E1166" s="185">
        <v>53050502</v>
      </c>
      <c r="F1166" s="185" t="s">
        <v>1465</v>
      </c>
      <c r="G1166" s="185" t="s">
        <v>1466</v>
      </c>
      <c r="H1166" s="185" t="s">
        <v>1515</v>
      </c>
      <c r="I1166" s="258" t="str">
        <f t="shared" si="55"/>
        <v>5</v>
      </c>
      <c r="J1166" s="221">
        <f t="shared" si="56"/>
        <v>12990</v>
      </c>
      <c r="K1166" s="258">
        <f t="shared" si="57"/>
        <v>4</v>
      </c>
      <c r="L1166" s="188">
        <v>12990</v>
      </c>
      <c r="M1166" s="188">
        <v>0</v>
      </c>
      <c r="N1166" s="189">
        <v>890903938</v>
      </c>
      <c r="O1166"/>
      <c r="P1166" s="187">
        <v>45049.644236111097</v>
      </c>
      <c r="Q1166" s="186">
        <v>11213</v>
      </c>
      <c r="R1166" s="185" t="s">
        <v>1827</v>
      </c>
      <c r="S1166" s="185" t="s">
        <v>1580</v>
      </c>
      <c r="T1166"/>
      <c r="U1166" t="str">
        <f>IF($L1166&gt;0,VLOOKUP($E1166,Valida!$A$1:$G$270,6,FALSE),IF($M1166&gt;=0,VLOOKUP($E1166,Valida!$A$1:$G$270,7,FALSE)))</f>
        <v>(+/-) Ganancia (pérdida)</v>
      </c>
      <c r="V1166" s="190" t="str">
        <f>VLOOKUP(E1166,Valida!$A$2:$K$271,4,FALSE)</f>
        <v>P&amp;L</v>
      </c>
      <c r="W1166" s="185" t="s">
        <v>1955</v>
      </c>
      <c r="X1166" s="185"/>
      <c r="Y1166" s="185" t="s">
        <v>1844</v>
      </c>
      <c r="Z1166"/>
    </row>
    <row r="1167" spans="1:26">
      <c r="A1167" s="185" t="s">
        <v>2039</v>
      </c>
      <c r="B1167" s="185" t="s">
        <v>2595</v>
      </c>
      <c r="C1167" s="185" t="s">
        <v>1960</v>
      </c>
      <c r="D1167" s="185" t="s">
        <v>2596</v>
      </c>
      <c r="E1167" s="185">
        <v>112005</v>
      </c>
      <c r="F1167" s="185" t="s">
        <v>24</v>
      </c>
      <c r="G1167" s="185" t="s">
        <v>1466</v>
      </c>
      <c r="H1167" s="185" t="s">
        <v>1628</v>
      </c>
      <c r="I1167" s="258" t="str">
        <f t="shared" si="55"/>
        <v>1</v>
      </c>
      <c r="J1167" s="221">
        <f t="shared" si="56"/>
        <v>-12990</v>
      </c>
      <c r="K1167" s="258">
        <f t="shared" si="57"/>
        <v>4</v>
      </c>
      <c r="L1167" s="188">
        <v>0</v>
      </c>
      <c r="M1167" s="188">
        <v>12990</v>
      </c>
      <c r="N1167" s="189">
        <v>890903938</v>
      </c>
      <c r="O1167"/>
      <c r="P1167" s="187">
        <v>45049.644236111097</v>
      </c>
      <c r="Q1167" s="186">
        <v>11214</v>
      </c>
      <c r="R1167" s="185" t="s">
        <v>1827</v>
      </c>
      <c r="S1167" s="185" t="s">
        <v>1580</v>
      </c>
      <c r="T1167" t="s">
        <v>1894</v>
      </c>
      <c r="U1167" t="str">
        <f>IF($L1167&gt;0,VLOOKUP($E1167,Valida!$A$1:$G$270,6,FALSE),IF($M1167&gt;=0,VLOOKUP($E1167,Valida!$A$1:$G$270,7,FALSE)))</f>
        <v>Disponible</v>
      </c>
      <c r="V1167" s="190" t="str">
        <f>VLOOKUP(E1167,Valida!$A$2:$K$271,4,FALSE)</f>
        <v>Cash and equivalents</v>
      </c>
      <c r="W1167" s="185" t="s">
        <v>1955</v>
      </c>
      <c r="X1167" s="185"/>
      <c r="Y1167" s="185" t="s">
        <v>1844</v>
      </c>
      <c r="Z1167"/>
    </row>
    <row r="1168" spans="1:26">
      <c r="A1168" s="185" t="s">
        <v>2039</v>
      </c>
      <c r="B1168" s="185" t="s">
        <v>2595</v>
      </c>
      <c r="C1168" s="185" t="s">
        <v>1960</v>
      </c>
      <c r="D1168" s="185" t="s">
        <v>2596</v>
      </c>
      <c r="E1168" s="185">
        <v>51159501</v>
      </c>
      <c r="F1168" s="185" t="s">
        <v>1181</v>
      </c>
      <c r="G1168" s="185" t="s">
        <v>1958</v>
      </c>
      <c r="H1168" s="185" t="s">
        <v>1515</v>
      </c>
      <c r="I1168" s="258" t="str">
        <f t="shared" si="55"/>
        <v>5</v>
      </c>
      <c r="J1168" s="221">
        <f t="shared" si="56"/>
        <v>191842.87</v>
      </c>
      <c r="K1168" s="258">
        <f t="shared" si="57"/>
        <v>4</v>
      </c>
      <c r="L1168" s="188">
        <v>191842.87</v>
      </c>
      <c r="M1168" s="188">
        <v>0</v>
      </c>
      <c r="N1168" s="189">
        <v>890903938</v>
      </c>
      <c r="O1168"/>
      <c r="P1168" s="187">
        <v>45049.644236111097</v>
      </c>
      <c r="Q1168" s="186">
        <v>11215</v>
      </c>
      <c r="R1168" s="185" t="s">
        <v>1827</v>
      </c>
      <c r="S1168" s="185" t="s">
        <v>1580</v>
      </c>
      <c r="T1168"/>
      <c r="U1168" t="str">
        <f>IF($L1168&gt;0,VLOOKUP($E1168,Valida!$A$1:$G$270,6,FALSE),IF($M1168&gt;=0,VLOOKUP($E1168,Valida!$A$1:$G$270,7,FALSE)))</f>
        <v>(+/-) Ganancia (pérdida)</v>
      </c>
      <c r="V1168" s="190" t="str">
        <f>VLOOKUP(E1168,Valida!$A$2:$K$271,4,FALSE)</f>
        <v>P&amp;L</v>
      </c>
      <c r="W1168" s="185" t="s">
        <v>1955</v>
      </c>
      <c r="X1168" s="185"/>
      <c r="Y1168" s="185" t="s">
        <v>1844</v>
      </c>
      <c r="Z1168"/>
    </row>
    <row r="1169" spans="1:26">
      <c r="A1169" s="185" t="s">
        <v>2039</v>
      </c>
      <c r="B1169" s="185" t="s">
        <v>2595</v>
      </c>
      <c r="C1169" s="185" t="s">
        <v>1960</v>
      </c>
      <c r="D1169" s="185" t="s">
        <v>2596</v>
      </c>
      <c r="E1169" s="185">
        <v>112005</v>
      </c>
      <c r="F1169" s="185" t="s">
        <v>24</v>
      </c>
      <c r="G1169" s="185" t="s">
        <v>1958</v>
      </c>
      <c r="H1169" s="185" t="s">
        <v>1628</v>
      </c>
      <c r="I1169" s="258" t="str">
        <f t="shared" si="55"/>
        <v>1</v>
      </c>
      <c r="J1169" s="221">
        <f t="shared" si="56"/>
        <v>-191842.87</v>
      </c>
      <c r="K1169" s="258">
        <f t="shared" si="57"/>
        <v>4</v>
      </c>
      <c r="L1169" s="188">
        <v>0</v>
      </c>
      <c r="M1169" s="188">
        <v>191842.87</v>
      </c>
      <c r="N1169" s="189">
        <v>890903938</v>
      </c>
      <c r="O1169"/>
      <c r="P1169" s="187">
        <v>45049.644236111097</v>
      </c>
      <c r="Q1169" s="186">
        <v>11216</v>
      </c>
      <c r="R1169" s="185" t="s">
        <v>1827</v>
      </c>
      <c r="S1169" s="185" t="s">
        <v>1580</v>
      </c>
      <c r="T1169" t="s">
        <v>1894</v>
      </c>
      <c r="U1169" t="str">
        <f>IF($L1169&gt;0,VLOOKUP($E1169,Valida!$A$1:$G$270,6,FALSE),IF($M1169&gt;=0,VLOOKUP($E1169,Valida!$A$1:$G$270,7,FALSE)))</f>
        <v>Disponible</v>
      </c>
      <c r="V1169" s="190" t="str">
        <f>VLOOKUP(E1169,Valida!$A$2:$K$271,4,FALSE)</f>
        <v>Cash and equivalents</v>
      </c>
      <c r="W1169" s="185" t="s">
        <v>1955</v>
      </c>
      <c r="X1169" s="185"/>
      <c r="Y1169" s="185" t="s">
        <v>1844</v>
      </c>
      <c r="Z1169"/>
    </row>
    <row r="1170" spans="1:26">
      <c r="A1170" s="185" t="s">
        <v>2039</v>
      </c>
      <c r="B1170" s="185" t="s">
        <v>2597</v>
      </c>
      <c r="C1170" s="185" t="s">
        <v>1960</v>
      </c>
      <c r="D1170" s="185" t="s">
        <v>2598</v>
      </c>
      <c r="E1170" s="185">
        <v>112005</v>
      </c>
      <c r="F1170" s="185" t="s">
        <v>24</v>
      </c>
      <c r="G1170" s="185" t="s">
        <v>1961</v>
      </c>
      <c r="H1170" s="185" t="s">
        <v>1515</v>
      </c>
      <c r="I1170" s="258" t="str">
        <f t="shared" si="55"/>
        <v>1</v>
      </c>
      <c r="J1170" s="221">
        <f t="shared" si="56"/>
        <v>971.67</v>
      </c>
      <c r="K1170" s="258">
        <f t="shared" si="57"/>
        <v>4</v>
      </c>
      <c r="L1170" s="188">
        <v>971.67</v>
      </c>
      <c r="M1170" s="188">
        <v>0</v>
      </c>
      <c r="N1170" s="189">
        <v>890903938</v>
      </c>
      <c r="O1170"/>
      <c r="P1170" s="187">
        <v>45049.645219907397</v>
      </c>
      <c r="Q1170" s="186">
        <v>11217</v>
      </c>
      <c r="R1170" s="185" t="s">
        <v>1827</v>
      </c>
      <c r="S1170" s="185" t="s">
        <v>1580</v>
      </c>
      <c r="T1170" t="s">
        <v>1894</v>
      </c>
      <c r="U1170" t="str">
        <f>IF($L1170&gt;0,VLOOKUP($E1170,Valida!$A$1:$G$270,6,FALSE),IF($M1170&gt;=0,VLOOKUP($E1170,Valida!$A$1:$G$270,7,FALSE)))</f>
        <v>Disponible</v>
      </c>
      <c r="V1170" s="190" t="str">
        <f>VLOOKUP(E1170,Valida!$A$2:$K$271,4,FALSE)</f>
        <v>Cash and equivalents</v>
      </c>
      <c r="W1170" s="185" t="s">
        <v>1955</v>
      </c>
      <c r="X1170" s="185"/>
      <c r="Y1170" s="185" t="s">
        <v>1844</v>
      </c>
      <c r="Z1170"/>
    </row>
    <row r="1171" spans="1:26">
      <c r="A1171" s="185" t="s">
        <v>2039</v>
      </c>
      <c r="B1171" s="185" t="s">
        <v>2597</v>
      </c>
      <c r="C1171" s="185" t="s">
        <v>1960</v>
      </c>
      <c r="D1171" s="185" t="s">
        <v>2598</v>
      </c>
      <c r="E1171" s="185">
        <v>42100501</v>
      </c>
      <c r="F1171" s="185" t="s">
        <v>1039</v>
      </c>
      <c r="G1171" s="185" t="s">
        <v>1961</v>
      </c>
      <c r="H1171" s="185" t="s">
        <v>1628</v>
      </c>
      <c r="I1171" s="258" t="str">
        <f t="shared" si="55"/>
        <v>4</v>
      </c>
      <c r="J1171" s="221">
        <f t="shared" si="56"/>
        <v>-971.67</v>
      </c>
      <c r="K1171" s="258">
        <f t="shared" si="57"/>
        <v>4</v>
      </c>
      <c r="L1171" s="188">
        <v>0</v>
      </c>
      <c r="M1171" s="188">
        <v>971.67</v>
      </c>
      <c r="N1171" s="189">
        <v>890903938</v>
      </c>
      <c r="O1171"/>
      <c r="P1171" s="187">
        <v>45049.645219907397</v>
      </c>
      <c r="Q1171" s="186">
        <v>11218</v>
      </c>
      <c r="R1171" s="185" t="s">
        <v>1827</v>
      </c>
      <c r="S1171" s="185" t="s">
        <v>1580</v>
      </c>
      <c r="T1171"/>
      <c r="U1171" t="str">
        <f>IF($L1171&gt;0,VLOOKUP($E1171,Valida!$A$1:$G$270,6,FALSE),IF($M1171&gt;=0,VLOOKUP($E1171,Valida!$A$1:$G$270,7,FALSE)))</f>
        <v>(+/-) Ganancia (pérdida)</v>
      </c>
      <c r="V1171" s="190" t="str">
        <f>VLOOKUP(E1171,Valida!$A$2:$K$271,4,FALSE)</f>
        <v>P&amp;L</v>
      </c>
      <c r="W1171" s="185" t="s">
        <v>1955</v>
      </c>
      <c r="X1171" s="185"/>
      <c r="Y1171" s="185" t="s">
        <v>1844</v>
      </c>
      <c r="Z1171"/>
    </row>
    <row r="1172" spans="1:26">
      <c r="A1172" s="185" t="s">
        <v>2039</v>
      </c>
      <c r="B1172" s="185" t="s">
        <v>2599</v>
      </c>
      <c r="C1172" s="185" t="s">
        <v>1785</v>
      </c>
      <c r="D1172" s="185" t="s">
        <v>1981</v>
      </c>
      <c r="E1172" s="185">
        <v>51602001</v>
      </c>
      <c r="F1172" s="185" t="s">
        <v>416</v>
      </c>
      <c r="G1172" s="185" t="s">
        <v>2232</v>
      </c>
      <c r="H1172" s="185" t="s">
        <v>1515</v>
      </c>
      <c r="I1172" s="258" t="str">
        <f t="shared" si="55"/>
        <v>5</v>
      </c>
      <c r="J1172" s="221">
        <f t="shared" si="56"/>
        <v>1596762</v>
      </c>
      <c r="K1172" s="258">
        <f t="shared" si="57"/>
        <v>4</v>
      </c>
      <c r="L1172" s="188">
        <v>1596762</v>
      </c>
      <c r="M1172" s="188">
        <v>0</v>
      </c>
      <c r="N1172" s="189">
        <v>901513634</v>
      </c>
      <c r="O1172"/>
      <c r="P1172" s="187">
        <v>45049.645821759303</v>
      </c>
      <c r="Q1172" s="186">
        <v>11219</v>
      </c>
      <c r="R1172" s="185" t="s">
        <v>6</v>
      </c>
      <c r="S1172" s="185" t="s">
        <v>1518</v>
      </c>
      <c r="T1172"/>
      <c r="U1172" t="str">
        <f>IF($L1172&gt;0,VLOOKUP($E1172,Valida!$A$1:$G$270,6,FALSE),IF($M1172&gt;=0,VLOOKUP($E1172,Valida!$A$1:$G$270,7,FALSE)))</f>
        <v>(+/-) Ganancia (pérdida)</v>
      </c>
      <c r="V1172" s="190" t="str">
        <f>VLOOKUP(E1172,Valida!$A$2:$K$271,4,FALSE)</f>
        <v>P&amp;L</v>
      </c>
      <c r="W1172" s="185" t="s">
        <v>1787</v>
      </c>
      <c r="X1172" s="185" t="s">
        <v>1788</v>
      </c>
      <c r="Y1172" s="185" t="s">
        <v>1789</v>
      </c>
      <c r="Z1172"/>
    </row>
    <row r="1173" spans="1:26">
      <c r="A1173" s="185" t="s">
        <v>2039</v>
      </c>
      <c r="B1173" s="185" t="s">
        <v>2599</v>
      </c>
      <c r="C1173" s="185" t="s">
        <v>1785</v>
      </c>
      <c r="D1173" s="185" t="s">
        <v>1981</v>
      </c>
      <c r="E1173" s="185">
        <v>15922001</v>
      </c>
      <c r="F1173" s="185" t="s">
        <v>416</v>
      </c>
      <c r="G1173" s="185" t="s">
        <v>2232</v>
      </c>
      <c r="H1173" s="185" t="s">
        <v>1628</v>
      </c>
      <c r="I1173" s="258" t="str">
        <f t="shared" si="55"/>
        <v>1</v>
      </c>
      <c r="J1173" s="221">
        <f t="shared" si="56"/>
        <v>-1596762</v>
      </c>
      <c r="K1173" s="258">
        <f t="shared" si="57"/>
        <v>4</v>
      </c>
      <c r="L1173" s="188">
        <v>0</v>
      </c>
      <c r="M1173" s="188">
        <v>1596762</v>
      </c>
      <c r="N1173" s="189">
        <v>901513634</v>
      </c>
      <c r="O1173"/>
      <c r="P1173" s="187">
        <v>45049.645821759303</v>
      </c>
      <c r="Q1173" s="186">
        <v>11220</v>
      </c>
      <c r="R1173" s="185" t="s">
        <v>6</v>
      </c>
      <c r="S1173" s="185" t="s">
        <v>1518</v>
      </c>
      <c r="T1173"/>
      <c r="U1173" t="str">
        <f>IF($L1173&gt;0,VLOOKUP($E1173,Valida!$A$1:$G$270,6,FALSE),IF($M1173&gt;=0,VLOOKUP($E1173,Valida!$A$1:$G$270,7,FALSE)))</f>
        <v>( + ) Ajustes por gastos de depreciación</v>
      </c>
      <c r="V1173" s="190" t="str">
        <f>VLOOKUP(E1173,Valida!$A$2:$K$271,4,FALSE)</f>
        <v>Depreciation</v>
      </c>
      <c r="W1173" s="185" t="s">
        <v>1787</v>
      </c>
      <c r="X1173" s="185" t="s">
        <v>1788</v>
      </c>
      <c r="Y1173" s="185" t="s">
        <v>1789</v>
      </c>
      <c r="Z1173"/>
    </row>
    <row r="1174" spans="1:26">
      <c r="A1174" s="185" t="s">
        <v>2039</v>
      </c>
      <c r="B1174" s="185" t="s">
        <v>2599</v>
      </c>
      <c r="C1174" s="185" t="s">
        <v>1785</v>
      </c>
      <c r="D1174" s="185" t="s">
        <v>1981</v>
      </c>
      <c r="E1174" s="185">
        <v>51602004</v>
      </c>
      <c r="F1174" s="185" t="s">
        <v>404</v>
      </c>
      <c r="G1174" s="185" t="s">
        <v>2236</v>
      </c>
      <c r="H1174" s="185" t="s">
        <v>1515</v>
      </c>
      <c r="I1174" s="258" t="str">
        <f t="shared" si="55"/>
        <v>5</v>
      </c>
      <c r="J1174" s="221">
        <f t="shared" si="56"/>
        <v>163793</v>
      </c>
      <c r="K1174" s="258">
        <f t="shared" si="57"/>
        <v>4</v>
      </c>
      <c r="L1174" s="188">
        <v>163793</v>
      </c>
      <c r="M1174" s="188">
        <v>0</v>
      </c>
      <c r="N1174" s="189">
        <v>901513634</v>
      </c>
      <c r="O1174"/>
      <c r="P1174" s="187">
        <v>45049.645821759303</v>
      </c>
      <c r="Q1174" s="186">
        <v>11221</v>
      </c>
      <c r="R1174" s="185" t="s">
        <v>6</v>
      </c>
      <c r="S1174" s="185" t="s">
        <v>1518</v>
      </c>
      <c r="T1174"/>
      <c r="U1174" t="str">
        <f>IF($L1174&gt;0,VLOOKUP($E1174,Valida!$A$1:$G$270,6,FALSE),IF($M1174&gt;=0,VLOOKUP($E1174,Valida!$A$1:$G$270,7,FALSE)))</f>
        <v>(+/-) Ganancia (pérdida)</v>
      </c>
      <c r="V1174" s="190" t="str">
        <f>VLOOKUP(E1174,Valida!$A$2:$K$271,4,FALSE)</f>
        <v>P&amp;L</v>
      </c>
      <c r="W1174" s="185" t="s">
        <v>1787</v>
      </c>
      <c r="X1174" s="185" t="s">
        <v>1788</v>
      </c>
      <c r="Y1174" s="185" t="s">
        <v>1789</v>
      </c>
      <c r="Z1174"/>
    </row>
    <row r="1175" spans="1:26">
      <c r="A1175" s="185" t="s">
        <v>2039</v>
      </c>
      <c r="B1175" s="185" t="s">
        <v>2599</v>
      </c>
      <c r="C1175" s="185" t="s">
        <v>1785</v>
      </c>
      <c r="D1175" s="185" t="s">
        <v>1981</v>
      </c>
      <c r="E1175" s="185">
        <v>15922004</v>
      </c>
      <c r="F1175" s="185" t="s">
        <v>404</v>
      </c>
      <c r="G1175" s="185" t="s">
        <v>2236</v>
      </c>
      <c r="H1175" s="185" t="s">
        <v>1628</v>
      </c>
      <c r="I1175" s="258" t="str">
        <f t="shared" si="55"/>
        <v>1</v>
      </c>
      <c r="J1175" s="221">
        <f t="shared" si="56"/>
        <v>-163793</v>
      </c>
      <c r="K1175" s="258">
        <f t="shared" si="57"/>
        <v>4</v>
      </c>
      <c r="L1175" s="188">
        <v>0</v>
      </c>
      <c r="M1175" s="188">
        <v>163793</v>
      </c>
      <c r="N1175" s="189">
        <v>901513634</v>
      </c>
      <c r="O1175"/>
      <c r="P1175" s="187">
        <v>45049.645821759303</v>
      </c>
      <c r="Q1175" s="186">
        <v>11222</v>
      </c>
      <c r="R1175" s="185" t="s">
        <v>6</v>
      </c>
      <c r="S1175" s="185" t="s">
        <v>1518</v>
      </c>
      <c r="T1175"/>
      <c r="U1175" t="str">
        <f>IF($L1175&gt;0,VLOOKUP($E1175,Valida!$A$1:$G$270,6,FALSE),IF($M1175&gt;=0,VLOOKUP($E1175,Valida!$A$1:$G$270,7,FALSE)))</f>
        <v>( + ) Ajustes por gastos de depreciación</v>
      </c>
      <c r="V1175" s="190" t="str">
        <f>VLOOKUP(E1175,Valida!$A$2:$K$271,4,FALSE)</f>
        <v>Depreciation</v>
      </c>
      <c r="W1175" s="185" t="s">
        <v>1787</v>
      </c>
      <c r="X1175" s="185" t="s">
        <v>1788</v>
      </c>
      <c r="Y1175" s="185" t="s">
        <v>1789</v>
      </c>
      <c r="Z1175"/>
    </row>
    <row r="1176" spans="1:26">
      <c r="A1176" s="185" t="s">
        <v>2039</v>
      </c>
      <c r="B1176" s="185" t="s">
        <v>2600</v>
      </c>
      <c r="C1176" s="185" t="s">
        <v>1801</v>
      </c>
      <c r="D1176" s="185" t="s">
        <v>2601</v>
      </c>
      <c r="E1176" s="185">
        <v>130510</v>
      </c>
      <c r="F1176" s="185" t="s">
        <v>64</v>
      </c>
      <c r="G1176" s="185" t="s">
        <v>2602</v>
      </c>
      <c r="H1176" s="185" t="s">
        <v>1515</v>
      </c>
      <c r="I1176" s="258" t="str">
        <f t="shared" si="55"/>
        <v>1</v>
      </c>
      <c r="J1176" s="221">
        <f t="shared" si="56"/>
        <v>72397947.599999994</v>
      </c>
      <c r="K1176" s="258">
        <f t="shared" si="57"/>
        <v>4</v>
      </c>
      <c r="L1176" s="188">
        <v>72397947.599999994</v>
      </c>
      <c r="M1176" s="188">
        <v>0</v>
      </c>
      <c r="N1176" s="189">
        <v>374795</v>
      </c>
      <c r="O1176"/>
      <c r="P1176" s="187">
        <v>45049.668773148202</v>
      </c>
      <c r="Q1176" s="186">
        <v>11223</v>
      </c>
      <c r="R1176" s="185"/>
      <c r="S1176" s="185" t="s">
        <v>1544</v>
      </c>
      <c r="T1176"/>
      <c r="U1176" t="str">
        <f>IF($L1176&gt;0,VLOOKUP($E1176,Valida!$A$1:$G$270,6,FALSE),IF($M1176&gt;=0,VLOOKUP($E1176,Valida!$A$1:$G$270,7,FALSE)))</f>
        <v>(+/-) Ajustes por la disminución (incremento) de cuentas por cobrar de origen comercial</v>
      </c>
      <c r="V1176" s="190" t="str">
        <f>VLOOKUP(E1176,Valida!$A$2:$K$271,4,FALSE)</f>
        <v>Trade and other receivables</v>
      </c>
      <c r="W1176" s="185" t="s">
        <v>1803</v>
      </c>
      <c r="X1176" s="185"/>
      <c r="Y1176" s="185"/>
      <c r="Z1176"/>
    </row>
    <row r="1177" spans="1:26">
      <c r="A1177" s="185" t="s">
        <v>2039</v>
      </c>
      <c r="B1177" s="185" t="s">
        <v>2600</v>
      </c>
      <c r="C1177" s="185" t="s">
        <v>1801</v>
      </c>
      <c r="D1177" s="185" t="s">
        <v>2601</v>
      </c>
      <c r="E1177" s="185">
        <v>41559505</v>
      </c>
      <c r="F1177" s="185" t="s">
        <v>1708</v>
      </c>
      <c r="G1177" s="185" t="s">
        <v>2603</v>
      </c>
      <c r="H1177" s="185" t="s">
        <v>1628</v>
      </c>
      <c r="I1177" s="258" t="str">
        <f t="shared" si="55"/>
        <v>4</v>
      </c>
      <c r="J1177" s="221">
        <f t="shared" si="56"/>
        <v>-72397947.599999994</v>
      </c>
      <c r="K1177" s="258">
        <f t="shared" si="57"/>
        <v>4</v>
      </c>
      <c r="L1177" s="188">
        <v>0</v>
      </c>
      <c r="M1177" s="188">
        <v>72397947.599999994</v>
      </c>
      <c r="N1177" s="189">
        <v>374795</v>
      </c>
      <c r="O1177"/>
      <c r="P1177" s="187">
        <v>45049.668784722198</v>
      </c>
      <c r="Q1177" s="186">
        <v>11224</v>
      </c>
      <c r="R1177" s="185"/>
      <c r="S1177" s="185" t="s">
        <v>1544</v>
      </c>
      <c r="T1177"/>
      <c r="U1177" t="str">
        <f>IF($L1177&gt;0,VLOOKUP($E1177,Valida!$A$1:$G$270,6,FALSE),IF($M1177&gt;=0,VLOOKUP($E1177,Valida!$A$1:$G$270,7,FALSE)))</f>
        <v>(+/-) Ganancia (pérdida)</v>
      </c>
      <c r="V1177" s="190" t="str">
        <f>VLOOKUP(E1177,Valida!$A$2:$K$271,4,FALSE)</f>
        <v>P&amp;L</v>
      </c>
      <c r="W1177" s="185" t="s">
        <v>1803</v>
      </c>
      <c r="X1177" s="185"/>
      <c r="Y1177" s="185"/>
      <c r="Z1177"/>
    </row>
    <row r="1178" spans="1:26">
      <c r="A1178" s="185" t="s">
        <v>2039</v>
      </c>
      <c r="B1178" s="185" t="s">
        <v>2604</v>
      </c>
      <c r="C1178" s="185" t="s">
        <v>1991</v>
      </c>
      <c r="D1178" s="185" t="s">
        <v>2605</v>
      </c>
      <c r="E1178" s="185">
        <v>23657502</v>
      </c>
      <c r="F1178" s="185" t="s">
        <v>1646</v>
      </c>
      <c r="G1178" s="185" t="s">
        <v>646</v>
      </c>
      <c r="H1178" s="185" t="s">
        <v>1628</v>
      </c>
      <c r="I1178" s="258" t="str">
        <f t="shared" si="55"/>
        <v>2</v>
      </c>
      <c r="J1178" s="221">
        <f t="shared" si="56"/>
        <v>-796388</v>
      </c>
      <c r="K1178" s="258">
        <f t="shared" si="57"/>
        <v>4</v>
      </c>
      <c r="L1178" s="188">
        <v>0</v>
      </c>
      <c r="M1178" s="188">
        <v>796388</v>
      </c>
      <c r="N1178" s="189">
        <v>800197268</v>
      </c>
      <c r="O1178"/>
      <c r="P1178" s="187">
        <v>45049.675046296303</v>
      </c>
      <c r="Q1178" s="186">
        <v>11225</v>
      </c>
      <c r="R1178" s="185" t="s">
        <v>983</v>
      </c>
      <c r="S1178" s="185" t="s">
        <v>1558</v>
      </c>
      <c r="T1178"/>
      <c r="U1178" t="str">
        <f>IF($L1178&gt;0,VLOOKUP($E1178,Valida!$A$1:$G$270,6,FALSE),IF($M1178&gt;=0,VLOOKUP($E1178,Valida!$A$1:$G$270,7,FALSE)))</f>
        <v>(+/-) Ajustes por el incremento (disminución) de cuentas por pagar de origen comercial</v>
      </c>
      <c r="V1178" s="190" t="str">
        <f>VLOOKUP(E1178,Valida!$A$2:$K$271,4,FALSE)</f>
        <v>Trade and other payables</v>
      </c>
      <c r="W1178" s="185" t="s">
        <v>1944</v>
      </c>
      <c r="X1178" s="185"/>
      <c r="Y1178" s="185" t="s">
        <v>1789</v>
      </c>
      <c r="Z1178"/>
    </row>
    <row r="1179" spans="1:26">
      <c r="A1179" s="185" t="s">
        <v>2039</v>
      </c>
      <c r="B1179" s="185" t="s">
        <v>2604</v>
      </c>
      <c r="C1179" s="185" t="s">
        <v>1991</v>
      </c>
      <c r="D1179" s="185" t="s">
        <v>2605</v>
      </c>
      <c r="E1179" s="185">
        <v>13551901</v>
      </c>
      <c r="F1179" s="185" t="s">
        <v>271</v>
      </c>
      <c r="G1179" s="185" t="s">
        <v>646</v>
      </c>
      <c r="H1179" s="185" t="s">
        <v>1515</v>
      </c>
      <c r="I1179" s="258" t="str">
        <f t="shared" si="55"/>
        <v>1</v>
      </c>
      <c r="J1179" s="221">
        <f t="shared" si="56"/>
        <v>796388</v>
      </c>
      <c r="K1179" s="258">
        <f t="shared" si="57"/>
        <v>4</v>
      </c>
      <c r="L1179" s="188">
        <v>796388</v>
      </c>
      <c r="M1179" s="188">
        <v>0</v>
      </c>
      <c r="N1179" s="189">
        <v>800197268</v>
      </c>
      <c r="O1179"/>
      <c r="P1179" s="187">
        <v>45049.675046296303</v>
      </c>
      <c r="Q1179" s="186">
        <v>11226</v>
      </c>
      <c r="R1179" s="185" t="s">
        <v>983</v>
      </c>
      <c r="S1179" s="185" t="s">
        <v>1558</v>
      </c>
      <c r="T1179"/>
      <c r="U1179" t="str">
        <f>IF($L1179&gt;0,VLOOKUP($E1179,Valida!$A$1:$G$270,6,FALSE),IF($M1179&gt;=0,VLOOKUP($E1179,Valida!$A$1:$G$270,7,FALSE)))</f>
        <v>(+/-) Ajustes por disminuciones (incrementos) en otras cuentas por cobrar derivadas de las actividades de operación</v>
      </c>
      <c r="V1179" s="190" t="str">
        <f>VLOOKUP(E1179,Valida!$A$2:$K$271,4,FALSE)</f>
        <v>Prepayments: Taxes</v>
      </c>
      <c r="W1179" s="185" t="s">
        <v>1944</v>
      </c>
      <c r="X1179" s="185"/>
      <c r="Y1179" s="185" t="s">
        <v>1789</v>
      </c>
      <c r="Z1179"/>
    </row>
    <row r="1180" spans="1:26">
      <c r="A1180" s="185" t="s">
        <v>2039</v>
      </c>
      <c r="B1180" s="185" t="s">
        <v>2606</v>
      </c>
      <c r="C1180" s="185" t="s">
        <v>1991</v>
      </c>
      <c r="D1180" s="185" t="s">
        <v>2607</v>
      </c>
      <c r="E1180" s="185">
        <v>23653001</v>
      </c>
      <c r="F1180" s="185" t="s">
        <v>611</v>
      </c>
      <c r="G1180" s="185" t="s">
        <v>2608</v>
      </c>
      <c r="H1180" s="185" t="s">
        <v>1515</v>
      </c>
      <c r="I1180" s="258" t="str">
        <f t="shared" si="55"/>
        <v>2</v>
      </c>
      <c r="J1180" s="221">
        <f t="shared" si="56"/>
        <v>446250</v>
      </c>
      <c r="K1180" s="258">
        <f t="shared" si="57"/>
        <v>4</v>
      </c>
      <c r="L1180" s="188">
        <v>446250</v>
      </c>
      <c r="M1180" s="188">
        <v>0</v>
      </c>
      <c r="N1180" s="189">
        <v>800197268</v>
      </c>
      <c r="O1180"/>
      <c r="P1180" s="187">
        <v>45049.677060185197</v>
      </c>
      <c r="Q1180" s="186">
        <v>11227</v>
      </c>
      <c r="R1180" s="185" t="s">
        <v>983</v>
      </c>
      <c r="S1180" s="185" t="s">
        <v>1558</v>
      </c>
      <c r="T1180"/>
      <c r="U1180" t="str">
        <f>IF($L1180&gt;0,VLOOKUP($E1180,Valida!$A$1:$G$270,6,FALSE),IF($M1180&gt;=0,VLOOKUP($E1180,Valida!$A$1:$G$270,7,FALSE)))</f>
        <v>(+/-) Ajustes por el incremento (disminución) de cuentas por pagar de origen comercial</v>
      </c>
      <c r="V1180" s="190" t="str">
        <f>VLOOKUP(E1180,Valida!$A$2:$K$271,4,FALSE)</f>
        <v>Trade and other payables</v>
      </c>
      <c r="W1180" s="185" t="s">
        <v>1944</v>
      </c>
      <c r="X1180" s="185"/>
      <c r="Y1180" s="185" t="s">
        <v>1789</v>
      </c>
      <c r="Z1180"/>
    </row>
    <row r="1181" spans="1:26">
      <c r="A1181" s="185" t="s">
        <v>2039</v>
      </c>
      <c r="B1181" s="185" t="s">
        <v>2606</v>
      </c>
      <c r="C1181" s="185" t="s">
        <v>1991</v>
      </c>
      <c r="D1181" s="185" t="s">
        <v>2607</v>
      </c>
      <c r="E1181" s="185">
        <v>23653002</v>
      </c>
      <c r="F1181" s="185" t="s">
        <v>241</v>
      </c>
      <c r="G1181" s="185" t="s">
        <v>2608</v>
      </c>
      <c r="H1181" s="185" t="s">
        <v>1515</v>
      </c>
      <c r="I1181" s="258" t="str">
        <f t="shared" si="55"/>
        <v>2</v>
      </c>
      <c r="J1181" s="221">
        <f t="shared" si="56"/>
        <v>4280</v>
      </c>
      <c r="K1181" s="258">
        <f t="shared" si="57"/>
        <v>4</v>
      </c>
      <c r="L1181" s="188">
        <v>4280</v>
      </c>
      <c r="M1181" s="188">
        <v>0</v>
      </c>
      <c r="N1181" s="189">
        <v>800197268</v>
      </c>
      <c r="O1181"/>
      <c r="P1181" s="187">
        <v>45049.677060185197</v>
      </c>
      <c r="Q1181" s="186">
        <v>11228</v>
      </c>
      <c r="R1181" s="185" t="s">
        <v>983</v>
      </c>
      <c r="S1181" s="185" t="s">
        <v>1558</v>
      </c>
      <c r="T1181"/>
      <c r="U1181" t="str">
        <f>IF($L1181&gt;0,VLOOKUP($E1181,Valida!$A$1:$G$270,6,FALSE),IF($M1181&gt;=0,VLOOKUP($E1181,Valida!$A$1:$G$270,7,FALSE)))</f>
        <v>(+/-) Ajustes por el incremento (disminución) de cuentas por pagar de origen comercial</v>
      </c>
      <c r="V1181" s="190" t="str">
        <f>VLOOKUP(E1181,Valida!$A$2:$K$271,4,FALSE)</f>
        <v>Trade and other payables</v>
      </c>
      <c r="W1181" s="185" t="s">
        <v>1944</v>
      </c>
      <c r="X1181" s="185"/>
      <c r="Y1181" s="185" t="s">
        <v>1789</v>
      </c>
      <c r="Z1181"/>
    </row>
    <row r="1182" spans="1:26">
      <c r="A1182" s="185" t="s">
        <v>2039</v>
      </c>
      <c r="B1182" s="185" t="s">
        <v>2606</v>
      </c>
      <c r="C1182" s="185" t="s">
        <v>1991</v>
      </c>
      <c r="D1182" s="185" t="s">
        <v>2607</v>
      </c>
      <c r="E1182" s="185">
        <v>23654001</v>
      </c>
      <c r="F1182" s="185" t="s">
        <v>622</v>
      </c>
      <c r="G1182" s="185" t="s">
        <v>2608</v>
      </c>
      <c r="H1182" s="185" t="s">
        <v>1515</v>
      </c>
      <c r="I1182" s="258" t="str">
        <f t="shared" si="55"/>
        <v>2</v>
      </c>
      <c r="J1182" s="221">
        <f t="shared" si="56"/>
        <v>89817</v>
      </c>
      <c r="K1182" s="258">
        <f t="shared" si="57"/>
        <v>4</v>
      </c>
      <c r="L1182" s="188">
        <v>89817</v>
      </c>
      <c r="M1182" s="188">
        <v>0</v>
      </c>
      <c r="N1182" s="189">
        <v>800197268</v>
      </c>
      <c r="O1182"/>
      <c r="P1182" s="187">
        <v>45049.677060185197</v>
      </c>
      <c r="Q1182" s="186">
        <v>11229</v>
      </c>
      <c r="R1182" s="185" t="s">
        <v>983</v>
      </c>
      <c r="S1182" s="185" t="s">
        <v>1558</v>
      </c>
      <c r="T1182"/>
      <c r="U1182" t="str">
        <f>IF($L1182&gt;0,VLOOKUP($E1182,Valida!$A$1:$G$270,6,FALSE),IF($M1182&gt;=0,VLOOKUP($E1182,Valida!$A$1:$G$270,7,FALSE)))</f>
        <v>(+/-) Ajustes por el incremento (disminución) de cuentas por pagar de origen comercial</v>
      </c>
      <c r="V1182" s="190" t="str">
        <f>VLOOKUP(E1182,Valida!$A$2:$K$271,4,FALSE)</f>
        <v>Trade and other payables</v>
      </c>
      <c r="W1182" s="185" t="s">
        <v>1944</v>
      </c>
      <c r="X1182" s="185"/>
      <c r="Y1182" s="185" t="s">
        <v>1789</v>
      </c>
      <c r="Z1182"/>
    </row>
    <row r="1183" spans="1:26">
      <c r="A1183" s="185" t="s">
        <v>2039</v>
      </c>
      <c r="B1183" s="185" t="s">
        <v>2606</v>
      </c>
      <c r="C1183" s="185" t="s">
        <v>1991</v>
      </c>
      <c r="D1183" s="185" t="s">
        <v>2607</v>
      </c>
      <c r="E1183" s="185">
        <v>23657502</v>
      </c>
      <c r="F1183" s="185" t="s">
        <v>1646</v>
      </c>
      <c r="G1183" s="185" t="s">
        <v>2608</v>
      </c>
      <c r="H1183" s="185" t="s">
        <v>1515</v>
      </c>
      <c r="I1183" s="258" t="str">
        <f t="shared" si="55"/>
        <v>2</v>
      </c>
      <c r="J1183" s="221">
        <f t="shared" si="56"/>
        <v>796388</v>
      </c>
      <c r="K1183" s="258">
        <f t="shared" si="57"/>
        <v>4</v>
      </c>
      <c r="L1183" s="188">
        <v>796388</v>
      </c>
      <c r="M1183" s="188">
        <v>0</v>
      </c>
      <c r="N1183" s="189">
        <v>800197268</v>
      </c>
      <c r="O1183"/>
      <c r="P1183" s="187">
        <v>45049.677060185197</v>
      </c>
      <c r="Q1183" s="186">
        <v>11230</v>
      </c>
      <c r="R1183" s="185" t="s">
        <v>983</v>
      </c>
      <c r="S1183" s="185" t="s">
        <v>1558</v>
      </c>
      <c r="T1183"/>
      <c r="U1183" t="str">
        <f>IF($L1183&gt;0,VLOOKUP($E1183,Valida!$A$1:$G$270,6,FALSE),IF($M1183&gt;=0,VLOOKUP($E1183,Valida!$A$1:$G$270,7,FALSE)))</f>
        <v>(+/-) Ajustes por el incremento (disminución) de cuentas por pagar de origen comercial</v>
      </c>
      <c r="V1183" s="190" t="str">
        <f>VLOOKUP(E1183,Valida!$A$2:$K$271,4,FALSE)</f>
        <v>Trade and other payables</v>
      </c>
      <c r="W1183" s="185" t="s">
        <v>1944</v>
      </c>
      <c r="X1183" s="185"/>
      <c r="Y1183" s="185" t="s">
        <v>1789</v>
      </c>
      <c r="Z1183"/>
    </row>
    <row r="1184" spans="1:26">
      <c r="A1184" s="185" t="s">
        <v>2039</v>
      </c>
      <c r="B1184" s="185" t="s">
        <v>2606</v>
      </c>
      <c r="C1184" s="185" t="s">
        <v>1991</v>
      </c>
      <c r="D1184" s="185" t="s">
        <v>2607</v>
      </c>
      <c r="E1184" s="185">
        <v>236595</v>
      </c>
      <c r="F1184" s="185" t="s">
        <v>648</v>
      </c>
      <c r="G1184" s="185" t="s">
        <v>2608</v>
      </c>
      <c r="H1184" s="185" t="s">
        <v>1628</v>
      </c>
      <c r="I1184" s="258" t="str">
        <f t="shared" si="55"/>
        <v>2</v>
      </c>
      <c r="J1184" s="221">
        <f t="shared" si="56"/>
        <v>-1337000</v>
      </c>
      <c r="K1184" s="258">
        <f t="shared" si="57"/>
        <v>4</v>
      </c>
      <c r="L1184" s="188">
        <v>0</v>
      </c>
      <c r="M1184" s="188">
        <v>1337000</v>
      </c>
      <c r="N1184" s="189">
        <v>800197268</v>
      </c>
      <c r="O1184"/>
      <c r="P1184" s="187">
        <v>45049.677071759303</v>
      </c>
      <c r="Q1184" s="186">
        <v>11231</v>
      </c>
      <c r="R1184" s="185" t="s">
        <v>983</v>
      </c>
      <c r="S1184" s="185" t="s">
        <v>1558</v>
      </c>
      <c r="T1184"/>
      <c r="U1184" t="str">
        <f>IF($L1184&gt;0,VLOOKUP($E1184,Valida!$A$1:$G$270,6,FALSE),IF($M1184&gt;=0,VLOOKUP($E1184,Valida!$A$1:$G$270,7,FALSE)))</f>
        <v>(+/-) Ajustes por el incremento (disminución) de cuentas por pagar de origen comercial</v>
      </c>
      <c r="V1184" s="190" t="str">
        <f>VLOOKUP(E1184,Valida!$A$2:$K$271,4,FALSE)</f>
        <v>Trade and other payables</v>
      </c>
      <c r="W1184" s="185" t="s">
        <v>1944</v>
      </c>
      <c r="X1184" s="185"/>
      <c r="Y1184" s="185" t="s">
        <v>1789</v>
      </c>
      <c r="Z1184"/>
    </row>
    <row r="1185" spans="1:26">
      <c r="A1185" s="185" t="s">
        <v>2039</v>
      </c>
      <c r="B1185" s="185" t="s">
        <v>2606</v>
      </c>
      <c r="C1185" s="185" t="s">
        <v>1991</v>
      </c>
      <c r="D1185" s="185" t="s">
        <v>2607</v>
      </c>
      <c r="E1185" s="185">
        <v>53059510</v>
      </c>
      <c r="F1185" s="185" t="s">
        <v>1065</v>
      </c>
      <c r="G1185" s="185" t="s">
        <v>2608</v>
      </c>
      <c r="H1185" s="185" t="s">
        <v>1515</v>
      </c>
      <c r="I1185" s="258" t="str">
        <f t="shared" si="55"/>
        <v>5</v>
      </c>
      <c r="J1185" s="221">
        <f t="shared" si="56"/>
        <v>265</v>
      </c>
      <c r="K1185" s="258">
        <f t="shared" si="57"/>
        <v>4</v>
      </c>
      <c r="L1185" s="188">
        <v>265</v>
      </c>
      <c r="M1185" s="188">
        <v>0</v>
      </c>
      <c r="N1185" s="189">
        <v>800197268</v>
      </c>
      <c r="O1185"/>
      <c r="P1185" s="187">
        <v>45049.677071759303</v>
      </c>
      <c r="Q1185" s="186">
        <v>11232</v>
      </c>
      <c r="R1185" s="185" t="s">
        <v>983</v>
      </c>
      <c r="S1185" s="185" t="s">
        <v>1558</v>
      </c>
      <c r="T1185"/>
      <c r="U1185" t="str">
        <f>IF($L1185&gt;0,VLOOKUP($E1185,Valida!$A$1:$G$270,6,FALSE),IF($M1185&gt;=0,VLOOKUP($E1185,Valida!$A$1:$G$270,7,FALSE)))</f>
        <v>(+/-) Ganancia (pérdida)</v>
      </c>
      <c r="V1185" s="190" t="str">
        <f>VLOOKUP(E1185,Valida!$A$2:$K$271,4,FALSE)</f>
        <v>P&amp;L</v>
      </c>
      <c r="W1185" s="185" t="s">
        <v>1944</v>
      </c>
      <c r="X1185" s="185"/>
      <c r="Y1185" s="185" t="s">
        <v>1789</v>
      </c>
      <c r="Z1185"/>
    </row>
    <row r="1186" spans="1:26">
      <c r="A1186" s="185" t="s">
        <v>2039</v>
      </c>
      <c r="B1186" s="185" t="s">
        <v>2609</v>
      </c>
      <c r="C1186" s="185" t="s">
        <v>1991</v>
      </c>
      <c r="D1186" s="185" t="s">
        <v>2610</v>
      </c>
      <c r="E1186" s="185">
        <v>511505</v>
      </c>
      <c r="F1186" s="185" t="s">
        <v>1159</v>
      </c>
      <c r="G1186" s="185" t="s">
        <v>2611</v>
      </c>
      <c r="H1186" s="185" t="s">
        <v>1628</v>
      </c>
      <c r="I1186" s="258" t="str">
        <f t="shared" si="55"/>
        <v>5</v>
      </c>
      <c r="J1186" s="221">
        <f t="shared" si="56"/>
        <v>0</v>
      </c>
      <c r="K1186" s="258">
        <f t="shared" si="57"/>
        <v>4</v>
      </c>
      <c r="L1186" s="188">
        <v>0</v>
      </c>
      <c r="M1186" s="188">
        <v>0</v>
      </c>
      <c r="N1186" s="189">
        <v>899999061</v>
      </c>
      <c r="O1186"/>
      <c r="P1186" s="187">
        <v>45049.678599537001</v>
      </c>
      <c r="Q1186" s="186">
        <v>11233</v>
      </c>
      <c r="R1186" s="185"/>
      <c r="S1186" s="185" t="s">
        <v>1584</v>
      </c>
      <c r="T1186"/>
      <c r="U1186" t="str">
        <f>IF($L1186&gt;0,VLOOKUP($E1186,Valida!$A$1:$G$270,6,FALSE),IF($M1186&gt;=0,VLOOKUP($E1186,Valida!$A$1:$G$270,7,FALSE)))</f>
        <v>(+/-) Ganancia (pérdida)</v>
      </c>
      <c r="V1186" s="190" t="str">
        <f>VLOOKUP(E1186,Valida!$A$2:$K$271,4,FALSE)</f>
        <v>P&amp;L</v>
      </c>
      <c r="W1186" s="185" t="s">
        <v>1893</v>
      </c>
      <c r="X1186" s="185"/>
      <c r="Y1186" s="185" t="s">
        <v>1789</v>
      </c>
      <c r="Z1186"/>
    </row>
    <row r="1187" spans="1:26">
      <c r="A1187" s="185" t="s">
        <v>2039</v>
      </c>
      <c r="B1187" s="185" t="s">
        <v>2612</v>
      </c>
      <c r="C1187" s="185" t="s">
        <v>1991</v>
      </c>
      <c r="D1187" s="185" t="s">
        <v>2613</v>
      </c>
      <c r="E1187" s="185">
        <v>23680503</v>
      </c>
      <c r="F1187" s="185" t="s">
        <v>665</v>
      </c>
      <c r="G1187" s="185" t="s">
        <v>2614</v>
      </c>
      <c r="H1187" s="185" t="s">
        <v>1515</v>
      </c>
      <c r="I1187" s="258" t="str">
        <f t="shared" si="55"/>
        <v>2</v>
      </c>
      <c r="J1187" s="221">
        <f t="shared" si="56"/>
        <v>248398</v>
      </c>
      <c r="K1187" s="258">
        <f t="shared" si="57"/>
        <v>4</v>
      </c>
      <c r="L1187" s="188">
        <v>248398</v>
      </c>
      <c r="M1187" s="188">
        <v>0</v>
      </c>
      <c r="N1187" s="189">
        <v>899999061</v>
      </c>
      <c r="O1187"/>
      <c r="P1187" s="187">
        <v>45049.681319444397</v>
      </c>
      <c r="Q1187" s="186">
        <v>11235</v>
      </c>
      <c r="R1187" s="185"/>
      <c r="S1187" s="185" t="s">
        <v>1584</v>
      </c>
      <c r="T1187"/>
      <c r="U1187" t="str">
        <f>IF($L1187&gt;0,VLOOKUP($E1187,Valida!$A$1:$G$270,6,FALSE),IF($M1187&gt;=0,VLOOKUP($E1187,Valida!$A$1:$G$270,7,FALSE)))</f>
        <v>(+/-) Ajustes por el incremento (disminución) de cuentas por pagar de origen comercial</v>
      </c>
      <c r="V1187" s="190" t="str">
        <f>VLOOKUP(E1187,Valida!$A$2:$K$271,4,FALSE)</f>
        <v>Trade and other payables</v>
      </c>
      <c r="W1187" s="185" t="s">
        <v>1893</v>
      </c>
      <c r="X1187" s="185"/>
      <c r="Y1187" s="185" t="s">
        <v>1789</v>
      </c>
      <c r="Z1187"/>
    </row>
    <row r="1188" spans="1:26">
      <c r="A1188" s="185" t="s">
        <v>2039</v>
      </c>
      <c r="B1188" s="185" t="s">
        <v>2609</v>
      </c>
      <c r="C1188" s="185" t="s">
        <v>1991</v>
      </c>
      <c r="D1188" s="185" t="s">
        <v>2610</v>
      </c>
      <c r="E1188" s="185">
        <v>241205</v>
      </c>
      <c r="F1188" s="185" t="s">
        <v>732</v>
      </c>
      <c r="G1188" s="185" t="s">
        <v>2611</v>
      </c>
      <c r="H1188" s="185" t="s">
        <v>1628</v>
      </c>
      <c r="I1188" s="258" t="str">
        <f t="shared" si="55"/>
        <v>2</v>
      </c>
      <c r="J1188" s="221">
        <f t="shared" si="56"/>
        <v>0</v>
      </c>
      <c r="K1188" s="258">
        <f t="shared" si="57"/>
        <v>4</v>
      </c>
      <c r="L1188" s="188">
        <v>0</v>
      </c>
      <c r="M1188" s="188">
        <v>0</v>
      </c>
      <c r="N1188" s="189">
        <v>899999061</v>
      </c>
      <c r="O1188"/>
      <c r="P1188" s="187">
        <v>45049.6786111111</v>
      </c>
      <c r="Q1188" s="186">
        <v>11234</v>
      </c>
      <c r="R1188" s="185"/>
      <c r="S1188" s="185" t="s">
        <v>1584</v>
      </c>
      <c r="T1188"/>
      <c r="U1188" t="str">
        <f>IF($L1188&gt;0,VLOOKUP($E1188,Valida!$A$1:$G$270,6,FALSE),IF($M1188&gt;=0,VLOOKUP($E1188,Valida!$A$1:$G$270,7,FALSE)))</f>
        <v>(+/-) Ajustes por el incremento (disminución) de cuentas por pagar de origen comercial</v>
      </c>
      <c r="V1188" s="190" t="str">
        <f>VLOOKUP(E1188,Valida!$A$2:$K$271,4,FALSE)</f>
        <v>Trade and other payables</v>
      </c>
      <c r="W1188" s="185" t="s">
        <v>1893</v>
      </c>
      <c r="X1188" s="185"/>
      <c r="Y1188" s="185" t="s">
        <v>1789</v>
      </c>
      <c r="Z1188"/>
    </row>
    <row r="1189" spans="1:26">
      <c r="A1189" s="185" t="s">
        <v>2039</v>
      </c>
      <c r="B1189" s="185" t="s">
        <v>2612</v>
      </c>
      <c r="C1189" s="185" t="s">
        <v>1991</v>
      </c>
      <c r="D1189" s="185" t="s">
        <v>2613</v>
      </c>
      <c r="E1189" s="185">
        <v>23680504</v>
      </c>
      <c r="F1189" s="185" t="s">
        <v>668</v>
      </c>
      <c r="G1189" s="185" t="s">
        <v>2614</v>
      </c>
      <c r="H1189" s="185" t="s">
        <v>1515</v>
      </c>
      <c r="I1189" s="258" t="str">
        <f t="shared" si="55"/>
        <v>2</v>
      </c>
      <c r="J1189" s="221">
        <f t="shared" si="56"/>
        <v>69332</v>
      </c>
      <c r="K1189" s="258">
        <f t="shared" si="57"/>
        <v>4</v>
      </c>
      <c r="L1189" s="188">
        <v>69332</v>
      </c>
      <c r="M1189" s="188">
        <v>0</v>
      </c>
      <c r="N1189" s="189">
        <v>899999061</v>
      </c>
      <c r="O1189"/>
      <c r="P1189" s="187">
        <v>45049.681319444397</v>
      </c>
      <c r="Q1189" s="186">
        <v>11236</v>
      </c>
      <c r="R1189" s="185"/>
      <c r="S1189" s="185" t="s">
        <v>1584</v>
      </c>
      <c r="T1189"/>
      <c r="U1189" t="str">
        <f>IF($L1189&gt;0,VLOOKUP($E1189,Valida!$A$1:$G$270,6,FALSE),IF($M1189&gt;=0,VLOOKUP($E1189,Valida!$A$1:$G$270,7,FALSE)))</f>
        <v>(+/-) Ajustes por el incremento (disminución) de cuentas por pagar de origen comercial</v>
      </c>
      <c r="V1189" s="190" t="str">
        <f>VLOOKUP(E1189,Valida!$A$2:$K$271,4,FALSE)</f>
        <v>Trade and other payables</v>
      </c>
      <c r="W1189" s="185" t="s">
        <v>1893</v>
      </c>
      <c r="X1189" s="185"/>
      <c r="Y1189" s="185" t="s">
        <v>1789</v>
      </c>
      <c r="Z1189"/>
    </row>
    <row r="1190" spans="1:26">
      <c r="A1190" s="185" t="s">
        <v>2039</v>
      </c>
      <c r="B1190" s="185" t="s">
        <v>2612</v>
      </c>
      <c r="C1190" s="185" t="s">
        <v>1991</v>
      </c>
      <c r="D1190" s="185" t="s">
        <v>2613</v>
      </c>
      <c r="E1190" s="185">
        <v>236890</v>
      </c>
      <c r="F1190" s="185" t="s">
        <v>1648</v>
      </c>
      <c r="G1190" s="185" t="s">
        <v>2614</v>
      </c>
      <c r="H1190" s="185" t="s">
        <v>1628</v>
      </c>
      <c r="I1190" s="258" t="str">
        <f t="shared" si="55"/>
        <v>2</v>
      </c>
      <c r="J1190" s="221">
        <f t="shared" si="56"/>
        <v>-318000</v>
      </c>
      <c r="K1190" s="258">
        <f t="shared" si="57"/>
        <v>4</v>
      </c>
      <c r="L1190" s="188">
        <v>0</v>
      </c>
      <c r="M1190" s="188">
        <v>318000</v>
      </c>
      <c r="N1190" s="189">
        <v>899999061</v>
      </c>
      <c r="O1190"/>
      <c r="P1190" s="187">
        <v>45049.681319444397</v>
      </c>
      <c r="Q1190" s="186">
        <v>11237</v>
      </c>
      <c r="R1190" s="185"/>
      <c r="S1190" s="185" t="s">
        <v>1584</v>
      </c>
      <c r="T1190"/>
      <c r="U1190" t="str">
        <f>IF($L1190&gt;0,VLOOKUP($E1190,Valida!$A$1:$G$270,6,FALSE),IF($M1190&gt;=0,VLOOKUP($E1190,Valida!$A$1:$G$270,7,FALSE)))</f>
        <v>(+/-) Ajustes por el incremento (disminución) de cuentas por pagar de origen comercial</v>
      </c>
      <c r="V1190" s="190" t="str">
        <f>VLOOKUP(E1190,Valida!$A$2:$K$271,4,FALSE)</f>
        <v>Trade and other payables</v>
      </c>
      <c r="W1190" s="185" t="s">
        <v>1893</v>
      </c>
      <c r="X1190" s="185"/>
      <c r="Y1190" s="185" t="s">
        <v>1789</v>
      </c>
      <c r="Z1190"/>
    </row>
    <row r="1191" spans="1:26">
      <c r="A1191" s="185" t="s">
        <v>2039</v>
      </c>
      <c r="B1191" s="185" t="s">
        <v>2612</v>
      </c>
      <c r="C1191" s="185" t="s">
        <v>1991</v>
      </c>
      <c r="D1191" s="185" t="s">
        <v>2613</v>
      </c>
      <c r="E1191" s="185">
        <v>53059510</v>
      </c>
      <c r="F1191" s="185" t="s">
        <v>1065</v>
      </c>
      <c r="G1191" s="185" t="s">
        <v>2614</v>
      </c>
      <c r="H1191" s="185" t="s">
        <v>1515</v>
      </c>
      <c r="I1191" s="258" t="str">
        <f t="shared" si="55"/>
        <v>5</v>
      </c>
      <c r="J1191" s="221">
        <f t="shared" si="56"/>
        <v>270</v>
      </c>
      <c r="K1191" s="258">
        <f t="shared" si="57"/>
        <v>4</v>
      </c>
      <c r="L1191" s="188">
        <v>270</v>
      </c>
      <c r="M1191" s="188">
        <v>0</v>
      </c>
      <c r="N1191" s="189">
        <v>899999061</v>
      </c>
      <c r="O1191"/>
      <c r="P1191" s="187">
        <v>45049.681319444397</v>
      </c>
      <c r="Q1191" s="186">
        <v>11238</v>
      </c>
      <c r="R1191" s="185"/>
      <c r="S1191" s="185" t="s">
        <v>1584</v>
      </c>
      <c r="T1191"/>
      <c r="U1191" t="str">
        <f>IF($L1191&gt;0,VLOOKUP($E1191,Valida!$A$1:$G$270,6,FALSE),IF($M1191&gt;=0,VLOOKUP($E1191,Valida!$A$1:$G$270,7,FALSE)))</f>
        <v>(+/-) Ganancia (pérdida)</v>
      </c>
      <c r="V1191" s="190" t="str">
        <f>VLOOKUP(E1191,Valida!$A$2:$K$271,4,FALSE)</f>
        <v>P&amp;L</v>
      </c>
      <c r="W1191" s="185" t="s">
        <v>1893</v>
      </c>
      <c r="X1191" s="185"/>
      <c r="Y1191" s="185" t="s">
        <v>1789</v>
      </c>
      <c r="Z1191"/>
    </row>
    <row r="1192" spans="1:26">
      <c r="A1192" s="185" t="s">
        <v>1895</v>
      </c>
      <c r="B1192" s="185" t="s">
        <v>2615</v>
      </c>
      <c r="C1192" s="185" t="s">
        <v>1991</v>
      </c>
      <c r="D1192" s="185" t="s">
        <v>2616</v>
      </c>
      <c r="E1192" s="185">
        <v>24081001</v>
      </c>
      <c r="F1192" s="185" t="s">
        <v>1670</v>
      </c>
      <c r="G1192" s="185" t="s">
        <v>2617</v>
      </c>
      <c r="H1192" s="185" t="s">
        <v>1628</v>
      </c>
      <c r="I1192" s="258" t="str">
        <f t="shared" si="55"/>
        <v>2</v>
      </c>
      <c r="J1192" s="221">
        <f t="shared" si="56"/>
        <v>-485422</v>
      </c>
      <c r="K1192" s="258">
        <f t="shared" si="57"/>
        <v>2</v>
      </c>
      <c r="L1192" s="188">
        <v>0</v>
      </c>
      <c r="M1192" s="188">
        <v>485422</v>
      </c>
      <c r="N1192" s="189">
        <v>800197268</v>
      </c>
      <c r="O1192" t="s">
        <v>2615</v>
      </c>
      <c r="P1192" s="187">
        <v>45049</v>
      </c>
      <c r="Q1192" s="186">
        <v>11239</v>
      </c>
      <c r="R1192" s="185" t="s">
        <v>983</v>
      </c>
      <c r="S1192" s="185" t="s">
        <v>1558</v>
      </c>
      <c r="T1192"/>
      <c r="U1192" t="str">
        <f>IF($L1192&gt;0,VLOOKUP($E1192,Valida!$A$1:$G$270,6,FALSE),IF($M1192&gt;=0,VLOOKUP($E1192,Valida!$A$1:$G$270,7,FALSE)))</f>
        <v>(+/-) Ajustes por el incremento (disminución) de cuentas por pagar de origen comercial</v>
      </c>
      <c r="V1192" s="190" t="str">
        <f>VLOOKUP(E1192,Valida!$A$2:$K$271,4,FALSE)</f>
        <v>Trade and other payables</v>
      </c>
      <c r="W1192" s="185" t="s">
        <v>1944</v>
      </c>
      <c r="X1192" s="185"/>
      <c r="Y1192" s="185" t="s">
        <v>1789</v>
      </c>
      <c r="Z1192"/>
    </row>
    <row r="1193" spans="1:26">
      <c r="A1193" s="185" t="s">
        <v>1895</v>
      </c>
      <c r="B1193" s="185" t="s">
        <v>2615</v>
      </c>
      <c r="C1193" s="185" t="s">
        <v>1991</v>
      </c>
      <c r="D1193" s="185" t="s">
        <v>2616</v>
      </c>
      <c r="E1193" s="185">
        <v>24081002</v>
      </c>
      <c r="F1193" s="185" t="s">
        <v>1687</v>
      </c>
      <c r="G1193" s="185" t="s">
        <v>2617</v>
      </c>
      <c r="H1193" s="185" t="s">
        <v>1628</v>
      </c>
      <c r="I1193" s="258" t="str">
        <f t="shared" si="55"/>
        <v>2</v>
      </c>
      <c r="J1193" s="221">
        <f t="shared" si="56"/>
        <v>-10698289.01</v>
      </c>
      <c r="K1193" s="258">
        <f t="shared" si="57"/>
        <v>2</v>
      </c>
      <c r="L1193" s="188">
        <v>0</v>
      </c>
      <c r="M1193" s="188">
        <v>10698289.01</v>
      </c>
      <c r="N1193" s="189">
        <v>800197268</v>
      </c>
      <c r="O1193" t="s">
        <v>2615</v>
      </c>
      <c r="P1193" s="187">
        <v>45049</v>
      </c>
      <c r="Q1193" s="186">
        <v>11240</v>
      </c>
      <c r="R1193" s="185" t="s">
        <v>983</v>
      </c>
      <c r="S1193" s="185" t="s">
        <v>1558</v>
      </c>
      <c r="T1193"/>
      <c r="U1193" t="str">
        <f>IF($L1193&gt;0,VLOOKUP($E1193,Valida!$A$1:$G$270,6,FALSE),IF($M1193&gt;=0,VLOOKUP($E1193,Valida!$A$1:$G$270,7,FALSE)))</f>
        <v>(+/-) Ajustes por el incremento (disminución) de cuentas por pagar de origen comercial</v>
      </c>
      <c r="V1193" s="190" t="str">
        <f>VLOOKUP(E1193,Valida!$A$2:$K$271,4,FALSE)</f>
        <v>Trade and other payables</v>
      </c>
      <c r="W1193" s="185" t="s">
        <v>1944</v>
      </c>
      <c r="X1193" s="185"/>
      <c r="Y1193" s="185" t="s">
        <v>1789</v>
      </c>
      <c r="Z1193"/>
    </row>
    <row r="1194" spans="1:26">
      <c r="A1194" s="185" t="s">
        <v>1895</v>
      </c>
      <c r="B1194" s="185" t="s">
        <v>2615</v>
      </c>
      <c r="C1194" s="185" t="s">
        <v>1991</v>
      </c>
      <c r="D1194" s="185" t="s">
        <v>2616</v>
      </c>
      <c r="E1194" s="185">
        <v>24081005</v>
      </c>
      <c r="F1194" s="185" t="s">
        <v>1688</v>
      </c>
      <c r="G1194" s="185" t="s">
        <v>2617</v>
      </c>
      <c r="H1194" s="185" t="s">
        <v>1628</v>
      </c>
      <c r="I1194" s="258" t="str">
        <f t="shared" si="55"/>
        <v>2</v>
      </c>
      <c r="J1194" s="221">
        <f t="shared" si="56"/>
        <v>-100066</v>
      </c>
      <c r="K1194" s="258">
        <f t="shared" si="57"/>
        <v>2</v>
      </c>
      <c r="L1194" s="188">
        <v>0</v>
      </c>
      <c r="M1194" s="188">
        <v>100066</v>
      </c>
      <c r="N1194" s="189">
        <v>800197268</v>
      </c>
      <c r="O1194" t="s">
        <v>2615</v>
      </c>
      <c r="P1194" s="187">
        <v>45049</v>
      </c>
      <c r="Q1194" s="186">
        <v>11241</v>
      </c>
      <c r="R1194" s="185" t="s">
        <v>983</v>
      </c>
      <c r="S1194" s="185" t="s">
        <v>1558</v>
      </c>
      <c r="T1194"/>
      <c r="U1194" t="str">
        <f>IF($L1194&gt;0,VLOOKUP($E1194,Valida!$A$1:$G$270,6,FALSE),IF($M1194&gt;=0,VLOOKUP($E1194,Valida!$A$1:$G$270,7,FALSE)))</f>
        <v>(+/-) Ajustes por el incremento (disminución) de cuentas por pagar de origen comercial</v>
      </c>
      <c r="V1194" s="190" t="str">
        <f>VLOOKUP(E1194,Valida!$A$2:$K$271,4,FALSE)</f>
        <v>Trade and other payables</v>
      </c>
      <c r="W1194" s="185" t="s">
        <v>1944</v>
      </c>
      <c r="X1194" s="185"/>
      <c r="Y1194" s="185" t="s">
        <v>1789</v>
      </c>
      <c r="Z1194"/>
    </row>
    <row r="1195" spans="1:26">
      <c r="A1195" s="185" t="s">
        <v>1895</v>
      </c>
      <c r="B1195" s="185" t="s">
        <v>2615</v>
      </c>
      <c r="C1195" s="185" t="s">
        <v>1991</v>
      </c>
      <c r="D1195" s="185" t="s">
        <v>2616</v>
      </c>
      <c r="E1195" s="185">
        <v>24081501</v>
      </c>
      <c r="F1195" s="185" t="s">
        <v>747</v>
      </c>
      <c r="G1195" s="185" t="s">
        <v>2617</v>
      </c>
      <c r="H1195" s="185" t="s">
        <v>1515</v>
      </c>
      <c r="I1195" s="258" t="str">
        <f t="shared" si="55"/>
        <v>2</v>
      </c>
      <c r="J1195" s="221">
        <f t="shared" si="56"/>
        <v>485422</v>
      </c>
      <c r="K1195" s="258">
        <f t="shared" si="57"/>
        <v>2</v>
      </c>
      <c r="L1195" s="188">
        <v>485422</v>
      </c>
      <c r="M1195" s="188">
        <v>0</v>
      </c>
      <c r="N1195" s="189">
        <v>800197268</v>
      </c>
      <c r="O1195" t="s">
        <v>2615</v>
      </c>
      <c r="P1195" s="187">
        <v>45049</v>
      </c>
      <c r="Q1195" s="186">
        <v>11242</v>
      </c>
      <c r="R1195" s="185" t="s">
        <v>983</v>
      </c>
      <c r="S1195" s="185" t="s">
        <v>1558</v>
      </c>
      <c r="T1195"/>
      <c r="U1195" t="str">
        <f>IF($L1195&gt;0,VLOOKUP($E1195,Valida!$A$1:$G$270,6,FALSE),IF($M1195&gt;=0,VLOOKUP($E1195,Valida!$A$1:$G$270,7,FALSE)))</f>
        <v>(+/-) Ajustes por el incremento (disminución) de cuentas por pagar de origen comercial</v>
      </c>
      <c r="V1195" s="190" t="str">
        <f>VLOOKUP(E1195,Valida!$A$2:$K$271,4,FALSE)</f>
        <v>Trade and other payables</v>
      </c>
      <c r="W1195" s="185" t="s">
        <v>1944</v>
      </c>
      <c r="X1195" s="185"/>
      <c r="Y1195" s="185" t="s">
        <v>1789</v>
      </c>
      <c r="Z1195"/>
    </row>
    <row r="1196" spans="1:26">
      <c r="A1196" s="185" t="s">
        <v>1895</v>
      </c>
      <c r="B1196" s="185" t="s">
        <v>2615</v>
      </c>
      <c r="C1196" s="185" t="s">
        <v>1991</v>
      </c>
      <c r="D1196" s="185" t="s">
        <v>2616</v>
      </c>
      <c r="E1196" s="185">
        <v>24081502</v>
      </c>
      <c r="F1196" s="185" t="s">
        <v>750</v>
      </c>
      <c r="G1196" s="185" t="s">
        <v>2617</v>
      </c>
      <c r="H1196" s="185" t="s">
        <v>1515</v>
      </c>
      <c r="I1196" s="258" t="str">
        <f t="shared" si="55"/>
        <v>2</v>
      </c>
      <c r="J1196" s="221">
        <f t="shared" si="56"/>
        <v>10697289.01</v>
      </c>
      <c r="K1196" s="258">
        <f t="shared" si="57"/>
        <v>2</v>
      </c>
      <c r="L1196" s="188">
        <v>10697289.01</v>
      </c>
      <c r="M1196" s="188">
        <v>0</v>
      </c>
      <c r="N1196" s="189">
        <v>800197268</v>
      </c>
      <c r="O1196" t="s">
        <v>2615</v>
      </c>
      <c r="P1196" s="187">
        <v>45049</v>
      </c>
      <c r="Q1196" s="186">
        <v>11243</v>
      </c>
      <c r="R1196" s="185" t="s">
        <v>983</v>
      </c>
      <c r="S1196" s="185" t="s">
        <v>1558</v>
      </c>
      <c r="T1196"/>
      <c r="U1196" t="str">
        <f>IF($L1196&gt;0,VLOOKUP($E1196,Valida!$A$1:$G$270,6,FALSE),IF($M1196&gt;=0,VLOOKUP($E1196,Valida!$A$1:$G$270,7,FALSE)))</f>
        <v>(+/-) Ajustes por el incremento (disminución) de cuentas por pagar de origen comercial</v>
      </c>
      <c r="V1196" s="190" t="str">
        <f>VLOOKUP(E1196,Valida!$A$2:$K$271,4,FALSE)</f>
        <v>Trade and other payables</v>
      </c>
      <c r="W1196" s="185" t="s">
        <v>1944</v>
      </c>
      <c r="X1196" s="185"/>
      <c r="Y1196" s="185" t="s">
        <v>1789</v>
      </c>
      <c r="Z1196"/>
    </row>
    <row r="1197" spans="1:26">
      <c r="A1197" s="185" t="s">
        <v>1895</v>
      </c>
      <c r="B1197" s="185" t="s">
        <v>2615</v>
      </c>
      <c r="C1197" s="185" t="s">
        <v>1991</v>
      </c>
      <c r="D1197" s="185" t="s">
        <v>2616</v>
      </c>
      <c r="E1197" s="185">
        <v>24081505</v>
      </c>
      <c r="F1197" s="185" t="s">
        <v>756</v>
      </c>
      <c r="G1197" s="185" t="s">
        <v>2617</v>
      </c>
      <c r="H1197" s="185" t="s">
        <v>1515</v>
      </c>
      <c r="I1197" s="258" t="str">
        <f t="shared" si="55"/>
        <v>2</v>
      </c>
      <c r="J1197" s="221">
        <f t="shared" si="56"/>
        <v>100066</v>
      </c>
      <c r="K1197" s="258">
        <f t="shared" si="57"/>
        <v>2</v>
      </c>
      <c r="L1197" s="188">
        <v>100066</v>
      </c>
      <c r="M1197" s="188">
        <v>0</v>
      </c>
      <c r="N1197" s="189">
        <v>800197268</v>
      </c>
      <c r="O1197" t="s">
        <v>2615</v>
      </c>
      <c r="P1197" s="187">
        <v>45049</v>
      </c>
      <c r="Q1197" s="186">
        <v>11244</v>
      </c>
      <c r="R1197" s="185" t="s">
        <v>983</v>
      </c>
      <c r="S1197" s="185" t="s">
        <v>1558</v>
      </c>
      <c r="T1197"/>
      <c r="U1197" t="str">
        <f>IF($L1197&gt;0,VLOOKUP($E1197,Valida!$A$1:$G$270,6,FALSE),IF($M1197&gt;=0,VLOOKUP($E1197,Valida!$A$1:$G$270,7,FALSE)))</f>
        <v>(+/-) Ajustes por el incremento (disminución) de cuentas por pagar de origen comercial</v>
      </c>
      <c r="V1197" s="190" t="str">
        <f>VLOOKUP(E1197,Valida!$A$2:$K$271,4,FALSE)</f>
        <v>Trade and other payables</v>
      </c>
      <c r="W1197" s="185" t="s">
        <v>1944</v>
      </c>
      <c r="X1197" s="185"/>
      <c r="Y1197" s="185" t="s">
        <v>1789</v>
      </c>
      <c r="Z1197"/>
    </row>
    <row r="1198" spans="1:26">
      <c r="A1198" s="185" t="s">
        <v>1895</v>
      </c>
      <c r="B1198" s="185" t="s">
        <v>2615</v>
      </c>
      <c r="C1198" s="185" t="s">
        <v>1991</v>
      </c>
      <c r="D1198" s="185" t="s">
        <v>2616</v>
      </c>
      <c r="E1198" s="185">
        <v>53152003</v>
      </c>
      <c r="F1198" s="185" t="s">
        <v>1498</v>
      </c>
      <c r="G1198" s="185" t="s">
        <v>2617</v>
      </c>
      <c r="H1198" s="185" t="s">
        <v>1515</v>
      </c>
      <c r="I1198" s="258" t="str">
        <f t="shared" si="55"/>
        <v>5</v>
      </c>
      <c r="J1198" s="221">
        <f t="shared" si="56"/>
        <v>1000</v>
      </c>
      <c r="K1198" s="258">
        <f t="shared" si="57"/>
        <v>2</v>
      </c>
      <c r="L1198" s="188">
        <v>1000</v>
      </c>
      <c r="M1198" s="188">
        <v>0</v>
      </c>
      <c r="N1198" s="189">
        <v>800197268</v>
      </c>
      <c r="O1198" t="s">
        <v>2615</v>
      </c>
      <c r="P1198" s="187">
        <v>45049</v>
      </c>
      <c r="Q1198" s="186">
        <v>11245</v>
      </c>
      <c r="R1198" s="185" t="s">
        <v>983</v>
      </c>
      <c r="S1198" s="185" t="s">
        <v>1558</v>
      </c>
      <c r="T1198"/>
      <c r="U1198" t="str">
        <f>IF($L1198&gt;0,VLOOKUP($E1198,Valida!$A$1:$G$270,6,FALSE),IF($M1198&gt;=0,VLOOKUP($E1198,Valida!$A$1:$G$270,7,FALSE)))</f>
        <v>(+/-) Ganancia (pérdida)</v>
      </c>
      <c r="V1198" s="190" t="str">
        <f>VLOOKUP(E1198,Valida!$A$2:$K$271,4,FALSE)</f>
        <v>P&amp;L</v>
      </c>
      <c r="W1198" s="185" t="s">
        <v>1944</v>
      </c>
      <c r="X1198" s="185"/>
      <c r="Y1198" s="185" t="s">
        <v>1789</v>
      </c>
      <c r="Z1198"/>
    </row>
    <row r="1199" spans="1:26">
      <c r="A1199" s="185" t="s">
        <v>2248</v>
      </c>
      <c r="B1199" s="185" t="s">
        <v>2255</v>
      </c>
      <c r="C1199" s="185" t="s">
        <v>1792</v>
      </c>
      <c r="D1199" s="185" t="s">
        <v>2256</v>
      </c>
      <c r="E1199" s="185">
        <v>51159502</v>
      </c>
      <c r="F1199" s="185" t="s">
        <v>1736</v>
      </c>
      <c r="G1199" s="185" t="s">
        <v>1812</v>
      </c>
      <c r="H1199" s="185" t="s">
        <v>1515</v>
      </c>
      <c r="I1199" s="258" t="str">
        <f t="shared" si="55"/>
        <v>5</v>
      </c>
      <c r="J1199" s="221">
        <f t="shared" si="56"/>
        <v>276.5</v>
      </c>
      <c r="K1199" s="258">
        <f t="shared" si="57"/>
        <v>3</v>
      </c>
      <c r="L1199" s="188">
        <v>276.5</v>
      </c>
      <c r="M1199" s="188">
        <v>0</v>
      </c>
      <c r="N1199" s="189">
        <v>800153993</v>
      </c>
      <c r="O1199" t="s">
        <v>2257</v>
      </c>
      <c r="P1199" s="187">
        <v>45050</v>
      </c>
      <c r="Q1199" s="186">
        <v>11246</v>
      </c>
      <c r="R1199" s="185" t="s">
        <v>1814</v>
      </c>
      <c r="S1199" s="185" t="s">
        <v>1556</v>
      </c>
      <c r="T1199"/>
      <c r="U1199" t="str">
        <f>IF($L1199&gt;0,VLOOKUP($E1199,Valida!$A$1:$G$270,6,FALSE),IF($M1199&gt;=0,VLOOKUP($E1199,Valida!$A$1:$G$270,7,FALSE)))</f>
        <v>(+/-) Ganancia (pérdida)</v>
      </c>
      <c r="V1199" s="190" t="str">
        <f>VLOOKUP(E1199,Valida!$A$2:$K$271,4,FALSE)</f>
        <v>P&amp;L</v>
      </c>
      <c r="W1199" s="185" t="s">
        <v>1815</v>
      </c>
      <c r="X1199" s="185"/>
      <c r="Y1199" s="185" t="s">
        <v>1789</v>
      </c>
      <c r="Z1199"/>
    </row>
    <row r="1200" spans="1:26">
      <c r="A1200" s="185" t="s">
        <v>2468</v>
      </c>
      <c r="B1200" s="185" t="s">
        <v>2469</v>
      </c>
      <c r="C1200" s="185" t="s">
        <v>1792</v>
      </c>
      <c r="D1200" s="185" t="s">
        <v>2470</v>
      </c>
      <c r="E1200" s="185">
        <v>51159502</v>
      </c>
      <c r="F1200" s="185" t="s">
        <v>1736</v>
      </c>
      <c r="G1200" s="185" t="s">
        <v>1812</v>
      </c>
      <c r="H1200" s="185" t="s">
        <v>1515</v>
      </c>
      <c r="I1200" s="258" t="str">
        <f t="shared" si="55"/>
        <v>5</v>
      </c>
      <c r="J1200" s="221">
        <f t="shared" si="56"/>
        <v>276.5</v>
      </c>
      <c r="K1200" s="258">
        <f t="shared" si="57"/>
        <v>4</v>
      </c>
      <c r="L1200" s="188">
        <v>276.5</v>
      </c>
      <c r="M1200" s="188">
        <v>0</v>
      </c>
      <c r="N1200" s="189">
        <v>800153993</v>
      </c>
      <c r="O1200" t="s">
        <v>2471</v>
      </c>
      <c r="P1200" s="187">
        <v>45050</v>
      </c>
      <c r="Q1200" s="186">
        <v>11247</v>
      </c>
      <c r="R1200" s="185" t="s">
        <v>1814</v>
      </c>
      <c r="S1200" s="185" t="s">
        <v>1556</v>
      </c>
      <c r="T1200"/>
      <c r="U1200" t="str">
        <f>IF($L1200&gt;0,VLOOKUP($E1200,Valida!$A$1:$G$270,6,FALSE),IF($M1200&gt;=0,VLOOKUP($E1200,Valida!$A$1:$G$270,7,FALSE)))</f>
        <v>(+/-) Ganancia (pérdida)</v>
      </c>
      <c r="V1200" s="190" t="str">
        <f>VLOOKUP(E1200,Valida!$A$2:$K$271,4,FALSE)</f>
        <v>P&amp;L</v>
      </c>
      <c r="W1200" s="185" t="s">
        <v>1815</v>
      </c>
      <c r="X1200" s="185"/>
      <c r="Y1200" s="185" t="s">
        <v>1789</v>
      </c>
      <c r="Z1200"/>
    </row>
    <row r="1201" spans="1:26">
      <c r="A1201" s="185" t="s">
        <v>2039</v>
      </c>
      <c r="B1201" s="185" t="s">
        <v>2618</v>
      </c>
      <c r="C1201" s="185" t="s">
        <v>1991</v>
      </c>
      <c r="D1201" s="185" t="s">
        <v>2619</v>
      </c>
      <c r="E1201" s="185">
        <v>24081001</v>
      </c>
      <c r="F1201" s="185" t="s">
        <v>1670</v>
      </c>
      <c r="G1201" s="185" t="s">
        <v>2620</v>
      </c>
      <c r="H1201" s="185" t="s">
        <v>1628</v>
      </c>
      <c r="I1201" s="258" t="str">
        <f t="shared" si="55"/>
        <v>2</v>
      </c>
      <c r="J1201" s="221">
        <f t="shared" si="56"/>
        <v>-599243</v>
      </c>
      <c r="K1201" s="258">
        <f t="shared" si="57"/>
        <v>4</v>
      </c>
      <c r="L1201" s="188">
        <v>0</v>
      </c>
      <c r="M1201" s="188">
        <v>599243</v>
      </c>
      <c r="N1201" s="189">
        <v>800197268</v>
      </c>
      <c r="O1201"/>
      <c r="P1201" s="187">
        <v>45050.387395833299</v>
      </c>
      <c r="Q1201" s="186">
        <v>11248</v>
      </c>
      <c r="R1201" s="185" t="s">
        <v>983</v>
      </c>
      <c r="S1201" s="185" t="s">
        <v>1558</v>
      </c>
      <c r="T1201"/>
      <c r="U1201" t="str">
        <f>IF($L1201&gt;0,VLOOKUP($E1201,Valida!$A$1:$G$270,6,FALSE),IF($M1201&gt;=0,VLOOKUP($E1201,Valida!$A$1:$G$270,7,FALSE)))</f>
        <v>(+/-) Ajustes por el incremento (disminución) de cuentas por pagar de origen comercial</v>
      </c>
      <c r="V1201" s="190" t="str">
        <f>VLOOKUP(E1201,Valida!$A$2:$K$271,4,FALSE)</f>
        <v>Trade and other payables</v>
      </c>
      <c r="W1201" s="185" t="s">
        <v>1944</v>
      </c>
      <c r="X1201" s="185"/>
      <c r="Y1201" s="185" t="s">
        <v>1789</v>
      </c>
      <c r="Z1201"/>
    </row>
    <row r="1202" spans="1:26">
      <c r="A1202" s="185" t="s">
        <v>2039</v>
      </c>
      <c r="B1202" s="185" t="s">
        <v>2618</v>
      </c>
      <c r="C1202" s="185" t="s">
        <v>1991</v>
      </c>
      <c r="D1202" s="185" t="s">
        <v>2619</v>
      </c>
      <c r="E1202" s="185">
        <v>24081002</v>
      </c>
      <c r="F1202" s="185" t="s">
        <v>1687</v>
      </c>
      <c r="G1202" s="185" t="s">
        <v>2620</v>
      </c>
      <c r="H1202" s="185" t="s">
        <v>1628</v>
      </c>
      <c r="I1202" s="258" t="str">
        <f t="shared" si="55"/>
        <v>2</v>
      </c>
      <c r="J1202" s="221">
        <f t="shared" si="56"/>
        <v>-7105820.6699999999</v>
      </c>
      <c r="K1202" s="258">
        <f t="shared" si="57"/>
        <v>4</v>
      </c>
      <c r="L1202" s="188">
        <v>0</v>
      </c>
      <c r="M1202" s="188">
        <v>7105820.6699999999</v>
      </c>
      <c r="N1202" s="189">
        <v>800197268</v>
      </c>
      <c r="O1202"/>
      <c r="P1202" s="187">
        <v>45050.387395833299</v>
      </c>
      <c r="Q1202" s="186">
        <v>11249</v>
      </c>
      <c r="R1202" s="185" t="s">
        <v>983</v>
      </c>
      <c r="S1202" s="185" t="s">
        <v>1558</v>
      </c>
      <c r="T1202"/>
      <c r="U1202" t="str">
        <f>IF($L1202&gt;0,VLOOKUP($E1202,Valida!$A$1:$G$270,6,FALSE),IF($M1202&gt;=0,VLOOKUP($E1202,Valida!$A$1:$G$270,7,FALSE)))</f>
        <v>(+/-) Ajustes por el incremento (disminución) de cuentas por pagar de origen comercial</v>
      </c>
      <c r="V1202" s="190" t="str">
        <f>VLOOKUP(E1202,Valida!$A$2:$K$271,4,FALSE)</f>
        <v>Trade and other payables</v>
      </c>
      <c r="W1202" s="185" t="s">
        <v>1944</v>
      </c>
      <c r="X1202" s="185"/>
      <c r="Y1202" s="185" t="s">
        <v>1789</v>
      </c>
      <c r="Z1202"/>
    </row>
    <row r="1203" spans="1:26">
      <c r="A1203" s="185" t="s">
        <v>2039</v>
      </c>
      <c r="B1203" s="185" t="s">
        <v>2618</v>
      </c>
      <c r="C1203" s="185" t="s">
        <v>1991</v>
      </c>
      <c r="D1203" s="185" t="s">
        <v>2619</v>
      </c>
      <c r="E1203" s="185">
        <v>24081005</v>
      </c>
      <c r="F1203" s="185" t="s">
        <v>1688</v>
      </c>
      <c r="G1203" s="185" t="s">
        <v>2620</v>
      </c>
      <c r="H1203" s="185" t="s">
        <v>1628</v>
      </c>
      <c r="I1203" s="258" t="str">
        <f t="shared" si="55"/>
        <v>2</v>
      </c>
      <c r="J1203" s="221">
        <f t="shared" si="56"/>
        <v>-175504</v>
      </c>
      <c r="K1203" s="258">
        <f t="shared" si="57"/>
        <v>4</v>
      </c>
      <c r="L1203" s="188">
        <v>0</v>
      </c>
      <c r="M1203" s="188">
        <v>175504</v>
      </c>
      <c r="N1203" s="189">
        <v>800197268</v>
      </c>
      <c r="O1203"/>
      <c r="P1203" s="187">
        <v>45050.387395833299</v>
      </c>
      <c r="Q1203" s="186">
        <v>11250</v>
      </c>
      <c r="R1203" s="185" t="s">
        <v>983</v>
      </c>
      <c r="S1203" s="185" t="s">
        <v>1558</v>
      </c>
      <c r="T1203"/>
      <c r="U1203" t="str">
        <f>IF($L1203&gt;0,VLOOKUP($E1203,Valida!$A$1:$G$270,6,FALSE),IF($M1203&gt;=0,VLOOKUP($E1203,Valida!$A$1:$G$270,7,FALSE)))</f>
        <v>(+/-) Ajustes por el incremento (disminución) de cuentas por pagar de origen comercial</v>
      </c>
      <c r="V1203" s="190" t="str">
        <f>VLOOKUP(E1203,Valida!$A$2:$K$271,4,FALSE)</f>
        <v>Trade and other payables</v>
      </c>
      <c r="W1203" s="185" t="s">
        <v>1944</v>
      </c>
      <c r="X1203" s="185"/>
      <c r="Y1203" s="185" t="s">
        <v>1789</v>
      </c>
      <c r="Z1203"/>
    </row>
    <row r="1204" spans="1:26">
      <c r="A1204" s="185" t="s">
        <v>2039</v>
      </c>
      <c r="B1204" s="185" t="s">
        <v>2618</v>
      </c>
      <c r="C1204" s="185" t="s">
        <v>1991</v>
      </c>
      <c r="D1204" s="185" t="s">
        <v>2619</v>
      </c>
      <c r="E1204" s="185">
        <v>24081501</v>
      </c>
      <c r="F1204" s="185" t="s">
        <v>747</v>
      </c>
      <c r="G1204" s="185" t="s">
        <v>2620</v>
      </c>
      <c r="H1204" s="185" t="s">
        <v>1515</v>
      </c>
      <c r="I1204" s="258" t="str">
        <f t="shared" si="55"/>
        <v>2</v>
      </c>
      <c r="J1204" s="221">
        <f t="shared" si="56"/>
        <v>599000</v>
      </c>
      <c r="K1204" s="258">
        <f t="shared" si="57"/>
        <v>4</v>
      </c>
      <c r="L1204" s="188">
        <v>599000</v>
      </c>
      <c r="M1204" s="188">
        <v>0</v>
      </c>
      <c r="N1204" s="189">
        <v>800197268</v>
      </c>
      <c r="O1204"/>
      <c r="P1204" s="187">
        <v>45050.387395833299</v>
      </c>
      <c r="Q1204" s="186">
        <v>11251</v>
      </c>
      <c r="R1204" s="185" t="s">
        <v>983</v>
      </c>
      <c r="S1204" s="185" t="s">
        <v>1558</v>
      </c>
      <c r="T1204"/>
      <c r="U1204" t="str">
        <f>IF($L1204&gt;0,VLOOKUP($E1204,Valida!$A$1:$G$270,6,FALSE),IF($M1204&gt;=0,VLOOKUP($E1204,Valida!$A$1:$G$270,7,FALSE)))</f>
        <v>(+/-) Ajustes por el incremento (disminución) de cuentas por pagar de origen comercial</v>
      </c>
      <c r="V1204" s="190" t="str">
        <f>VLOOKUP(E1204,Valida!$A$2:$K$271,4,FALSE)</f>
        <v>Trade and other payables</v>
      </c>
      <c r="W1204" s="185" t="s">
        <v>1944</v>
      </c>
      <c r="X1204" s="185"/>
      <c r="Y1204" s="185" t="s">
        <v>1789</v>
      </c>
      <c r="Z1204"/>
    </row>
    <row r="1205" spans="1:26">
      <c r="A1205" s="185" t="s">
        <v>2039</v>
      </c>
      <c r="B1205" s="185" t="s">
        <v>2618</v>
      </c>
      <c r="C1205" s="185" t="s">
        <v>1991</v>
      </c>
      <c r="D1205" s="185" t="s">
        <v>2619</v>
      </c>
      <c r="E1205" s="185">
        <v>24081502</v>
      </c>
      <c r="F1205" s="185" t="s">
        <v>750</v>
      </c>
      <c r="G1205" s="185" t="s">
        <v>2620</v>
      </c>
      <c r="H1205" s="185" t="s">
        <v>1515</v>
      </c>
      <c r="I1205" s="258" t="str">
        <f t="shared" si="55"/>
        <v>2</v>
      </c>
      <c r="J1205" s="221">
        <f t="shared" si="56"/>
        <v>7105000</v>
      </c>
      <c r="K1205" s="258">
        <f t="shared" si="57"/>
        <v>4</v>
      </c>
      <c r="L1205" s="188">
        <v>7105000</v>
      </c>
      <c r="M1205" s="188">
        <v>0</v>
      </c>
      <c r="N1205" s="189">
        <v>800197268</v>
      </c>
      <c r="O1205"/>
      <c r="P1205" s="187">
        <v>45050.387395833299</v>
      </c>
      <c r="Q1205" s="186">
        <v>11252</v>
      </c>
      <c r="R1205" s="185" t="s">
        <v>983</v>
      </c>
      <c r="S1205" s="185" t="s">
        <v>1558</v>
      </c>
      <c r="T1205"/>
      <c r="U1205" t="str">
        <f>IF($L1205&gt;0,VLOOKUP($E1205,Valida!$A$1:$G$270,6,FALSE),IF($M1205&gt;=0,VLOOKUP($E1205,Valida!$A$1:$G$270,7,FALSE)))</f>
        <v>(+/-) Ajustes por el incremento (disminución) de cuentas por pagar de origen comercial</v>
      </c>
      <c r="V1205" s="190" t="str">
        <f>VLOOKUP(E1205,Valida!$A$2:$K$271,4,FALSE)</f>
        <v>Trade and other payables</v>
      </c>
      <c r="W1205" s="185" t="s">
        <v>1944</v>
      </c>
      <c r="X1205" s="185"/>
      <c r="Y1205" s="185" t="s">
        <v>1789</v>
      </c>
      <c r="Z1205"/>
    </row>
    <row r="1206" spans="1:26">
      <c r="A1206" s="185" t="s">
        <v>2039</v>
      </c>
      <c r="B1206" s="185" t="s">
        <v>2618</v>
      </c>
      <c r="C1206" s="185" t="s">
        <v>1991</v>
      </c>
      <c r="D1206" s="185" t="s">
        <v>2619</v>
      </c>
      <c r="E1206" s="185">
        <v>24081505</v>
      </c>
      <c r="F1206" s="185" t="s">
        <v>756</v>
      </c>
      <c r="G1206" s="185" t="s">
        <v>2620</v>
      </c>
      <c r="H1206" s="185" t="s">
        <v>1515</v>
      </c>
      <c r="I1206" s="258" t="str">
        <f t="shared" si="55"/>
        <v>2</v>
      </c>
      <c r="J1206" s="221">
        <f t="shared" si="56"/>
        <v>175000</v>
      </c>
      <c r="K1206" s="258">
        <f t="shared" si="57"/>
        <v>4</v>
      </c>
      <c r="L1206" s="188">
        <v>175000</v>
      </c>
      <c r="M1206" s="188">
        <v>0</v>
      </c>
      <c r="N1206" s="189">
        <v>800197268</v>
      </c>
      <c r="O1206"/>
      <c r="P1206" s="187">
        <v>45050.387395833299</v>
      </c>
      <c r="Q1206" s="186">
        <v>11253</v>
      </c>
      <c r="R1206" s="185" t="s">
        <v>983</v>
      </c>
      <c r="S1206" s="185" t="s">
        <v>1558</v>
      </c>
      <c r="T1206"/>
      <c r="U1206" t="str">
        <f>IF($L1206&gt;0,VLOOKUP($E1206,Valida!$A$1:$G$270,6,FALSE),IF($M1206&gt;=0,VLOOKUP($E1206,Valida!$A$1:$G$270,7,FALSE)))</f>
        <v>(+/-) Ajustes por el incremento (disminución) de cuentas por pagar de origen comercial</v>
      </c>
      <c r="V1206" s="190" t="str">
        <f>VLOOKUP(E1206,Valida!$A$2:$K$271,4,FALSE)</f>
        <v>Trade and other payables</v>
      </c>
      <c r="W1206" s="185" t="s">
        <v>1944</v>
      </c>
      <c r="X1206" s="185"/>
      <c r="Y1206" s="185" t="s">
        <v>1789</v>
      </c>
      <c r="Z1206"/>
    </row>
    <row r="1207" spans="1:26">
      <c r="A1207" s="185" t="s">
        <v>2039</v>
      </c>
      <c r="B1207" s="185" t="s">
        <v>2618</v>
      </c>
      <c r="C1207" s="185" t="s">
        <v>1991</v>
      </c>
      <c r="D1207" s="185" t="s">
        <v>2619</v>
      </c>
      <c r="E1207" s="185">
        <v>53152003</v>
      </c>
      <c r="F1207" s="185" t="s">
        <v>1498</v>
      </c>
      <c r="G1207" s="185" t="s">
        <v>2620</v>
      </c>
      <c r="H1207" s="185" t="s">
        <v>1515</v>
      </c>
      <c r="I1207" s="258" t="str">
        <f t="shared" si="55"/>
        <v>5</v>
      </c>
      <c r="J1207" s="221">
        <f t="shared" si="56"/>
        <v>1567.67</v>
      </c>
      <c r="K1207" s="258">
        <f t="shared" si="57"/>
        <v>4</v>
      </c>
      <c r="L1207" s="188">
        <v>1567.67</v>
      </c>
      <c r="M1207" s="188">
        <v>0</v>
      </c>
      <c r="N1207" s="189">
        <v>800197268</v>
      </c>
      <c r="O1207"/>
      <c r="P1207" s="187">
        <v>45050.387395833299</v>
      </c>
      <c r="Q1207" s="186">
        <v>11254</v>
      </c>
      <c r="R1207" s="185" t="s">
        <v>983</v>
      </c>
      <c r="S1207" s="185" t="s">
        <v>1558</v>
      </c>
      <c r="T1207"/>
      <c r="U1207" t="str">
        <f>IF($L1207&gt;0,VLOOKUP($E1207,Valida!$A$1:$G$270,6,FALSE),IF($M1207&gt;=0,VLOOKUP($E1207,Valida!$A$1:$G$270,7,FALSE)))</f>
        <v>(+/-) Ganancia (pérdida)</v>
      </c>
      <c r="V1207" s="190" t="str">
        <f>VLOOKUP(E1207,Valida!$A$2:$K$271,4,FALSE)</f>
        <v>P&amp;L</v>
      </c>
      <c r="W1207" s="185" t="s">
        <v>1944</v>
      </c>
      <c r="X1207" s="185"/>
      <c r="Y1207" s="185" t="s">
        <v>1789</v>
      </c>
      <c r="Z1207"/>
    </row>
    <row r="1208" spans="1:26">
      <c r="A1208" s="185" t="s">
        <v>2039</v>
      </c>
      <c r="B1208" s="185" t="s">
        <v>2621</v>
      </c>
      <c r="C1208" s="185" t="s">
        <v>1991</v>
      </c>
      <c r="D1208" s="185" t="s">
        <v>2622</v>
      </c>
      <c r="E1208" s="185">
        <v>13552001</v>
      </c>
      <c r="F1208" s="185" t="s">
        <v>276</v>
      </c>
      <c r="G1208" s="185" t="s">
        <v>2623</v>
      </c>
      <c r="H1208" s="185" t="s">
        <v>1515</v>
      </c>
      <c r="I1208" s="258" t="str">
        <f t="shared" si="55"/>
        <v>1</v>
      </c>
      <c r="J1208" s="221">
        <f t="shared" si="56"/>
        <v>7879000</v>
      </c>
      <c r="K1208" s="258">
        <f t="shared" si="57"/>
        <v>4</v>
      </c>
      <c r="L1208" s="188">
        <v>7879000</v>
      </c>
      <c r="M1208" s="188">
        <v>0</v>
      </c>
      <c r="N1208" s="189">
        <v>800197268</v>
      </c>
      <c r="O1208"/>
      <c r="P1208" s="187">
        <v>45050.388460648202</v>
      </c>
      <c r="Q1208" s="186">
        <v>11255</v>
      </c>
      <c r="R1208" s="185" t="s">
        <v>983</v>
      </c>
      <c r="S1208" s="185" t="s">
        <v>1558</v>
      </c>
      <c r="T1208"/>
      <c r="U1208" t="str">
        <f>IF($L1208&gt;0,VLOOKUP($E1208,Valida!$A$1:$G$270,6,FALSE),IF($M1208&gt;=0,VLOOKUP($E1208,Valida!$A$1:$G$270,7,FALSE)))</f>
        <v>(+/-) Ajustes por disminuciones (incrementos) en otras cuentas por cobrar derivadas de las actividades de operación</v>
      </c>
      <c r="V1208" s="190" t="str">
        <f>VLOOKUP(E1208,Valida!$A$2:$K$271,4,FALSE)</f>
        <v>Trade and other receivables</v>
      </c>
      <c r="W1208" s="185" t="s">
        <v>1944</v>
      </c>
      <c r="X1208" s="185"/>
      <c r="Y1208" s="185" t="s">
        <v>1789</v>
      </c>
      <c r="Z1208"/>
    </row>
    <row r="1209" spans="1:26">
      <c r="A1209" s="185" t="s">
        <v>2039</v>
      </c>
      <c r="B1209" s="185" t="s">
        <v>2621</v>
      </c>
      <c r="C1209" s="185" t="s">
        <v>1991</v>
      </c>
      <c r="D1209" s="185" t="s">
        <v>2622</v>
      </c>
      <c r="E1209" s="185">
        <v>24081501</v>
      </c>
      <c r="F1209" s="185" t="s">
        <v>747</v>
      </c>
      <c r="G1209" s="185" t="s">
        <v>2623</v>
      </c>
      <c r="H1209" s="185" t="s">
        <v>1628</v>
      </c>
      <c r="I1209" s="258" t="str">
        <f t="shared" si="55"/>
        <v>2</v>
      </c>
      <c r="J1209" s="221">
        <f t="shared" si="56"/>
        <v>-599000</v>
      </c>
      <c r="K1209" s="258">
        <f t="shared" si="57"/>
        <v>4</v>
      </c>
      <c r="L1209" s="188">
        <v>0</v>
      </c>
      <c r="M1209" s="188">
        <v>599000</v>
      </c>
      <c r="N1209" s="189">
        <v>800197268</v>
      </c>
      <c r="O1209"/>
      <c r="P1209" s="187">
        <v>45050.388460648202</v>
      </c>
      <c r="Q1209" s="186">
        <v>11256</v>
      </c>
      <c r="R1209" s="185" t="s">
        <v>983</v>
      </c>
      <c r="S1209" s="185" t="s">
        <v>1558</v>
      </c>
      <c r="T1209"/>
      <c r="U1209" t="str">
        <f>IF($L1209&gt;0,VLOOKUP($E1209,Valida!$A$1:$G$270,6,FALSE),IF($M1209&gt;=0,VLOOKUP($E1209,Valida!$A$1:$G$270,7,FALSE)))</f>
        <v>(+/-) Ajustes por el incremento (disminución) de cuentas por pagar de origen comercial</v>
      </c>
      <c r="V1209" s="190" t="str">
        <f>VLOOKUP(E1209,Valida!$A$2:$K$271,4,FALSE)</f>
        <v>Trade and other payables</v>
      </c>
      <c r="W1209" s="185" t="s">
        <v>1944</v>
      </c>
      <c r="X1209" s="185"/>
      <c r="Y1209" s="185" t="s">
        <v>1789</v>
      </c>
      <c r="Z1209"/>
    </row>
    <row r="1210" spans="1:26">
      <c r="A1210" s="185" t="s">
        <v>2039</v>
      </c>
      <c r="B1210" s="185" t="s">
        <v>2621</v>
      </c>
      <c r="C1210" s="185" t="s">
        <v>1991</v>
      </c>
      <c r="D1210" s="185" t="s">
        <v>2622</v>
      </c>
      <c r="E1210" s="185">
        <v>24081502</v>
      </c>
      <c r="F1210" s="185" t="s">
        <v>750</v>
      </c>
      <c r="G1210" s="185" t="s">
        <v>2623</v>
      </c>
      <c r="H1210" s="185" t="s">
        <v>1628</v>
      </c>
      <c r="I1210" s="258" t="str">
        <f t="shared" si="55"/>
        <v>2</v>
      </c>
      <c r="J1210" s="221">
        <f t="shared" si="56"/>
        <v>-7105000</v>
      </c>
      <c r="K1210" s="258">
        <f t="shared" si="57"/>
        <v>4</v>
      </c>
      <c r="L1210" s="188">
        <v>0</v>
      </c>
      <c r="M1210" s="188">
        <v>7105000</v>
      </c>
      <c r="N1210" s="189">
        <v>800197268</v>
      </c>
      <c r="O1210"/>
      <c r="P1210" s="187">
        <v>45050.388460648202</v>
      </c>
      <c r="Q1210" s="186">
        <v>11257</v>
      </c>
      <c r="R1210" s="185" t="s">
        <v>983</v>
      </c>
      <c r="S1210" s="185" t="s">
        <v>1558</v>
      </c>
      <c r="T1210"/>
      <c r="U1210" t="str">
        <f>IF($L1210&gt;0,VLOOKUP($E1210,Valida!$A$1:$G$270,6,FALSE),IF($M1210&gt;=0,VLOOKUP($E1210,Valida!$A$1:$G$270,7,FALSE)))</f>
        <v>(+/-) Ajustes por el incremento (disminución) de cuentas por pagar de origen comercial</v>
      </c>
      <c r="V1210" s="190" t="str">
        <f>VLOOKUP(E1210,Valida!$A$2:$K$271,4,FALSE)</f>
        <v>Trade and other payables</v>
      </c>
      <c r="W1210" s="185" t="s">
        <v>1944</v>
      </c>
      <c r="X1210" s="185"/>
      <c r="Y1210" s="185" t="s">
        <v>1789</v>
      </c>
      <c r="Z1210"/>
    </row>
    <row r="1211" spans="1:26">
      <c r="A1211" s="185" t="s">
        <v>2039</v>
      </c>
      <c r="B1211" s="185" t="s">
        <v>2621</v>
      </c>
      <c r="C1211" s="185" t="s">
        <v>1991</v>
      </c>
      <c r="D1211" s="185" t="s">
        <v>2622</v>
      </c>
      <c r="E1211" s="185">
        <v>24081505</v>
      </c>
      <c r="F1211" s="185" t="s">
        <v>756</v>
      </c>
      <c r="G1211" s="185" t="s">
        <v>2623</v>
      </c>
      <c r="H1211" s="185" t="s">
        <v>1628</v>
      </c>
      <c r="I1211" s="258" t="str">
        <f t="shared" si="55"/>
        <v>2</v>
      </c>
      <c r="J1211" s="221">
        <f t="shared" si="56"/>
        <v>-175000</v>
      </c>
      <c r="K1211" s="258">
        <f t="shared" si="57"/>
        <v>4</v>
      </c>
      <c r="L1211" s="188">
        <v>0</v>
      </c>
      <c r="M1211" s="188">
        <v>175000</v>
      </c>
      <c r="N1211" s="189">
        <v>800197268</v>
      </c>
      <c r="O1211"/>
      <c r="P1211" s="187">
        <v>45050.388460648202</v>
      </c>
      <c r="Q1211" s="186">
        <v>11258</v>
      </c>
      <c r="R1211" s="185" t="s">
        <v>983</v>
      </c>
      <c r="S1211" s="185" t="s">
        <v>1558</v>
      </c>
      <c r="T1211"/>
      <c r="U1211" t="str">
        <f>IF($L1211&gt;0,VLOOKUP($E1211,Valida!$A$1:$G$270,6,FALSE),IF($M1211&gt;=0,VLOOKUP($E1211,Valida!$A$1:$G$270,7,FALSE)))</f>
        <v>(+/-) Ajustes por el incremento (disminución) de cuentas por pagar de origen comercial</v>
      </c>
      <c r="V1211" s="190" t="str">
        <f>VLOOKUP(E1211,Valida!$A$2:$K$271,4,FALSE)</f>
        <v>Trade and other payables</v>
      </c>
      <c r="W1211" s="185" t="s">
        <v>1944</v>
      </c>
      <c r="X1211" s="185"/>
      <c r="Y1211" s="185" t="s">
        <v>1789</v>
      </c>
      <c r="Z1211"/>
    </row>
    <row r="1212" spans="1:26">
      <c r="A1212" s="185" t="s">
        <v>2584</v>
      </c>
      <c r="B1212" s="185" t="s">
        <v>2624</v>
      </c>
      <c r="C1212" s="185" t="s">
        <v>2045</v>
      </c>
      <c r="D1212" s="185" t="s">
        <v>2625</v>
      </c>
      <c r="E1212" s="185">
        <v>23355007</v>
      </c>
      <c r="F1212" s="185" t="s">
        <v>1638</v>
      </c>
      <c r="G1212" s="185" t="s">
        <v>2626</v>
      </c>
      <c r="H1212" s="185" t="s">
        <v>1628</v>
      </c>
      <c r="I1212" s="258" t="str">
        <f t="shared" si="55"/>
        <v>2</v>
      </c>
      <c r="J1212" s="221">
        <f t="shared" si="56"/>
        <v>-109383.3</v>
      </c>
      <c r="K1212" s="258">
        <f t="shared" si="57"/>
        <v>4</v>
      </c>
      <c r="L1212" s="188">
        <v>0</v>
      </c>
      <c r="M1212" s="188">
        <v>109383.3</v>
      </c>
      <c r="N1212" s="189">
        <v>444444001</v>
      </c>
      <c r="O1212" t="s">
        <v>2627</v>
      </c>
      <c r="P1212" s="187">
        <v>45050.668310185203</v>
      </c>
      <c r="Q1212" s="186">
        <v>11259</v>
      </c>
      <c r="R1212" s="185"/>
      <c r="S1212" s="185" t="s">
        <v>1548</v>
      </c>
      <c r="T1212"/>
      <c r="U1212" t="str">
        <f>IF($L1212&gt;0,VLOOKUP($E1212,Valida!$A$1:$G$270,6,FALSE),IF($M1212&gt;=0,VLOOKUP($E1212,Valida!$A$1:$G$270,7,FALSE)))</f>
        <v>(+/-) Ajustes por el incremento (disminución) de cuentas por pagar de origen comercial</v>
      </c>
      <c r="V1212" s="190" t="str">
        <f>VLOOKUP(E1212,Valida!$A$2:$K$271,4,FALSE)</f>
        <v>Trade and other payables</v>
      </c>
      <c r="W1212" s="185"/>
      <c r="X1212" s="185"/>
      <c r="Y1212" s="185"/>
      <c r="Z1212"/>
    </row>
    <row r="1213" spans="1:26">
      <c r="A1213" s="185" t="s">
        <v>2584</v>
      </c>
      <c r="B1213" s="185" t="s">
        <v>2624</v>
      </c>
      <c r="C1213" s="185" t="s">
        <v>2045</v>
      </c>
      <c r="D1213" s="185" t="s">
        <v>2625</v>
      </c>
      <c r="E1213" s="185">
        <v>51350504</v>
      </c>
      <c r="F1213" s="185" t="s">
        <v>1638</v>
      </c>
      <c r="G1213" s="185" t="s">
        <v>2628</v>
      </c>
      <c r="H1213" s="185" t="s">
        <v>1515</v>
      </c>
      <c r="I1213" s="258" t="str">
        <f t="shared" si="55"/>
        <v>5</v>
      </c>
      <c r="J1213" s="221">
        <f t="shared" si="56"/>
        <v>109383.3</v>
      </c>
      <c r="K1213" s="258">
        <f t="shared" si="57"/>
        <v>4</v>
      </c>
      <c r="L1213" s="188">
        <v>109383.3</v>
      </c>
      <c r="M1213" s="188">
        <v>0</v>
      </c>
      <c r="N1213" s="189">
        <v>444444001</v>
      </c>
      <c r="O1213" t="s">
        <v>2627</v>
      </c>
      <c r="P1213" s="187">
        <v>45050.668310185203</v>
      </c>
      <c r="Q1213" s="186">
        <v>11260</v>
      </c>
      <c r="R1213" s="185"/>
      <c r="S1213" s="185" t="s">
        <v>1548</v>
      </c>
      <c r="T1213"/>
      <c r="U1213" t="str">
        <f>IF($L1213&gt;0,VLOOKUP($E1213,Valida!$A$1:$G$270,6,FALSE),IF($M1213&gt;=0,VLOOKUP($E1213,Valida!$A$1:$G$270,7,FALSE)))</f>
        <v>(+/-) Ganancia (pérdida)</v>
      </c>
      <c r="V1213" s="190" t="str">
        <f>VLOOKUP(E1213,Valida!$A$2:$K$271,4,FALSE)</f>
        <v>P&amp;L</v>
      </c>
      <c r="W1213" s="185"/>
      <c r="X1213" s="185"/>
      <c r="Y1213" s="185"/>
      <c r="Z1213"/>
    </row>
    <row r="1214" spans="1:26">
      <c r="A1214" s="185" t="s">
        <v>2584</v>
      </c>
      <c r="B1214" s="185" t="s">
        <v>2629</v>
      </c>
      <c r="C1214" s="185" t="s">
        <v>1890</v>
      </c>
      <c r="D1214" s="185" t="s">
        <v>2630</v>
      </c>
      <c r="E1214" s="185">
        <v>23355007</v>
      </c>
      <c r="F1214" s="185" t="s">
        <v>1638</v>
      </c>
      <c r="G1214" s="185" t="s">
        <v>1921</v>
      </c>
      <c r="H1214" s="185" t="s">
        <v>1515</v>
      </c>
      <c r="I1214" s="258" t="str">
        <f t="shared" si="55"/>
        <v>2</v>
      </c>
      <c r="J1214" s="221">
        <f t="shared" si="56"/>
        <v>109383.3</v>
      </c>
      <c r="K1214" s="258">
        <f t="shared" si="57"/>
        <v>4</v>
      </c>
      <c r="L1214" s="188">
        <v>109383.3</v>
      </c>
      <c r="M1214" s="188">
        <v>0</v>
      </c>
      <c r="N1214" s="189">
        <v>444444001</v>
      </c>
      <c r="O1214" t="s">
        <v>2627</v>
      </c>
      <c r="P1214" s="187">
        <v>45050.669745370396</v>
      </c>
      <c r="Q1214" s="186">
        <v>11261</v>
      </c>
      <c r="R1214" s="185"/>
      <c r="S1214" s="185" t="s">
        <v>1548</v>
      </c>
      <c r="T1214"/>
      <c r="U1214" t="str">
        <f>IF($L1214&gt;0,VLOOKUP($E1214,Valida!$A$1:$G$270,6,FALSE),IF($M1214&gt;=0,VLOOKUP($E1214,Valida!$A$1:$G$270,7,FALSE)))</f>
        <v>(+/-) Ajustes por el incremento (disminución) de cuentas por pagar de origen comercial</v>
      </c>
      <c r="V1214" s="190" t="str">
        <f>VLOOKUP(E1214,Valida!$A$2:$K$271,4,FALSE)</f>
        <v>Trade and other payables</v>
      </c>
      <c r="W1214" s="185"/>
      <c r="X1214" s="185"/>
      <c r="Y1214" s="185"/>
      <c r="Z1214"/>
    </row>
    <row r="1215" spans="1:26">
      <c r="A1215" s="185" t="s">
        <v>2584</v>
      </c>
      <c r="B1215" s="185" t="s">
        <v>2629</v>
      </c>
      <c r="C1215" s="185" t="s">
        <v>1890</v>
      </c>
      <c r="D1215" s="185" t="s">
        <v>2630</v>
      </c>
      <c r="E1215" s="185">
        <v>112005</v>
      </c>
      <c r="F1215" s="185" t="s">
        <v>24</v>
      </c>
      <c r="G1215" s="185" t="s">
        <v>1921</v>
      </c>
      <c r="H1215" s="185" t="s">
        <v>1628</v>
      </c>
      <c r="I1215" s="258" t="str">
        <f t="shared" si="55"/>
        <v>1</v>
      </c>
      <c r="J1215" s="221">
        <f t="shared" si="56"/>
        <v>-109383.3</v>
      </c>
      <c r="K1215" s="258">
        <f t="shared" si="57"/>
        <v>4</v>
      </c>
      <c r="L1215" s="188">
        <v>0</v>
      </c>
      <c r="M1215" s="188">
        <v>109383.3</v>
      </c>
      <c r="N1215" s="189">
        <v>0</v>
      </c>
      <c r="O1215" t="s">
        <v>2627</v>
      </c>
      <c r="P1215" s="187">
        <v>45050.6697569444</v>
      </c>
      <c r="Q1215" s="186">
        <v>11262</v>
      </c>
      <c r="R1215" s="185"/>
      <c r="S1215" s="185" t="s">
        <v>1520</v>
      </c>
      <c r="T1215" t="s">
        <v>1894</v>
      </c>
      <c r="U1215" t="str">
        <f>IF($L1215&gt;0,VLOOKUP($E1215,Valida!$A$1:$G$270,6,FALSE),IF($M1215&gt;=0,VLOOKUP($E1215,Valida!$A$1:$G$270,7,FALSE)))</f>
        <v>Disponible</v>
      </c>
      <c r="V1215" s="190" t="str">
        <f>VLOOKUP(E1215,Valida!$A$2:$K$271,4,FALSE)</f>
        <v>Cash and equivalents</v>
      </c>
      <c r="W1215" s="185"/>
      <c r="X1215" s="185"/>
      <c r="Y1215" s="185"/>
      <c r="Z1215"/>
    </row>
    <row r="1216" spans="1:26">
      <c r="A1216" s="185" t="s">
        <v>2039</v>
      </c>
      <c r="B1216" s="185" t="s">
        <v>2631</v>
      </c>
      <c r="C1216" s="185" t="s">
        <v>2045</v>
      </c>
      <c r="D1216" s="185" t="s">
        <v>10</v>
      </c>
      <c r="E1216" s="185">
        <v>23355002</v>
      </c>
      <c r="F1216" s="185" t="s">
        <v>506</v>
      </c>
      <c r="G1216" s="185" t="s">
        <v>2632</v>
      </c>
      <c r="H1216" s="185" t="s">
        <v>1628</v>
      </c>
      <c r="I1216" s="258" t="str">
        <f t="shared" si="55"/>
        <v>2</v>
      </c>
      <c r="J1216" s="221">
        <f t="shared" si="56"/>
        <v>-112211.31</v>
      </c>
      <c r="K1216" s="258">
        <f t="shared" si="57"/>
        <v>4</v>
      </c>
      <c r="L1216" s="188">
        <v>0</v>
      </c>
      <c r="M1216" s="188">
        <v>112211.31</v>
      </c>
      <c r="N1216" s="189">
        <v>440493581</v>
      </c>
      <c r="O1216"/>
      <c r="P1216" s="187">
        <v>45071.5444444444</v>
      </c>
      <c r="Q1216" s="186">
        <v>11288</v>
      </c>
      <c r="R1216" s="185"/>
      <c r="S1216" s="185" t="s">
        <v>1546</v>
      </c>
      <c r="T1216"/>
      <c r="U1216" t="str">
        <f>IF($L1216&gt;0,VLOOKUP($E1216,Valida!$A$1:$G$270,6,FALSE),IF($M1216&gt;=0,VLOOKUP($E1216,Valida!$A$1:$G$270,7,FALSE)))</f>
        <v>(+/-) Ajustes por el incremento (disminución) de cuentas por pagar de origen comercial</v>
      </c>
      <c r="V1216" s="190" t="str">
        <f>VLOOKUP(E1216,Valida!$A$2:$K$271,4,FALSE)</f>
        <v>Trade and other payables</v>
      </c>
      <c r="W1216" s="185" t="s">
        <v>1808</v>
      </c>
      <c r="X1216" s="185"/>
      <c r="Y1216" s="185"/>
      <c r="Z1216"/>
    </row>
    <row r="1217" spans="1:26">
      <c r="A1217" s="185" t="s">
        <v>2039</v>
      </c>
      <c r="B1217" s="185" t="s">
        <v>2631</v>
      </c>
      <c r="C1217" s="185" t="s">
        <v>2045</v>
      </c>
      <c r="D1217" s="185" t="s">
        <v>10</v>
      </c>
      <c r="E1217" s="185">
        <v>51352001</v>
      </c>
      <c r="F1217" s="185" t="s">
        <v>1267</v>
      </c>
      <c r="G1217" s="185" t="s">
        <v>2633</v>
      </c>
      <c r="H1217" s="185" t="s">
        <v>1515</v>
      </c>
      <c r="I1217" s="258" t="str">
        <f t="shared" si="55"/>
        <v>5</v>
      </c>
      <c r="J1217" s="221">
        <f t="shared" si="56"/>
        <v>112211.31</v>
      </c>
      <c r="K1217" s="258">
        <f t="shared" si="57"/>
        <v>4</v>
      </c>
      <c r="L1217" s="188">
        <v>112211.31</v>
      </c>
      <c r="M1217" s="188">
        <v>0</v>
      </c>
      <c r="N1217" s="189">
        <v>440493581</v>
      </c>
      <c r="O1217"/>
      <c r="P1217" s="187">
        <v>45071.5444444444</v>
      </c>
      <c r="Q1217" s="186">
        <v>11289</v>
      </c>
      <c r="R1217" s="185"/>
      <c r="S1217" s="185" t="s">
        <v>1546</v>
      </c>
      <c r="T1217"/>
      <c r="U1217" t="str">
        <f>IF($L1217&gt;0,VLOOKUP($E1217,Valida!$A$1:$G$270,6,FALSE),IF($M1217&gt;=0,VLOOKUP($E1217,Valida!$A$1:$G$270,7,FALSE)))</f>
        <v>(+/-) Ganancia (pérdida)</v>
      </c>
      <c r="V1217" s="190" t="str">
        <f>VLOOKUP(E1217,Valida!$A$2:$K$271,4,FALSE)</f>
        <v>P&amp;L</v>
      </c>
      <c r="W1217" s="185" t="s">
        <v>1808</v>
      </c>
      <c r="X1217" s="185"/>
      <c r="Y1217" s="185"/>
      <c r="Z1217"/>
    </row>
    <row r="1218" spans="1:26">
      <c r="A1218" s="185" t="s">
        <v>2634</v>
      </c>
      <c r="B1218" s="185" t="s">
        <v>2635</v>
      </c>
      <c r="C1218" s="185" t="s">
        <v>2045</v>
      </c>
      <c r="D1218" s="185" t="s">
        <v>2636</v>
      </c>
      <c r="E1218" s="185">
        <v>23354001</v>
      </c>
      <c r="F1218" s="185" t="s">
        <v>484</v>
      </c>
      <c r="G1218" s="185" t="s">
        <v>2637</v>
      </c>
      <c r="H1218" s="185" t="s">
        <v>1628</v>
      </c>
      <c r="I1218" s="258" t="str">
        <f t="shared" si="55"/>
        <v>2</v>
      </c>
      <c r="J1218" s="221">
        <f t="shared" si="56"/>
        <v>-3955088</v>
      </c>
      <c r="K1218" s="258">
        <f t="shared" si="57"/>
        <v>5</v>
      </c>
      <c r="L1218" s="188">
        <v>0</v>
      </c>
      <c r="M1218" s="188">
        <v>3955088</v>
      </c>
      <c r="N1218" s="189">
        <v>860044821</v>
      </c>
      <c r="O1218" t="s">
        <v>2638</v>
      </c>
      <c r="P1218" s="187">
        <v>45071.546273148102</v>
      </c>
      <c r="Q1218" s="186">
        <v>11290</v>
      </c>
      <c r="R1218" s="185" t="s">
        <v>6</v>
      </c>
      <c r="S1218" s="185" t="s">
        <v>1570</v>
      </c>
      <c r="T1218"/>
      <c r="U1218" t="str">
        <f>IF($L1218&gt;0,VLOOKUP($E1218,Valida!$A$1:$G$270,6,FALSE),IF($M1218&gt;=0,VLOOKUP($E1218,Valida!$A$1:$G$270,7,FALSE)))</f>
        <v>(+/-) Ajustes por el incremento (disminución) de cuentas por pagar de origen comercial</v>
      </c>
      <c r="V1218" s="190" t="str">
        <f>VLOOKUP(E1218,Valida!$A$2:$K$271,4,FALSE)</f>
        <v>Trade and other payables</v>
      </c>
      <c r="W1218" s="185" t="s">
        <v>2048</v>
      </c>
      <c r="X1218" s="185"/>
      <c r="Y1218" s="185" t="s">
        <v>1789</v>
      </c>
      <c r="Z1218"/>
    </row>
    <row r="1219" spans="1:26">
      <c r="A1219" s="185" t="s">
        <v>2634</v>
      </c>
      <c r="B1219" s="185" t="s">
        <v>2635</v>
      </c>
      <c r="C1219" s="185" t="s">
        <v>2045</v>
      </c>
      <c r="D1219" s="185" t="s">
        <v>2636</v>
      </c>
      <c r="E1219" s="185">
        <v>51359501</v>
      </c>
      <c r="F1219" s="185" t="s">
        <v>1290</v>
      </c>
      <c r="G1219" s="185" t="s">
        <v>2639</v>
      </c>
      <c r="H1219" s="185" t="s">
        <v>1515</v>
      </c>
      <c r="I1219" s="258" t="str">
        <f t="shared" ref="I1219:I1282" si="58">LEFT(E1219,1)</f>
        <v>5</v>
      </c>
      <c r="J1219" s="221">
        <f t="shared" ref="J1219:J1282" si="59">L1219-M1219</f>
        <v>3955088</v>
      </c>
      <c r="K1219" s="258">
        <f t="shared" ref="K1219:K1282" si="60">MONTH(A1219)</f>
        <v>5</v>
      </c>
      <c r="L1219" s="188">
        <v>3955088</v>
      </c>
      <c r="M1219" s="188">
        <v>0</v>
      </c>
      <c r="N1219" s="189">
        <v>860044821</v>
      </c>
      <c r="O1219" t="s">
        <v>2638</v>
      </c>
      <c r="P1219" s="187">
        <v>45071.546284722201</v>
      </c>
      <c r="Q1219" s="186">
        <v>11291</v>
      </c>
      <c r="R1219" s="185" t="s">
        <v>6</v>
      </c>
      <c r="S1219" s="185" t="s">
        <v>1570</v>
      </c>
      <c r="T1219"/>
      <c r="U1219" t="str">
        <f>IF($L1219&gt;0,VLOOKUP($E1219,Valida!$A$1:$G$270,6,FALSE),IF($M1219&gt;=0,VLOOKUP($E1219,Valida!$A$1:$G$270,7,FALSE)))</f>
        <v>(+/-) Ganancia (pérdida)</v>
      </c>
      <c r="V1219" s="190" t="str">
        <f>VLOOKUP(E1219,Valida!$A$2:$K$271,4,FALSE)</f>
        <v>P&amp;L</v>
      </c>
      <c r="W1219" s="185" t="s">
        <v>2048</v>
      </c>
      <c r="X1219" s="185"/>
      <c r="Y1219" s="185" t="s">
        <v>1789</v>
      </c>
      <c r="Z1219"/>
    </row>
    <row r="1220" spans="1:26">
      <c r="A1220" s="185" t="s">
        <v>2640</v>
      </c>
      <c r="B1220" s="185" t="s">
        <v>2641</v>
      </c>
      <c r="C1220" s="185" t="s">
        <v>2045</v>
      </c>
      <c r="D1220" s="185" t="s">
        <v>56</v>
      </c>
      <c r="E1220" s="185">
        <v>23355007</v>
      </c>
      <c r="F1220" s="185" t="s">
        <v>1638</v>
      </c>
      <c r="G1220" s="185" t="s">
        <v>2642</v>
      </c>
      <c r="H1220" s="185" t="s">
        <v>1628</v>
      </c>
      <c r="I1220" s="258" t="str">
        <f t="shared" si="58"/>
        <v>2</v>
      </c>
      <c r="J1220" s="221">
        <f t="shared" si="59"/>
        <v>-225047.07</v>
      </c>
      <c r="K1220" s="258">
        <f t="shared" si="60"/>
        <v>5</v>
      </c>
      <c r="L1220" s="188">
        <v>0</v>
      </c>
      <c r="M1220" s="188">
        <v>225047.07</v>
      </c>
      <c r="N1220" s="189">
        <v>444444001</v>
      </c>
      <c r="O1220" t="s">
        <v>2643</v>
      </c>
      <c r="P1220" s="187">
        <v>45071.547430555598</v>
      </c>
      <c r="Q1220" s="186">
        <v>11292</v>
      </c>
      <c r="R1220" s="185"/>
      <c r="S1220" s="185" t="s">
        <v>1548</v>
      </c>
      <c r="T1220"/>
      <c r="U1220" t="str">
        <f>IF($L1220&gt;0,VLOOKUP($E1220,Valida!$A$1:$G$270,6,FALSE),IF($M1220&gt;=0,VLOOKUP($E1220,Valida!$A$1:$G$270,7,FALSE)))</f>
        <v>(+/-) Ajustes por el incremento (disminución) de cuentas por pagar de origen comercial</v>
      </c>
      <c r="V1220" s="190" t="str">
        <f>VLOOKUP(E1220,Valida!$A$2:$K$271,4,FALSE)</f>
        <v>Trade and other payables</v>
      </c>
      <c r="W1220" s="185"/>
      <c r="X1220" s="185"/>
      <c r="Y1220" s="185"/>
      <c r="Z1220"/>
    </row>
    <row r="1221" spans="1:26">
      <c r="A1221" s="185" t="s">
        <v>2640</v>
      </c>
      <c r="B1221" s="185" t="s">
        <v>2641</v>
      </c>
      <c r="C1221" s="185" t="s">
        <v>2045</v>
      </c>
      <c r="D1221" s="185" t="s">
        <v>56</v>
      </c>
      <c r="E1221" s="185">
        <v>51350504</v>
      </c>
      <c r="F1221" s="185" t="s">
        <v>1638</v>
      </c>
      <c r="G1221" s="185" t="s">
        <v>2644</v>
      </c>
      <c r="H1221" s="185" t="s">
        <v>1515</v>
      </c>
      <c r="I1221" s="258" t="str">
        <f t="shared" si="58"/>
        <v>5</v>
      </c>
      <c r="J1221" s="221">
        <f t="shared" si="59"/>
        <v>225047.07</v>
      </c>
      <c r="K1221" s="258">
        <f t="shared" si="60"/>
        <v>5</v>
      </c>
      <c r="L1221" s="188">
        <v>225047.07</v>
      </c>
      <c r="M1221" s="188">
        <v>0</v>
      </c>
      <c r="N1221" s="189">
        <v>444444001</v>
      </c>
      <c r="O1221" t="s">
        <v>2643</v>
      </c>
      <c r="P1221" s="187">
        <v>45071.547430555598</v>
      </c>
      <c r="Q1221" s="186">
        <v>11293</v>
      </c>
      <c r="R1221" s="185"/>
      <c r="S1221" s="185" t="s">
        <v>1548</v>
      </c>
      <c r="T1221"/>
      <c r="U1221" t="str">
        <f>IF($L1221&gt;0,VLOOKUP($E1221,Valida!$A$1:$G$270,6,FALSE),IF($M1221&gt;=0,VLOOKUP($E1221,Valida!$A$1:$G$270,7,FALSE)))</f>
        <v>(+/-) Ganancia (pérdida)</v>
      </c>
      <c r="V1221" s="190" t="str">
        <f>VLOOKUP(E1221,Valida!$A$2:$K$271,4,FALSE)</f>
        <v>P&amp;L</v>
      </c>
      <c r="W1221" s="185"/>
      <c r="X1221" s="185"/>
      <c r="Y1221" s="185"/>
      <c r="Z1221"/>
    </row>
    <row r="1222" spans="1:26">
      <c r="A1222" s="185" t="s">
        <v>2645</v>
      </c>
      <c r="B1222" s="185" t="s">
        <v>2646</v>
      </c>
      <c r="C1222" s="185" t="s">
        <v>2045</v>
      </c>
      <c r="D1222" s="185" t="s">
        <v>2212</v>
      </c>
      <c r="E1222" s="185">
        <v>23355007</v>
      </c>
      <c r="F1222" s="185" t="s">
        <v>1638</v>
      </c>
      <c r="G1222" s="185" t="s">
        <v>2647</v>
      </c>
      <c r="H1222" s="185" t="s">
        <v>1628</v>
      </c>
      <c r="I1222" s="258" t="str">
        <f t="shared" si="58"/>
        <v>2</v>
      </c>
      <c r="J1222" s="221">
        <f t="shared" si="59"/>
        <v>-54605.53</v>
      </c>
      <c r="K1222" s="258">
        <f t="shared" si="60"/>
        <v>5</v>
      </c>
      <c r="L1222" s="188">
        <v>0</v>
      </c>
      <c r="M1222" s="188">
        <v>54605.53</v>
      </c>
      <c r="N1222" s="189">
        <v>444444001</v>
      </c>
      <c r="O1222" t="s">
        <v>2648</v>
      </c>
      <c r="P1222" s="187">
        <v>45071.548599537004</v>
      </c>
      <c r="Q1222" s="186">
        <v>11294</v>
      </c>
      <c r="R1222" s="185"/>
      <c r="S1222" s="185" t="s">
        <v>1548</v>
      </c>
      <c r="T1222"/>
      <c r="U1222" t="str">
        <f>IF($L1222&gt;0,VLOOKUP($E1222,Valida!$A$1:$G$270,6,FALSE),IF($M1222&gt;=0,VLOOKUP($E1222,Valida!$A$1:$G$270,7,FALSE)))</f>
        <v>(+/-) Ajustes por el incremento (disminución) de cuentas por pagar de origen comercial</v>
      </c>
      <c r="V1222" s="190" t="str">
        <f>VLOOKUP(E1222,Valida!$A$2:$K$271,4,FALSE)</f>
        <v>Trade and other payables</v>
      </c>
      <c r="W1222" s="185"/>
      <c r="X1222" s="185"/>
      <c r="Y1222" s="185"/>
      <c r="Z1222"/>
    </row>
    <row r="1223" spans="1:26">
      <c r="A1223" s="185" t="s">
        <v>2645</v>
      </c>
      <c r="B1223" s="185" t="s">
        <v>2646</v>
      </c>
      <c r="C1223" s="185" t="s">
        <v>2045</v>
      </c>
      <c r="D1223" s="185" t="s">
        <v>2212</v>
      </c>
      <c r="E1223" s="185">
        <v>51350504</v>
      </c>
      <c r="F1223" s="185" t="s">
        <v>1638</v>
      </c>
      <c r="G1223" s="185" t="s">
        <v>2649</v>
      </c>
      <c r="H1223" s="185" t="s">
        <v>1515</v>
      </c>
      <c r="I1223" s="258" t="str">
        <f t="shared" si="58"/>
        <v>5</v>
      </c>
      <c r="J1223" s="221">
        <f t="shared" si="59"/>
        <v>54605.53</v>
      </c>
      <c r="K1223" s="258">
        <f t="shared" si="60"/>
        <v>5</v>
      </c>
      <c r="L1223" s="188">
        <v>54605.53</v>
      </c>
      <c r="M1223" s="188">
        <v>0</v>
      </c>
      <c r="N1223" s="189">
        <v>444444001</v>
      </c>
      <c r="O1223" t="s">
        <v>2648</v>
      </c>
      <c r="P1223" s="187">
        <v>45071.548599537004</v>
      </c>
      <c r="Q1223" s="186">
        <v>11295</v>
      </c>
      <c r="R1223" s="185"/>
      <c r="S1223" s="185" t="s">
        <v>1548</v>
      </c>
      <c r="T1223"/>
      <c r="U1223" t="str">
        <f>IF($L1223&gt;0,VLOOKUP($E1223,Valida!$A$1:$G$270,6,FALSE),IF($M1223&gt;=0,VLOOKUP($E1223,Valida!$A$1:$G$270,7,FALSE)))</f>
        <v>(+/-) Ganancia (pérdida)</v>
      </c>
      <c r="V1223" s="190" t="str">
        <f>VLOOKUP(E1223,Valida!$A$2:$K$271,4,FALSE)</f>
        <v>P&amp;L</v>
      </c>
      <c r="W1223" s="185"/>
      <c r="X1223" s="185"/>
      <c r="Y1223" s="185"/>
      <c r="Z1223"/>
    </row>
    <row r="1224" spans="1:26">
      <c r="A1224" s="185" t="s">
        <v>2650</v>
      </c>
      <c r="B1224" s="185" t="s">
        <v>2651</v>
      </c>
      <c r="C1224" s="185" t="s">
        <v>2045</v>
      </c>
      <c r="D1224" s="185" t="s">
        <v>389</v>
      </c>
      <c r="E1224" s="185">
        <v>23355007</v>
      </c>
      <c r="F1224" s="185" t="s">
        <v>1638</v>
      </c>
      <c r="G1224" s="185" t="s">
        <v>2652</v>
      </c>
      <c r="H1224" s="185" t="s">
        <v>1628</v>
      </c>
      <c r="I1224" s="258" t="str">
        <f t="shared" si="58"/>
        <v>2</v>
      </c>
      <c r="J1224" s="221">
        <f t="shared" si="59"/>
        <v>-54485.760000000002</v>
      </c>
      <c r="K1224" s="258">
        <f t="shared" si="60"/>
        <v>5</v>
      </c>
      <c r="L1224" s="188">
        <v>0</v>
      </c>
      <c r="M1224" s="188">
        <v>54485.760000000002</v>
      </c>
      <c r="N1224" s="189">
        <v>444444001</v>
      </c>
      <c r="O1224" t="s">
        <v>2653</v>
      </c>
      <c r="P1224" s="187">
        <v>45071.549837963001</v>
      </c>
      <c r="Q1224" s="186">
        <v>11296</v>
      </c>
      <c r="R1224" s="185"/>
      <c r="S1224" s="185" t="s">
        <v>1548</v>
      </c>
      <c r="T1224"/>
      <c r="U1224" t="str">
        <f>IF($L1224&gt;0,VLOOKUP($E1224,Valida!$A$1:$G$270,6,FALSE),IF($M1224&gt;=0,VLOOKUP($E1224,Valida!$A$1:$G$270,7,FALSE)))</f>
        <v>(+/-) Ajustes por el incremento (disminución) de cuentas por pagar de origen comercial</v>
      </c>
      <c r="V1224" s="190" t="str">
        <f>VLOOKUP(E1224,Valida!$A$2:$K$271,4,FALSE)</f>
        <v>Trade and other payables</v>
      </c>
      <c r="W1224" s="185"/>
      <c r="X1224" s="185"/>
      <c r="Y1224" s="185"/>
      <c r="Z1224"/>
    </row>
    <row r="1225" spans="1:26">
      <c r="A1225" s="185" t="s">
        <v>2650</v>
      </c>
      <c r="B1225" s="185" t="s">
        <v>2651</v>
      </c>
      <c r="C1225" s="185" t="s">
        <v>2045</v>
      </c>
      <c r="D1225" s="185" t="s">
        <v>389</v>
      </c>
      <c r="E1225" s="185">
        <v>51350504</v>
      </c>
      <c r="F1225" s="185" t="s">
        <v>1638</v>
      </c>
      <c r="G1225" s="185" t="s">
        <v>2654</v>
      </c>
      <c r="H1225" s="185" t="s">
        <v>1515</v>
      </c>
      <c r="I1225" s="258" t="str">
        <f t="shared" si="58"/>
        <v>5</v>
      </c>
      <c r="J1225" s="221">
        <f t="shared" si="59"/>
        <v>54485.760000000002</v>
      </c>
      <c r="K1225" s="258">
        <f t="shared" si="60"/>
        <v>5</v>
      </c>
      <c r="L1225" s="188">
        <v>54485.760000000002</v>
      </c>
      <c r="M1225" s="188">
        <v>0</v>
      </c>
      <c r="N1225" s="189">
        <v>444444001</v>
      </c>
      <c r="O1225" t="s">
        <v>2653</v>
      </c>
      <c r="P1225" s="187">
        <v>45071.549837963001</v>
      </c>
      <c r="Q1225" s="186">
        <v>11297</v>
      </c>
      <c r="R1225" s="185"/>
      <c r="S1225" s="185" t="s">
        <v>1548</v>
      </c>
      <c r="T1225"/>
      <c r="U1225" t="str">
        <f>IF($L1225&gt;0,VLOOKUP($E1225,Valida!$A$1:$G$270,6,FALSE),IF($M1225&gt;=0,VLOOKUP($E1225,Valida!$A$1:$G$270,7,FALSE)))</f>
        <v>(+/-) Ganancia (pérdida)</v>
      </c>
      <c r="V1225" s="190" t="str">
        <f>VLOOKUP(E1225,Valida!$A$2:$K$271,4,FALSE)</f>
        <v>P&amp;L</v>
      </c>
      <c r="W1225" s="185"/>
      <c r="X1225" s="185"/>
      <c r="Y1225" s="185"/>
      <c r="Z1225"/>
    </row>
    <row r="1226" spans="1:26">
      <c r="A1226" s="185" t="s">
        <v>2655</v>
      </c>
      <c r="B1226" s="185" t="s">
        <v>2656</v>
      </c>
      <c r="C1226" s="185" t="s">
        <v>1792</v>
      </c>
      <c r="D1226" s="185" t="s">
        <v>1947</v>
      </c>
      <c r="E1226" s="185">
        <v>51201001</v>
      </c>
      <c r="F1226" s="185" t="s">
        <v>1189</v>
      </c>
      <c r="G1226" s="185" t="s">
        <v>2657</v>
      </c>
      <c r="H1226" s="185" t="s">
        <v>1515</v>
      </c>
      <c r="I1226" s="258" t="str">
        <f t="shared" si="58"/>
        <v>5</v>
      </c>
      <c r="J1226" s="221">
        <f t="shared" si="59"/>
        <v>12750000</v>
      </c>
      <c r="K1226" s="258">
        <f t="shared" si="60"/>
        <v>5</v>
      </c>
      <c r="L1226" s="188">
        <v>12750000</v>
      </c>
      <c r="M1226" s="188">
        <v>0</v>
      </c>
      <c r="N1226" s="189">
        <v>900471482</v>
      </c>
      <c r="O1226" t="s">
        <v>2658</v>
      </c>
      <c r="P1226" s="187">
        <v>45071.627256944397</v>
      </c>
      <c r="Q1226" s="186">
        <v>11298</v>
      </c>
      <c r="R1226" s="185" t="s">
        <v>6</v>
      </c>
      <c r="S1226" s="185" t="s">
        <v>1600</v>
      </c>
      <c r="T1226"/>
      <c r="U1226" t="str">
        <f>IF($L1226&gt;0,VLOOKUP($E1226,Valida!$A$1:$G$270,6,FALSE),IF($M1226&gt;=0,VLOOKUP($E1226,Valida!$A$1:$G$270,7,FALSE)))</f>
        <v>(+/-) Ganancia (pérdida)</v>
      </c>
      <c r="V1226" s="190" t="str">
        <f>VLOOKUP(E1226,Valida!$A$2:$K$271,4,FALSE)</f>
        <v>P&amp;L</v>
      </c>
      <c r="W1226" s="185" t="s">
        <v>1853</v>
      </c>
      <c r="X1226" s="185" t="s">
        <v>1854</v>
      </c>
      <c r="Y1226" s="185" t="s">
        <v>1789</v>
      </c>
      <c r="Z1226"/>
    </row>
    <row r="1227" spans="1:26">
      <c r="A1227" s="185" t="s">
        <v>2655</v>
      </c>
      <c r="B1227" s="185" t="s">
        <v>2656</v>
      </c>
      <c r="C1227" s="185" t="s">
        <v>1792</v>
      </c>
      <c r="D1227" s="185" t="s">
        <v>1947</v>
      </c>
      <c r="E1227" s="185">
        <v>24081002</v>
      </c>
      <c r="F1227" s="185" t="s">
        <v>1687</v>
      </c>
      <c r="G1227" s="185" t="s">
        <v>2657</v>
      </c>
      <c r="H1227" s="185" t="s">
        <v>1515</v>
      </c>
      <c r="I1227" s="258" t="str">
        <f t="shared" si="58"/>
        <v>2</v>
      </c>
      <c r="J1227" s="221">
        <f t="shared" si="59"/>
        <v>2422500</v>
      </c>
      <c r="K1227" s="258">
        <f t="shared" si="60"/>
        <v>5</v>
      </c>
      <c r="L1227" s="188">
        <v>2422500</v>
      </c>
      <c r="M1227" s="188">
        <v>0</v>
      </c>
      <c r="N1227" s="189">
        <v>900471482</v>
      </c>
      <c r="O1227" t="s">
        <v>2658</v>
      </c>
      <c r="P1227" s="187">
        <v>45071.627256944397</v>
      </c>
      <c r="Q1227" s="186">
        <v>11299</v>
      </c>
      <c r="R1227" s="185" t="s">
        <v>6</v>
      </c>
      <c r="S1227" s="185" t="s">
        <v>1600</v>
      </c>
      <c r="T1227"/>
      <c r="U1227" t="str">
        <f>IF($L1227&gt;0,VLOOKUP($E1227,Valida!$A$1:$G$270,6,FALSE),IF($M1227&gt;=0,VLOOKUP($E1227,Valida!$A$1:$G$270,7,FALSE)))</f>
        <v>(+/-) Ajustes por el incremento (disminución) de cuentas por pagar de origen comercial</v>
      </c>
      <c r="V1227" s="190" t="str">
        <f>VLOOKUP(E1227,Valida!$A$2:$K$271,4,FALSE)</f>
        <v>Trade and other payables</v>
      </c>
      <c r="W1227" s="185" t="s">
        <v>1853</v>
      </c>
      <c r="X1227" s="185" t="s">
        <v>1854</v>
      </c>
      <c r="Y1227" s="185" t="s">
        <v>1789</v>
      </c>
      <c r="Z1227"/>
    </row>
    <row r="1228" spans="1:26">
      <c r="A1228" s="185" t="s">
        <v>2655</v>
      </c>
      <c r="B1228" s="185" t="s">
        <v>2656</v>
      </c>
      <c r="C1228" s="185" t="s">
        <v>1792</v>
      </c>
      <c r="D1228" s="185" t="s">
        <v>1947</v>
      </c>
      <c r="E1228" s="185">
        <v>23653001</v>
      </c>
      <c r="F1228" s="185" t="s">
        <v>611</v>
      </c>
      <c r="G1228" s="185" t="s">
        <v>2657</v>
      </c>
      <c r="H1228" s="185" t="s">
        <v>1628</v>
      </c>
      <c r="I1228" s="258" t="str">
        <f t="shared" si="58"/>
        <v>2</v>
      </c>
      <c r="J1228" s="221">
        <f t="shared" si="59"/>
        <v>-446250</v>
      </c>
      <c r="K1228" s="258">
        <f t="shared" si="60"/>
        <v>5</v>
      </c>
      <c r="L1228" s="188">
        <v>0</v>
      </c>
      <c r="M1228" s="188">
        <v>446250</v>
      </c>
      <c r="N1228" s="189">
        <v>900471482</v>
      </c>
      <c r="O1228" t="s">
        <v>2658</v>
      </c>
      <c r="P1228" s="187">
        <v>45071.627256944397</v>
      </c>
      <c r="Q1228" s="186">
        <v>11300</v>
      </c>
      <c r="R1228" s="185" t="s">
        <v>6</v>
      </c>
      <c r="S1228" s="185" t="s">
        <v>1600</v>
      </c>
      <c r="T1228"/>
      <c r="U1228" t="str">
        <f>IF($L1228&gt;0,VLOOKUP($E1228,Valida!$A$1:$G$270,6,FALSE),IF($M1228&gt;=0,VLOOKUP($E1228,Valida!$A$1:$G$270,7,FALSE)))</f>
        <v>(+/-) Ajustes por el incremento (disminución) de cuentas por pagar de origen comercial</v>
      </c>
      <c r="V1228" s="190" t="str">
        <f>VLOOKUP(E1228,Valida!$A$2:$K$271,4,FALSE)</f>
        <v>Trade and other payables</v>
      </c>
      <c r="W1228" s="185" t="s">
        <v>1853</v>
      </c>
      <c r="X1228" s="185" t="s">
        <v>1854</v>
      </c>
      <c r="Y1228" s="185" t="s">
        <v>1789</v>
      </c>
      <c r="Z1228"/>
    </row>
    <row r="1229" spans="1:26">
      <c r="A1229" s="185" t="s">
        <v>2655</v>
      </c>
      <c r="B1229" s="185" t="s">
        <v>2656</v>
      </c>
      <c r="C1229" s="185" t="s">
        <v>1792</v>
      </c>
      <c r="D1229" s="185" t="s">
        <v>1947</v>
      </c>
      <c r="E1229" s="185">
        <v>23680503</v>
      </c>
      <c r="F1229" s="185" t="s">
        <v>665</v>
      </c>
      <c r="G1229" s="185" t="s">
        <v>2657</v>
      </c>
      <c r="H1229" s="185" t="s">
        <v>1628</v>
      </c>
      <c r="I1229" s="258" t="str">
        <f t="shared" si="58"/>
        <v>2</v>
      </c>
      <c r="J1229" s="221">
        <f t="shared" si="59"/>
        <v>-123165</v>
      </c>
      <c r="K1229" s="258">
        <f t="shared" si="60"/>
        <v>5</v>
      </c>
      <c r="L1229" s="188">
        <v>0</v>
      </c>
      <c r="M1229" s="188">
        <v>123165</v>
      </c>
      <c r="N1229" s="189">
        <v>900471482</v>
      </c>
      <c r="O1229" t="s">
        <v>2658</v>
      </c>
      <c r="P1229" s="187">
        <v>45071.627256944397</v>
      </c>
      <c r="Q1229" s="186">
        <v>11301</v>
      </c>
      <c r="R1229" s="185" t="s">
        <v>6</v>
      </c>
      <c r="S1229" s="185" t="s">
        <v>1600</v>
      </c>
      <c r="T1229"/>
      <c r="U1229" t="str">
        <f>IF($L1229&gt;0,VLOOKUP($E1229,Valida!$A$1:$G$270,6,FALSE),IF($M1229&gt;=0,VLOOKUP($E1229,Valida!$A$1:$G$270,7,FALSE)))</f>
        <v>(+/-) Ajustes por el incremento (disminución) de cuentas por pagar de origen comercial</v>
      </c>
      <c r="V1229" s="190" t="str">
        <f>VLOOKUP(E1229,Valida!$A$2:$K$271,4,FALSE)</f>
        <v>Trade and other payables</v>
      </c>
      <c r="W1229" s="185" t="s">
        <v>1853</v>
      </c>
      <c r="X1229" s="185" t="s">
        <v>1854</v>
      </c>
      <c r="Y1229" s="185" t="s">
        <v>1789</v>
      </c>
      <c r="Z1229"/>
    </row>
    <row r="1230" spans="1:26">
      <c r="A1230" s="185" t="s">
        <v>2655</v>
      </c>
      <c r="B1230" s="185" t="s">
        <v>2656</v>
      </c>
      <c r="C1230" s="185" t="s">
        <v>1792</v>
      </c>
      <c r="D1230" s="185" t="s">
        <v>1947</v>
      </c>
      <c r="E1230" s="185">
        <v>23354001</v>
      </c>
      <c r="F1230" s="185" t="s">
        <v>484</v>
      </c>
      <c r="G1230" s="185" t="s">
        <v>2657</v>
      </c>
      <c r="H1230" s="185" t="s">
        <v>1628</v>
      </c>
      <c r="I1230" s="258" t="str">
        <f t="shared" si="58"/>
        <v>2</v>
      </c>
      <c r="J1230" s="221">
        <f t="shared" si="59"/>
        <v>-14603085</v>
      </c>
      <c r="K1230" s="258">
        <f t="shared" si="60"/>
        <v>5</v>
      </c>
      <c r="L1230" s="188">
        <v>0</v>
      </c>
      <c r="M1230" s="188">
        <v>14603085</v>
      </c>
      <c r="N1230" s="189">
        <v>900471482</v>
      </c>
      <c r="O1230" t="s">
        <v>2658</v>
      </c>
      <c r="P1230" s="187">
        <v>45071.627256944397</v>
      </c>
      <c r="Q1230" s="186">
        <v>11302</v>
      </c>
      <c r="R1230" s="185" t="s">
        <v>6</v>
      </c>
      <c r="S1230" s="185" t="s">
        <v>1600</v>
      </c>
      <c r="T1230"/>
      <c r="U1230" t="str">
        <f>IF($L1230&gt;0,VLOOKUP($E1230,Valida!$A$1:$G$270,6,FALSE),IF($M1230&gt;=0,VLOOKUP($E1230,Valida!$A$1:$G$270,7,FALSE)))</f>
        <v>(+/-) Ajustes por el incremento (disminución) de cuentas por pagar de origen comercial</v>
      </c>
      <c r="V1230" s="190" t="str">
        <f>VLOOKUP(E1230,Valida!$A$2:$K$271,4,FALSE)</f>
        <v>Trade and other payables</v>
      </c>
      <c r="W1230" s="185" t="s">
        <v>1853</v>
      </c>
      <c r="X1230" s="185" t="s">
        <v>1854</v>
      </c>
      <c r="Y1230" s="185" t="s">
        <v>1789</v>
      </c>
      <c r="Z1230"/>
    </row>
    <row r="1231" spans="1:26">
      <c r="A1231" s="185" t="s">
        <v>2655</v>
      </c>
      <c r="B1231" s="185" t="s">
        <v>2659</v>
      </c>
      <c r="C1231" s="185" t="s">
        <v>1792</v>
      </c>
      <c r="D1231" s="185" t="s">
        <v>2660</v>
      </c>
      <c r="E1231" s="185">
        <v>51700503</v>
      </c>
      <c r="F1231" s="185" t="s">
        <v>1397</v>
      </c>
      <c r="G1231" s="185" t="s">
        <v>1818</v>
      </c>
      <c r="H1231" s="185" t="s">
        <v>1515</v>
      </c>
      <c r="I1231" s="258" t="str">
        <f t="shared" si="58"/>
        <v>5</v>
      </c>
      <c r="J1231" s="221">
        <f t="shared" si="59"/>
        <v>330000</v>
      </c>
      <c r="K1231" s="258">
        <f t="shared" si="60"/>
        <v>5</v>
      </c>
      <c r="L1231" s="188">
        <v>330000</v>
      </c>
      <c r="M1231" s="188">
        <v>0</v>
      </c>
      <c r="N1231" s="189">
        <v>800042928</v>
      </c>
      <c r="O1231" t="s">
        <v>2661</v>
      </c>
      <c r="P1231" s="187">
        <v>45071.627812500003</v>
      </c>
      <c r="Q1231" s="186">
        <v>11303</v>
      </c>
      <c r="R1231" s="185" t="s">
        <v>6</v>
      </c>
      <c r="S1231" s="185" t="s">
        <v>1554</v>
      </c>
      <c r="T1231"/>
      <c r="U1231" t="str">
        <f>IF($L1231&gt;0,VLOOKUP($E1231,Valida!$A$1:$G$270,6,FALSE),IF($M1231&gt;=0,VLOOKUP($E1231,Valida!$A$1:$G$270,7,FALSE)))</f>
        <v>(+/-) Ganancia (pérdida)</v>
      </c>
      <c r="V1231" s="190" t="str">
        <f>VLOOKUP(E1231,Valida!$A$2:$K$271,4,FALSE)</f>
        <v>P&amp;L</v>
      </c>
      <c r="W1231" s="185" t="s">
        <v>1820</v>
      </c>
      <c r="X1231" s="185" t="s">
        <v>1821</v>
      </c>
      <c r="Y1231" s="185" t="s">
        <v>1789</v>
      </c>
      <c r="Z1231"/>
    </row>
    <row r="1232" spans="1:26">
      <c r="A1232" s="185" t="s">
        <v>2655</v>
      </c>
      <c r="B1232" s="185" t="s">
        <v>2659</v>
      </c>
      <c r="C1232" s="185" t="s">
        <v>1792</v>
      </c>
      <c r="D1232" s="185" t="s">
        <v>2660</v>
      </c>
      <c r="E1232" s="185">
        <v>23359504</v>
      </c>
      <c r="F1232" s="185" t="s">
        <v>553</v>
      </c>
      <c r="G1232" s="185" t="s">
        <v>1818</v>
      </c>
      <c r="H1232" s="185" t="s">
        <v>1628</v>
      </c>
      <c r="I1232" s="258" t="str">
        <f t="shared" si="58"/>
        <v>2</v>
      </c>
      <c r="J1232" s="221">
        <f t="shared" si="59"/>
        <v>-330000</v>
      </c>
      <c r="K1232" s="258">
        <f t="shared" si="60"/>
        <v>5</v>
      </c>
      <c r="L1232" s="188">
        <v>0</v>
      </c>
      <c r="M1232" s="188">
        <v>330000</v>
      </c>
      <c r="N1232" s="189">
        <v>800042928</v>
      </c>
      <c r="O1232" t="s">
        <v>2661</v>
      </c>
      <c r="P1232" s="187">
        <v>45071.627812500003</v>
      </c>
      <c r="Q1232" s="186">
        <v>11304</v>
      </c>
      <c r="R1232" s="185" t="s">
        <v>6</v>
      </c>
      <c r="S1232" s="185" t="s">
        <v>1554</v>
      </c>
      <c r="T1232"/>
      <c r="U1232" t="str">
        <f>IF($L1232&gt;0,VLOOKUP($E1232,Valida!$A$1:$G$270,6,FALSE),IF($M1232&gt;=0,VLOOKUP($E1232,Valida!$A$1:$G$270,7,FALSE)))</f>
        <v>(+/-) Ajustes por el incremento (disminución) de cuentas por pagar de origen comercial</v>
      </c>
      <c r="V1232" s="190" t="str">
        <f>VLOOKUP(E1232,Valida!$A$2:$K$271,4,FALSE)</f>
        <v>Trade and other payables</v>
      </c>
      <c r="W1232" s="185" t="s">
        <v>1820</v>
      </c>
      <c r="X1232" s="185" t="s">
        <v>1821</v>
      </c>
      <c r="Y1232" s="185" t="s">
        <v>1789</v>
      </c>
      <c r="Z1232"/>
    </row>
    <row r="1233" spans="1:26">
      <c r="A1233" s="185" t="s">
        <v>2655</v>
      </c>
      <c r="B1233" s="185" t="s">
        <v>2662</v>
      </c>
      <c r="C1233" s="185" t="s">
        <v>1792</v>
      </c>
      <c r="D1233" s="185" t="s">
        <v>2138</v>
      </c>
      <c r="E1233" s="185">
        <v>51059501</v>
      </c>
      <c r="F1233" s="185" t="s">
        <v>1129</v>
      </c>
      <c r="G1233" s="185" t="s">
        <v>2119</v>
      </c>
      <c r="H1233" s="185" t="s">
        <v>1515</v>
      </c>
      <c r="I1233" s="258" t="str">
        <f t="shared" si="58"/>
        <v>5</v>
      </c>
      <c r="J1233" s="221">
        <f t="shared" si="59"/>
        <v>58500</v>
      </c>
      <c r="K1233" s="258">
        <f t="shared" si="60"/>
        <v>5</v>
      </c>
      <c r="L1233" s="188">
        <v>58500</v>
      </c>
      <c r="M1233" s="188">
        <v>0</v>
      </c>
      <c r="N1233" s="189">
        <v>900170994</v>
      </c>
      <c r="O1233" t="s">
        <v>2663</v>
      </c>
      <c r="P1233" s="187">
        <v>45071.628819444399</v>
      </c>
      <c r="Q1233" s="186">
        <v>11305</v>
      </c>
      <c r="R1233" s="185" t="s">
        <v>1841</v>
      </c>
      <c r="S1233" s="185" t="s">
        <v>1592</v>
      </c>
      <c r="T1233"/>
      <c r="U1233" t="str">
        <f>IF($L1233&gt;0,VLOOKUP($E1233,Valida!$A$1:$G$270,6,FALSE),IF($M1233&gt;=0,VLOOKUP($E1233,Valida!$A$1:$G$270,7,FALSE)))</f>
        <v>(+/-) Ganancia (pérdida)</v>
      </c>
      <c r="V1233" s="190" t="str">
        <f>VLOOKUP(E1233,Valida!$A$2:$K$271,4,FALSE)</f>
        <v>P&amp;L</v>
      </c>
      <c r="W1233" s="185" t="s">
        <v>2030</v>
      </c>
      <c r="X1233" s="185" t="s">
        <v>2031</v>
      </c>
      <c r="Y1233" s="185" t="s">
        <v>1789</v>
      </c>
      <c r="Z1233"/>
    </row>
    <row r="1234" spans="1:26">
      <c r="A1234" s="185" t="s">
        <v>2655</v>
      </c>
      <c r="B1234" s="185" t="s">
        <v>2662</v>
      </c>
      <c r="C1234" s="185" t="s">
        <v>1792</v>
      </c>
      <c r="D1234" s="185" t="s">
        <v>2138</v>
      </c>
      <c r="E1234" s="185">
        <v>23352503</v>
      </c>
      <c r="F1234" s="185" t="s">
        <v>470</v>
      </c>
      <c r="G1234" s="185" t="s">
        <v>2119</v>
      </c>
      <c r="H1234" s="185" t="s">
        <v>1628</v>
      </c>
      <c r="I1234" s="258" t="str">
        <f t="shared" si="58"/>
        <v>2</v>
      </c>
      <c r="J1234" s="221">
        <f t="shared" si="59"/>
        <v>-58500</v>
      </c>
      <c r="K1234" s="258">
        <f t="shared" si="60"/>
        <v>5</v>
      </c>
      <c r="L1234" s="188">
        <v>0</v>
      </c>
      <c r="M1234" s="188">
        <v>58500</v>
      </c>
      <c r="N1234" s="189">
        <v>900170994</v>
      </c>
      <c r="O1234" t="s">
        <v>2663</v>
      </c>
      <c r="P1234" s="187">
        <v>45071.628819444399</v>
      </c>
      <c r="Q1234" s="186">
        <v>11306</v>
      </c>
      <c r="R1234" s="185" t="s">
        <v>1841</v>
      </c>
      <c r="S1234" s="185" t="s">
        <v>1592</v>
      </c>
      <c r="T1234"/>
      <c r="U1234" t="str">
        <f>IF($L1234&gt;0,VLOOKUP($E1234,Valida!$A$1:$G$270,6,FALSE),IF($M1234&gt;=0,VLOOKUP($E1234,Valida!$A$1:$G$270,7,FALSE)))</f>
        <v>(+/-) Ajustes por el incremento (disminución) de cuentas por pagar de origen comercial</v>
      </c>
      <c r="V1234" s="190" t="str">
        <f>VLOOKUP(E1234,Valida!$A$2:$K$271,4,FALSE)</f>
        <v>Trade and other payables</v>
      </c>
      <c r="W1234" s="185" t="s">
        <v>2030</v>
      </c>
      <c r="X1234" s="185" t="s">
        <v>2031</v>
      </c>
      <c r="Y1234" s="185" t="s">
        <v>1789</v>
      </c>
      <c r="Z1234"/>
    </row>
    <row r="1235" spans="1:26">
      <c r="A1235" s="185" t="s">
        <v>2664</v>
      </c>
      <c r="B1235" s="185" t="s">
        <v>2665</v>
      </c>
      <c r="C1235" s="185" t="s">
        <v>1792</v>
      </c>
      <c r="D1235" s="185" t="s">
        <v>2141</v>
      </c>
      <c r="E1235" s="185">
        <v>51952502</v>
      </c>
      <c r="F1235" s="185" t="s">
        <v>1414</v>
      </c>
      <c r="G1235" s="185" t="s">
        <v>1862</v>
      </c>
      <c r="H1235" s="185" t="s">
        <v>1515</v>
      </c>
      <c r="I1235" s="258" t="str">
        <f t="shared" si="58"/>
        <v>5</v>
      </c>
      <c r="J1235" s="221">
        <f t="shared" si="59"/>
        <v>107000</v>
      </c>
      <c r="K1235" s="258">
        <f t="shared" si="60"/>
        <v>5</v>
      </c>
      <c r="L1235" s="188">
        <v>107000</v>
      </c>
      <c r="M1235" s="188">
        <v>0</v>
      </c>
      <c r="N1235" s="189">
        <v>900424409</v>
      </c>
      <c r="O1235" t="s">
        <v>2666</v>
      </c>
      <c r="P1235" s="187">
        <v>45071.631203703699</v>
      </c>
      <c r="Q1235" s="186">
        <v>11307</v>
      </c>
      <c r="R1235" s="185" t="s">
        <v>844</v>
      </c>
      <c r="S1235" s="185" t="s">
        <v>1598</v>
      </c>
      <c r="T1235"/>
      <c r="U1235" t="str">
        <f>IF($L1235&gt;0,VLOOKUP($E1235,Valida!$A$1:$G$270,6,FALSE),IF($M1235&gt;=0,VLOOKUP($E1235,Valida!$A$1:$G$270,7,FALSE)))</f>
        <v>(+/-) Ganancia (pérdida)</v>
      </c>
      <c r="V1235" s="190" t="str">
        <f>VLOOKUP(E1235,Valida!$A$2:$K$271,4,FALSE)</f>
        <v>P&amp;L</v>
      </c>
      <c r="W1235" s="185" t="s">
        <v>1864</v>
      </c>
      <c r="X1235" s="185" t="s">
        <v>1865</v>
      </c>
      <c r="Y1235" s="185" t="s">
        <v>1789</v>
      </c>
      <c r="Z1235"/>
    </row>
    <row r="1236" spans="1:26">
      <c r="A1236" s="185" t="s">
        <v>2664</v>
      </c>
      <c r="B1236" s="185" t="s">
        <v>2665</v>
      </c>
      <c r="C1236" s="185" t="s">
        <v>1792</v>
      </c>
      <c r="D1236" s="185" t="s">
        <v>2141</v>
      </c>
      <c r="E1236" s="185">
        <v>24081002</v>
      </c>
      <c r="F1236" s="185" t="s">
        <v>1687</v>
      </c>
      <c r="G1236" s="185" t="s">
        <v>1866</v>
      </c>
      <c r="H1236" s="185" t="s">
        <v>1515</v>
      </c>
      <c r="I1236" s="258" t="str">
        <f t="shared" si="58"/>
        <v>2</v>
      </c>
      <c r="J1236" s="221">
        <f t="shared" si="59"/>
        <v>20330</v>
      </c>
      <c r="K1236" s="258">
        <f t="shared" si="60"/>
        <v>5</v>
      </c>
      <c r="L1236" s="188">
        <v>20330</v>
      </c>
      <c r="M1236" s="188">
        <v>0</v>
      </c>
      <c r="N1236" s="189">
        <v>900424409</v>
      </c>
      <c r="O1236" t="s">
        <v>2666</v>
      </c>
      <c r="P1236" s="187">
        <v>45071.631203703699</v>
      </c>
      <c r="Q1236" s="186">
        <v>11308</v>
      </c>
      <c r="R1236" s="185" t="s">
        <v>844</v>
      </c>
      <c r="S1236" s="185" t="s">
        <v>1598</v>
      </c>
      <c r="T1236"/>
      <c r="U1236" t="str">
        <f>IF($L1236&gt;0,VLOOKUP($E1236,Valida!$A$1:$G$270,6,FALSE),IF($M1236&gt;=0,VLOOKUP($E1236,Valida!$A$1:$G$270,7,FALSE)))</f>
        <v>(+/-) Ajustes por el incremento (disminución) de cuentas por pagar de origen comercial</v>
      </c>
      <c r="V1236" s="190" t="str">
        <f>VLOOKUP(E1236,Valida!$A$2:$K$271,4,FALSE)</f>
        <v>Trade and other payables</v>
      </c>
      <c r="W1236" s="185" t="s">
        <v>1864</v>
      </c>
      <c r="X1236" s="185" t="s">
        <v>1865</v>
      </c>
      <c r="Y1236" s="185" t="s">
        <v>1789</v>
      </c>
      <c r="Z1236"/>
    </row>
    <row r="1237" spans="1:26">
      <c r="A1237" s="185" t="s">
        <v>2664</v>
      </c>
      <c r="B1237" s="185" t="s">
        <v>2665</v>
      </c>
      <c r="C1237" s="185" t="s">
        <v>1792</v>
      </c>
      <c r="D1237" s="185" t="s">
        <v>2141</v>
      </c>
      <c r="E1237" s="185">
        <v>23359502</v>
      </c>
      <c r="F1237" s="185" t="s">
        <v>547</v>
      </c>
      <c r="G1237" s="185" t="s">
        <v>1862</v>
      </c>
      <c r="H1237" s="185" t="s">
        <v>1628</v>
      </c>
      <c r="I1237" s="258" t="str">
        <f t="shared" si="58"/>
        <v>2</v>
      </c>
      <c r="J1237" s="221">
        <f t="shared" si="59"/>
        <v>-122016</v>
      </c>
      <c r="K1237" s="258">
        <f t="shared" si="60"/>
        <v>5</v>
      </c>
      <c r="L1237" s="188">
        <v>0</v>
      </c>
      <c r="M1237" s="188">
        <v>122016</v>
      </c>
      <c r="N1237" s="189">
        <v>900424409</v>
      </c>
      <c r="O1237" t="s">
        <v>2666</v>
      </c>
      <c r="P1237" s="187">
        <v>45071.631203703699</v>
      </c>
      <c r="Q1237" s="186">
        <v>11309</v>
      </c>
      <c r="R1237" s="185" t="s">
        <v>844</v>
      </c>
      <c r="S1237" s="185" t="s">
        <v>1598</v>
      </c>
      <c r="T1237"/>
      <c r="U1237" t="str">
        <f>IF($L1237&gt;0,VLOOKUP($E1237,Valida!$A$1:$G$270,6,FALSE),IF($M1237&gt;=0,VLOOKUP($E1237,Valida!$A$1:$G$270,7,FALSE)))</f>
        <v>(+/-) Ajustes por el incremento (disminución) de cuentas por pagar de origen comercial</v>
      </c>
      <c r="V1237" s="190" t="str">
        <f>VLOOKUP(E1237,Valida!$A$2:$K$271,4,FALSE)</f>
        <v>Trade and other payables</v>
      </c>
      <c r="W1237" s="185" t="s">
        <v>1864</v>
      </c>
      <c r="X1237" s="185" t="s">
        <v>1865</v>
      </c>
      <c r="Y1237" s="185" t="s">
        <v>1789</v>
      </c>
      <c r="Z1237"/>
    </row>
    <row r="1238" spans="1:26">
      <c r="A1238" s="185" t="s">
        <v>2664</v>
      </c>
      <c r="B1238" s="185" t="s">
        <v>2665</v>
      </c>
      <c r="C1238" s="185" t="s">
        <v>1792</v>
      </c>
      <c r="D1238" s="185" t="s">
        <v>2141</v>
      </c>
      <c r="E1238" s="185">
        <v>23653002</v>
      </c>
      <c r="F1238" s="185" t="s">
        <v>241</v>
      </c>
      <c r="G1238" s="185" t="s">
        <v>1867</v>
      </c>
      <c r="H1238" s="185" t="s">
        <v>1628</v>
      </c>
      <c r="I1238" s="258" t="str">
        <f t="shared" si="58"/>
        <v>2</v>
      </c>
      <c r="J1238" s="221">
        <f t="shared" si="59"/>
        <v>-4280</v>
      </c>
      <c r="K1238" s="258">
        <f t="shared" si="60"/>
        <v>5</v>
      </c>
      <c r="L1238" s="188">
        <v>0</v>
      </c>
      <c r="M1238" s="188">
        <v>4280</v>
      </c>
      <c r="N1238" s="189">
        <v>900424409</v>
      </c>
      <c r="O1238" t="s">
        <v>2666</v>
      </c>
      <c r="P1238" s="187">
        <v>45071.631203703699</v>
      </c>
      <c r="Q1238" s="186">
        <v>11310</v>
      </c>
      <c r="R1238" s="185" t="s">
        <v>844</v>
      </c>
      <c r="S1238" s="185" t="s">
        <v>1598</v>
      </c>
      <c r="T1238"/>
      <c r="U1238" t="str">
        <f>IF($L1238&gt;0,VLOOKUP($E1238,Valida!$A$1:$G$270,6,FALSE),IF($M1238&gt;=0,VLOOKUP($E1238,Valida!$A$1:$G$270,7,FALSE)))</f>
        <v>(+/-) Ajustes por el incremento (disminución) de cuentas por pagar de origen comercial</v>
      </c>
      <c r="V1238" s="190" t="str">
        <f>VLOOKUP(E1238,Valida!$A$2:$K$271,4,FALSE)</f>
        <v>Trade and other payables</v>
      </c>
      <c r="W1238" s="185" t="s">
        <v>1864</v>
      </c>
      <c r="X1238" s="185" t="s">
        <v>1865</v>
      </c>
      <c r="Y1238" s="185" t="s">
        <v>1789</v>
      </c>
      <c r="Z1238"/>
    </row>
    <row r="1239" spans="1:26">
      <c r="A1239" s="185" t="s">
        <v>2664</v>
      </c>
      <c r="B1239" s="185" t="s">
        <v>2665</v>
      </c>
      <c r="C1239" s="185" t="s">
        <v>1792</v>
      </c>
      <c r="D1239" s="185" t="s">
        <v>2141</v>
      </c>
      <c r="E1239" s="185">
        <v>23680503</v>
      </c>
      <c r="F1239" s="185" t="s">
        <v>665</v>
      </c>
      <c r="G1239" s="185" t="s">
        <v>1868</v>
      </c>
      <c r="H1239" s="185" t="s">
        <v>1628</v>
      </c>
      <c r="I1239" s="258" t="str">
        <f t="shared" si="58"/>
        <v>2</v>
      </c>
      <c r="J1239" s="221">
        <f t="shared" si="59"/>
        <v>-1034</v>
      </c>
      <c r="K1239" s="258">
        <f t="shared" si="60"/>
        <v>5</v>
      </c>
      <c r="L1239" s="188">
        <v>0</v>
      </c>
      <c r="M1239" s="188">
        <v>1034</v>
      </c>
      <c r="N1239" s="189">
        <v>900424409</v>
      </c>
      <c r="O1239" t="s">
        <v>2666</v>
      </c>
      <c r="P1239" s="187">
        <v>45071.631203703699</v>
      </c>
      <c r="Q1239" s="186">
        <v>11311</v>
      </c>
      <c r="R1239" s="185" t="s">
        <v>844</v>
      </c>
      <c r="S1239" s="185" t="s">
        <v>1598</v>
      </c>
      <c r="T1239"/>
      <c r="U1239" t="str">
        <f>IF($L1239&gt;0,VLOOKUP($E1239,Valida!$A$1:$G$270,6,FALSE),IF($M1239&gt;=0,VLOOKUP($E1239,Valida!$A$1:$G$270,7,FALSE)))</f>
        <v>(+/-) Ajustes por el incremento (disminución) de cuentas por pagar de origen comercial</v>
      </c>
      <c r="V1239" s="190" t="str">
        <f>VLOOKUP(E1239,Valida!$A$2:$K$271,4,FALSE)</f>
        <v>Trade and other payables</v>
      </c>
      <c r="W1239" s="185" t="s">
        <v>1864</v>
      </c>
      <c r="X1239" s="185" t="s">
        <v>1865</v>
      </c>
      <c r="Y1239" s="185" t="s">
        <v>1789</v>
      </c>
      <c r="Z1239"/>
    </row>
    <row r="1240" spans="1:26">
      <c r="A1240" s="185" t="s">
        <v>2664</v>
      </c>
      <c r="B1240" s="185" t="s">
        <v>2667</v>
      </c>
      <c r="C1240" s="185" t="s">
        <v>1792</v>
      </c>
      <c r="D1240" s="185" t="s">
        <v>2143</v>
      </c>
      <c r="E1240" s="185">
        <v>51353001</v>
      </c>
      <c r="F1240" s="185" t="s">
        <v>516</v>
      </c>
      <c r="G1240" s="185" t="s">
        <v>1833</v>
      </c>
      <c r="H1240" s="185" t="s">
        <v>1515</v>
      </c>
      <c r="I1240" s="258" t="str">
        <f t="shared" si="58"/>
        <v>5</v>
      </c>
      <c r="J1240" s="221">
        <f t="shared" si="59"/>
        <v>5647140</v>
      </c>
      <c r="K1240" s="258">
        <f t="shared" si="60"/>
        <v>5</v>
      </c>
      <c r="L1240" s="188">
        <v>5647140</v>
      </c>
      <c r="M1240" s="188">
        <v>0</v>
      </c>
      <c r="N1240" s="189">
        <v>860063875</v>
      </c>
      <c r="O1240" t="s">
        <v>2668</v>
      </c>
      <c r="P1240" s="187">
        <v>45071.632824074099</v>
      </c>
      <c r="Q1240" s="186">
        <v>11312</v>
      </c>
      <c r="R1240" s="185" t="s">
        <v>1827</v>
      </c>
      <c r="S1240" s="185" t="s">
        <v>1572</v>
      </c>
      <c r="T1240"/>
      <c r="U1240" t="str">
        <f>IF($L1240&gt;0,VLOOKUP($E1240,Valida!$A$1:$G$270,6,FALSE),IF($M1240&gt;=0,VLOOKUP($E1240,Valida!$A$1:$G$270,7,FALSE)))</f>
        <v>(+/-) Ganancia (pérdida)</v>
      </c>
      <c r="V1240" s="190" t="str">
        <f>VLOOKUP(E1240,Valida!$A$2:$K$271,4,FALSE)</f>
        <v>P&amp;L</v>
      </c>
      <c r="W1240" s="185" t="s">
        <v>1835</v>
      </c>
      <c r="X1240" s="185"/>
      <c r="Y1240" s="185" t="s">
        <v>1789</v>
      </c>
      <c r="Z1240"/>
    </row>
    <row r="1241" spans="1:26">
      <c r="A1241" s="185" t="s">
        <v>2664</v>
      </c>
      <c r="B1241" s="185" t="s">
        <v>2667</v>
      </c>
      <c r="C1241" s="185" t="s">
        <v>1792</v>
      </c>
      <c r="D1241" s="185" t="s">
        <v>2143</v>
      </c>
      <c r="E1241" s="185">
        <v>51350502</v>
      </c>
      <c r="F1241" s="185" t="s">
        <v>1738</v>
      </c>
      <c r="G1241" s="185" t="s">
        <v>1833</v>
      </c>
      <c r="H1241" s="185" t="s">
        <v>1515</v>
      </c>
      <c r="I1241" s="258" t="str">
        <f t="shared" si="58"/>
        <v>5</v>
      </c>
      <c r="J1241" s="221">
        <f t="shared" si="59"/>
        <v>60550</v>
      </c>
      <c r="K1241" s="258">
        <f t="shared" si="60"/>
        <v>5</v>
      </c>
      <c r="L1241" s="188">
        <v>60550</v>
      </c>
      <c r="M1241" s="188">
        <v>0</v>
      </c>
      <c r="N1241" s="189">
        <v>901145808</v>
      </c>
      <c r="O1241" t="s">
        <v>2668</v>
      </c>
      <c r="P1241" s="187">
        <v>45071.632824074099</v>
      </c>
      <c r="Q1241" s="186">
        <v>11313</v>
      </c>
      <c r="R1241" s="185" t="s">
        <v>1067</v>
      </c>
      <c r="S1241" s="185" t="s">
        <v>1740</v>
      </c>
      <c r="T1241"/>
      <c r="U1241" t="str">
        <f>IF($L1241&gt;0,VLOOKUP($E1241,Valida!$A$1:$G$270,6,FALSE),IF($M1241&gt;=0,VLOOKUP($E1241,Valida!$A$1:$G$270,7,FALSE)))</f>
        <v>(+/-) Ganancia (pérdida)</v>
      </c>
      <c r="V1241" s="190" t="str">
        <f>VLOOKUP(E1241,Valida!$A$2:$K$271,4,FALSE)</f>
        <v>P&amp;L</v>
      </c>
      <c r="W1241" s="185" t="s">
        <v>1836</v>
      </c>
      <c r="X1241" s="185" t="s">
        <v>1837</v>
      </c>
      <c r="Y1241" s="185" t="s">
        <v>1789</v>
      </c>
      <c r="Z1241"/>
    </row>
    <row r="1242" spans="1:26">
      <c r="A1242" s="185" t="s">
        <v>2664</v>
      </c>
      <c r="B1242" s="185" t="s">
        <v>2667</v>
      </c>
      <c r="C1242" s="185" t="s">
        <v>1792</v>
      </c>
      <c r="D1242" s="185" t="s">
        <v>2143</v>
      </c>
      <c r="E1242" s="185">
        <v>23355005</v>
      </c>
      <c r="F1242" s="185" t="s">
        <v>516</v>
      </c>
      <c r="G1242" s="185" t="s">
        <v>1833</v>
      </c>
      <c r="H1242" s="185" t="s">
        <v>1628</v>
      </c>
      <c r="I1242" s="258" t="str">
        <f t="shared" si="58"/>
        <v>2</v>
      </c>
      <c r="J1242" s="221">
        <f t="shared" si="59"/>
        <v>-5707690</v>
      </c>
      <c r="K1242" s="258">
        <f t="shared" si="60"/>
        <v>5</v>
      </c>
      <c r="L1242" s="188">
        <v>0</v>
      </c>
      <c r="M1242" s="188">
        <v>5707690</v>
      </c>
      <c r="N1242" s="189">
        <v>860063875</v>
      </c>
      <c r="O1242" t="s">
        <v>2668</v>
      </c>
      <c r="P1242" s="187">
        <v>45071.632824074099</v>
      </c>
      <c r="Q1242" s="186">
        <v>11314</v>
      </c>
      <c r="R1242" s="185" t="s">
        <v>1827</v>
      </c>
      <c r="S1242" s="185" t="s">
        <v>1572</v>
      </c>
      <c r="T1242"/>
      <c r="U1242" t="str">
        <f>IF($L1242&gt;0,VLOOKUP($E1242,Valida!$A$1:$G$270,6,FALSE),IF($M1242&gt;=0,VLOOKUP($E1242,Valida!$A$1:$G$270,7,FALSE)))</f>
        <v>(+/-) Ajustes por el incremento (disminución) de cuentas por pagar de origen comercial</v>
      </c>
      <c r="V1242" s="190" t="str">
        <f>VLOOKUP(E1242,Valida!$A$2:$K$271,4,FALSE)</f>
        <v>Trade and other payables</v>
      </c>
      <c r="W1242" s="185" t="s">
        <v>1835</v>
      </c>
      <c r="X1242" s="185"/>
      <c r="Y1242" s="185" t="s">
        <v>1789</v>
      </c>
      <c r="Z1242"/>
    </row>
    <row r="1243" spans="1:26">
      <c r="A1243" s="185" t="s">
        <v>2664</v>
      </c>
      <c r="B1243" s="185" t="s">
        <v>2667</v>
      </c>
      <c r="C1243" s="185" t="s">
        <v>1792</v>
      </c>
      <c r="D1243" s="185" t="s">
        <v>2143</v>
      </c>
      <c r="E1243" s="185">
        <v>53059510</v>
      </c>
      <c r="F1243" s="185" t="s">
        <v>1065</v>
      </c>
      <c r="G1243" s="185" t="s">
        <v>1833</v>
      </c>
      <c r="H1243" s="185" t="s">
        <v>1628</v>
      </c>
      <c r="I1243" s="258" t="str">
        <f t="shared" si="58"/>
        <v>5</v>
      </c>
      <c r="J1243" s="221">
        <f t="shared" si="59"/>
        <v>0</v>
      </c>
      <c r="K1243" s="258">
        <f t="shared" si="60"/>
        <v>5</v>
      </c>
      <c r="L1243" s="188">
        <v>0</v>
      </c>
      <c r="M1243" s="188">
        <v>0</v>
      </c>
      <c r="N1243" s="189">
        <v>860063875</v>
      </c>
      <c r="O1243" t="s">
        <v>2668</v>
      </c>
      <c r="P1243" s="187">
        <v>45071.632824074099</v>
      </c>
      <c r="Q1243" s="186">
        <v>11315</v>
      </c>
      <c r="R1243" s="185" t="s">
        <v>1827</v>
      </c>
      <c r="S1243" s="185" t="s">
        <v>1572</v>
      </c>
      <c r="T1243"/>
      <c r="U1243" t="str">
        <f>IF($L1243&gt;0,VLOOKUP($E1243,Valida!$A$1:$G$270,6,FALSE),IF($M1243&gt;=0,VLOOKUP($E1243,Valida!$A$1:$G$270,7,FALSE)))</f>
        <v>(+/-) Ganancia (pérdida)</v>
      </c>
      <c r="V1243" s="190" t="str">
        <f>VLOOKUP(E1243,Valida!$A$2:$K$271,4,FALSE)</f>
        <v>P&amp;L</v>
      </c>
      <c r="W1243" s="185" t="s">
        <v>1835</v>
      </c>
      <c r="X1243" s="185"/>
      <c r="Y1243" s="185" t="s">
        <v>1789</v>
      </c>
      <c r="Z1243"/>
    </row>
    <row r="1244" spans="1:26">
      <c r="A1244" s="185" t="s">
        <v>2669</v>
      </c>
      <c r="B1244" s="185" t="s">
        <v>2670</v>
      </c>
      <c r="C1244" s="185" t="s">
        <v>1792</v>
      </c>
      <c r="D1244" s="185" t="s">
        <v>2145</v>
      </c>
      <c r="E1244" s="185">
        <v>51353501</v>
      </c>
      <c r="F1244" s="185" t="s">
        <v>502</v>
      </c>
      <c r="G1244" s="185" t="s">
        <v>1812</v>
      </c>
      <c r="H1244" s="185" t="s">
        <v>1515</v>
      </c>
      <c r="I1244" s="258" t="str">
        <f t="shared" si="58"/>
        <v>5</v>
      </c>
      <c r="J1244" s="221">
        <f t="shared" si="59"/>
        <v>33749.39</v>
      </c>
      <c r="K1244" s="258">
        <f t="shared" si="60"/>
        <v>5</v>
      </c>
      <c r="L1244" s="188">
        <v>33749.39</v>
      </c>
      <c r="M1244" s="188">
        <v>0</v>
      </c>
      <c r="N1244" s="189">
        <v>800153993</v>
      </c>
      <c r="O1244" t="s">
        <v>2671</v>
      </c>
      <c r="P1244" s="187">
        <v>45071.634803240697</v>
      </c>
      <c r="Q1244" s="186">
        <v>11316</v>
      </c>
      <c r="R1244" s="185" t="s">
        <v>1814</v>
      </c>
      <c r="S1244" s="185" t="s">
        <v>1556</v>
      </c>
      <c r="T1244"/>
      <c r="U1244" t="str">
        <f>IF($L1244&gt;0,VLOOKUP($E1244,Valida!$A$1:$G$270,6,FALSE),IF($M1244&gt;=0,VLOOKUP($E1244,Valida!$A$1:$G$270,7,FALSE)))</f>
        <v>(+/-) Ganancia (pérdida)</v>
      </c>
      <c r="V1244" s="190" t="str">
        <f>VLOOKUP(E1244,Valida!$A$2:$K$271,4,FALSE)</f>
        <v>P&amp;L</v>
      </c>
      <c r="W1244" s="185" t="s">
        <v>1815</v>
      </c>
      <c r="X1244" s="185"/>
      <c r="Y1244" s="185" t="s">
        <v>1789</v>
      </c>
      <c r="Z1244"/>
    </row>
    <row r="1245" spans="1:26">
      <c r="A1245" s="185" t="s">
        <v>2669</v>
      </c>
      <c r="B1245" s="185" t="s">
        <v>2670</v>
      </c>
      <c r="C1245" s="185" t="s">
        <v>1792</v>
      </c>
      <c r="D1245" s="185" t="s">
        <v>2145</v>
      </c>
      <c r="E1245" s="185">
        <v>23355001</v>
      </c>
      <c r="F1245" s="185" t="s">
        <v>502</v>
      </c>
      <c r="G1245" s="185" t="s">
        <v>1812</v>
      </c>
      <c r="H1245" s="185" t="s">
        <v>1628</v>
      </c>
      <c r="I1245" s="258" t="str">
        <f t="shared" si="58"/>
        <v>2</v>
      </c>
      <c r="J1245" s="221">
        <f t="shared" si="59"/>
        <v>-48664.17</v>
      </c>
      <c r="K1245" s="258">
        <f t="shared" si="60"/>
        <v>5</v>
      </c>
      <c r="L1245" s="188">
        <v>0</v>
      </c>
      <c r="M1245" s="188">
        <v>48664.17</v>
      </c>
      <c r="N1245" s="189">
        <v>800153993</v>
      </c>
      <c r="O1245" t="s">
        <v>2671</v>
      </c>
      <c r="P1245" s="187">
        <v>45071.634803240697</v>
      </c>
      <c r="Q1245" s="186">
        <v>11317</v>
      </c>
      <c r="R1245" s="185" t="s">
        <v>1814</v>
      </c>
      <c r="S1245" s="185" t="s">
        <v>1556</v>
      </c>
      <c r="T1245"/>
      <c r="U1245" t="str">
        <f>IF($L1245&gt;0,VLOOKUP($E1245,Valida!$A$1:$G$270,6,FALSE),IF($M1245&gt;=0,VLOOKUP($E1245,Valida!$A$1:$G$270,7,FALSE)))</f>
        <v>(+/-) Ajustes por el incremento (disminución) de cuentas por pagar de origen comercial</v>
      </c>
      <c r="V1245" s="190" t="str">
        <f>VLOOKUP(E1245,Valida!$A$2:$K$271,4,FALSE)</f>
        <v>Trade and other payables</v>
      </c>
      <c r="W1245" s="185" t="s">
        <v>1815</v>
      </c>
      <c r="X1245" s="185"/>
      <c r="Y1245" s="185" t="s">
        <v>1789</v>
      </c>
      <c r="Z1245"/>
    </row>
    <row r="1246" spans="1:26">
      <c r="A1246" s="185" t="s">
        <v>2669</v>
      </c>
      <c r="B1246" s="185" t="s">
        <v>2670</v>
      </c>
      <c r="C1246" s="185" t="s">
        <v>1792</v>
      </c>
      <c r="D1246" s="185" t="s">
        <v>2145</v>
      </c>
      <c r="E1246" s="185">
        <v>51353501</v>
      </c>
      <c r="F1246" s="185" t="s">
        <v>502</v>
      </c>
      <c r="G1246" s="185" t="s">
        <v>1812</v>
      </c>
      <c r="H1246" s="185" t="s">
        <v>1515</v>
      </c>
      <c r="I1246" s="258" t="str">
        <f t="shared" si="58"/>
        <v>5</v>
      </c>
      <c r="J1246" s="221">
        <f t="shared" si="59"/>
        <v>6912.52</v>
      </c>
      <c r="K1246" s="258">
        <f t="shared" si="60"/>
        <v>5</v>
      </c>
      <c r="L1246" s="188">
        <v>6912.52</v>
      </c>
      <c r="M1246" s="188">
        <v>0</v>
      </c>
      <c r="N1246" s="189">
        <v>800153993</v>
      </c>
      <c r="O1246" t="s">
        <v>2671</v>
      </c>
      <c r="P1246" s="187">
        <v>45071.634803240697</v>
      </c>
      <c r="Q1246" s="186">
        <v>11318</v>
      </c>
      <c r="R1246" s="185" t="s">
        <v>1814</v>
      </c>
      <c r="S1246" s="185" t="s">
        <v>1556</v>
      </c>
      <c r="T1246"/>
      <c r="U1246" t="str">
        <f>IF($L1246&gt;0,VLOOKUP($E1246,Valida!$A$1:$G$270,6,FALSE),IF($M1246&gt;=0,VLOOKUP($E1246,Valida!$A$1:$G$270,7,FALSE)))</f>
        <v>(+/-) Ganancia (pérdida)</v>
      </c>
      <c r="V1246" s="190" t="str">
        <f>VLOOKUP(E1246,Valida!$A$2:$K$271,4,FALSE)</f>
        <v>P&amp;L</v>
      </c>
      <c r="W1246" s="185" t="s">
        <v>1815</v>
      </c>
      <c r="X1246" s="185"/>
      <c r="Y1246" s="185" t="s">
        <v>1789</v>
      </c>
      <c r="Z1246"/>
    </row>
    <row r="1247" spans="1:26">
      <c r="A1247" s="185" t="s">
        <v>2669</v>
      </c>
      <c r="B1247" s="185" t="s">
        <v>2670</v>
      </c>
      <c r="C1247" s="185" t="s">
        <v>1792</v>
      </c>
      <c r="D1247" s="185" t="s">
        <v>2145</v>
      </c>
      <c r="E1247" s="185">
        <v>24081002</v>
      </c>
      <c r="F1247" s="185" t="s">
        <v>1687</v>
      </c>
      <c r="G1247" s="185" t="s">
        <v>1812</v>
      </c>
      <c r="H1247" s="185" t="s">
        <v>1515</v>
      </c>
      <c r="I1247" s="258" t="str">
        <f t="shared" si="58"/>
        <v>2</v>
      </c>
      <c r="J1247" s="221">
        <f t="shared" si="59"/>
        <v>7725.76</v>
      </c>
      <c r="K1247" s="258">
        <f t="shared" si="60"/>
        <v>5</v>
      </c>
      <c r="L1247" s="188">
        <v>7725.76</v>
      </c>
      <c r="M1247" s="188">
        <v>0</v>
      </c>
      <c r="N1247" s="189">
        <v>800153993</v>
      </c>
      <c r="O1247" t="s">
        <v>2671</v>
      </c>
      <c r="P1247" s="187">
        <v>45071.634803240697</v>
      </c>
      <c r="Q1247" s="186">
        <v>11319</v>
      </c>
      <c r="R1247" s="185" t="s">
        <v>1814</v>
      </c>
      <c r="S1247" s="185" t="s">
        <v>1556</v>
      </c>
      <c r="T1247"/>
      <c r="U1247" t="str">
        <f>IF($L1247&gt;0,VLOOKUP($E1247,Valida!$A$1:$G$270,6,FALSE),IF($M1247&gt;=0,VLOOKUP($E1247,Valida!$A$1:$G$270,7,FALSE)))</f>
        <v>(+/-) Ajustes por el incremento (disminución) de cuentas por pagar de origen comercial</v>
      </c>
      <c r="V1247" s="190" t="str">
        <f>VLOOKUP(E1247,Valida!$A$2:$K$271,4,FALSE)</f>
        <v>Trade and other payables</v>
      </c>
      <c r="W1247" s="185" t="s">
        <v>1815</v>
      </c>
      <c r="X1247" s="185"/>
      <c r="Y1247" s="185" t="s">
        <v>1789</v>
      </c>
      <c r="Z1247"/>
    </row>
    <row r="1248" spans="1:26">
      <c r="A1248" s="185" t="s">
        <v>2669</v>
      </c>
      <c r="B1248" s="185" t="s">
        <v>2670</v>
      </c>
      <c r="C1248" s="185" t="s">
        <v>1792</v>
      </c>
      <c r="D1248" s="185" t="s">
        <v>2145</v>
      </c>
      <c r="E1248" s="185">
        <v>51159502</v>
      </c>
      <c r="F1248" s="185" t="s">
        <v>1736</v>
      </c>
      <c r="G1248" s="185" t="s">
        <v>1812</v>
      </c>
      <c r="H1248" s="185" t="s">
        <v>1515</v>
      </c>
      <c r="I1248" s="258" t="str">
        <f t="shared" si="58"/>
        <v>5</v>
      </c>
      <c r="J1248" s="221">
        <f t="shared" si="59"/>
        <v>276.5</v>
      </c>
      <c r="K1248" s="258">
        <f t="shared" si="60"/>
        <v>5</v>
      </c>
      <c r="L1248" s="188">
        <v>276.5</v>
      </c>
      <c r="M1248" s="188">
        <v>0</v>
      </c>
      <c r="N1248" s="189">
        <v>800153993</v>
      </c>
      <c r="O1248" t="s">
        <v>2671</v>
      </c>
      <c r="P1248" s="187">
        <v>45071.634803240697</v>
      </c>
      <c r="Q1248" s="186">
        <v>11320</v>
      </c>
      <c r="R1248" s="185" t="s">
        <v>1814</v>
      </c>
      <c r="S1248" s="185" t="s">
        <v>1556</v>
      </c>
      <c r="T1248"/>
      <c r="U1248" t="str">
        <f>IF($L1248&gt;0,VLOOKUP($E1248,Valida!$A$1:$G$270,6,FALSE),IF($M1248&gt;=0,VLOOKUP($E1248,Valida!$A$1:$G$270,7,FALSE)))</f>
        <v>(+/-) Ganancia (pérdida)</v>
      </c>
      <c r="V1248" s="190" t="str">
        <f>VLOOKUP(E1248,Valida!$A$2:$K$271,4,FALSE)</f>
        <v>P&amp;L</v>
      </c>
      <c r="W1248" s="185" t="s">
        <v>1815</v>
      </c>
      <c r="X1248" s="185"/>
      <c r="Y1248" s="185" t="s">
        <v>1789</v>
      </c>
      <c r="Z1248"/>
    </row>
    <row r="1249" spans="1:26">
      <c r="A1249" s="185" t="s">
        <v>2672</v>
      </c>
      <c r="B1249" s="185" t="s">
        <v>2673</v>
      </c>
      <c r="C1249" s="185" t="s">
        <v>1792</v>
      </c>
      <c r="D1249" s="185" t="s">
        <v>2147</v>
      </c>
      <c r="E1249" s="185">
        <v>51352002</v>
      </c>
      <c r="F1249" s="185" t="s">
        <v>1270</v>
      </c>
      <c r="G1249" s="185" t="s">
        <v>1825</v>
      </c>
      <c r="H1249" s="185" t="s">
        <v>1515</v>
      </c>
      <c r="I1249" s="258" t="str">
        <f t="shared" si="58"/>
        <v>5</v>
      </c>
      <c r="J1249" s="221">
        <f t="shared" si="59"/>
        <v>3567540</v>
      </c>
      <c r="K1249" s="258">
        <f t="shared" si="60"/>
        <v>5</v>
      </c>
      <c r="L1249" s="188">
        <v>3567540</v>
      </c>
      <c r="M1249" s="188">
        <v>0</v>
      </c>
      <c r="N1249" s="189">
        <v>800153993</v>
      </c>
      <c r="O1249" t="s">
        <v>2674</v>
      </c>
      <c r="P1249" s="187">
        <v>45071.636655092603</v>
      </c>
      <c r="Q1249" s="186">
        <v>11321</v>
      </c>
      <c r="R1249" s="185" t="s">
        <v>1814</v>
      </c>
      <c r="S1249" s="185" t="s">
        <v>1556</v>
      </c>
      <c r="T1249"/>
      <c r="U1249" t="str">
        <f>IF($L1249&gt;0,VLOOKUP($E1249,Valida!$A$1:$G$270,6,FALSE),IF($M1249&gt;=0,VLOOKUP($E1249,Valida!$A$1:$G$270,7,FALSE)))</f>
        <v>(+/-) Ganancia (pérdida)</v>
      </c>
      <c r="V1249" s="190" t="str">
        <f>VLOOKUP(E1249,Valida!$A$2:$K$271,4,FALSE)</f>
        <v>P&amp;L</v>
      </c>
      <c r="W1249" s="185" t="s">
        <v>1815</v>
      </c>
      <c r="X1249" s="185"/>
      <c r="Y1249" s="185" t="s">
        <v>1789</v>
      </c>
      <c r="Z1249"/>
    </row>
    <row r="1250" spans="1:26">
      <c r="A1250" s="185" t="s">
        <v>2672</v>
      </c>
      <c r="B1250" s="185" t="s">
        <v>2673</v>
      </c>
      <c r="C1250" s="185" t="s">
        <v>1792</v>
      </c>
      <c r="D1250" s="185" t="s">
        <v>2147</v>
      </c>
      <c r="E1250" s="185">
        <v>24081002</v>
      </c>
      <c r="F1250" s="185" t="s">
        <v>1687</v>
      </c>
      <c r="G1250" s="185" t="s">
        <v>1830</v>
      </c>
      <c r="H1250" s="185" t="s">
        <v>1515</v>
      </c>
      <c r="I1250" s="258" t="str">
        <f t="shared" si="58"/>
        <v>2</v>
      </c>
      <c r="J1250" s="221">
        <f t="shared" si="59"/>
        <v>677832.6</v>
      </c>
      <c r="K1250" s="258">
        <f t="shared" si="60"/>
        <v>5</v>
      </c>
      <c r="L1250" s="188">
        <v>677832.6</v>
      </c>
      <c r="M1250" s="188">
        <v>0</v>
      </c>
      <c r="N1250" s="189">
        <v>800153993</v>
      </c>
      <c r="O1250" t="s">
        <v>2674</v>
      </c>
      <c r="P1250" s="187">
        <v>45071.636655092603</v>
      </c>
      <c r="Q1250" s="186">
        <v>11322</v>
      </c>
      <c r="R1250" s="185" t="s">
        <v>1814</v>
      </c>
      <c r="S1250" s="185" t="s">
        <v>1556</v>
      </c>
      <c r="T1250"/>
      <c r="U1250" t="str">
        <f>IF($L1250&gt;0,VLOOKUP($E1250,Valida!$A$1:$G$270,6,FALSE),IF($M1250&gt;=0,VLOOKUP($E1250,Valida!$A$1:$G$270,7,FALSE)))</f>
        <v>(+/-) Ajustes por el incremento (disminución) de cuentas por pagar de origen comercial</v>
      </c>
      <c r="V1250" s="190" t="str">
        <f>VLOOKUP(E1250,Valida!$A$2:$K$271,4,FALSE)</f>
        <v>Trade and other payables</v>
      </c>
      <c r="W1250" s="185" t="s">
        <v>1815</v>
      </c>
      <c r="X1250" s="185"/>
      <c r="Y1250" s="185" t="s">
        <v>1789</v>
      </c>
      <c r="Z1250"/>
    </row>
    <row r="1251" spans="1:26">
      <c r="A1251" s="185" t="s">
        <v>2672</v>
      </c>
      <c r="B1251" s="185" t="s">
        <v>2673</v>
      </c>
      <c r="C1251" s="185" t="s">
        <v>1792</v>
      </c>
      <c r="D1251" s="185" t="s">
        <v>2147</v>
      </c>
      <c r="E1251" s="185">
        <v>23355006</v>
      </c>
      <c r="F1251" s="185" t="s">
        <v>519</v>
      </c>
      <c r="G1251" s="185" t="s">
        <v>1825</v>
      </c>
      <c r="H1251" s="185" t="s">
        <v>1628</v>
      </c>
      <c r="I1251" s="258" t="str">
        <f t="shared" si="58"/>
        <v>2</v>
      </c>
      <c r="J1251" s="221">
        <f t="shared" si="59"/>
        <v>-4245373</v>
      </c>
      <c r="K1251" s="258">
        <f t="shared" si="60"/>
        <v>5</v>
      </c>
      <c r="L1251" s="188">
        <v>0</v>
      </c>
      <c r="M1251" s="188">
        <v>4245373</v>
      </c>
      <c r="N1251" s="189">
        <v>800153993</v>
      </c>
      <c r="O1251" t="s">
        <v>2674</v>
      </c>
      <c r="P1251" s="187">
        <v>45071.636655092603</v>
      </c>
      <c r="Q1251" s="186">
        <v>11323</v>
      </c>
      <c r="R1251" s="185" t="s">
        <v>1814</v>
      </c>
      <c r="S1251" s="185" t="s">
        <v>1556</v>
      </c>
      <c r="T1251"/>
      <c r="U1251" t="str">
        <f>IF($L1251&gt;0,VLOOKUP($E1251,Valida!$A$1:$G$270,6,FALSE),IF($M1251&gt;=0,VLOOKUP($E1251,Valida!$A$1:$G$270,7,FALSE)))</f>
        <v>(+/-) Ajustes por el incremento (disminución) de cuentas por pagar de origen comercial</v>
      </c>
      <c r="V1251" s="190" t="str">
        <f>VLOOKUP(E1251,Valida!$A$2:$K$271,4,FALSE)</f>
        <v>Trade and other payables</v>
      </c>
      <c r="W1251" s="185" t="s">
        <v>1815</v>
      </c>
      <c r="X1251" s="185"/>
      <c r="Y1251" s="185" t="s">
        <v>1789</v>
      </c>
      <c r="Z1251"/>
    </row>
    <row r="1252" spans="1:26">
      <c r="A1252" s="185" t="s">
        <v>2672</v>
      </c>
      <c r="B1252" s="185" t="s">
        <v>2673</v>
      </c>
      <c r="C1252" s="185" t="s">
        <v>1792</v>
      </c>
      <c r="D1252" s="185" t="s">
        <v>2147</v>
      </c>
      <c r="E1252" s="185">
        <v>53059510</v>
      </c>
      <c r="F1252" s="185" t="s">
        <v>1065</v>
      </c>
      <c r="G1252" s="185" t="s">
        <v>1825</v>
      </c>
      <c r="H1252" s="185" t="s">
        <v>1515</v>
      </c>
      <c r="I1252" s="258" t="str">
        <f t="shared" si="58"/>
        <v>5</v>
      </c>
      <c r="J1252" s="221">
        <f t="shared" si="59"/>
        <v>0.4</v>
      </c>
      <c r="K1252" s="258">
        <f t="shared" si="60"/>
        <v>5</v>
      </c>
      <c r="L1252" s="188">
        <v>0.4</v>
      </c>
      <c r="M1252" s="188">
        <v>0</v>
      </c>
      <c r="N1252" s="189">
        <v>800153993</v>
      </c>
      <c r="O1252" t="s">
        <v>2674</v>
      </c>
      <c r="P1252" s="187">
        <v>45071.636655092603</v>
      </c>
      <c r="Q1252" s="186">
        <v>11324</v>
      </c>
      <c r="R1252" s="185" t="s">
        <v>1814</v>
      </c>
      <c r="S1252" s="185" t="s">
        <v>1556</v>
      </c>
      <c r="T1252"/>
      <c r="U1252" t="str">
        <f>IF($L1252&gt;0,VLOOKUP($E1252,Valida!$A$1:$G$270,6,FALSE),IF($M1252&gt;=0,VLOOKUP($E1252,Valida!$A$1:$G$270,7,FALSE)))</f>
        <v>(+/-) Ganancia (pérdida)</v>
      </c>
      <c r="V1252" s="190" t="str">
        <f>VLOOKUP(E1252,Valida!$A$2:$K$271,4,FALSE)</f>
        <v>P&amp;L</v>
      </c>
      <c r="W1252" s="185" t="s">
        <v>1815</v>
      </c>
      <c r="X1252" s="185"/>
      <c r="Y1252" s="185" t="s">
        <v>1789</v>
      </c>
      <c r="Z1252"/>
    </row>
    <row r="1253" spans="1:26">
      <c r="A1253" s="185" t="s">
        <v>2675</v>
      </c>
      <c r="B1253" s="185" t="s">
        <v>2676</v>
      </c>
      <c r="C1253" s="185" t="s">
        <v>1792</v>
      </c>
      <c r="D1253" s="185" t="s">
        <v>2149</v>
      </c>
      <c r="E1253" s="185">
        <v>51352002</v>
      </c>
      <c r="F1253" s="185" t="s">
        <v>1270</v>
      </c>
      <c r="G1253" s="185" t="s">
        <v>1825</v>
      </c>
      <c r="H1253" s="185" t="s">
        <v>1515</v>
      </c>
      <c r="I1253" s="258" t="str">
        <f t="shared" si="58"/>
        <v>5</v>
      </c>
      <c r="J1253" s="221">
        <f t="shared" si="59"/>
        <v>1224400</v>
      </c>
      <c r="K1253" s="258">
        <f t="shared" si="60"/>
        <v>5</v>
      </c>
      <c r="L1253" s="188">
        <v>1224400</v>
      </c>
      <c r="M1253" s="188">
        <v>0</v>
      </c>
      <c r="N1253" s="189">
        <v>899999115</v>
      </c>
      <c r="O1253" t="s">
        <v>2677</v>
      </c>
      <c r="P1253" s="187">
        <v>45071.637581018498</v>
      </c>
      <c r="Q1253" s="186">
        <v>11325</v>
      </c>
      <c r="R1253" s="185" t="s">
        <v>1827</v>
      </c>
      <c r="S1253" s="185" t="s">
        <v>1586</v>
      </c>
      <c r="T1253"/>
      <c r="U1253" t="str">
        <f>IF($L1253&gt;0,VLOOKUP($E1253,Valida!$A$1:$G$270,6,FALSE),IF($M1253&gt;=0,VLOOKUP($E1253,Valida!$A$1:$G$270,7,FALSE)))</f>
        <v>(+/-) Ganancia (pérdida)</v>
      </c>
      <c r="V1253" s="190" t="str">
        <f>VLOOKUP(E1253,Valida!$A$2:$K$271,4,FALSE)</f>
        <v>P&amp;L</v>
      </c>
      <c r="W1253" s="185" t="s">
        <v>1828</v>
      </c>
      <c r="X1253" s="185" t="s">
        <v>1829</v>
      </c>
      <c r="Y1253" s="185" t="s">
        <v>1789</v>
      </c>
      <c r="Z1253"/>
    </row>
    <row r="1254" spans="1:26">
      <c r="A1254" s="185" t="s">
        <v>2675</v>
      </c>
      <c r="B1254" s="185" t="s">
        <v>2676</v>
      </c>
      <c r="C1254" s="185" t="s">
        <v>1792</v>
      </c>
      <c r="D1254" s="185" t="s">
        <v>2149</v>
      </c>
      <c r="E1254" s="185">
        <v>24081002</v>
      </c>
      <c r="F1254" s="185" t="s">
        <v>1687</v>
      </c>
      <c r="G1254" s="185" t="s">
        <v>1830</v>
      </c>
      <c r="H1254" s="185" t="s">
        <v>1515</v>
      </c>
      <c r="I1254" s="258" t="str">
        <f t="shared" si="58"/>
        <v>2</v>
      </c>
      <c r="J1254" s="221">
        <f t="shared" si="59"/>
        <v>232636</v>
      </c>
      <c r="K1254" s="258">
        <f t="shared" si="60"/>
        <v>5</v>
      </c>
      <c r="L1254" s="188">
        <v>232636</v>
      </c>
      <c r="M1254" s="188">
        <v>0</v>
      </c>
      <c r="N1254" s="189">
        <v>899999115</v>
      </c>
      <c r="O1254" t="s">
        <v>2677</v>
      </c>
      <c r="P1254" s="187">
        <v>45071.637581018498</v>
      </c>
      <c r="Q1254" s="186">
        <v>11326</v>
      </c>
      <c r="R1254" s="185" t="s">
        <v>1827</v>
      </c>
      <c r="S1254" s="185" t="s">
        <v>1586</v>
      </c>
      <c r="T1254"/>
      <c r="U1254" t="str">
        <f>IF($L1254&gt;0,VLOOKUP($E1254,Valida!$A$1:$G$270,6,FALSE),IF($M1254&gt;=0,VLOOKUP($E1254,Valida!$A$1:$G$270,7,FALSE)))</f>
        <v>(+/-) Ajustes por el incremento (disminución) de cuentas por pagar de origen comercial</v>
      </c>
      <c r="V1254" s="190" t="str">
        <f>VLOOKUP(E1254,Valida!$A$2:$K$271,4,FALSE)</f>
        <v>Trade and other payables</v>
      </c>
      <c r="W1254" s="185" t="s">
        <v>1828</v>
      </c>
      <c r="X1254" s="185" t="s">
        <v>1829</v>
      </c>
      <c r="Y1254" s="185" t="s">
        <v>1789</v>
      </c>
      <c r="Z1254"/>
    </row>
    <row r="1255" spans="1:26">
      <c r="A1255" s="185" t="s">
        <v>2675</v>
      </c>
      <c r="B1255" s="185" t="s">
        <v>2676</v>
      </c>
      <c r="C1255" s="185" t="s">
        <v>1792</v>
      </c>
      <c r="D1255" s="185" t="s">
        <v>2149</v>
      </c>
      <c r="E1255" s="185">
        <v>23355006</v>
      </c>
      <c r="F1255" s="185" t="s">
        <v>519</v>
      </c>
      <c r="G1255" s="185" t="s">
        <v>1825</v>
      </c>
      <c r="H1255" s="185" t="s">
        <v>1628</v>
      </c>
      <c r="I1255" s="258" t="str">
        <f t="shared" si="58"/>
        <v>2</v>
      </c>
      <c r="J1255" s="221">
        <f t="shared" si="59"/>
        <v>-1457040</v>
      </c>
      <c r="K1255" s="258">
        <f t="shared" si="60"/>
        <v>5</v>
      </c>
      <c r="L1255" s="188">
        <v>0</v>
      </c>
      <c r="M1255" s="188">
        <v>1457040</v>
      </c>
      <c r="N1255" s="189">
        <v>899999115</v>
      </c>
      <c r="O1255" t="s">
        <v>2677</v>
      </c>
      <c r="P1255" s="187">
        <v>45071.637581018498</v>
      </c>
      <c r="Q1255" s="186">
        <v>11327</v>
      </c>
      <c r="R1255" s="185" t="s">
        <v>1827</v>
      </c>
      <c r="S1255" s="185" t="s">
        <v>1586</v>
      </c>
      <c r="T1255"/>
      <c r="U1255" t="str">
        <f>IF($L1255&gt;0,VLOOKUP($E1255,Valida!$A$1:$G$270,6,FALSE),IF($M1255&gt;=0,VLOOKUP($E1255,Valida!$A$1:$G$270,7,FALSE)))</f>
        <v>(+/-) Ajustes por el incremento (disminución) de cuentas por pagar de origen comercial</v>
      </c>
      <c r="V1255" s="190" t="str">
        <f>VLOOKUP(E1255,Valida!$A$2:$K$271,4,FALSE)</f>
        <v>Trade and other payables</v>
      </c>
      <c r="W1255" s="185" t="s">
        <v>1828</v>
      </c>
      <c r="X1255" s="185" t="s">
        <v>1829</v>
      </c>
      <c r="Y1255" s="185" t="s">
        <v>1789</v>
      </c>
      <c r="Z1255"/>
    </row>
    <row r="1256" spans="1:26">
      <c r="A1256" s="185" t="s">
        <v>2675</v>
      </c>
      <c r="B1256" s="185" t="s">
        <v>2676</v>
      </c>
      <c r="C1256" s="185" t="s">
        <v>1792</v>
      </c>
      <c r="D1256" s="185" t="s">
        <v>2149</v>
      </c>
      <c r="E1256" s="185">
        <v>53059510</v>
      </c>
      <c r="F1256" s="185" t="s">
        <v>1065</v>
      </c>
      <c r="G1256" s="185" t="s">
        <v>1825</v>
      </c>
      <c r="H1256" s="185" t="s">
        <v>1515</v>
      </c>
      <c r="I1256" s="258" t="str">
        <f t="shared" si="58"/>
        <v>5</v>
      </c>
      <c r="J1256" s="221">
        <f t="shared" si="59"/>
        <v>4</v>
      </c>
      <c r="K1256" s="258">
        <f t="shared" si="60"/>
        <v>5</v>
      </c>
      <c r="L1256" s="188">
        <v>4</v>
      </c>
      <c r="M1256" s="188">
        <v>0</v>
      </c>
      <c r="N1256" s="189">
        <v>899999115</v>
      </c>
      <c r="O1256" t="s">
        <v>2677</v>
      </c>
      <c r="P1256" s="187">
        <v>45071.637581018498</v>
      </c>
      <c r="Q1256" s="186">
        <v>11328</v>
      </c>
      <c r="R1256" s="185" t="s">
        <v>1827</v>
      </c>
      <c r="S1256" s="185" t="s">
        <v>1586</v>
      </c>
      <c r="T1256"/>
      <c r="U1256" t="str">
        <f>IF($L1256&gt;0,VLOOKUP($E1256,Valida!$A$1:$G$270,6,FALSE),IF($M1256&gt;=0,VLOOKUP($E1256,Valida!$A$1:$G$270,7,FALSE)))</f>
        <v>(+/-) Ganancia (pérdida)</v>
      </c>
      <c r="V1256" s="190" t="str">
        <f>VLOOKUP(E1256,Valida!$A$2:$K$271,4,FALSE)</f>
        <v>P&amp;L</v>
      </c>
      <c r="W1256" s="185" t="s">
        <v>1828</v>
      </c>
      <c r="X1256" s="185" t="s">
        <v>1829</v>
      </c>
      <c r="Y1256" s="185" t="s">
        <v>1789</v>
      </c>
      <c r="Z1256"/>
    </row>
    <row r="1257" spans="1:26">
      <c r="A1257" s="185" t="s">
        <v>2675</v>
      </c>
      <c r="B1257" s="185" t="s">
        <v>2678</v>
      </c>
      <c r="C1257" s="185" t="s">
        <v>1792</v>
      </c>
      <c r="D1257" s="185" t="s">
        <v>2153</v>
      </c>
      <c r="E1257" s="185">
        <v>51350501</v>
      </c>
      <c r="F1257" s="185" t="s">
        <v>1256</v>
      </c>
      <c r="G1257" s="185" t="s">
        <v>1794</v>
      </c>
      <c r="H1257" s="185" t="s">
        <v>1515</v>
      </c>
      <c r="I1257" s="258" t="str">
        <f t="shared" si="58"/>
        <v>5</v>
      </c>
      <c r="J1257" s="221">
        <f t="shared" si="59"/>
        <v>2280607</v>
      </c>
      <c r="K1257" s="258">
        <f t="shared" si="60"/>
        <v>5</v>
      </c>
      <c r="L1257" s="188">
        <v>2280607</v>
      </c>
      <c r="M1257" s="188">
        <v>0</v>
      </c>
      <c r="N1257" s="189">
        <v>900994552</v>
      </c>
      <c r="O1257" t="s">
        <v>2679</v>
      </c>
      <c r="P1257" s="187">
        <v>45071.639444444401</v>
      </c>
      <c r="Q1257" s="186">
        <v>11329</v>
      </c>
      <c r="R1257" s="185" t="s">
        <v>844</v>
      </c>
      <c r="S1257" s="185" t="s">
        <v>1606</v>
      </c>
      <c r="T1257"/>
      <c r="U1257" t="str">
        <f>IF($L1257&gt;0,VLOOKUP($E1257,Valida!$A$1:$G$270,6,FALSE),IF($M1257&gt;=0,VLOOKUP($E1257,Valida!$A$1:$G$270,7,FALSE)))</f>
        <v>(+/-) Ganancia (pérdida)</v>
      </c>
      <c r="V1257" s="190" t="str">
        <f>VLOOKUP(E1257,Valida!$A$2:$K$271,4,FALSE)</f>
        <v>P&amp;L</v>
      </c>
      <c r="W1257" s="185" t="s">
        <v>1796</v>
      </c>
      <c r="X1257" s="185" t="s">
        <v>1797</v>
      </c>
      <c r="Y1257" s="185" t="s">
        <v>1789</v>
      </c>
      <c r="Z1257"/>
    </row>
    <row r="1258" spans="1:26">
      <c r="A1258" s="185" t="s">
        <v>2675</v>
      </c>
      <c r="B1258" s="185" t="s">
        <v>2678</v>
      </c>
      <c r="C1258" s="185" t="s">
        <v>1792</v>
      </c>
      <c r="D1258" s="185" t="s">
        <v>2153</v>
      </c>
      <c r="E1258" s="185">
        <v>51350501</v>
      </c>
      <c r="F1258" s="185" t="s">
        <v>1256</v>
      </c>
      <c r="G1258" s="185" t="s">
        <v>1794</v>
      </c>
      <c r="H1258" s="185" t="s">
        <v>1515</v>
      </c>
      <c r="I1258" s="258" t="str">
        <f t="shared" si="58"/>
        <v>5</v>
      </c>
      <c r="J1258" s="221">
        <f t="shared" si="59"/>
        <v>228060.7</v>
      </c>
      <c r="K1258" s="258">
        <f t="shared" si="60"/>
        <v>5</v>
      </c>
      <c r="L1258" s="188">
        <v>228060.7</v>
      </c>
      <c r="M1258" s="188">
        <v>0</v>
      </c>
      <c r="N1258" s="189">
        <v>900994552</v>
      </c>
      <c r="O1258" t="s">
        <v>2679</v>
      </c>
      <c r="P1258" s="187">
        <v>45071.639444444401</v>
      </c>
      <c r="Q1258" s="186">
        <v>11330</v>
      </c>
      <c r="R1258" s="185" t="s">
        <v>844</v>
      </c>
      <c r="S1258" s="185" t="s">
        <v>1606</v>
      </c>
      <c r="T1258"/>
      <c r="U1258" t="str">
        <f>IF($L1258&gt;0,VLOOKUP($E1258,Valida!$A$1:$G$270,6,FALSE),IF($M1258&gt;=0,VLOOKUP($E1258,Valida!$A$1:$G$270,7,FALSE)))</f>
        <v>(+/-) Ganancia (pérdida)</v>
      </c>
      <c r="V1258" s="190" t="str">
        <f>VLOOKUP(E1258,Valida!$A$2:$K$271,4,FALSE)</f>
        <v>P&amp;L</v>
      </c>
      <c r="W1258" s="185" t="s">
        <v>1796</v>
      </c>
      <c r="X1258" s="185" t="s">
        <v>1797</v>
      </c>
      <c r="Y1258" s="185" t="s">
        <v>1789</v>
      </c>
      <c r="Z1258"/>
    </row>
    <row r="1259" spans="1:26">
      <c r="A1259" s="185" t="s">
        <v>2675</v>
      </c>
      <c r="B1259" s="185" t="s">
        <v>2678</v>
      </c>
      <c r="C1259" s="185" t="s">
        <v>1792</v>
      </c>
      <c r="D1259" s="185" t="s">
        <v>2153</v>
      </c>
      <c r="E1259" s="185">
        <v>24081002</v>
      </c>
      <c r="F1259" s="185" t="s">
        <v>1687</v>
      </c>
      <c r="G1259" s="185" t="s">
        <v>1794</v>
      </c>
      <c r="H1259" s="185" t="s">
        <v>1515</v>
      </c>
      <c r="I1259" s="258" t="str">
        <f t="shared" si="58"/>
        <v>2</v>
      </c>
      <c r="J1259" s="221">
        <f t="shared" si="59"/>
        <v>43331.53</v>
      </c>
      <c r="K1259" s="258">
        <f t="shared" si="60"/>
        <v>5</v>
      </c>
      <c r="L1259" s="188">
        <v>43331.53</v>
      </c>
      <c r="M1259" s="188">
        <v>0</v>
      </c>
      <c r="N1259" s="189">
        <v>900994552</v>
      </c>
      <c r="O1259" t="s">
        <v>2679</v>
      </c>
      <c r="P1259" s="187">
        <v>45071.639444444401</v>
      </c>
      <c r="Q1259" s="186">
        <v>11331</v>
      </c>
      <c r="R1259" s="185" t="s">
        <v>844</v>
      </c>
      <c r="S1259" s="185" t="s">
        <v>1606</v>
      </c>
      <c r="T1259"/>
      <c r="U1259" t="str">
        <f>IF($L1259&gt;0,VLOOKUP($E1259,Valida!$A$1:$G$270,6,FALSE),IF($M1259&gt;=0,VLOOKUP($E1259,Valida!$A$1:$G$270,7,FALSE)))</f>
        <v>(+/-) Ajustes por el incremento (disminución) de cuentas por pagar de origen comercial</v>
      </c>
      <c r="V1259" s="190" t="str">
        <f>VLOOKUP(E1259,Valida!$A$2:$K$271,4,FALSE)</f>
        <v>Trade and other payables</v>
      </c>
      <c r="W1259" s="185" t="s">
        <v>1796</v>
      </c>
      <c r="X1259" s="185" t="s">
        <v>1797</v>
      </c>
      <c r="Y1259" s="185" t="s">
        <v>1789</v>
      </c>
      <c r="Z1259"/>
    </row>
    <row r="1260" spans="1:26">
      <c r="A1260" s="185" t="s">
        <v>2675</v>
      </c>
      <c r="B1260" s="185" t="s">
        <v>2678</v>
      </c>
      <c r="C1260" s="185" t="s">
        <v>1792</v>
      </c>
      <c r="D1260" s="185" t="s">
        <v>2153</v>
      </c>
      <c r="E1260" s="185">
        <v>23355004</v>
      </c>
      <c r="F1260" s="185" t="s">
        <v>513</v>
      </c>
      <c r="G1260" s="185" t="s">
        <v>1794</v>
      </c>
      <c r="H1260" s="185" t="s">
        <v>1628</v>
      </c>
      <c r="I1260" s="258" t="str">
        <f t="shared" si="58"/>
        <v>2</v>
      </c>
      <c r="J1260" s="221">
        <f t="shared" si="59"/>
        <v>-2551999.23</v>
      </c>
      <c r="K1260" s="258">
        <f t="shared" si="60"/>
        <v>5</v>
      </c>
      <c r="L1260" s="188">
        <v>0</v>
      </c>
      <c r="M1260" s="188">
        <v>2551999.23</v>
      </c>
      <c r="N1260" s="189">
        <v>900994552</v>
      </c>
      <c r="O1260" t="s">
        <v>2679</v>
      </c>
      <c r="P1260" s="187">
        <v>45071.639444444401</v>
      </c>
      <c r="Q1260" s="186">
        <v>11332</v>
      </c>
      <c r="R1260" s="185" t="s">
        <v>844</v>
      </c>
      <c r="S1260" s="185" t="s">
        <v>1606</v>
      </c>
      <c r="T1260"/>
      <c r="U1260" t="str">
        <f>IF($L1260&gt;0,VLOOKUP($E1260,Valida!$A$1:$G$270,6,FALSE),IF($M1260&gt;=0,VLOOKUP($E1260,Valida!$A$1:$G$270,7,FALSE)))</f>
        <v>(+/-) Ajustes por el incremento (disminución) de cuentas por pagar de origen comercial</v>
      </c>
      <c r="V1260" s="190" t="str">
        <f>VLOOKUP(E1260,Valida!$A$2:$K$271,4,FALSE)</f>
        <v>Trade and other payables</v>
      </c>
      <c r="W1260" s="185" t="s">
        <v>1796</v>
      </c>
      <c r="X1260" s="185" t="s">
        <v>1797</v>
      </c>
      <c r="Y1260" s="185" t="s">
        <v>1789</v>
      </c>
      <c r="Z1260"/>
    </row>
    <row r="1261" spans="1:26">
      <c r="A1261" s="185" t="s">
        <v>2680</v>
      </c>
      <c r="B1261" s="185" t="s">
        <v>2681</v>
      </c>
      <c r="C1261" s="185" t="s">
        <v>1890</v>
      </c>
      <c r="D1261" s="185" t="s">
        <v>2682</v>
      </c>
      <c r="E1261" s="185">
        <v>23355002</v>
      </c>
      <c r="F1261" s="185" t="s">
        <v>506</v>
      </c>
      <c r="G1261" s="185" t="s">
        <v>1921</v>
      </c>
      <c r="H1261" s="185" t="s">
        <v>1515</v>
      </c>
      <c r="I1261" s="258" t="str">
        <f t="shared" si="58"/>
        <v>2</v>
      </c>
      <c r="J1261" s="221">
        <f t="shared" si="59"/>
        <v>112211.31</v>
      </c>
      <c r="K1261" s="258">
        <f t="shared" si="60"/>
        <v>5</v>
      </c>
      <c r="L1261" s="188">
        <v>112211.31</v>
      </c>
      <c r="M1261" s="188">
        <v>0</v>
      </c>
      <c r="N1261" s="189">
        <v>440493581</v>
      </c>
      <c r="O1261"/>
      <c r="P1261" s="187">
        <v>45071.661435185197</v>
      </c>
      <c r="Q1261" s="186">
        <v>11333</v>
      </c>
      <c r="R1261" s="185"/>
      <c r="S1261" s="185" t="s">
        <v>1546</v>
      </c>
      <c r="T1261"/>
      <c r="U1261" t="str">
        <f>IF($L1261&gt;0,VLOOKUP($E1261,Valida!$A$1:$G$270,6,FALSE),IF($M1261&gt;=0,VLOOKUP($E1261,Valida!$A$1:$G$270,7,FALSE)))</f>
        <v>(+/-) Ajustes por el incremento (disminución) de cuentas por pagar de origen comercial</v>
      </c>
      <c r="V1261" s="190" t="str">
        <f>VLOOKUP(E1261,Valida!$A$2:$K$271,4,FALSE)</f>
        <v>Trade and other payables</v>
      </c>
      <c r="W1261" s="185" t="s">
        <v>1808</v>
      </c>
      <c r="X1261" s="185"/>
      <c r="Y1261" s="185"/>
      <c r="Z1261"/>
    </row>
    <row r="1262" spans="1:26">
      <c r="A1262" s="185" t="s">
        <v>2680</v>
      </c>
      <c r="B1262" s="185" t="s">
        <v>2681</v>
      </c>
      <c r="C1262" s="185" t="s">
        <v>1890</v>
      </c>
      <c r="D1262" s="185" t="s">
        <v>2682</v>
      </c>
      <c r="E1262" s="185">
        <v>112005</v>
      </c>
      <c r="F1262" s="185" t="s">
        <v>24</v>
      </c>
      <c r="G1262" s="185" t="s">
        <v>1921</v>
      </c>
      <c r="H1262" s="185" t="s">
        <v>1628</v>
      </c>
      <c r="I1262" s="258" t="str">
        <f t="shared" si="58"/>
        <v>1</v>
      </c>
      <c r="J1262" s="221">
        <f t="shared" si="59"/>
        <v>-112211.31</v>
      </c>
      <c r="K1262" s="258">
        <f t="shared" si="60"/>
        <v>5</v>
      </c>
      <c r="L1262" s="188">
        <v>0</v>
      </c>
      <c r="M1262" s="188">
        <v>112211.31</v>
      </c>
      <c r="N1262" s="189">
        <v>440493581</v>
      </c>
      <c r="O1262"/>
      <c r="P1262" s="187">
        <v>45071.661435185197</v>
      </c>
      <c r="Q1262" s="186">
        <v>11334</v>
      </c>
      <c r="R1262" s="185"/>
      <c r="S1262" s="185" t="s">
        <v>1546</v>
      </c>
      <c r="T1262" t="s">
        <v>1894</v>
      </c>
      <c r="U1262" t="str">
        <f>IF($L1262&gt;0,VLOOKUP($E1262,Valida!$A$1:$G$270,6,FALSE),IF($M1262&gt;=0,VLOOKUP($E1262,Valida!$A$1:$G$270,7,FALSE)))</f>
        <v>Disponible</v>
      </c>
      <c r="V1262" s="190" t="str">
        <f>VLOOKUP(E1262,Valida!$A$2:$K$271,4,FALSE)</f>
        <v>Cash and equivalents</v>
      </c>
      <c r="W1262" s="185" t="s">
        <v>1808</v>
      </c>
      <c r="X1262" s="185"/>
      <c r="Y1262" s="185"/>
      <c r="Z1262"/>
    </row>
    <row r="1263" spans="1:26">
      <c r="A1263" s="185" t="s">
        <v>2634</v>
      </c>
      <c r="B1263" s="185" t="s">
        <v>2683</v>
      </c>
      <c r="C1263" s="185" t="s">
        <v>1890</v>
      </c>
      <c r="D1263" s="185" t="s">
        <v>2684</v>
      </c>
      <c r="E1263" s="185">
        <v>237095</v>
      </c>
      <c r="F1263" s="185" t="s">
        <v>150</v>
      </c>
      <c r="G1263" s="185" t="s">
        <v>2685</v>
      </c>
      <c r="H1263" s="185" t="s">
        <v>1515</v>
      </c>
      <c r="I1263" s="258" t="str">
        <f t="shared" si="58"/>
        <v>2</v>
      </c>
      <c r="J1263" s="221">
        <f t="shared" si="59"/>
        <v>1838000</v>
      </c>
      <c r="K1263" s="258">
        <f t="shared" si="60"/>
        <v>5</v>
      </c>
      <c r="L1263" s="188">
        <v>1838000</v>
      </c>
      <c r="M1263" s="188">
        <v>0</v>
      </c>
      <c r="N1263" s="189">
        <v>860066942</v>
      </c>
      <c r="O1263"/>
      <c r="P1263" s="187">
        <v>45071.662604166697</v>
      </c>
      <c r="Q1263" s="186">
        <v>11335</v>
      </c>
      <c r="R1263" s="185" t="s">
        <v>1814</v>
      </c>
      <c r="S1263" s="185" t="s">
        <v>1574</v>
      </c>
      <c r="T1263"/>
      <c r="U1263" t="str">
        <f>IF($L1263&gt;0,VLOOKUP($E1263,Valida!$A$1:$G$270,6,FALSE),IF($M1263&gt;=0,VLOOKUP($E1263,Valida!$A$1:$G$270,7,FALSE)))</f>
        <v>(+/-) Ajustes por el incremento (disminución) de cuentas por pagar de origen comercial</v>
      </c>
      <c r="V1263" s="190" t="str">
        <f>VLOOKUP(E1263,Valida!$A$2:$K$271,4,FALSE)</f>
        <v>Trade and other payables</v>
      </c>
      <c r="W1263" s="185" t="s">
        <v>1914</v>
      </c>
      <c r="X1263" s="185" t="s">
        <v>1915</v>
      </c>
      <c r="Y1263" s="185" t="s">
        <v>1789</v>
      </c>
      <c r="Z1263"/>
    </row>
    <row r="1264" spans="1:26">
      <c r="A1264" s="185" t="s">
        <v>2634</v>
      </c>
      <c r="B1264" s="185" t="s">
        <v>2683</v>
      </c>
      <c r="C1264" s="185" t="s">
        <v>1890</v>
      </c>
      <c r="D1264" s="185" t="s">
        <v>2684</v>
      </c>
      <c r="E1264" s="185">
        <v>112005</v>
      </c>
      <c r="F1264" s="185" t="s">
        <v>24</v>
      </c>
      <c r="G1264" s="185" t="s">
        <v>2685</v>
      </c>
      <c r="H1264" s="185" t="s">
        <v>1628</v>
      </c>
      <c r="I1264" s="258" t="str">
        <f t="shared" si="58"/>
        <v>1</v>
      </c>
      <c r="J1264" s="221">
        <f t="shared" si="59"/>
        <v>-1838000</v>
      </c>
      <c r="K1264" s="258">
        <f t="shared" si="60"/>
        <v>5</v>
      </c>
      <c r="L1264" s="188">
        <v>0</v>
      </c>
      <c r="M1264" s="188">
        <v>1838000</v>
      </c>
      <c r="N1264" s="189">
        <v>860066942</v>
      </c>
      <c r="O1264"/>
      <c r="P1264" s="187">
        <v>45071.662604166697</v>
      </c>
      <c r="Q1264" s="186">
        <v>11336</v>
      </c>
      <c r="R1264" s="185" t="s">
        <v>1814</v>
      </c>
      <c r="S1264" s="185" t="s">
        <v>1574</v>
      </c>
      <c r="T1264" t="s">
        <v>1894</v>
      </c>
      <c r="U1264" t="str">
        <f>IF($L1264&gt;0,VLOOKUP($E1264,Valida!$A$1:$G$270,6,FALSE),IF($M1264&gt;=0,VLOOKUP($E1264,Valida!$A$1:$G$270,7,FALSE)))</f>
        <v>Disponible</v>
      </c>
      <c r="V1264" s="190" t="str">
        <f>VLOOKUP(E1264,Valida!$A$2:$K$271,4,FALSE)</f>
        <v>Cash and equivalents</v>
      </c>
      <c r="W1264" s="185" t="s">
        <v>1914</v>
      </c>
      <c r="X1264" s="185" t="s">
        <v>1915</v>
      </c>
      <c r="Y1264" s="185" t="s">
        <v>1789</v>
      </c>
      <c r="Z1264"/>
    </row>
    <row r="1265" spans="1:26">
      <c r="A1265" s="185" t="s">
        <v>2686</v>
      </c>
      <c r="B1265" s="185" t="s">
        <v>2687</v>
      </c>
      <c r="C1265" s="185" t="s">
        <v>1890</v>
      </c>
      <c r="D1265" s="185" t="s">
        <v>2688</v>
      </c>
      <c r="E1265" s="185">
        <v>236890</v>
      </c>
      <c r="F1265" s="185" t="s">
        <v>1648</v>
      </c>
      <c r="G1265" s="185" t="s">
        <v>2689</v>
      </c>
      <c r="H1265" s="185" t="s">
        <v>1515</v>
      </c>
      <c r="I1265" s="258" t="str">
        <f t="shared" si="58"/>
        <v>2</v>
      </c>
      <c r="J1265" s="221">
        <f t="shared" si="59"/>
        <v>504000</v>
      </c>
      <c r="K1265" s="258">
        <f t="shared" si="60"/>
        <v>5</v>
      </c>
      <c r="L1265" s="188">
        <v>504000</v>
      </c>
      <c r="M1265" s="188">
        <v>0</v>
      </c>
      <c r="N1265" s="189">
        <v>899999061</v>
      </c>
      <c r="O1265"/>
      <c r="P1265" s="187">
        <v>45071.669537037</v>
      </c>
      <c r="Q1265" s="186">
        <v>11337</v>
      </c>
      <c r="R1265" s="185"/>
      <c r="S1265" s="185" t="s">
        <v>1584</v>
      </c>
      <c r="T1265"/>
      <c r="U1265" t="str">
        <f>IF($L1265&gt;0,VLOOKUP($E1265,Valida!$A$1:$G$270,6,FALSE),IF($M1265&gt;=0,VLOOKUP($E1265,Valida!$A$1:$G$270,7,FALSE)))</f>
        <v>(+/-) Ajustes por el incremento (disminución) de cuentas por pagar de origen comercial</v>
      </c>
      <c r="V1265" s="190" t="str">
        <f>VLOOKUP(E1265,Valida!$A$2:$K$271,4,FALSE)</f>
        <v>Trade and other payables</v>
      </c>
      <c r="W1265" s="185" t="s">
        <v>1893</v>
      </c>
      <c r="X1265" s="185"/>
      <c r="Y1265" s="185" t="s">
        <v>1789</v>
      </c>
      <c r="Z1265"/>
    </row>
    <row r="1266" spans="1:26">
      <c r="A1266" s="185" t="s">
        <v>2686</v>
      </c>
      <c r="B1266" s="185" t="s">
        <v>2687</v>
      </c>
      <c r="C1266" s="185" t="s">
        <v>1890</v>
      </c>
      <c r="D1266" s="185" t="s">
        <v>2688</v>
      </c>
      <c r="E1266" s="185">
        <v>53052001</v>
      </c>
      <c r="F1266" s="185" t="s">
        <v>1749</v>
      </c>
      <c r="G1266" s="185" t="s">
        <v>2689</v>
      </c>
      <c r="H1266" s="185" t="s">
        <v>1515</v>
      </c>
      <c r="I1266" s="258" t="str">
        <f t="shared" si="58"/>
        <v>5</v>
      </c>
      <c r="J1266" s="221">
        <f t="shared" si="59"/>
        <v>10000</v>
      </c>
      <c r="K1266" s="258">
        <f t="shared" si="60"/>
        <v>5</v>
      </c>
      <c r="L1266" s="188">
        <v>10000</v>
      </c>
      <c r="M1266" s="188">
        <v>0</v>
      </c>
      <c r="N1266" s="189">
        <v>899999061</v>
      </c>
      <c r="O1266"/>
      <c r="P1266" s="187">
        <v>45071.669537037</v>
      </c>
      <c r="Q1266" s="186">
        <v>11338</v>
      </c>
      <c r="R1266" s="185"/>
      <c r="S1266" s="185" t="s">
        <v>1584</v>
      </c>
      <c r="T1266"/>
      <c r="U1266" t="str">
        <f>IF($L1266&gt;0,VLOOKUP($E1266,Valida!$A$1:$G$270,6,FALSE),IF($M1266&gt;=0,VLOOKUP($E1266,Valida!$A$1:$G$270,7,FALSE)))</f>
        <v>(+/-) Ganancia (pérdida)</v>
      </c>
      <c r="V1266" s="190" t="str">
        <f>VLOOKUP(E1266,Valida!$A$2:$K$271,4,FALSE)</f>
        <v>P&amp;L</v>
      </c>
      <c r="W1266" s="185" t="s">
        <v>1893</v>
      </c>
      <c r="X1266" s="185"/>
      <c r="Y1266" s="185" t="s">
        <v>1789</v>
      </c>
      <c r="Z1266"/>
    </row>
    <row r="1267" spans="1:26">
      <c r="A1267" s="185" t="s">
        <v>2686</v>
      </c>
      <c r="B1267" s="185" t="s">
        <v>2687</v>
      </c>
      <c r="C1267" s="185" t="s">
        <v>1890</v>
      </c>
      <c r="D1267" s="185" t="s">
        <v>2688</v>
      </c>
      <c r="E1267" s="185">
        <v>112005</v>
      </c>
      <c r="F1267" s="185" t="s">
        <v>24</v>
      </c>
      <c r="G1267" s="185" t="s">
        <v>2689</v>
      </c>
      <c r="H1267" s="185" t="s">
        <v>1628</v>
      </c>
      <c r="I1267" s="258" t="str">
        <f t="shared" si="58"/>
        <v>1</v>
      </c>
      <c r="J1267" s="221">
        <f t="shared" si="59"/>
        <v>-514000</v>
      </c>
      <c r="K1267" s="258">
        <f t="shared" si="60"/>
        <v>5</v>
      </c>
      <c r="L1267" s="188">
        <v>0</v>
      </c>
      <c r="M1267" s="188">
        <v>514000</v>
      </c>
      <c r="N1267" s="189">
        <v>899999061</v>
      </c>
      <c r="O1267"/>
      <c r="P1267" s="187">
        <v>45071.669537037</v>
      </c>
      <c r="Q1267" s="186">
        <v>11339</v>
      </c>
      <c r="R1267" s="185"/>
      <c r="S1267" s="185" t="s">
        <v>1584</v>
      </c>
      <c r="T1267" t="s">
        <v>1894</v>
      </c>
      <c r="U1267" t="str">
        <f>IF($L1267&gt;0,VLOOKUP($E1267,Valida!$A$1:$G$270,6,FALSE),IF($M1267&gt;=0,VLOOKUP($E1267,Valida!$A$1:$G$270,7,FALSE)))</f>
        <v>Disponible</v>
      </c>
      <c r="V1267" s="190" t="str">
        <f>VLOOKUP(E1267,Valida!$A$2:$K$271,4,FALSE)</f>
        <v>Cash and equivalents</v>
      </c>
      <c r="W1267" s="185" t="s">
        <v>1893</v>
      </c>
      <c r="X1267" s="185"/>
      <c r="Y1267" s="185" t="s">
        <v>1789</v>
      </c>
      <c r="Z1267"/>
    </row>
    <row r="1268" spans="1:26">
      <c r="A1268" s="185" t="s">
        <v>2640</v>
      </c>
      <c r="B1268" s="185" t="s">
        <v>2690</v>
      </c>
      <c r="C1268" s="185" t="s">
        <v>1890</v>
      </c>
      <c r="D1268" s="185" t="s">
        <v>2691</v>
      </c>
      <c r="E1268" s="185">
        <v>23355007</v>
      </c>
      <c r="F1268" s="185" t="s">
        <v>1638</v>
      </c>
      <c r="G1268" s="185" t="s">
        <v>2061</v>
      </c>
      <c r="H1268" s="185" t="s">
        <v>1515</v>
      </c>
      <c r="I1268" s="258" t="str">
        <f t="shared" si="58"/>
        <v>2</v>
      </c>
      <c r="J1268" s="221">
        <f t="shared" si="59"/>
        <v>225047.07</v>
      </c>
      <c r="K1268" s="258">
        <f t="shared" si="60"/>
        <v>5</v>
      </c>
      <c r="L1268" s="188">
        <v>225047.07</v>
      </c>
      <c r="M1268" s="188">
        <v>0</v>
      </c>
      <c r="N1268" s="189">
        <v>444444001</v>
      </c>
      <c r="O1268"/>
      <c r="P1268" s="187">
        <v>45071.670243055603</v>
      </c>
      <c r="Q1268" s="186">
        <v>11340</v>
      </c>
      <c r="R1268" s="185"/>
      <c r="S1268" s="185" t="s">
        <v>1548</v>
      </c>
      <c r="T1268"/>
      <c r="U1268" t="str">
        <f>IF($L1268&gt;0,VLOOKUP($E1268,Valida!$A$1:$G$270,6,FALSE),IF($M1268&gt;=0,VLOOKUP($E1268,Valida!$A$1:$G$270,7,FALSE)))</f>
        <v>(+/-) Ajustes por el incremento (disminución) de cuentas por pagar de origen comercial</v>
      </c>
      <c r="V1268" s="190" t="str">
        <f>VLOOKUP(E1268,Valida!$A$2:$K$271,4,FALSE)</f>
        <v>Trade and other payables</v>
      </c>
      <c r="W1268" s="185"/>
      <c r="X1268" s="185"/>
      <c r="Y1268" s="185"/>
      <c r="Z1268"/>
    </row>
    <row r="1269" spans="1:26">
      <c r="A1269" s="185" t="s">
        <v>2640</v>
      </c>
      <c r="B1269" s="185" t="s">
        <v>2690</v>
      </c>
      <c r="C1269" s="185" t="s">
        <v>1890</v>
      </c>
      <c r="D1269" s="185" t="s">
        <v>2691</v>
      </c>
      <c r="E1269" s="185">
        <v>112005</v>
      </c>
      <c r="F1269" s="185" t="s">
        <v>24</v>
      </c>
      <c r="G1269" s="185" t="s">
        <v>2061</v>
      </c>
      <c r="H1269" s="185" t="s">
        <v>1628</v>
      </c>
      <c r="I1269" s="258" t="str">
        <f t="shared" si="58"/>
        <v>1</v>
      </c>
      <c r="J1269" s="221">
        <f t="shared" si="59"/>
        <v>-225047.07</v>
      </c>
      <c r="K1269" s="258">
        <f t="shared" si="60"/>
        <v>5</v>
      </c>
      <c r="L1269" s="188">
        <v>0</v>
      </c>
      <c r="M1269" s="188">
        <v>225047.07</v>
      </c>
      <c r="N1269" s="189">
        <v>0</v>
      </c>
      <c r="O1269"/>
      <c r="P1269" s="187">
        <v>45071.670243055603</v>
      </c>
      <c r="Q1269" s="186">
        <v>11341</v>
      </c>
      <c r="R1269" s="185"/>
      <c r="S1269" s="185" t="s">
        <v>1520</v>
      </c>
      <c r="T1269" t="s">
        <v>1894</v>
      </c>
      <c r="U1269" t="str">
        <f>IF($L1269&gt;0,VLOOKUP($E1269,Valida!$A$1:$G$270,6,FALSE),IF($M1269&gt;=0,VLOOKUP($E1269,Valida!$A$1:$G$270,7,FALSE)))</f>
        <v>Disponible</v>
      </c>
      <c r="V1269" s="190" t="str">
        <f>VLOOKUP(E1269,Valida!$A$2:$K$271,4,FALSE)</f>
        <v>Cash and equivalents</v>
      </c>
      <c r="W1269" s="185"/>
      <c r="X1269" s="185"/>
      <c r="Y1269" s="185"/>
      <c r="Z1269"/>
    </row>
    <row r="1270" spans="1:26">
      <c r="A1270" s="185" t="s">
        <v>2669</v>
      </c>
      <c r="B1270" s="185" t="s">
        <v>2692</v>
      </c>
      <c r="C1270" s="185" t="s">
        <v>1890</v>
      </c>
      <c r="D1270" s="185" t="s">
        <v>2693</v>
      </c>
      <c r="E1270" s="185">
        <v>23355004</v>
      </c>
      <c r="F1270" s="185" t="s">
        <v>513</v>
      </c>
      <c r="G1270" s="185" t="s">
        <v>2061</v>
      </c>
      <c r="H1270" s="185" t="s">
        <v>1515</v>
      </c>
      <c r="I1270" s="258" t="str">
        <f t="shared" si="58"/>
        <v>2</v>
      </c>
      <c r="J1270" s="221">
        <f t="shared" si="59"/>
        <v>2549719</v>
      </c>
      <c r="K1270" s="258">
        <f t="shared" si="60"/>
        <v>5</v>
      </c>
      <c r="L1270" s="188">
        <v>2549719</v>
      </c>
      <c r="M1270" s="188">
        <v>0</v>
      </c>
      <c r="N1270" s="189">
        <v>900994552</v>
      </c>
      <c r="O1270"/>
      <c r="P1270" s="187">
        <v>45071.6723263889</v>
      </c>
      <c r="Q1270" s="186">
        <v>11342</v>
      </c>
      <c r="R1270" s="185" t="s">
        <v>844</v>
      </c>
      <c r="S1270" s="185" t="s">
        <v>1606</v>
      </c>
      <c r="T1270"/>
      <c r="U1270" t="str">
        <f>IF($L1270&gt;0,VLOOKUP($E1270,Valida!$A$1:$G$270,6,FALSE),IF($M1270&gt;=0,VLOOKUP($E1270,Valida!$A$1:$G$270,7,FALSE)))</f>
        <v>(+/-) Ajustes por el incremento (disminución) de cuentas por pagar de origen comercial</v>
      </c>
      <c r="V1270" s="190" t="str">
        <f>VLOOKUP(E1270,Valida!$A$2:$K$271,4,FALSE)</f>
        <v>Trade and other payables</v>
      </c>
      <c r="W1270" s="185" t="s">
        <v>1796</v>
      </c>
      <c r="X1270" s="185" t="s">
        <v>1797</v>
      </c>
      <c r="Y1270" s="185" t="s">
        <v>1789</v>
      </c>
      <c r="Z1270"/>
    </row>
    <row r="1271" spans="1:26">
      <c r="A1271" s="185" t="s">
        <v>2669</v>
      </c>
      <c r="B1271" s="185" t="s">
        <v>2692</v>
      </c>
      <c r="C1271" s="185" t="s">
        <v>1890</v>
      </c>
      <c r="D1271" s="185" t="s">
        <v>2693</v>
      </c>
      <c r="E1271" s="185">
        <v>112005</v>
      </c>
      <c r="F1271" s="185" t="s">
        <v>24</v>
      </c>
      <c r="G1271" s="185" t="s">
        <v>2061</v>
      </c>
      <c r="H1271" s="185" t="s">
        <v>1628</v>
      </c>
      <c r="I1271" s="258" t="str">
        <f t="shared" si="58"/>
        <v>1</v>
      </c>
      <c r="J1271" s="221">
        <f t="shared" si="59"/>
        <v>-2549719</v>
      </c>
      <c r="K1271" s="258">
        <f t="shared" si="60"/>
        <v>5</v>
      </c>
      <c r="L1271" s="188">
        <v>0</v>
      </c>
      <c r="M1271" s="188">
        <v>2549719</v>
      </c>
      <c r="N1271" s="189">
        <v>900994552</v>
      </c>
      <c r="O1271"/>
      <c r="P1271" s="187">
        <v>45071.6723263889</v>
      </c>
      <c r="Q1271" s="186">
        <v>11343</v>
      </c>
      <c r="R1271" s="185" t="s">
        <v>844</v>
      </c>
      <c r="S1271" s="185" t="s">
        <v>1606</v>
      </c>
      <c r="T1271" t="s">
        <v>1894</v>
      </c>
      <c r="U1271" t="str">
        <f>IF($L1271&gt;0,VLOOKUP($E1271,Valida!$A$1:$G$270,6,FALSE),IF($M1271&gt;=0,VLOOKUP($E1271,Valida!$A$1:$G$270,7,FALSE)))</f>
        <v>Disponible</v>
      </c>
      <c r="V1271" s="190" t="str">
        <f>VLOOKUP(E1271,Valida!$A$2:$K$271,4,FALSE)</f>
        <v>Cash and equivalents</v>
      </c>
      <c r="W1271" s="185" t="s">
        <v>1796</v>
      </c>
      <c r="X1271" s="185" t="s">
        <v>1797</v>
      </c>
      <c r="Y1271" s="185" t="s">
        <v>1789</v>
      </c>
      <c r="Z1271"/>
    </row>
    <row r="1272" spans="1:26">
      <c r="A1272" s="185" t="s">
        <v>2672</v>
      </c>
      <c r="B1272" s="185" t="s">
        <v>2694</v>
      </c>
      <c r="C1272" s="185" t="s">
        <v>1890</v>
      </c>
      <c r="D1272" s="185" t="s">
        <v>2695</v>
      </c>
      <c r="E1272" s="185">
        <v>23354001</v>
      </c>
      <c r="F1272" s="185" t="s">
        <v>484</v>
      </c>
      <c r="G1272" s="185" t="s">
        <v>2696</v>
      </c>
      <c r="H1272" s="185" t="s">
        <v>1515</v>
      </c>
      <c r="I1272" s="258" t="str">
        <f t="shared" si="58"/>
        <v>2</v>
      </c>
      <c r="J1272" s="221">
        <f t="shared" si="59"/>
        <v>3955088</v>
      </c>
      <c r="K1272" s="258">
        <f t="shared" si="60"/>
        <v>5</v>
      </c>
      <c r="L1272" s="188">
        <v>3955088</v>
      </c>
      <c r="M1272" s="188">
        <v>0</v>
      </c>
      <c r="N1272" s="189">
        <v>860044821</v>
      </c>
      <c r="O1272"/>
      <c r="P1272" s="187">
        <v>45071.673229166699</v>
      </c>
      <c r="Q1272" s="186">
        <v>11344</v>
      </c>
      <c r="R1272" s="185" t="s">
        <v>6</v>
      </c>
      <c r="S1272" s="185" t="s">
        <v>1570</v>
      </c>
      <c r="T1272"/>
      <c r="U1272" t="str">
        <f>IF($L1272&gt;0,VLOOKUP($E1272,Valida!$A$1:$G$270,6,FALSE),IF($M1272&gt;=0,VLOOKUP($E1272,Valida!$A$1:$G$270,7,FALSE)))</f>
        <v>(+/-) Ajustes por el incremento (disminución) de cuentas por pagar de origen comercial</v>
      </c>
      <c r="V1272" s="190" t="str">
        <f>VLOOKUP(E1272,Valida!$A$2:$K$271,4,FALSE)</f>
        <v>Trade and other payables</v>
      </c>
      <c r="W1272" s="185" t="s">
        <v>2048</v>
      </c>
      <c r="X1272" s="185"/>
      <c r="Y1272" s="185" t="s">
        <v>1789</v>
      </c>
      <c r="Z1272"/>
    </row>
    <row r="1273" spans="1:26">
      <c r="A1273" s="185" t="s">
        <v>2672</v>
      </c>
      <c r="B1273" s="185" t="s">
        <v>2694</v>
      </c>
      <c r="C1273" s="185" t="s">
        <v>1890</v>
      </c>
      <c r="D1273" s="185" t="s">
        <v>2695</v>
      </c>
      <c r="E1273" s="185">
        <v>112005</v>
      </c>
      <c r="F1273" s="185" t="s">
        <v>24</v>
      </c>
      <c r="G1273" s="185" t="s">
        <v>2696</v>
      </c>
      <c r="H1273" s="185" t="s">
        <v>1628</v>
      </c>
      <c r="I1273" s="258" t="str">
        <f t="shared" si="58"/>
        <v>1</v>
      </c>
      <c r="J1273" s="221">
        <f t="shared" si="59"/>
        <v>-3955088</v>
      </c>
      <c r="K1273" s="258">
        <f t="shared" si="60"/>
        <v>5</v>
      </c>
      <c r="L1273" s="188">
        <v>0</v>
      </c>
      <c r="M1273" s="188">
        <v>3955088</v>
      </c>
      <c r="N1273" s="189">
        <v>860044821</v>
      </c>
      <c r="O1273"/>
      <c r="P1273" s="187">
        <v>45071.673229166699</v>
      </c>
      <c r="Q1273" s="186">
        <v>11345</v>
      </c>
      <c r="R1273" s="185" t="s">
        <v>6</v>
      </c>
      <c r="S1273" s="185" t="s">
        <v>1570</v>
      </c>
      <c r="T1273" t="s">
        <v>1894</v>
      </c>
      <c r="U1273" t="str">
        <f>IF($L1273&gt;0,VLOOKUP($E1273,Valida!$A$1:$G$270,6,FALSE),IF($M1273&gt;=0,VLOOKUP($E1273,Valida!$A$1:$G$270,7,FALSE)))</f>
        <v>Disponible</v>
      </c>
      <c r="V1273" s="190" t="str">
        <f>VLOOKUP(E1273,Valida!$A$2:$K$271,4,FALSE)</f>
        <v>Cash and equivalents</v>
      </c>
      <c r="W1273" s="185" t="s">
        <v>2048</v>
      </c>
      <c r="X1273" s="185"/>
      <c r="Y1273" s="185" t="s">
        <v>1789</v>
      </c>
      <c r="Z1273"/>
    </row>
    <row r="1274" spans="1:26">
      <c r="A1274" s="185" t="s">
        <v>2672</v>
      </c>
      <c r="B1274" s="185" t="s">
        <v>2697</v>
      </c>
      <c r="C1274" s="185" t="s">
        <v>1890</v>
      </c>
      <c r="D1274" s="185" t="s">
        <v>2698</v>
      </c>
      <c r="E1274" s="185">
        <v>23354001</v>
      </c>
      <c r="F1274" s="185" t="s">
        <v>484</v>
      </c>
      <c r="G1274" s="185" t="s">
        <v>2332</v>
      </c>
      <c r="H1274" s="185" t="s">
        <v>1515</v>
      </c>
      <c r="I1274" s="258" t="str">
        <f t="shared" si="58"/>
        <v>2</v>
      </c>
      <c r="J1274" s="221">
        <f t="shared" si="59"/>
        <v>14603085</v>
      </c>
      <c r="K1274" s="258">
        <f t="shared" si="60"/>
        <v>5</v>
      </c>
      <c r="L1274" s="188">
        <v>14603085</v>
      </c>
      <c r="M1274" s="188">
        <v>0</v>
      </c>
      <c r="N1274" s="189">
        <v>900471482</v>
      </c>
      <c r="O1274"/>
      <c r="P1274" s="187">
        <v>45071.673912036997</v>
      </c>
      <c r="Q1274" s="186">
        <v>11346</v>
      </c>
      <c r="R1274" s="185" t="s">
        <v>6</v>
      </c>
      <c r="S1274" s="185" t="s">
        <v>1600</v>
      </c>
      <c r="T1274"/>
      <c r="U1274" t="str">
        <f>IF($L1274&gt;0,VLOOKUP($E1274,Valida!$A$1:$G$270,6,FALSE),IF($M1274&gt;=0,VLOOKUP($E1274,Valida!$A$1:$G$270,7,FALSE)))</f>
        <v>(+/-) Ajustes por el incremento (disminución) de cuentas por pagar de origen comercial</v>
      </c>
      <c r="V1274" s="190" t="str">
        <f>VLOOKUP(E1274,Valida!$A$2:$K$271,4,FALSE)</f>
        <v>Trade and other payables</v>
      </c>
      <c r="W1274" s="185" t="s">
        <v>1853</v>
      </c>
      <c r="X1274" s="185" t="s">
        <v>1854</v>
      </c>
      <c r="Y1274" s="185" t="s">
        <v>1789</v>
      </c>
      <c r="Z1274"/>
    </row>
    <row r="1275" spans="1:26">
      <c r="A1275" s="185" t="s">
        <v>2672</v>
      </c>
      <c r="B1275" s="185" t="s">
        <v>2697</v>
      </c>
      <c r="C1275" s="185" t="s">
        <v>1890</v>
      </c>
      <c r="D1275" s="185" t="s">
        <v>2698</v>
      </c>
      <c r="E1275" s="185">
        <v>112005</v>
      </c>
      <c r="F1275" s="185" t="s">
        <v>24</v>
      </c>
      <c r="G1275" s="185" t="s">
        <v>2332</v>
      </c>
      <c r="H1275" s="185" t="s">
        <v>1628</v>
      </c>
      <c r="I1275" s="258" t="str">
        <f t="shared" si="58"/>
        <v>1</v>
      </c>
      <c r="J1275" s="221">
        <f t="shared" si="59"/>
        <v>-14603085</v>
      </c>
      <c r="K1275" s="258">
        <f t="shared" si="60"/>
        <v>5</v>
      </c>
      <c r="L1275" s="188">
        <v>0</v>
      </c>
      <c r="M1275" s="188">
        <v>14603085</v>
      </c>
      <c r="N1275" s="189">
        <v>900471482</v>
      </c>
      <c r="O1275"/>
      <c r="P1275" s="187">
        <v>45071.673912036997</v>
      </c>
      <c r="Q1275" s="186">
        <v>11347</v>
      </c>
      <c r="R1275" s="185" t="s">
        <v>6</v>
      </c>
      <c r="S1275" s="185" t="s">
        <v>1600</v>
      </c>
      <c r="T1275" t="s">
        <v>1894</v>
      </c>
      <c r="U1275" t="str">
        <f>IF($L1275&gt;0,VLOOKUP($E1275,Valida!$A$1:$G$270,6,FALSE),IF($M1275&gt;=0,VLOOKUP($E1275,Valida!$A$1:$G$270,7,FALSE)))</f>
        <v>Disponible</v>
      </c>
      <c r="V1275" s="190" t="str">
        <f>VLOOKUP(E1275,Valida!$A$2:$K$271,4,FALSE)</f>
        <v>Cash and equivalents</v>
      </c>
      <c r="W1275" s="185" t="s">
        <v>1853</v>
      </c>
      <c r="X1275" s="185" t="s">
        <v>1854</v>
      </c>
      <c r="Y1275" s="185" t="s">
        <v>1789</v>
      </c>
      <c r="Z1275"/>
    </row>
    <row r="1276" spans="1:26">
      <c r="A1276" s="185" t="s">
        <v>2672</v>
      </c>
      <c r="B1276" s="185" t="s">
        <v>2699</v>
      </c>
      <c r="C1276" s="185" t="s">
        <v>1890</v>
      </c>
      <c r="D1276" s="185" t="s">
        <v>2700</v>
      </c>
      <c r="E1276" s="185">
        <v>236595</v>
      </c>
      <c r="F1276" s="185" t="s">
        <v>648</v>
      </c>
      <c r="G1276" s="185" t="s">
        <v>2701</v>
      </c>
      <c r="H1276" s="185" t="s">
        <v>1515</v>
      </c>
      <c r="I1276" s="258" t="str">
        <f t="shared" si="58"/>
        <v>2</v>
      </c>
      <c r="J1276" s="221">
        <f t="shared" si="59"/>
        <v>1337000</v>
      </c>
      <c r="K1276" s="258">
        <f t="shared" si="60"/>
        <v>5</v>
      </c>
      <c r="L1276" s="188">
        <v>1337000</v>
      </c>
      <c r="M1276" s="188">
        <v>0</v>
      </c>
      <c r="N1276" s="189">
        <v>800197268</v>
      </c>
      <c r="O1276"/>
      <c r="P1276" s="187">
        <v>45071.676064814797</v>
      </c>
      <c r="Q1276" s="186">
        <v>11348</v>
      </c>
      <c r="R1276" s="185" t="s">
        <v>983</v>
      </c>
      <c r="S1276" s="185" t="s">
        <v>1558</v>
      </c>
      <c r="T1276"/>
      <c r="U1276" t="str">
        <f>IF($L1276&gt;0,VLOOKUP($E1276,Valida!$A$1:$G$270,6,FALSE),IF($M1276&gt;=0,VLOOKUP($E1276,Valida!$A$1:$G$270,7,FALSE)))</f>
        <v>(+/-) Ajustes por el incremento (disminución) de cuentas por pagar de origen comercial</v>
      </c>
      <c r="V1276" s="190" t="str">
        <f>VLOOKUP(E1276,Valida!$A$2:$K$271,4,FALSE)</f>
        <v>Trade and other payables</v>
      </c>
      <c r="W1276" s="185" t="s">
        <v>1944</v>
      </c>
      <c r="X1276" s="185"/>
      <c r="Y1276" s="185" t="s">
        <v>1789</v>
      </c>
      <c r="Z1276"/>
    </row>
    <row r="1277" spans="1:26">
      <c r="A1277" s="185" t="s">
        <v>2672</v>
      </c>
      <c r="B1277" s="185" t="s">
        <v>2699</v>
      </c>
      <c r="C1277" s="185" t="s">
        <v>1890</v>
      </c>
      <c r="D1277" s="185" t="s">
        <v>2700</v>
      </c>
      <c r="E1277" s="185">
        <v>112005</v>
      </c>
      <c r="F1277" s="185" t="s">
        <v>24</v>
      </c>
      <c r="G1277" s="185" t="s">
        <v>2701</v>
      </c>
      <c r="H1277" s="185" t="s">
        <v>1628</v>
      </c>
      <c r="I1277" s="258" t="str">
        <f t="shared" si="58"/>
        <v>1</v>
      </c>
      <c r="J1277" s="221">
        <f t="shared" si="59"/>
        <v>-1337000</v>
      </c>
      <c r="K1277" s="258">
        <f t="shared" si="60"/>
        <v>5</v>
      </c>
      <c r="L1277" s="188">
        <v>0</v>
      </c>
      <c r="M1277" s="188">
        <v>1337000</v>
      </c>
      <c r="N1277" s="189">
        <v>800197268</v>
      </c>
      <c r="O1277"/>
      <c r="P1277" s="187">
        <v>45071.676064814797</v>
      </c>
      <c r="Q1277" s="186">
        <v>11349</v>
      </c>
      <c r="R1277" s="185" t="s">
        <v>983</v>
      </c>
      <c r="S1277" s="185" t="s">
        <v>1558</v>
      </c>
      <c r="T1277" t="s">
        <v>1894</v>
      </c>
      <c r="U1277" t="str">
        <f>IF($L1277&gt;0,VLOOKUP($E1277,Valida!$A$1:$G$270,6,FALSE),IF($M1277&gt;=0,VLOOKUP($E1277,Valida!$A$1:$G$270,7,FALSE)))</f>
        <v>Disponible</v>
      </c>
      <c r="V1277" s="190" t="str">
        <f>VLOOKUP(E1277,Valida!$A$2:$K$271,4,FALSE)</f>
        <v>Cash and equivalents</v>
      </c>
      <c r="W1277" s="185" t="s">
        <v>1944</v>
      </c>
      <c r="X1277" s="185"/>
      <c r="Y1277" s="185" t="s">
        <v>1789</v>
      </c>
      <c r="Z1277"/>
    </row>
    <row r="1278" spans="1:26">
      <c r="A1278" s="185" t="s">
        <v>2672</v>
      </c>
      <c r="B1278" s="185" t="s">
        <v>2702</v>
      </c>
      <c r="C1278" s="185" t="s">
        <v>1890</v>
      </c>
      <c r="D1278" s="185" t="s">
        <v>2703</v>
      </c>
      <c r="E1278" s="185">
        <v>23355006</v>
      </c>
      <c r="F1278" s="185" t="s">
        <v>519</v>
      </c>
      <c r="G1278" s="185" t="s">
        <v>1921</v>
      </c>
      <c r="H1278" s="185" t="s">
        <v>1515</v>
      </c>
      <c r="I1278" s="258" t="str">
        <f t="shared" si="58"/>
        <v>2</v>
      </c>
      <c r="J1278" s="221">
        <f t="shared" si="59"/>
        <v>4245373</v>
      </c>
      <c r="K1278" s="258">
        <f t="shared" si="60"/>
        <v>5</v>
      </c>
      <c r="L1278" s="188">
        <v>4245373</v>
      </c>
      <c r="M1278" s="188">
        <v>0</v>
      </c>
      <c r="N1278" s="189">
        <v>800153993</v>
      </c>
      <c r="O1278"/>
      <c r="P1278" s="187">
        <v>45071.6769907407</v>
      </c>
      <c r="Q1278" s="186">
        <v>11350</v>
      </c>
      <c r="R1278" s="185" t="s">
        <v>1814</v>
      </c>
      <c r="S1278" s="185" t="s">
        <v>1556</v>
      </c>
      <c r="T1278"/>
      <c r="U1278" t="str">
        <f>IF($L1278&gt;0,VLOOKUP($E1278,Valida!$A$1:$G$270,6,FALSE),IF($M1278&gt;=0,VLOOKUP($E1278,Valida!$A$1:$G$270,7,FALSE)))</f>
        <v>(+/-) Ajustes por el incremento (disminución) de cuentas por pagar de origen comercial</v>
      </c>
      <c r="V1278" s="190" t="str">
        <f>VLOOKUP(E1278,Valida!$A$2:$K$271,4,FALSE)</f>
        <v>Trade and other payables</v>
      </c>
      <c r="W1278" s="185" t="s">
        <v>1815</v>
      </c>
      <c r="X1278" s="185"/>
      <c r="Y1278" s="185" t="s">
        <v>1789</v>
      </c>
      <c r="Z1278"/>
    </row>
    <row r="1279" spans="1:26">
      <c r="A1279" s="185" t="s">
        <v>2672</v>
      </c>
      <c r="B1279" s="185" t="s">
        <v>2702</v>
      </c>
      <c r="C1279" s="185" t="s">
        <v>1890</v>
      </c>
      <c r="D1279" s="185" t="s">
        <v>2703</v>
      </c>
      <c r="E1279" s="185">
        <v>112005</v>
      </c>
      <c r="F1279" s="185" t="s">
        <v>24</v>
      </c>
      <c r="G1279" s="185" t="s">
        <v>1921</v>
      </c>
      <c r="H1279" s="185" t="s">
        <v>1628</v>
      </c>
      <c r="I1279" s="258" t="str">
        <f t="shared" si="58"/>
        <v>1</v>
      </c>
      <c r="J1279" s="221">
        <f t="shared" si="59"/>
        <v>-4245373</v>
      </c>
      <c r="K1279" s="258">
        <f t="shared" si="60"/>
        <v>5</v>
      </c>
      <c r="L1279" s="188">
        <v>0</v>
      </c>
      <c r="M1279" s="188">
        <v>4245373</v>
      </c>
      <c r="N1279" s="189">
        <v>800153993</v>
      </c>
      <c r="O1279"/>
      <c r="P1279" s="187">
        <v>45071.6769907407</v>
      </c>
      <c r="Q1279" s="186">
        <v>11351</v>
      </c>
      <c r="R1279" s="185" t="s">
        <v>1814</v>
      </c>
      <c r="S1279" s="185" t="s">
        <v>1556</v>
      </c>
      <c r="T1279" t="s">
        <v>1894</v>
      </c>
      <c r="U1279" t="str">
        <f>IF($L1279&gt;0,VLOOKUP($E1279,Valida!$A$1:$G$270,6,FALSE),IF($M1279&gt;=0,VLOOKUP($E1279,Valida!$A$1:$G$270,7,FALSE)))</f>
        <v>Disponible</v>
      </c>
      <c r="V1279" s="190" t="str">
        <f>VLOOKUP(E1279,Valida!$A$2:$K$271,4,FALSE)</f>
        <v>Cash and equivalents</v>
      </c>
      <c r="W1279" s="185" t="s">
        <v>1815</v>
      </c>
      <c r="X1279" s="185"/>
      <c r="Y1279" s="185" t="s">
        <v>1789</v>
      </c>
      <c r="Z1279"/>
    </row>
    <row r="1280" spans="1:26">
      <c r="A1280" s="185" t="s">
        <v>2672</v>
      </c>
      <c r="B1280" s="185" t="s">
        <v>2704</v>
      </c>
      <c r="C1280" s="185" t="s">
        <v>1890</v>
      </c>
      <c r="D1280" s="185" t="s">
        <v>2705</v>
      </c>
      <c r="E1280" s="185">
        <v>23359504</v>
      </c>
      <c r="F1280" s="185" t="s">
        <v>553</v>
      </c>
      <c r="G1280" s="185" t="s">
        <v>1921</v>
      </c>
      <c r="H1280" s="185" t="s">
        <v>1515</v>
      </c>
      <c r="I1280" s="258" t="str">
        <f t="shared" si="58"/>
        <v>2</v>
      </c>
      <c r="J1280" s="221">
        <f t="shared" si="59"/>
        <v>330000</v>
      </c>
      <c r="K1280" s="258">
        <f t="shared" si="60"/>
        <v>5</v>
      </c>
      <c r="L1280" s="188">
        <v>330000</v>
      </c>
      <c r="M1280" s="188">
        <v>0</v>
      </c>
      <c r="N1280" s="189">
        <v>800042928</v>
      </c>
      <c r="O1280"/>
      <c r="P1280" s="187">
        <v>45071.677731481497</v>
      </c>
      <c r="Q1280" s="186">
        <v>11352</v>
      </c>
      <c r="R1280" s="185" t="s">
        <v>6</v>
      </c>
      <c r="S1280" s="185" t="s">
        <v>1554</v>
      </c>
      <c r="T1280"/>
      <c r="U1280" t="str">
        <f>IF($L1280&gt;0,VLOOKUP($E1280,Valida!$A$1:$G$270,6,FALSE),IF($M1280&gt;=0,VLOOKUP($E1280,Valida!$A$1:$G$270,7,FALSE)))</f>
        <v>(+/-) Ajustes por el incremento (disminución) de cuentas por pagar de origen comercial</v>
      </c>
      <c r="V1280" s="190" t="str">
        <f>VLOOKUP(E1280,Valida!$A$2:$K$271,4,FALSE)</f>
        <v>Trade and other payables</v>
      </c>
      <c r="W1280" s="185" t="s">
        <v>1820</v>
      </c>
      <c r="X1280" s="185" t="s">
        <v>1821</v>
      </c>
      <c r="Y1280" s="185" t="s">
        <v>1789</v>
      </c>
      <c r="Z1280"/>
    </row>
    <row r="1281" spans="1:26">
      <c r="A1281" s="185" t="s">
        <v>2672</v>
      </c>
      <c r="B1281" s="185" t="s">
        <v>2704</v>
      </c>
      <c r="C1281" s="185" t="s">
        <v>1890</v>
      </c>
      <c r="D1281" s="185" t="s">
        <v>2705</v>
      </c>
      <c r="E1281" s="185">
        <v>112005</v>
      </c>
      <c r="F1281" s="185" t="s">
        <v>24</v>
      </c>
      <c r="G1281" s="185" t="s">
        <v>1921</v>
      </c>
      <c r="H1281" s="185" t="s">
        <v>1628</v>
      </c>
      <c r="I1281" s="258" t="str">
        <f t="shared" si="58"/>
        <v>1</v>
      </c>
      <c r="J1281" s="221">
        <f t="shared" si="59"/>
        <v>-330000</v>
      </c>
      <c r="K1281" s="258">
        <f t="shared" si="60"/>
        <v>5</v>
      </c>
      <c r="L1281" s="188">
        <v>0</v>
      </c>
      <c r="M1281" s="188">
        <v>330000</v>
      </c>
      <c r="N1281" s="189">
        <v>800042928</v>
      </c>
      <c r="O1281"/>
      <c r="P1281" s="187">
        <v>45071.677731481497</v>
      </c>
      <c r="Q1281" s="186">
        <v>11353</v>
      </c>
      <c r="R1281" s="185" t="s">
        <v>6</v>
      </c>
      <c r="S1281" s="185" t="s">
        <v>1554</v>
      </c>
      <c r="T1281" t="s">
        <v>1894</v>
      </c>
      <c r="U1281" t="str">
        <f>IF($L1281&gt;0,VLOOKUP($E1281,Valida!$A$1:$G$270,6,FALSE),IF($M1281&gt;=0,VLOOKUP($E1281,Valida!$A$1:$G$270,7,FALSE)))</f>
        <v>Disponible</v>
      </c>
      <c r="V1281" s="190" t="str">
        <f>VLOOKUP(E1281,Valida!$A$2:$K$271,4,FALSE)</f>
        <v>Cash and equivalents</v>
      </c>
      <c r="W1281" s="185" t="s">
        <v>1820</v>
      </c>
      <c r="X1281" s="185" t="s">
        <v>1821</v>
      </c>
      <c r="Y1281" s="185" t="s">
        <v>1789</v>
      </c>
      <c r="Z1281"/>
    </row>
    <row r="1282" spans="1:26">
      <c r="A1282" s="185" t="s">
        <v>2672</v>
      </c>
      <c r="B1282" s="185" t="s">
        <v>2706</v>
      </c>
      <c r="C1282" s="185" t="s">
        <v>1890</v>
      </c>
      <c r="D1282" s="185" t="s">
        <v>2707</v>
      </c>
      <c r="E1282" s="185">
        <v>23359502</v>
      </c>
      <c r="F1282" s="185" t="s">
        <v>547</v>
      </c>
      <c r="G1282" s="185" t="s">
        <v>1921</v>
      </c>
      <c r="H1282" s="185" t="s">
        <v>1515</v>
      </c>
      <c r="I1282" s="258" t="str">
        <f t="shared" si="58"/>
        <v>2</v>
      </c>
      <c r="J1282" s="221">
        <f t="shared" si="59"/>
        <v>122016</v>
      </c>
      <c r="K1282" s="258">
        <f t="shared" si="60"/>
        <v>5</v>
      </c>
      <c r="L1282" s="188">
        <v>122016</v>
      </c>
      <c r="M1282" s="188">
        <v>0</v>
      </c>
      <c r="N1282" s="189">
        <v>900424409</v>
      </c>
      <c r="O1282"/>
      <c r="P1282" s="187">
        <v>45071.678321759297</v>
      </c>
      <c r="Q1282" s="186">
        <v>11354</v>
      </c>
      <c r="R1282" s="185" t="s">
        <v>844</v>
      </c>
      <c r="S1282" s="185" t="s">
        <v>1598</v>
      </c>
      <c r="T1282"/>
      <c r="U1282" t="str">
        <f>IF($L1282&gt;0,VLOOKUP($E1282,Valida!$A$1:$G$270,6,FALSE),IF($M1282&gt;=0,VLOOKUP($E1282,Valida!$A$1:$G$270,7,FALSE)))</f>
        <v>(+/-) Ajustes por el incremento (disminución) de cuentas por pagar de origen comercial</v>
      </c>
      <c r="V1282" s="190" t="str">
        <f>VLOOKUP(E1282,Valida!$A$2:$K$271,4,FALSE)</f>
        <v>Trade and other payables</v>
      </c>
      <c r="W1282" s="185" t="s">
        <v>1864</v>
      </c>
      <c r="X1282" s="185" t="s">
        <v>1865</v>
      </c>
      <c r="Y1282" s="185" t="s">
        <v>1789</v>
      </c>
      <c r="Z1282"/>
    </row>
    <row r="1283" spans="1:26">
      <c r="A1283" s="185" t="s">
        <v>2672</v>
      </c>
      <c r="B1283" s="185" t="s">
        <v>2706</v>
      </c>
      <c r="C1283" s="185" t="s">
        <v>1890</v>
      </c>
      <c r="D1283" s="185" t="s">
        <v>2707</v>
      </c>
      <c r="E1283" s="185">
        <v>112005</v>
      </c>
      <c r="F1283" s="185" t="s">
        <v>24</v>
      </c>
      <c r="G1283" s="185" t="s">
        <v>1921</v>
      </c>
      <c r="H1283" s="185" t="s">
        <v>1628</v>
      </c>
      <c r="I1283" s="258" t="str">
        <f t="shared" ref="I1283:I1346" si="61">LEFT(E1283,1)</f>
        <v>1</v>
      </c>
      <c r="J1283" s="221">
        <f t="shared" ref="J1283:J1346" si="62">L1283-M1283</f>
        <v>-122016</v>
      </c>
      <c r="K1283" s="258">
        <f t="shared" ref="K1283:K1346" si="63">MONTH(A1283)</f>
        <v>5</v>
      </c>
      <c r="L1283" s="188">
        <v>0</v>
      </c>
      <c r="M1283" s="188">
        <v>122016</v>
      </c>
      <c r="N1283" s="189">
        <v>900424409</v>
      </c>
      <c r="O1283"/>
      <c r="P1283" s="187">
        <v>45071.678321759297</v>
      </c>
      <c r="Q1283" s="186">
        <v>11355</v>
      </c>
      <c r="R1283" s="185" t="s">
        <v>844</v>
      </c>
      <c r="S1283" s="185" t="s">
        <v>1598</v>
      </c>
      <c r="T1283" t="s">
        <v>1894</v>
      </c>
      <c r="U1283" t="str">
        <f>IF($L1283&gt;0,VLOOKUP($E1283,Valida!$A$1:$G$270,6,FALSE),IF($M1283&gt;=0,VLOOKUP($E1283,Valida!$A$1:$G$270,7,FALSE)))</f>
        <v>Disponible</v>
      </c>
      <c r="V1283" s="190" t="str">
        <f>VLOOKUP(E1283,Valida!$A$2:$K$271,4,FALSE)</f>
        <v>Cash and equivalents</v>
      </c>
      <c r="W1283" s="185" t="s">
        <v>1864</v>
      </c>
      <c r="X1283" s="185" t="s">
        <v>1865</v>
      </c>
      <c r="Y1283" s="185" t="s">
        <v>1789</v>
      </c>
      <c r="Z1283"/>
    </row>
    <row r="1284" spans="1:26">
      <c r="A1284" s="185" t="s">
        <v>2672</v>
      </c>
      <c r="B1284" s="185" t="s">
        <v>2708</v>
      </c>
      <c r="C1284" s="185" t="s">
        <v>1890</v>
      </c>
      <c r="D1284" s="185" t="s">
        <v>2709</v>
      </c>
      <c r="E1284" s="185">
        <v>23355001</v>
      </c>
      <c r="F1284" s="185" t="s">
        <v>502</v>
      </c>
      <c r="G1284" s="185" t="s">
        <v>1921</v>
      </c>
      <c r="H1284" s="185" t="s">
        <v>1515</v>
      </c>
      <c r="I1284" s="258" t="str">
        <f t="shared" si="61"/>
        <v>2</v>
      </c>
      <c r="J1284" s="221">
        <f t="shared" si="62"/>
        <v>48664.17</v>
      </c>
      <c r="K1284" s="258">
        <f t="shared" si="63"/>
        <v>5</v>
      </c>
      <c r="L1284" s="188">
        <v>48664.17</v>
      </c>
      <c r="M1284" s="188">
        <v>0</v>
      </c>
      <c r="N1284" s="189">
        <v>800153993</v>
      </c>
      <c r="O1284"/>
      <c r="P1284" s="187">
        <v>45071.678912037001</v>
      </c>
      <c r="Q1284" s="186">
        <v>11356</v>
      </c>
      <c r="R1284" s="185" t="s">
        <v>1814</v>
      </c>
      <c r="S1284" s="185" t="s">
        <v>1556</v>
      </c>
      <c r="T1284"/>
      <c r="U1284" t="str">
        <f>IF($L1284&gt;0,VLOOKUP($E1284,Valida!$A$1:$G$270,6,FALSE),IF($M1284&gt;=0,VLOOKUP($E1284,Valida!$A$1:$G$270,7,FALSE)))</f>
        <v>(+/-) Ajustes por el incremento (disminución) de cuentas por pagar de origen comercial</v>
      </c>
      <c r="V1284" s="190" t="str">
        <f>VLOOKUP(E1284,Valida!$A$2:$K$271,4,FALSE)</f>
        <v>Trade and other payables</v>
      </c>
      <c r="W1284" s="185" t="s">
        <v>1815</v>
      </c>
      <c r="X1284" s="185"/>
      <c r="Y1284" s="185" t="s">
        <v>1789</v>
      </c>
      <c r="Z1284"/>
    </row>
    <row r="1285" spans="1:26">
      <c r="A1285" s="185" t="s">
        <v>2672</v>
      </c>
      <c r="B1285" s="185" t="s">
        <v>2708</v>
      </c>
      <c r="C1285" s="185" t="s">
        <v>1890</v>
      </c>
      <c r="D1285" s="185" t="s">
        <v>2709</v>
      </c>
      <c r="E1285" s="185">
        <v>112005</v>
      </c>
      <c r="F1285" s="185" t="s">
        <v>24</v>
      </c>
      <c r="G1285" s="185" t="s">
        <v>1921</v>
      </c>
      <c r="H1285" s="185" t="s">
        <v>1628</v>
      </c>
      <c r="I1285" s="258" t="str">
        <f t="shared" si="61"/>
        <v>1</v>
      </c>
      <c r="J1285" s="221">
        <f t="shared" si="62"/>
        <v>-48665</v>
      </c>
      <c r="K1285" s="258">
        <f t="shared" si="63"/>
        <v>5</v>
      </c>
      <c r="L1285" s="188">
        <v>0</v>
      </c>
      <c r="M1285" s="188">
        <v>48665</v>
      </c>
      <c r="N1285" s="189">
        <v>800153993</v>
      </c>
      <c r="O1285"/>
      <c r="P1285" s="187">
        <v>45071.678912037001</v>
      </c>
      <c r="Q1285" s="186">
        <v>11357</v>
      </c>
      <c r="R1285" s="185" t="s">
        <v>1814</v>
      </c>
      <c r="S1285" s="185" t="s">
        <v>1556</v>
      </c>
      <c r="T1285" t="s">
        <v>1894</v>
      </c>
      <c r="U1285" t="str">
        <f>IF($L1285&gt;0,VLOOKUP($E1285,Valida!$A$1:$G$270,6,FALSE),IF($M1285&gt;=0,VLOOKUP($E1285,Valida!$A$1:$G$270,7,FALSE)))</f>
        <v>Disponible</v>
      </c>
      <c r="V1285" s="190" t="str">
        <f>VLOOKUP(E1285,Valida!$A$2:$K$271,4,FALSE)</f>
        <v>Cash and equivalents</v>
      </c>
      <c r="W1285" s="185" t="s">
        <v>1815</v>
      </c>
      <c r="X1285" s="185"/>
      <c r="Y1285" s="185" t="s">
        <v>1789</v>
      </c>
      <c r="Z1285"/>
    </row>
    <row r="1286" spans="1:26">
      <c r="A1286" s="185" t="s">
        <v>2672</v>
      </c>
      <c r="B1286" s="185" t="s">
        <v>2710</v>
      </c>
      <c r="C1286" s="185" t="s">
        <v>1890</v>
      </c>
      <c r="D1286" s="185" t="s">
        <v>2711</v>
      </c>
      <c r="E1286" s="185">
        <v>23355005</v>
      </c>
      <c r="F1286" s="185" t="s">
        <v>516</v>
      </c>
      <c r="G1286" s="185" t="s">
        <v>1921</v>
      </c>
      <c r="H1286" s="185" t="s">
        <v>1515</v>
      </c>
      <c r="I1286" s="258" t="str">
        <f t="shared" si="61"/>
        <v>2</v>
      </c>
      <c r="J1286" s="221">
        <f t="shared" si="62"/>
        <v>5707690</v>
      </c>
      <c r="K1286" s="258">
        <f t="shared" si="63"/>
        <v>5</v>
      </c>
      <c r="L1286" s="188">
        <v>5707690</v>
      </c>
      <c r="M1286" s="188">
        <v>0</v>
      </c>
      <c r="N1286" s="189">
        <v>860063875</v>
      </c>
      <c r="O1286"/>
      <c r="P1286" s="187">
        <v>45071.679768518501</v>
      </c>
      <c r="Q1286" s="186">
        <v>11358</v>
      </c>
      <c r="R1286" s="185" t="s">
        <v>1827</v>
      </c>
      <c r="S1286" s="185" t="s">
        <v>1572</v>
      </c>
      <c r="T1286"/>
      <c r="U1286" t="str">
        <f>IF($L1286&gt;0,VLOOKUP($E1286,Valida!$A$1:$G$270,6,FALSE),IF($M1286&gt;=0,VLOOKUP($E1286,Valida!$A$1:$G$270,7,FALSE)))</f>
        <v>(+/-) Ajustes por el incremento (disminución) de cuentas por pagar de origen comercial</v>
      </c>
      <c r="V1286" s="190" t="str">
        <f>VLOOKUP(E1286,Valida!$A$2:$K$271,4,FALSE)</f>
        <v>Trade and other payables</v>
      </c>
      <c r="W1286" s="185" t="s">
        <v>1835</v>
      </c>
      <c r="X1286" s="185"/>
      <c r="Y1286" s="185" t="s">
        <v>1789</v>
      </c>
      <c r="Z1286"/>
    </row>
    <row r="1287" spans="1:26">
      <c r="A1287" s="185" t="s">
        <v>2672</v>
      </c>
      <c r="B1287" s="185" t="s">
        <v>2710</v>
      </c>
      <c r="C1287" s="185" t="s">
        <v>1890</v>
      </c>
      <c r="D1287" s="185" t="s">
        <v>2711</v>
      </c>
      <c r="E1287" s="185">
        <v>112005</v>
      </c>
      <c r="F1287" s="185" t="s">
        <v>24</v>
      </c>
      <c r="G1287" s="185" t="s">
        <v>1921</v>
      </c>
      <c r="H1287" s="185" t="s">
        <v>1628</v>
      </c>
      <c r="I1287" s="258" t="str">
        <f t="shared" si="61"/>
        <v>1</v>
      </c>
      <c r="J1287" s="221">
        <f t="shared" si="62"/>
        <v>-5707690</v>
      </c>
      <c r="K1287" s="258">
        <f t="shared" si="63"/>
        <v>5</v>
      </c>
      <c r="L1287" s="188">
        <v>0</v>
      </c>
      <c r="M1287" s="188">
        <v>5707690</v>
      </c>
      <c r="N1287" s="189">
        <v>860063875</v>
      </c>
      <c r="O1287"/>
      <c r="P1287" s="187">
        <v>45071.679768518501</v>
      </c>
      <c r="Q1287" s="186">
        <v>11359</v>
      </c>
      <c r="R1287" s="185" t="s">
        <v>1827</v>
      </c>
      <c r="S1287" s="185" t="s">
        <v>1572</v>
      </c>
      <c r="T1287" t="s">
        <v>1894</v>
      </c>
      <c r="U1287" t="str">
        <f>IF($L1287&gt;0,VLOOKUP($E1287,Valida!$A$1:$G$270,6,FALSE),IF($M1287&gt;=0,VLOOKUP($E1287,Valida!$A$1:$G$270,7,FALSE)))</f>
        <v>Disponible</v>
      </c>
      <c r="V1287" s="190" t="str">
        <f>VLOOKUP(E1287,Valida!$A$2:$K$271,4,FALSE)</f>
        <v>Cash and equivalents</v>
      </c>
      <c r="W1287" s="185" t="s">
        <v>1835</v>
      </c>
      <c r="X1287" s="185"/>
      <c r="Y1287" s="185" t="s">
        <v>1789</v>
      </c>
      <c r="Z1287"/>
    </row>
    <row r="1288" spans="1:26">
      <c r="A1288" s="185" t="s">
        <v>2645</v>
      </c>
      <c r="B1288" s="185" t="s">
        <v>2712</v>
      </c>
      <c r="C1288" s="185" t="s">
        <v>1890</v>
      </c>
      <c r="D1288" s="185" t="s">
        <v>2713</v>
      </c>
      <c r="E1288" s="185">
        <v>23355007</v>
      </c>
      <c r="F1288" s="185" t="s">
        <v>1638</v>
      </c>
      <c r="G1288" s="185" t="s">
        <v>1921</v>
      </c>
      <c r="H1288" s="185" t="s">
        <v>1515</v>
      </c>
      <c r="I1288" s="258" t="str">
        <f t="shared" si="61"/>
        <v>2</v>
      </c>
      <c r="J1288" s="221">
        <f t="shared" si="62"/>
        <v>54605.53</v>
      </c>
      <c r="K1288" s="258">
        <f t="shared" si="63"/>
        <v>5</v>
      </c>
      <c r="L1288" s="188">
        <v>54605.53</v>
      </c>
      <c r="M1288" s="188">
        <v>0</v>
      </c>
      <c r="N1288" s="189">
        <v>444444001</v>
      </c>
      <c r="O1288"/>
      <c r="P1288" s="187">
        <v>45071.691562499997</v>
      </c>
      <c r="Q1288" s="186">
        <v>11360</v>
      </c>
      <c r="R1288" s="185"/>
      <c r="S1288" s="185" t="s">
        <v>1548</v>
      </c>
      <c r="T1288"/>
      <c r="U1288" t="str">
        <f>IF($L1288&gt;0,VLOOKUP($E1288,Valida!$A$1:$G$270,6,FALSE),IF($M1288&gt;=0,VLOOKUP($E1288,Valida!$A$1:$G$270,7,FALSE)))</f>
        <v>(+/-) Ajustes por el incremento (disminución) de cuentas por pagar de origen comercial</v>
      </c>
      <c r="V1288" s="190" t="str">
        <f>VLOOKUP(E1288,Valida!$A$2:$K$271,4,FALSE)</f>
        <v>Trade and other payables</v>
      </c>
      <c r="W1288" s="185"/>
      <c r="X1288" s="185"/>
      <c r="Y1288" s="185"/>
      <c r="Z1288"/>
    </row>
    <row r="1289" spans="1:26">
      <c r="A1289" s="185" t="s">
        <v>2645</v>
      </c>
      <c r="B1289" s="185" t="s">
        <v>2712</v>
      </c>
      <c r="C1289" s="185" t="s">
        <v>1890</v>
      </c>
      <c r="D1289" s="185" t="s">
        <v>2713</v>
      </c>
      <c r="E1289" s="185">
        <v>112005</v>
      </c>
      <c r="F1289" s="185" t="s">
        <v>24</v>
      </c>
      <c r="G1289" s="185" t="s">
        <v>1921</v>
      </c>
      <c r="H1289" s="185" t="s">
        <v>1628</v>
      </c>
      <c r="I1289" s="258" t="str">
        <f t="shared" si="61"/>
        <v>1</v>
      </c>
      <c r="J1289" s="221">
        <f t="shared" si="62"/>
        <v>-54605.53</v>
      </c>
      <c r="K1289" s="258">
        <f t="shared" si="63"/>
        <v>5</v>
      </c>
      <c r="L1289" s="188">
        <v>0</v>
      </c>
      <c r="M1289" s="188">
        <v>54605.53</v>
      </c>
      <c r="N1289" s="189">
        <v>0</v>
      </c>
      <c r="O1289"/>
      <c r="P1289" s="187">
        <v>45071.691562499997</v>
      </c>
      <c r="Q1289" s="186">
        <v>11361</v>
      </c>
      <c r="R1289" s="185"/>
      <c r="S1289" s="185" t="s">
        <v>1520</v>
      </c>
      <c r="T1289" t="s">
        <v>1894</v>
      </c>
      <c r="U1289" t="str">
        <f>IF($L1289&gt;0,VLOOKUP($E1289,Valida!$A$1:$G$270,6,FALSE),IF($M1289&gt;=0,VLOOKUP($E1289,Valida!$A$1:$G$270,7,FALSE)))</f>
        <v>Disponible</v>
      </c>
      <c r="V1289" s="190" t="str">
        <f>VLOOKUP(E1289,Valida!$A$2:$K$271,4,FALSE)</f>
        <v>Cash and equivalents</v>
      </c>
      <c r="W1289" s="185"/>
      <c r="X1289" s="185"/>
      <c r="Y1289" s="185"/>
      <c r="Z1289"/>
    </row>
    <row r="1290" spans="1:26">
      <c r="A1290" s="185" t="s">
        <v>2714</v>
      </c>
      <c r="B1290" s="185" t="s">
        <v>2715</v>
      </c>
      <c r="C1290" s="185" t="s">
        <v>1890</v>
      </c>
      <c r="D1290" s="185" t="s">
        <v>2716</v>
      </c>
      <c r="E1290" s="185">
        <v>236890</v>
      </c>
      <c r="F1290" s="185" t="s">
        <v>1648</v>
      </c>
      <c r="G1290" s="185" t="s">
        <v>2717</v>
      </c>
      <c r="H1290" s="185" t="s">
        <v>1515</v>
      </c>
      <c r="I1290" s="258" t="str">
        <f t="shared" si="61"/>
        <v>2</v>
      </c>
      <c r="J1290" s="221">
        <f t="shared" si="62"/>
        <v>318000</v>
      </c>
      <c r="K1290" s="258">
        <f t="shared" si="63"/>
        <v>5</v>
      </c>
      <c r="L1290" s="188">
        <v>318000</v>
      </c>
      <c r="M1290" s="188">
        <v>0</v>
      </c>
      <c r="N1290" s="189">
        <v>899999061</v>
      </c>
      <c r="O1290"/>
      <c r="P1290" s="187">
        <v>45071.692106481503</v>
      </c>
      <c r="Q1290" s="186">
        <v>11362</v>
      </c>
      <c r="R1290" s="185"/>
      <c r="S1290" s="185" t="s">
        <v>1584</v>
      </c>
      <c r="T1290"/>
      <c r="U1290" t="str">
        <f>IF($L1290&gt;0,VLOOKUP($E1290,Valida!$A$1:$G$270,6,FALSE),IF($M1290&gt;=0,VLOOKUP($E1290,Valida!$A$1:$G$270,7,FALSE)))</f>
        <v>(+/-) Ajustes por el incremento (disminución) de cuentas por pagar de origen comercial</v>
      </c>
      <c r="V1290" s="190" t="str">
        <f>VLOOKUP(E1290,Valida!$A$2:$K$271,4,FALSE)</f>
        <v>Trade and other payables</v>
      </c>
      <c r="W1290" s="185" t="s">
        <v>1893</v>
      </c>
      <c r="X1290" s="185"/>
      <c r="Y1290" s="185" t="s">
        <v>1789</v>
      </c>
      <c r="Z1290"/>
    </row>
    <row r="1291" spans="1:26">
      <c r="A1291" s="185" t="s">
        <v>2714</v>
      </c>
      <c r="B1291" s="185" t="s">
        <v>2715</v>
      </c>
      <c r="C1291" s="185" t="s">
        <v>1890</v>
      </c>
      <c r="D1291" s="185" t="s">
        <v>2716</v>
      </c>
      <c r="E1291" s="185">
        <v>112005</v>
      </c>
      <c r="F1291" s="185" t="s">
        <v>24</v>
      </c>
      <c r="G1291" s="185" t="s">
        <v>2717</v>
      </c>
      <c r="H1291" s="185" t="s">
        <v>1628</v>
      </c>
      <c r="I1291" s="258" t="str">
        <f t="shared" si="61"/>
        <v>1</v>
      </c>
      <c r="J1291" s="221">
        <f t="shared" si="62"/>
        <v>-318000</v>
      </c>
      <c r="K1291" s="258">
        <f t="shared" si="63"/>
        <v>5</v>
      </c>
      <c r="L1291" s="188">
        <v>0</v>
      </c>
      <c r="M1291" s="188">
        <v>318000</v>
      </c>
      <c r="N1291" s="189">
        <v>899999061</v>
      </c>
      <c r="O1291"/>
      <c r="P1291" s="187">
        <v>45071.692106481503</v>
      </c>
      <c r="Q1291" s="186">
        <v>11363</v>
      </c>
      <c r="R1291" s="185"/>
      <c r="S1291" s="185" t="s">
        <v>1584</v>
      </c>
      <c r="T1291" t="s">
        <v>1894</v>
      </c>
      <c r="U1291" t="str">
        <f>IF($L1291&gt;0,VLOOKUP($E1291,Valida!$A$1:$G$270,6,FALSE),IF($M1291&gt;=0,VLOOKUP($E1291,Valida!$A$1:$G$270,7,FALSE)))</f>
        <v>Disponible</v>
      </c>
      <c r="V1291" s="190" t="str">
        <f>VLOOKUP(E1291,Valida!$A$2:$K$271,4,FALSE)</f>
        <v>Cash and equivalents</v>
      </c>
      <c r="W1291" s="185" t="s">
        <v>1893</v>
      </c>
      <c r="X1291" s="185"/>
      <c r="Y1291" s="185" t="s">
        <v>1789</v>
      </c>
      <c r="Z1291"/>
    </row>
    <row r="1292" spans="1:26">
      <c r="A1292" s="185" t="s">
        <v>2650</v>
      </c>
      <c r="B1292" s="185" t="s">
        <v>2718</v>
      </c>
      <c r="C1292" s="185" t="s">
        <v>1890</v>
      </c>
      <c r="D1292" s="185" t="s">
        <v>2719</v>
      </c>
      <c r="E1292" s="185">
        <v>23355007</v>
      </c>
      <c r="F1292" s="185" t="s">
        <v>1638</v>
      </c>
      <c r="G1292" s="185" t="s">
        <v>1921</v>
      </c>
      <c r="H1292" s="185" t="s">
        <v>1515</v>
      </c>
      <c r="I1292" s="258" t="str">
        <f t="shared" si="61"/>
        <v>2</v>
      </c>
      <c r="J1292" s="221">
        <f t="shared" si="62"/>
        <v>54485.760000000002</v>
      </c>
      <c r="K1292" s="258">
        <f t="shared" si="63"/>
        <v>5</v>
      </c>
      <c r="L1292" s="188">
        <v>54485.760000000002</v>
      </c>
      <c r="M1292" s="188">
        <v>0</v>
      </c>
      <c r="N1292" s="189">
        <v>444444001</v>
      </c>
      <c r="O1292"/>
      <c r="P1292" s="187">
        <v>45071.693136574097</v>
      </c>
      <c r="Q1292" s="186">
        <v>11364</v>
      </c>
      <c r="R1292" s="185"/>
      <c r="S1292" s="185" t="s">
        <v>1548</v>
      </c>
      <c r="T1292"/>
      <c r="U1292" t="str">
        <f>IF($L1292&gt;0,VLOOKUP($E1292,Valida!$A$1:$G$270,6,FALSE),IF($M1292&gt;=0,VLOOKUP($E1292,Valida!$A$1:$G$270,7,FALSE)))</f>
        <v>(+/-) Ajustes por el incremento (disminución) de cuentas por pagar de origen comercial</v>
      </c>
      <c r="V1292" s="190" t="str">
        <f>VLOOKUP(E1292,Valida!$A$2:$K$271,4,FALSE)</f>
        <v>Trade and other payables</v>
      </c>
      <c r="W1292" s="185"/>
      <c r="X1292" s="185"/>
      <c r="Y1292" s="185"/>
      <c r="Z1292"/>
    </row>
    <row r="1293" spans="1:26">
      <c r="A1293" s="185" t="s">
        <v>2650</v>
      </c>
      <c r="B1293" s="185" t="s">
        <v>2718</v>
      </c>
      <c r="C1293" s="185" t="s">
        <v>1890</v>
      </c>
      <c r="D1293" s="185" t="s">
        <v>2719</v>
      </c>
      <c r="E1293" s="185">
        <v>112005</v>
      </c>
      <c r="F1293" s="185" t="s">
        <v>24</v>
      </c>
      <c r="G1293" s="185" t="s">
        <v>1921</v>
      </c>
      <c r="H1293" s="185" t="s">
        <v>1628</v>
      </c>
      <c r="I1293" s="258" t="str">
        <f t="shared" si="61"/>
        <v>1</v>
      </c>
      <c r="J1293" s="221">
        <f t="shared" si="62"/>
        <v>-54485.760000000002</v>
      </c>
      <c r="K1293" s="258">
        <f t="shared" si="63"/>
        <v>5</v>
      </c>
      <c r="L1293" s="188">
        <v>0</v>
      </c>
      <c r="M1293" s="188">
        <v>54485.760000000002</v>
      </c>
      <c r="N1293" s="189">
        <v>444444001</v>
      </c>
      <c r="O1293"/>
      <c r="P1293" s="187">
        <v>45071.693136574097</v>
      </c>
      <c r="Q1293" s="186">
        <v>11365</v>
      </c>
      <c r="R1293" s="185"/>
      <c r="S1293" s="185" t="s">
        <v>1548</v>
      </c>
      <c r="T1293" t="s">
        <v>1894</v>
      </c>
      <c r="U1293" t="str">
        <f>IF($L1293&gt;0,VLOOKUP($E1293,Valida!$A$1:$G$270,6,FALSE),IF($M1293&gt;=0,VLOOKUP($E1293,Valida!$A$1:$G$270,7,FALSE)))</f>
        <v>Disponible</v>
      </c>
      <c r="V1293" s="190" t="str">
        <f>VLOOKUP(E1293,Valida!$A$2:$K$271,4,FALSE)</f>
        <v>Cash and equivalents</v>
      </c>
      <c r="W1293" s="185"/>
      <c r="X1293" s="185"/>
      <c r="Y1293" s="185"/>
      <c r="Z1293"/>
    </row>
    <row r="1294" spans="1:26">
      <c r="A1294" s="185" t="s">
        <v>2720</v>
      </c>
      <c r="B1294" s="185" t="s">
        <v>2721</v>
      </c>
      <c r="C1294" s="185" t="s">
        <v>1792</v>
      </c>
      <c r="D1294" s="185" t="s">
        <v>2157</v>
      </c>
      <c r="E1294" s="185">
        <v>51952501</v>
      </c>
      <c r="F1294" s="185" t="s">
        <v>1412</v>
      </c>
      <c r="G1294" s="185" t="s">
        <v>1412</v>
      </c>
      <c r="H1294" s="185" t="s">
        <v>1515</v>
      </c>
      <c r="I1294" s="258" t="str">
        <f t="shared" si="61"/>
        <v>5</v>
      </c>
      <c r="J1294" s="221">
        <f t="shared" si="62"/>
        <v>1197672</v>
      </c>
      <c r="K1294" s="258">
        <f t="shared" si="63"/>
        <v>5</v>
      </c>
      <c r="L1294" s="188">
        <v>1197672</v>
      </c>
      <c r="M1294" s="188">
        <v>0</v>
      </c>
      <c r="N1294" s="189">
        <v>830062853</v>
      </c>
      <c r="O1294" t="s">
        <v>2722</v>
      </c>
      <c r="P1294" s="187">
        <v>45071.716562499998</v>
      </c>
      <c r="Q1294" s="186">
        <v>11366</v>
      </c>
      <c r="R1294" s="185" t="s">
        <v>433</v>
      </c>
      <c r="S1294" s="185" t="s">
        <v>1564</v>
      </c>
      <c r="T1294"/>
      <c r="U1294" t="str">
        <f>IF($L1294&gt;0,VLOOKUP($E1294,Valida!$A$1:$G$270,6,FALSE),IF($M1294&gt;=0,VLOOKUP($E1294,Valida!$A$1:$G$270,7,FALSE)))</f>
        <v>(+/-) Ganancia (pérdida)</v>
      </c>
      <c r="V1294" s="190" t="str">
        <f>VLOOKUP(E1294,Valida!$A$2:$K$271,4,FALSE)</f>
        <v>P&amp;L</v>
      </c>
      <c r="W1294" s="185" t="s">
        <v>2024</v>
      </c>
      <c r="X1294" s="185" t="s">
        <v>2025</v>
      </c>
      <c r="Y1294" s="185" t="s">
        <v>1789</v>
      </c>
      <c r="Z1294"/>
    </row>
    <row r="1295" spans="1:26">
      <c r="A1295" s="185" t="s">
        <v>2720</v>
      </c>
      <c r="B1295" s="185" t="s">
        <v>2721</v>
      </c>
      <c r="C1295" s="185" t="s">
        <v>1792</v>
      </c>
      <c r="D1295" s="185" t="s">
        <v>2157</v>
      </c>
      <c r="E1295" s="185">
        <v>24081001</v>
      </c>
      <c r="F1295" s="185" t="s">
        <v>1670</v>
      </c>
      <c r="G1295" s="185" t="s">
        <v>1412</v>
      </c>
      <c r="H1295" s="185" t="s">
        <v>1515</v>
      </c>
      <c r="I1295" s="258" t="str">
        <f t="shared" si="61"/>
        <v>2</v>
      </c>
      <c r="J1295" s="221">
        <f t="shared" si="62"/>
        <v>227558</v>
      </c>
      <c r="K1295" s="258">
        <f t="shared" si="63"/>
        <v>5</v>
      </c>
      <c r="L1295" s="188">
        <v>227558</v>
      </c>
      <c r="M1295" s="188">
        <v>0</v>
      </c>
      <c r="N1295" s="189">
        <v>830062853</v>
      </c>
      <c r="O1295" t="s">
        <v>2722</v>
      </c>
      <c r="P1295" s="187">
        <v>45071.716562499998</v>
      </c>
      <c r="Q1295" s="186">
        <v>11367</v>
      </c>
      <c r="R1295" s="185" t="s">
        <v>433</v>
      </c>
      <c r="S1295" s="185" t="s">
        <v>1564</v>
      </c>
      <c r="T1295"/>
      <c r="U1295" t="str">
        <f>IF($L1295&gt;0,VLOOKUP($E1295,Valida!$A$1:$G$270,6,FALSE),IF($M1295&gt;=0,VLOOKUP($E1295,Valida!$A$1:$G$270,7,FALSE)))</f>
        <v>(+/-) Ajustes por el incremento (disminución) de cuentas por pagar de origen comercial</v>
      </c>
      <c r="V1295" s="190" t="str">
        <f>VLOOKUP(E1295,Valida!$A$2:$K$271,4,FALSE)</f>
        <v>Trade and other payables</v>
      </c>
      <c r="W1295" s="185" t="s">
        <v>2024</v>
      </c>
      <c r="X1295" s="185" t="s">
        <v>2025</v>
      </c>
      <c r="Y1295" s="185" t="s">
        <v>1789</v>
      </c>
      <c r="Z1295"/>
    </row>
    <row r="1296" spans="1:26">
      <c r="A1296" s="185" t="s">
        <v>2720</v>
      </c>
      <c r="B1296" s="185" t="s">
        <v>2721</v>
      </c>
      <c r="C1296" s="185" t="s">
        <v>1792</v>
      </c>
      <c r="D1296" s="185" t="s">
        <v>2157</v>
      </c>
      <c r="E1296" s="185">
        <v>51952502</v>
      </c>
      <c r="F1296" s="185" t="s">
        <v>1414</v>
      </c>
      <c r="G1296" s="185" t="s">
        <v>1414</v>
      </c>
      <c r="H1296" s="185" t="s">
        <v>1515</v>
      </c>
      <c r="I1296" s="258" t="str">
        <f t="shared" si="61"/>
        <v>5</v>
      </c>
      <c r="J1296" s="221">
        <f t="shared" si="62"/>
        <v>1783844</v>
      </c>
      <c r="K1296" s="258">
        <f t="shared" si="63"/>
        <v>5</v>
      </c>
      <c r="L1296" s="188">
        <v>1783844</v>
      </c>
      <c r="M1296" s="188">
        <v>0</v>
      </c>
      <c r="N1296" s="189">
        <v>830062853</v>
      </c>
      <c r="O1296" t="s">
        <v>2722</v>
      </c>
      <c r="P1296" s="187">
        <v>45071.716562499998</v>
      </c>
      <c r="Q1296" s="186">
        <v>11368</v>
      </c>
      <c r="R1296" s="185" t="s">
        <v>433</v>
      </c>
      <c r="S1296" s="185" t="s">
        <v>1564</v>
      </c>
      <c r="T1296"/>
      <c r="U1296" t="str">
        <f>IF($L1296&gt;0,VLOOKUP($E1296,Valida!$A$1:$G$270,6,FALSE),IF($M1296&gt;=0,VLOOKUP($E1296,Valida!$A$1:$G$270,7,FALSE)))</f>
        <v>(+/-) Ganancia (pérdida)</v>
      </c>
      <c r="V1296" s="190" t="str">
        <f>VLOOKUP(E1296,Valida!$A$2:$K$271,4,FALSE)</f>
        <v>P&amp;L</v>
      </c>
      <c r="W1296" s="185" t="s">
        <v>2024</v>
      </c>
      <c r="X1296" s="185" t="s">
        <v>2025</v>
      </c>
      <c r="Y1296" s="185" t="s">
        <v>1789</v>
      </c>
      <c r="Z1296"/>
    </row>
    <row r="1297" spans="1:26">
      <c r="A1297" s="185" t="s">
        <v>2720</v>
      </c>
      <c r="B1297" s="185" t="s">
        <v>2721</v>
      </c>
      <c r="C1297" s="185" t="s">
        <v>1792</v>
      </c>
      <c r="D1297" s="185" t="s">
        <v>2157</v>
      </c>
      <c r="E1297" s="185">
        <v>24081005</v>
      </c>
      <c r="F1297" s="185" t="s">
        <v>1688</v>
      </c>
      <c r="G1297" s="185" t="s">
        <v>1414</v>
      </c>
      <c r="H1297" s="185" t="s">
        <v>1515</v>
      </c>
      <c r="I1297" s="258" t="str">
        <f t="shared" si="61"/>
        <v>2</v>
      </c>
      <c r="J1297" s="221">
        <f t="shared" si="62"/>
        <v>89192</v>
      </c>
      <c r="K1297" s="258">
        <f t="shared" si="63"/>
        <v>5</v>
      </c>
      <c r="L1297" s="188">
        <v>89192</v>
      </c>
      <c r="M1297" s="188">
        <v>0</v>
      </c>
      <c r="N1297" s="189">
        <v>830062853</v>
      </c>
      <c r="O1297" t="s">
        <v>2722</v>
      </c>
      <c r="P1297" s="187">
        <v>45071.716562499998</v>
      </c>
      <c r="Q1297" s="186">
        <v>11369</v>
      </c>
      <c r="R1297" s="185" t="s">
        <v>433</v>
      </c>
      <c r="S1297" s="185" t="s">
        <v>1564</v>
      </c>
      <c r="T1297"/>
      <c r="U1297" t="str">
        <f>IF($L1297&gt;0,VLOOKUP($E1297,Valida!$A$1:$G$270,6,FALSE),IF($M1297&gt;=0,VLOOKUP($E1297,Valida!$A$1:$G$270,7,FALSE)))</f>
        <v>(+/-) Ajustes por el incremento (disminución) de cuentas por pagar de origen comercial</v>
      </c>
      <c r="V1297" s="190" t="str">
        <f>VLOOKUP(E1297,Valida!$A$2:$K$271,4,FALSE)</f>
        <v>Trade and other payables</v>
      </c>
      <c r="W1297" s="185" t="s">
        <v>2024</v>
      </c>
      <c r="X1297" s="185" t="s">
        <v>2025</v>
      </c>
      <c r="Y1297" s="185" t="s">
        <v>1789</v>
      </c>
      <c r="Z1297"/>
    </row>
    <row r="1298" spans="1:26">
      <c r="A1298" s="185" t="s">
        <v>2720</v>
      </c>
      <c r="B1298" s="185" t="s">
        <v>2721</v>
      </c>
      <c r="C1298" s="185" t="s">
        <v>1792</v>
      </c>
      <c r="D1298" s="185" t="s">
        <v>2157</v>
      </c>
      <c r="E1298" s="185">
        <v>51952502</v>
      </c>
      <c r="F1298" s="185" t="s">
        <v>1414</v>
      </c>
      <c r="G1298" s="185" t="s">
        <v>1414</v>
      </c>
      <c r="H1298" s="185" t="s">
        <v>1515</v>
      </c>
      <c r="I1298" s="258" t="str">
        <f t="shared" si="61"/>
        <v>5</v>
      </c>
      <c r="J1298" s="221">
        <f t="shared" si="62"/>
        <v>354024</v>
      </c>
      <c r="K1298" s="258">
        <f t="shared" si="63"/>
        <v>5</v>
      </c>
      <c r="L1298" s="188">
        <v>354024</v>
      </c>
      <c r="M1298" s="188">
        <v>0</v>
      </c>
      <c r="N1298" s="189">
        <v>830062853</v>
      </c>
      <c r="O1298" t="s">
        <v>2722</v>
      </c>
      <c r="P1298" s="187">
        <v>45071.716562499998</v>
      </c>
      <c r="Q1298" s="186">
        <v>11370</v>
      </c>
      <c r="R1298" s="185" t="s">
        <v>433</v>
      </c>
      <c r="S1298" s="185" t="s">
        <v>1564</v>
      </c>
      <c r="T1298"/>
      <c r="U1298" t="str">
        <f>IF($L1298&gt;0,VLOOKUP($E1298,Valida!$A$1:$G$270,6,FALSE),IF($M1298&gt;=0,VLOOKUP($E1298,Valida!$A$1:$G$270,7,FALSE)))</f>
        <v>(+/-) Ganancia (pérdida)</v>
      </c>
      <c r="V1298" s="190" t="str">
        <f>VLOOKUP(E1298,Valida!$A$2:$K$271,4,FALSE)</f>
        <v>P&amp;L</v>
      </c>
      <c r="W1298" s="185" t="s">
        <v>2024</v>
      </c>
      <c r="X1298" s="185" t="s">
        <v>2025</v>
      </c>
      <c r="Y1298" s="185" t="s">
        <v>1789</v>
      </c>
      <c r="Z1298"/>
    </row>
    <row r="1299" spans="1:26">
      <c r="A1299" s="185" t="s">
        <v>2720</v>
      </c>
      <c r="B1299" s="185" t="s">
        <v>2721</v>
      </c>
      <c r="C1299" s="185" t="s">
        <v>1792</v>
      </c>
      <c r="D1299" s="185" t="s">
        <v>2157</v>
      </c>
      <c r="E1299" s="185">
        <v>24081001</v>
      </c>
      <c r="F1299" s="185" t="s">
        <v>1670</v>
      </c>
      <c r="G1299" s="185" t="s">
        <v>1414</v>
      </c>
      <c r="H1299" s="185" t="s">
        <v>1515</v>
      </c>
      <c r="I1299" s="258" t="str">
        <f t="shared" si="61"/>
        <v>2</v>
      </c>
      <c r="J1299" s="221">
        <f t="shared" si="62"/>
        <v>67265</v>
      </c>
      <c r="K1299" s="258">
        <f t="shared" si="63"/>
        <v>5</v>
      </c>
      <c r="L1299" s="188">
        <v>67265</v>
      </c>
      <c r="M1299" s="188">
        <v>0</v>
      </c>
      <c r="N1299" s="189">
        <v>830062853</v>
      </c>
      <c r="O1299" t="s">
        <v>2722</v>
      </c>
      <c r="P1299" s="187">
        <v>45071.716562499998</v>
      </c>
      <c r="Q1299" s="186">
        <v>11371</v>
      </c>
      <c r="R1299" s="185" t="s">
        <v>433</v>
      </c>
      <c r="S1299" s="185" t="s">
        <v>1564</v>
      </c>
      <c r="T1299"/>
      <c r="U1299" t="str">
        <f>IF($L1299&gt;0,VLOOKUP($E1299,Valida!$A$1:$G$270,6,FALSE),IF($M1299&gt;=0,VLOOKUP($E1299,Valida!$A$1:$G$270,7,FALSE)))</f>
        <v>(+/-) Ajustes por el incremento (disminución) de cuentas por pagar de origen comercial</v>
      </c>
      <c r="V1299" s="190" t="str">
        <f>VLOOKUP(E1299,Valida!$A$2:$K$271,4,FALSE)</f>
        <v>Trade and other payables</v>
      </c>
      <c r="W1299" s="185" t="s">
        <v>2024</v>
      </c>
      <c r="X1299" s="185" t="s">
        <v>2025</v>
      </c>
      <c r="Y1299" s="185" t="s">
        <v>1789</v>
      </c>
      <c r="Z1299"/>
    </row>
    <row r="1300" spans="1:26">
      <c r="A1300" s="185" t="s">
        <v>2720</v>
      </c>
      <c r="B1300" s="185" t="s">
        <v>2721</v>
      </c>
      <c r="C1300" s="185" t="s">
        <v>1792</v>
      </c>
      <c r="D1300" s="185" t="s">
        <v>2157</v>
      </c>
      <c r="E1300" s="185">
        <v>23654001</v>
      </c>
      <c r="F1300" s="185" t="s">
        <v>622</v>
      </c>
      <c r="G1300" s="185" t="s">
        <v>547</v>
      </c>
      <c r="H1300" s="185" t="s">
        <v>1628</v>
      </c>
      <c r="I1300" s="258" t="str">
        <f t="shared" si="61"/>
        <v>2</v>
      </c>
      <c r="J1300" s="221">
        <f t="shared" si="62"/>
        <v>-83389</v>
      </c>
      <c r="K1300" s="258">
        <f t="shared" si="63"/>
        <v>5</v>
      </c>
      <c r="L1300" s="188">
        <v>0</v>
      </c>
      <c r="M1300" s="188">
        <v>83389</v>
      </c>
      <c r="N1300" s="189">
        <v>830062853</v>
      </c>
      <c r="O1300" t="s">
        <v>2722</v>
      </c>
      <c r="P1300" s="187">
        <v>45071.716562499998</v>
      </c>
      <c r="Q1300" s="186">
        <v>11372</v>
      </c>
      <c r="R1300" s="185" t="s">
        <v>433</v>
      </c>
      <c r="S1300" s="185" t="s">
        <v>1564</v>
      </c>
      <c r="T1300"/>
      <c r="U1300" t="str">
        <f>IF($L1300&gt;0,VLOOKUP($E1300,Valida!$A$1:$G$270,6,FALSE),IF($M1300&gt;=0,VLOOKUP($E1300,Valida!$A$1:$G$270,7,FALSE)))</f>
        <v>(+/-) Ajustes por el incremento (disminución) de cuentas por pagar de origen comercial</v>
      </c>
      <c r="V1300" s="190" t="str">
        <f>VLOOKUP(E1300,Valida!$A$2:$K$271,4,FALSE)</f>
        <v>Trade and other payables</v>
      </c>
      <c r="W1300" s="185" t="s">
        <v>2024</v>
      </c>
      <c r="X1300" s="185" t="s">
        <v>2025</v>
      </c>
      <c r="Y1300" s="185" t="s">
        <v>1789</v>
      </c>
      <c r="Z1300"/>
    </row>
    <row r="1301" spans="1:26">
      <c r="A1301" s="185" t="s">
        <v>2720</v>
      </c>
      <c r="B1301" s="185" t="s">
        <v>2721</v>
      </c>
      <c r="C1301" s="185" t="s">
        <v>1792</v>
      </c>
      <c r="D1301" s="185" t="s">
        <v>2157</v>
      </c>
      <c r="E1301" s="185">
        <v>23680504</v>
      </c>
      <c r="F1301" s="185" t="s">
        <v>668</v>
      </c>
      <c r="G1301" s="185" t="s">
        <v>547</v>
      </c>
      <c r="H1301" s="185" t="s">
        <v>1628</v>
      </c>
      <c r="I1301" s="258" t="str">
        <f t="shared" si="61"/>
        <v>2</v>
      </c>
      <c r="J1301" s="221">
        <f t="shared" si="62"/>
        <v>-36824</v>
      </c>
      <c r="K1301" s="258">
        <f t="shared" si="63"/>
        <v>5</v>
      </c>
      <c r="L1301" s="188">
        <v>0</v>
      </c>
      <c r="M1301" s="188">
        <v>36824</v>
      </c>
      <c r="N1301" s="189">
        <v>830062853</v>
      </c>
      <c r="O1301" t="s">
        <v>2722</v>
      </c>
      <c r="P1301" s="187">
        <v>45071.716562499998</v>
      </c>
      <c r="Q1301" s="186">
        <v>11373</v>
      </c>
      <c r="R1301" s="185" t="s">
        <v>433</v>
      </c>
      <c r="S1301" s="185" t="s">
        <v>1564</v>
      </c>
      <c r="T1301"/>
      <c r="U1301" t="str">
        <f>IF($L1301&gt;0,VLOOKUP($E1301,Valida!$A$1:$G$270,6,FALSE),IF($M1301&gt;=0,VLOOKUP($E1301,Valida!$A$1:$G$270,7,FALSE)))</f>
        <v>(+/-) Ajustes por el incremento (disminución) de cuentas por pagar de origen comercial</v>
      </c>
      <c r="V1301" s="190" t="str">
        <f>VLOOKUP(E1301,Valida!$A$2:$K$271,4,FALSE)</f>
        <v>Trade and other payables</v>
      </c>
      <c r="W1301" s="185" t="s">
        <v>2024</v>
      </c>
      <c r="X1301" s="185" t="s">
        <v>2025</v>
      </c>
      <c r="Y1301" s="185" t="s">
        <v>1789</v>
      </c>
      <c r="Z1301"/>
    </row>
    <row r="1302" spans="1:26">
      <c r="A1302" s="185" t="s">
        <v>2720</v>
      </c>
      <c r="B1302" s="185" t="s">
        <v>2721</v>
      </c>
      <c r="C1302" s="185" t="s">
        <v>1792</v>
      </c>
      <c r="D1302" s="185" t="s">
        <v>2157</v>
      </c>
      <c r="E1302" s="185">
        <v>23359502</v>
      </c>
      <c r="F1302" s="185" t="s">
        <v>547</v>
      </c>
      <c r="G1302" s="185" t="s">
        <v>547</v>
      </c>
      <c r="H1302" s="185" t="s">
        <v>1628</v>
      </c>
      <c r="I1302" s="258" t="str">
        <f t="shared" si="61"/>
        <v>2</v>
      </c>
      <c r="J1302" s="221">
        <f t="shared" si="62"/>
        <v>-3599342</v>
      </c>
      <c r="K1302" s="258">
        <f t="shared" si="63"/>
        <v>5</v>
      </c>
      <c r="L1302" s="188">
        <v>0</v>
      </c>
      <c r="M1302" s="188">
        <v>3599342</v>
      </c>
      <c r="N1302" s="189">
        <v>830062853</v>
      </c>
      <c r="O1302" t="s">
        <v>2722</v>
      </c>
      <c r="P1302" s="187">
        <v>45071.716562499998</v>
      </c>
      <c r="Q1302" s="186">
        <v>11374</v>
      </c>
      <c r="R1302" s="185" t="s">
        <v>433</v>
      </c>
      <c r="S1302" s="185" t="s">
        <v>1564</v>
      </c>
      <c r="T1302"/>
      <c r="U1302" t="str">
        <f>IF($L1302&gt;0,VLOOKUP($E1302,Valida!$A$1:$G$270,6,FALSE),IF($M1302&gt;=0,VLOOKUP($E1302,Valida!$A$1:$G$270,7,FALSE)))</f>
        <v>(+/-) Ajustes por el incremento (disminución) de cuentas por pagar de origen comercial</v>
      </c>
      <c r="V1302" s="190" t="str">
        <f>VLOOKUP(E1302,Valida!$A$2:$K$271,4,FALSE)</f>
        <v>Trade and other payables</v>
      </c>
      <c r="W1302" s="185" t="s">
        <v>2024</v>
      </c>
      <c r="X1302" s="185" t="s">
        <v>2025</v>
      </c>
      <c r="Y1302" s="185" t="s">
        <v>1789</v>
      </c>
      <c r="Z1302"/>
    </row>
    <row r="1303" spans="1:26">
      <c r="A1303" s="185" t="s">
        <v>2720</v>
      </c>
      <c r="B1303" s="185" t="s">
        <v>2723</v>
      </c>
      <c r="C1303" s="185" t="s">
        <v>1890</v>
      </c>
      <c r="D1303" s="185" t="s">
        <v>2724</v>
      </c>
      <c r="E1303" s="185">
        <v>23359502</v>
      </c>
      <c r="F1303" s="185" t="s">
        <v>547</v>
      </c>
      <c r="G1303" s="185" t="s">
        <v>1921</v>
      </c>
      <c r="H1303" s="185" t="s">
        <v>1515</v>
      </c>
      <c r="I1303" s="258" t="str">
        <f t="shared" si="61"/>
        <v>2</v>
      </c>
      <c r="J1303" s="221">
        <f t="shared" si="62"/>
        <v>3599342</v>
      </c>
      <c r="K1303" s="258">
        <f t="shared" si="63"/>
        <v>5</v>
      </c>
      <c r="L1303" s="188">
        <v>3599342</v>
      </c>
      <c r="M1303" s="188">
        <v>0</v>
      </c>
      <c r="N1303" s="189">
        <v>830062853</v>
      </c>
      <c r="O1303"/>
      <c r="P1303" s="187">
        <v>45071.717430555596</v>
      </c>
      <c r="Q1303" s="186">
        <v>11375</v>
      </c>
      <c r="R1303" s="185" t="s">
        <v>433</v>
      </c>
      <c r="S1303" s="185" t="s">
        <v>1564</v>
      </c>
      <c r="T1303"/>
      <c r="U1303" t="str">
        <f>IF($L1303&gt;0,VLOOKUP($E1303,Valida!$A$1:$G$270,6,FALSE),IF($M1303&gt;=0,VLOOKUP($E1303,Valida!$A$1:$G$270,7,FALSE)))</f>
        <v>(+/-) Ajustes por el incremento (disminución) de cuentas por pagar de origen comercial</v>
      </c>
      <c r="V1303" s="190" t="str">
        <f>VLOOKUP(E1303,Valida!$A$2:$K$271,4,FALSE)</f>
        <v>Trade and other payables</v>
      </c>
      <c r="W1303" s="185" t="s">
        <v>2024</v>
      </c>
      <c r="X1303" s="185" t="s">
        <v>2025</v>
      </c>
      <c r="Y1303" s="185" t="s">
        <v>1789</v>
      </c>
      <c r="Z1303"/>
    </row>
    <row r="1304" spans="1:26">
      <c r="A1304" s="185" t="s">
        <v>2720</v>
      </c>
      <c r="B1304" s="185" t="s">
        <v>2723</v>
      </c>
      <c r="C1304" s="185" t="s">
        <v>1890</v>
      </c>
      <c r="D1304" s="185" t="s">
        <v>2724</v>
      </c>
      <c r="E1304" s="185">
        <v>112005</v>
      </c>
      <c r="F1304" s="185" t="s">
        <v>24</v>
      </c>
      <c r="G1304" s="185" t="s">
        <v>1921</v>
      </c>
      <c r="H1304" s="185" t="s">
        <v>1628</v>
      </c>
      <c r="I1304" s="258" t="str">
        <f t="shared" si="61"/>
        <v>1</v>
      </c>
      <c r="J1304" s="221">
        <f t="shared" si="62"/>
        <v>-3599341</v>
      </c>
      <c r="K1304" s="258">
        <f t="shared" si="63"/>
        <v>5</v>
      </c>
      <c r="L1304" s="188">
        <v>0</v>
      </c>
      <c r="M1304" s="188">
        <v>3599341</v>
      </c>
      <c r="N1304" s="189">
        <v>830062853</v>
      </c>
      <c r="O1304"/>
      <c r="P1304" s="187">
        <v>45071.717430555596</v>
      </c>
      <c r="Q1304" s="186">
        <v>11376</v>
      </c>
      <c r="R1304" s="185" t="s">
        <v>433</v>
      </c>
      <c r="S1304" s="185" t="s">
        <v>1564</v>
      </c>
      <c r="T1304" t="s">
        <v>1894</v>
      </c>
      <c r="U1304" t="str">
        <f>IF($L1304&gt;0,VLOOKUP($E1304,Valida!$A$1:$G$270,6,FALSE),IF($M1304&gt;=0,VLOOKUP($E1304,Valida!$A$1:$G$270,7,FALSE)))</f>
        <v>Disponible</v>
      </c>
      <c r="V1304" s="190" t="str">
        <f>VLOOKUP(E1304,Valida!$A$2:$K$271,4,FALSE)</f>
        <v>Cash and equivalents</v>
      </c>
      <c r="W1304" s="185" t="s">
        <v>2024</v>
      </c>
      <c r="X1304" s="185" t="s">
        <v>2025</v>
      </c>
      <c r="Y1304" s="185" t="s">
        <v>1789</v>
      </c>
      <c r="Z1304"/>
    </row>
    <row r="1305" spans="1:26">
      <c r="A1305" s="185" t="s">
        <v>2720</v>
      </c>
      <c r="B1305" s="185" t="s">
        <v>2723</v>
      </c>
      <c r="C1305" s="185" t="s">
        <v>1890</v>
      </c>
      <c r="D1305" s="185" t="s">
        <v>2724</v>
      </c>
      <c r="E1305" s="185">
        <v>53059510</v>
      </c>
      <c r="F1305" s="185" t="s">
        <v>1065</v>
      </c>
      <c r="G1305" s="185" t="s">
        <v>1921</v>
      </c>
      <c r="H1305" s="185" t="s">
        <v>1628</v>
      </c>
      <c r="I1305" s="258" t="str">
        <f t="shared" si="61"/>
        <v>5</v>
      </c>
      <c r="J1305" s="221">
        <f t="shared" si="62"/>
        <v>-1</v>
      </c>
      <c r="K1305" s="258">
        <f t="shared" si="63"/>
        <v>5</v>
      </c>
      <c r="L1305" s="188">
        <v>0</v>
      </c>
      <c r="M1305" s="188">
        <v>1</v>
      </c>
      <c r="N1305" s="189">
        <v>830062853</v>
      </c>
      <c r="O1305"/>
      <c r="P1305" s="187">
        <v>45071.717430555596</v>
      </c>
      <c r="Q1305" s="186">
        <v>11377</v>
      </c>
      <c r="R1305" s="185" t="s">
        <v>433</v>
      </c>
      <c r="S1305" s="185" t="s">
        <v>1564</v>
      </c>
      <c r="T1305"/>
      <c r="U1305" t="str">
        <f>IF($L1305&gt;0,VLOOKUP($E1305,Valida!$A$1:$G$270,6,FALSE),IF($M1305&gt;=0,VLOOKUP($E1305,Valida!$A$1:$G$270,7,FALSE)))</f>
        <v>(+/-) Ganancia (pérdida)</v>
      </c>
      <c r="V1305" s="190" t="str">
        <f>VLOOKUP(E1305,Valida!$A$2:$K$271,4,FALSE)</f>
        <v>P&amp;L</v>
      </c>
      <c r="W1305" s="185" t="s">
        <v>2024</v>
      </c>
      <c r="X1305" s="185" t="s">
        <v>2025</v>
      </c>
      <c r="Y1305" s="185" t="s">
        <v>1789</v>
      </c>
      <c r="Z1305"/>
    </row>
    <row r="1306" spans="1:26">
      <c r="A1306" s="185" t="s">
        <v>2725</v>
      </c>
      <c r="B1306" s="185" t="s">
        <v>2726</v>
      </c>
      <c r="C1306" s="185" t="s">
        <v>1897</v>
      </c>
      <c r="D1306" s="185" t="s">
        <v>2727</v>
      </c>
      <c r="E1306" s="185">
        <v>510506</v>
      </c>
      <c r="F1306" s="185" t="s">
        <v>1076</v>
      </c>
      <c r="G1306" s="185" t="s">
        <v>2728</v>
      </c>
      <c r="H1306" s="185" t="s">
        <v>1515</v>
      </c>
      <c r="I1306" s="258" t="str">
        <f t="shared" si="61"/>
        <v>5</v>
      </c>
      <c r="J1306" s="221">
        <f t="shared" si="62"/>
        <v>1160000</v>
      </c>
      <c r="K1306" s="258">
        <f t="shared" si="63"/>
        <v>5</v>
      </c>
      <c r="L1306" s="188">
        <v>1160000</v>
      </c>
      <c r="M1306" s="188">
        <v>0</v>
      </c>
      <c r="N1306" s="189">
        <v>1130744136</v>
      </c>
      <c r="O1306" t="s">
        <v>2726</v>
      </c>
      <c r="P1306" s="187">
        <v>45072</v>
      </c>
      <c r="Q1306" s="186">
        <v>11378</v>
      </c>
      <c r="R1306" s="185"/>
      <c r="S1306" s="185" t="s">
        <v>1538</v>
      </c>
      <c r="T1306" t="s">
        <v>2729</v>
      </c>
      <c r="U1306" t="str">
        <f>IF($L1306&gt;0,VLOOKUP($E1306,Valida!$A$1:$G$270,6,FALSE),IF($M1306&gt;=0,VLOOKUP($E1306,Valida!$A$1:$G$270,7,FALSE)))</f>
        <v>(+/-) Ganancia (pérdida)</v>
      </c>
      <c r="V1306" s="190" t="str">
        <f>VLOOKUP(E1306,Valida!$A$2:$K$271,4,FALSE)</f>
        <v>P&amp;L</v>
      </c>
      <c r="W1306" s="185" t="s">
        <v>1909</v>
      </c>
      <c r="X1306" s="185" t="s">
        <v>1910</v>
      </c>
      <c r="Y1306" s="185" t="s">
        <v>1789</v>
      </c>
      <c r="Z1306"/>
    </row>
    <row r="1307" spans="1:26">
      <c r="A1307" s="185" t="s">
        <v>2725</v>
      </c>
      <c r="B1307" s="185" t="s">
        <v>2726</v>
      </c>
      <c r="C1307" s="185" t="s">
        <v>1897</v>
      </c>
      <c r="D1307" s="185" t="s">
        <v>2727</v>
      </c>
      <c r="E1307" s="185">
        <v>510527</v>
      </c>
      <c r="F1307" s="185" t="s">
        <v>1089</v>
      </c>
      <c r="G1307" s="185" t="s">
        <v>2728</v>
      </c>
      <c r="H1307" s="185" t="s">
        <v>1515</v>
      </c>
      <c r="I1307" s="258" t="str">
        <f t="shared" si="61"/>
        <v>5</v>
      </c>
      <c r="J1307" s="221">
        <f t="shared" si="62"/>
        <v>140606</v>
      </c>
      <c r="K1307" s="258">
        <f t="shared" si="63"/>
        <v>5</v>
      </c>
      <c r="L1307" s="188">
        <v>140606</v>
      </c>
      <c r="M1307" s="188">
        <v>0</v>
      </c>
      <c r="N1307" s="189">
        <v>1130744136</v>
      </c>
      <c r="O1307" t="s">
        <v>2726</v>
      </c>
      <c r="P1307" s="187">
        <v>45072</v>
      </c>
      <c r="Q1307" s="186">
        <v>11379</v>
      </c>
      <c r="R1307" s="185"/>
      <c r="S1307" s="185" t="s">
        <v>1538</v>
      </c>
      <c r="T1307" t="s">
        <v>2729</v>
      </c>
      <c r="U1307" t="str">
        <f>IF($L1307&gt;0,VLOOKUP($E1307,Valida!$A$1:$G$270,6,FALSE),IF($M1307&gt;=0,VLOOKUP($E1307,Valida!$A$1:$G$270,7,FALSE)))</f>
        <v>(+/-) Ganancia (pérdida)</v>
      </c>
      <c r="V1307" s="190" t="str">
        <f>VLOOKUP(E1307,Valida!$A$2:$K$271,4,FALSE)</f>
        <v>P&amp;L</v>
      </c>
      <c r="W1307" s="185" t="s">
        <v>1909</v>
      </c>
      <c r="X1307" s="185" t="s">
        <v>1910</v>
      </c>
      <c r="Y1307" s="185" t="s">
        <v>1789</v>
      </c>
      <c r="Z1307"/>
    </row>
    <row r="1308" spans="1:26">
      <c r="A1308" s="185" t="s">
        <v>2725</v>
      </c>
      <c r="B1308" s="185" t="s">
        <v>2726</v>
      </c>
      <c r="C1308" s="185" t="s">
        <v>1897</v>
      </c>
      <c r="D1308" s="185" t="s">
        <v>2727</v>
      </c>
      <c r="E1308" s="185">
        <v>237005</v>
      </c>
      <c r="F1308" s="185" t="s">
        <v>676</v>
      </c>
      <c r="G1308" s="185" t="s">
        <v>2728</v>
      </c>
      <c r="H1308" s="185" t="s">
        <v>1628</v>
      </c>
      <c r="I1308" s="258" t="str">
        <f t="shared" si="61"/>
        <v>2</v>
      </c>
      <c r="J1308" s="221">
        <f t="shared" si="62"/>
        <v>-46400</v>
      </c>
      <c r="K1308" s="258">
        <f t="shared" si="63"/>
        <v>5</v>
      </c>
      <c r="L1308" s="188">
        <v>0</v>
      </c>
      <c r="M1308" s="188">
        <v>46400</v>
      </c>
      <c r="N1308" s="189">
        <v>800251440</v>
      </c>
      <c r="O1308" t="s">
        <v>2726</v>
      </c>
      <c r="P1308" s="187">
        <v>45072</v>
      </c>
      <c r="Q1308" s="186">
        <v>11380</v>
      </c>
      <c r="R1308" s="185" t="s">
        <v>1901</v>
      </c>
      <c r="S1308" s="185" t="s">
        <v>1560</v>
      </c>
      <c r="T1308" t="s">
        <v>2729</v>
      </c>
      <c r="U1308" t="str">
        <f>IF($L1308&gt;0,VLOOKUP($E1308,Valida!$A$1:$G$270,6,FALSE),IF($M1308&gt;=0,VLOOKUP($E1308,Valida!$A$1:$G$270,7,FALSE)))</f>
        <v>(+/-) Ajustes por el incremento (disminución) de cuentas por pagar de origen comercial</v>
      </c>
      <c r="V1308" s="190" t="str">
        <f>VLOOKUP(E1308,Valida!$A$2:$K$271,4,FALSE)</f>
        <v>Trade and other payables</v>
      </c>
      <c r="W1308" s="185" t="s">
        <v>1902</v>
      </c>
      <c r="X1308" s="185" t="s">
        <v>1903</v>
      </c>
      <c r="Y1308" s="185" t="s">
        <v>1789</v>
      </c>
      <c r="Z1308"/>
    </row>
    <row r="1309" spans="1:26">
      <c r="A1309" s="185" t="s">
        <v>2725</v>
      </c>
      <c r="B1309" s="185" t="s">
        <v>2726</v>
      </c>
      <c r="C1309" s="185" t="s">
        <v>1897</v>
      </c>
      <c r="D1309" s="185" t="s">
        <v>2727</v>
      </c>
      <c r="E1309" s="185">
        <v>238030</v>
      </c>
      <c r="F1309" s="185" t="s">
        <v>721</v>
      </c>
      <c r="G1309" s="185" t="s">
        <v>2728</v>
      </c>
      <c r="H1309" s="185" t="s">
        <v>1628</v>
      </c>
      <c r="I1309" s="258" t="str">
        <f t="shared" si="61"/>
        <v>2</v>
      </c>
      <c r="J1309" s="221">
        <f t="shared" si="62"/>
        <v>-46400</v>
      </c>
      <c r="K1309" s="258">
        <f t="shared" si="63"/>
        <v>5</v>
      </c>
      <c r="L1309" s="188">
        <v>0</v>
      </c>
      <c r="M1309" s="188">
        <v>46400</v>
      </c>
      <c r="N1309" s="189">
        <v>800224808</v>
      </c>
      <c r="O1309" t="s">
        <v>2726</v>
      </c>
      <c r="P1309" s="187">
        <v>45072</v>
      </c>
      <c r="Q1309" s="186">
        <v>11381</v>
      </c>
      <c r="R1309" s="185" t="s">
        <v>1827</v>
      </c>
      <c r="S1309" s="185" t="s">
        <v>1662</v>
      </c>
      <c r="T1309" t="s">
        <v>2729</v>
      </c>
      <c r="U1309" t="str">
        <f>IF($L1309&gt;0,VLOOKUP($E1309,Valida!$A$1:$G$270,6,FALSE),IF($M1309&gt;=0,VLOOKUP($E1309,Valida!$A$1:$G$270,7,FALSE)))</f>
        <v>(+/-) Ajustes por el incremento (disminución) de cuentas por pagar de origen comercial</v>
      </c>
      <c r="V1309" s="190" t="str">
        <f>VLOOKUP(E1309,Valida!$A$2:$K$271,4,FALSE)</f>
        <v>Trade and other payables</v>
      </c>
      <c r="W1309" s="185" t="s">
        <v>1911</v>
      </c>
      <c r="X1309" s="185"/>
      <c r="Y1309" s="185" t="s">
        <v>1789</v>
      </c>
      <c r="Z1309"/>
    </row>
    <row r="1310" spans="1:26">
      <c r="A1310" s="185" t="s">
        <v>2725</v>
      </c>
      <c r="B1310" s="185" t="s">
        <v>2726</v>
      </c>
      <c r="C1310" s="185" t="s">
        <v>1897</v>
      </c>
      <c r="D1310" s="185" t="s">
        <v>2727</v>
      </c>
      <c r="E1310" s="185">
        <v>510506</v>
      </c>
      <c r="F1310" s="185" t="s">
        <v>1076</v>
      </c>
      <c r="G1310" s="185" t="s">
        <v>2728</v>
      </c>
      <c r="H1310" s="185" t="s">
        <v>1515</v>
      </c>
      <c r="I1310" s="258" t="str">
        <f t="shared" si="61"/>
        <v>5</v>
      </c>
      <c r="J1310" s="221">
        <f t="shared" si="62"/>
        <v>1500000</v>
      </c>
      <c r="K1310" s="258">
        <f t="shared" si="63"/>
        <v>5</v>
      </c>
      <c r="L1310" s="188">
        <v>1500000</v>
      </c>
      <c r="M1310" s="188">
        <v>0</v>
      </c>
      <c r="N1310" s="189">
        <v>1010101811</v>
      </c>
      <c r="O1310" t="s">
        <v>2726</v>
      </c>
      <c r="P1310" s="187">
        <v>45072</v>
      </c>
      <c r="Q1310" s="186">
        <v>11382</v>
      </c>
      <c r="R1310" s="185"/>
      <c r="S1310" s="185" t="s">
        <v>1528</v>
      </c>
      <c r="T1310" t="s">
        <v>2729</v>
      </c>
      <c r="U1310" t="str">
        <f>IF($L1310&gt;0,VLOOKUP($E1310,Valida!$A$1:$G$270,6,FALSE),IF($M1310&gt;=0,VLOOKUP($E1310,Valida!$A$1:$G$270,7,FALSE)))</f>
        <v>(+/-) Ganancia (pérdida)</v>
      </c>
      <c r="V1310" s="190" t="str">
        <f>VLOOKUP(E1310,Valida!$A$2:$K$271,4,FALSE)</f>
        <v>P&amp;L</v>
      </c>
      <c r="W1310" s="185" t="s">
        <v>1967</v>
      </c>
      <c r="X1310" s="185"/>
      <c r="Y1310" s="185" t="s">
        <v>1789</v>
      </c>
      <c r="Z1310"/>
    </row>
    <row r="1311" spans="1:26">
      <c r="A1311" s="185" t="s">
        <v>2725</v>
      </c>
      <c r="B1311" s="185" t="s">
        <v>2726</v>
      </c>
      <c r="C1311" s="185" t="s">
        <v>1897</v>
      </c>
      <c r="D1311" s="185" t="s">
        <v>2727</v>
      </c>
      <c r="E1311" s="185">
        <v>510527</v>
      </c>
      <c r="F1311" s="185" t="s">
        <v>1089</v>
      </c>
      <c r="G1311" s="185" t="s">
        <v>2728</v>
      </c>
      <c r="H1311" s="185" t="s">
        <v>1515</v>
      </c>
      <c r="I1311" s="258" t="str">
        <f t="shared" si="61"/>
        <v>5</v>
      </c>
      <c r="J1311" s="221">
        <f t="shared" si="62"/>
        <v>140606</v>
      </c>
      <c r="K1311" s="258">
        <f t="shared" si="63"/>
        <v>5</v>
      </c>
      <c r="L1311" s="188">
        <v>140606</v>
      </c>
      <c r="M1311" s="188">
        <v>0</v>
      </c>
      <c r="N1311" s="189">
        <v>1010101811</v>
      </c>
      <c r="O1311" t="s">
        <v>2726</v>
      </c>
      <c r="P1311" s="187">
        <v>45072</v>
      </c>
      <c r="Q1311" s="186">
        <v>11383</v>
      </c>
      <c r="R1311" s="185"/>
      <c r="S1311" s="185" t="s">
        <v>1528</v>
      </c>
      <c r="T1311" t="s">
        <v>2729</v>
      </c>
      <c r="U1311" t="str">
        <f>IF($L1311&gt;0,VLOOKUP($E1311,Valida!$A$1:$G$270,6,FALSE),IF($M1311&gt;=0,VLOOKUP($E1311,Valida!$A$1:$G$270,7,FALSE)))</f>
        <v>(+/-) Ganancia (pérdida)</v>
      </c>
      <c r="V1311" s="190" t="str">
        <f>VLOOKUP(E1311,Valida!$A$2:$K$271,4,FALSE)</f>
        <v>P&amp;L</v>
      </c>
      <c r="W1311" s="185" t="s">
        <v>1967</v>
      </c>
      <c r="X1311" s="185"/>
      <c r="Y1311" s="185" t="s">
        <v>1789</v>
      </c>
      <c r="Z1311"/>
    </row>
    <row r="1312" spans="1:26">
      <c r="A1312" s="185" t="s">
        <v>2725</v>
      </c>
      <c r="B1312" s="185" t="s">
        <v>2726</v>
      </c>
      <c r="C1312" s="185" t="s">
        <v>1897</v>
      </c>
      <c r="D1312" s="185" t="s">
        <v>2727</v>
      </c>
      <c r="E1312" s="185">
        <v>237005</v>
      </c>
      <c r="F1312" s="185" t="s">
        <v>676</v>
      </c>
      <c r="G1312" s="185" t="s">
        <v>2728</v>
      </c>
      <c r="H1312" s="185" t="s">
        <v>1628</v>
      </c>
      <c r="I1312" s="258" t="str">
        <f t="shared" si="61"/>
        <v>2</v>
      </c>
      <c r="J1312" s="221">
        <f t="shared" si="62"/>
        <v>-60000</v>
      </c>
      <c r="K1312" s="258">
        <f t="shared" si="63"/>
        <v>5</v>
      </c>
      <c r="L1312" s="188">
        <v>0</v>
      </c>
      <c r="M1312" s="188">
        <v>60000</v>
      </c>
      <c r="N1312" s="189">
        <v>860066942</v>
      </c>
      <c r="O1312" t="s">
        <v>2726</v>
      </c>
      <c r="P1312" s="187">
        <v>45072</v>
      </c>
      <c r="Q1312" s="186">
        <v>11384</v>
      </c>
      <c r="R1312" s="185" t="s">
        <v>1814</v>
      </c>
      <c r="S1312" s="185" t="s">
        <v>1574</v>
      </c>
      <c r="T1312" t="s">
        <v>2729</v>
      </c>
      <c r="U1312" t="str">
        <f>IF($L1312&gt;0,VLOOKUP($E1312,Valida!$A$1:$G$270,6,FALSE),IF($M1312&gt;=0,VLOOKUP($E1312,Valida!$A$1:$G$270,7,FALSE)))</f>
        <v>(+/-) Ajustes por el incremento (disminución) de cuentas por pagar de origen comercial</v>
      </c>
      <c r="V1312" s="190" t="str">
        <f>VLOOKUP(E1312,Valida!$A$2:$K$271,4,FALSE)</f>
        <v>Trade and other payables</v>
      </c>
      <c r="W1312" s="185" t="s">
        <v>1914</v>
      </c>
      <c r="X1312" s="185" t="s">
        <v>1915</v>
      </c>
      <c r="Y1312" s="185" t="s">
        <v>1789</v>
      </c>
      <c r="Z1312"/>
    </row>
    <row r="1313" spans="1:26">
      <c r="A1313" s="185" t="s">
        <v>2725</v>
      </c>
      <c r="B1313" s="185" t="s">
        <v>2726</v>
      </c>
      <c r="C1313" s="185" t="s">
        <v>1897</v>
      </c>
      <c r="D1313" s="185" t="s">
        <v>2727</v>
      </c>
      <c r="E1313" s="185">
        <v>238030</v>
      </c>
      <c r="F1313" s="185" t="s">
        <v>721</v>
      </c>
      <c r="G1313" s="185" t="s">
        <v>2728</v>
      </c>
      <c r="H1313" s="185" t="s">
        <v>1628</v>
      </c>
      <c r="I1313" s="258" t="str">
        <f t="shared" si="61"/>
        <v>2</v>
      </c>
      <c r="J1313" s="221">
        <f t="shared" si="62"/>
        <v>-60000</v>
      </c>
      <c r="K1313" s="258">
        <f t="shared" si="63"/>
        <v>5</v>
      </c>
      <c r="L1313" s="188">
        <v>0</v>
      </c>
      <c r="M1313" s="188">
        <v>60000</v>
      </c>
      <c r="N1313" s="189">
        <v>800224808</v>
      </c>
      <c r="O1313" t="s">
        <v>2726</v>
      </c>
      <c r="P1313" s="187">
        <v>45072</v>
      </c>
      <c r="Q1313" s="186">
        <v>11385</v>
      </c>
      <c r="R1313" s="185" t="s">
        <v>1827</v>
      </c>
      <c r="S1313" s="185" t="s">
        <v>1662</v>
      </c>
      <c r="T1313" t="s">
        <v>2729</v>
      </c>
      <c r="U1313" t="str">
        <f>IF($L1313&gt;0,VLOOKUP($E1313,Valida!$A$1:$G$270,6,FALSE),IF($M1313&gt;=0,VLOOKUP($E1313,Valida!$A$1:$G$270,7,FALSE)))</f>
        <v>(+/-) Ajustes por el incremento (disminución) de cuentas por pagar de origen comercial</v>
      </c>
      <c r="V1313" s="190" t="str">
        <f>VLOOKUP(E1313,Valida!$A$2:$K$271,4,FALSE)</f>
        <v>Trade and other payables</v>
      </c>
      <c r="W1313" s="185" t="s">
        <v>1911</v>
      </c>
      <c r="X1313" s="185"/>
      <c r="Y1313" s="185" t="s">
        <v>1789</v>
      </c>
      <c r="Z1313"/>
    </row>
    <row r="1314" spans="1:26">
      <c r="A1314" s="185" t="s">
        <v>2725</v>
      </c>
      <c r="B1314" s="185" t="s">
        <v>2726</v>
      </c>
      <c r="C1314" s="185" t="s">
        <v>1897</v>
      </c>
      <c r="D1314" s="185" t="s">
        <v>2727</v>
      </c>
      <c r="E1314" s="185">
        <v>510506</v>
      </c>
      <c r="F1314" s="185" t="s">
        <v>1076</v>
      </c>
      <c r="G1314" s="185" t="s">
        <v>2728</v>
      </c>
      <c r="H1314" s="185" t="s">
        <v>1628</v>
      </c>
      <c r="I1314" s="258" t="str">
        <f t="shared" si="61"/>
        <v>5</v>
      </c>
      <c r="J1314" s="221">
        <f t="shared" si="62"/>
        <v>-50000</v>
      </c>
      <c r="K1314" s="258">
        <f t="shared" si="63"/>
        <v>5</v>
      </c>
      <c r="L1314" s="188">
        <v>0</v>
      </c>
      <c r="M1314" s="188">
        <v>50000</v>
      </c>
      <c r="N1314" s="189">
        <v>1010101811</v>
      </c>
      <c r="O1314" t="s">
        <v>2726</v>
      </c>
      <c r="P1314" s="187">
        <v>45072</v>
      </c>
      <c r="Q1314" s="186">
        <v>11386</v>
      </c>
      <c r="R1314" s="185"/>
      <c r="S1314" s="185" t="s">
        <v>1528</v>
      </c>
      <c r="T1314" t="s">
        <v>2729</v>
      </c>
      <c r="U1314" t="str">
        <f>IF($L1314&gt;0,VLOOKUP($E1314,Valida!$A$1:$G$270,6,FALSE),IF($M1314&gt;=0,VLOOKUP($E1314,Valida!$A$1:$G$270,7,FALSE)))</f>
        <v>(+/-) Ganancia (pérdida)</v>
      </c>
      <c r="V1314" s="190" t="str">
        <f>VLOOKUP(E1314,Valida!$A$2:$K$271,4,FALSE)</f>
        <v>P&amp;L</v>
      </c>
      <c r="W1314" s="185" t="s">
        <v>1967</v>
      </c>
      <c r="X1314" s="185"/>
      <c r="Y1314" s="185" t="s">
        <v>1789</v>
      </c>
      <c r="Z1314"/>
    </row>
    <row r="1315" spans="1:26">
      <c r="A1315" s="185" t="s">
        <v>2725</v>
      </c>
      <c r="B1315" s="185" t="s">
        <v>2726</v>
      </c>
      <c r="C1315" s="185" t="s">
        <v>1897</v>
      </c>
      <c r="D1315" s="185" t="s">
        <v>2727</v>
      </c>
      <c r="E1315" s="185">
        <v>510506</v>
      </c>
      <c r="F1315" s="185" t="s">
        <v>1076</v>
      </c>
      <c r="G1315" s="185" t="s">
        <v>2728</v>
      </c>
      <c r="H1315" s="185" t="s">
        <v>1515</v>
      </c>
      <c r="I1315" s="258" t="str">
        <f t="shared" si="61"/>
        <v>5</v>
      </c>
      <c r="J1315" s="221">
        <f t="shared" si="62"/>
        <v>160000</v>
      </c>
      <c r="K1315" s="258">
        <f t="shared" si="63"/>
        <v>5</v>
      </c>
      <c r="L1315" s="188">
        <v>160000</v>
      </c>
      <c r="M1315" s="188">
        <v>0</v>
      </c>
      <c r="N1315" s="189">
        <v>1020842223</v>
      </c>
      <c r="O1315" t="s">
        <v>2726</v>
      </c>
      <c r="P1315" s="187">
        <v>45072</v>
      </c>
      <c r="Q1315" s="186">
        <v>11387</v>
      </c>
      <c r="R1315" s="185"/>
      <c r="S1315" s="185" t="s">
        <v>1532</v>
      </c>
      <c r="T1315" t="s">
        <v>2729</v>
      </c>
      <c r="U1315" t="str">
        <f>IF($L1315&gt;0,VLOOKUP($E1315,Valida!$A$1:$G$270,6,FALSE),IF($M1315&gt;=0,VLOOKUP($E1315,Valida!$A$1:$G$270,7,FALSE)))</f>
        <v>(+/-) Ganancia (pérdida)</v>
      </c>
      <c r="V1315" s="190" t="str">
        <f>VLOOKUP(E1315,Valida!$A$2:$K$271,4,FALSE)</f>
        <v>P&amp;L</v>
      </c>
      <c r="W1315" s="185" t="s">
        <v>1900</v>
      </c>
      <c r="X1315" s="185"/>
      <c r="Y1315" s="185" t="s">
        <v>1789</v>
      </c>
      <c r="Z1315"/>
    </row>
    <row r="1316" spans="1:26">
      <c r="A1316" s="185" t="s">
        <v>2725</v>
      </c>
      <c r="B1316" s="185" t="s">
        <v>2726</v>
      </c>
      <c r="C1316" s="185" t="s">
        <v>1897</v>
      </c>
      <c r="D1316" s="185" t="s">
        <v>2727</v>
      </c>
      <c r="E1316" s="185">
        <v>510506</v>
      </c>
      <c r="F1316" s="185" t="s">
        <v>1076</v>
      </c>
      <c r="G1316" s="185" t="s">
        <v>2728</v>
      </c>
      <c r="H1316" s="185" t="s">
        <v>1515</v>
      </c>
      <c r="I1316" s="258" t="str">
        <f t="shared" si="61"/>
        <v>5</v>
      </c>
      <c r="J1316" s="221">
        <f t="shared" si="62"/>
        <v>435000</v>
      </c>
      <c r="K1316" s="258">
        <f t="shared" si="63"/>
        <v>5</v>
      </c>
      <c r="L1316" s="188">
        <v>435000</v>
      </c>
      <c r="M1316" s="188">
        <v>0</v>
      </c>
      <c r="N1316" s="189">
        <v>1020842223</v>
      </c>
      <c r="O1316" t="s">
        <v>2726</v>
      </c>
      <c r="P1316" s="187">
        <v>45072</v>
      </c>
      <c r="Q1316" s="186">
        <v>11388</v>
      </c>
      <c r="R1316" s="185"/>
      <c r="S1316" s="185" t="s">
        <v>1532</v>
      </c>
      <c r="T1316" t="s">
        <v>2729</v>
      </c>
      <c r="U1316" t="str">
        <f>IF($L1316&gt;0,VLOOKUP($E1316,Valida!$A$1:$G$270,6,FALSE),IF($M1316&gt;=0,VLOOKUP($E1316,Valida!$A$1:$G$270,7,FALSE)))</f>
        <v>(+/-) Ganancia (pérdida)</v>
      </c>
      <c r="V1316" s="190" t="str">
        <f>VLOOKUP(E1316,Valida!$A$2:$K$271,4,FALSE)</f>
        <v>P&amp;L</v>
      </c>
      <c r="W1316" s="185" t="s">
        <v>1900</v>
      </c>
      <c r="X1316" s="185"/>
      <c r="Y1316" s="185" t="s">
        <v>1789</v>
      </c>
      <c r="Z1316"/>
    </row>
    <row r="1317" spans="1:26">
      <c r="A1317" s="185" t="s">
        <v>2725</v>
      </c>
      <c r="B1317" s="185" t="s">
        <v>2726</v>
      </c>
      <c r="C1317" s="185" t="s">
        <v>1897</v>
      </c>
      <c r="D1317" s="185" t="s">
        <v>2727</v>
      </c>
      <c r="E1317" s="185">
        <v>510527</v>
      </c>
      <c r="F1317" s="185" t="s">
        <v>1089</v>
      </c>
      <c r="G1317" s="185" t="s">
        <v>2728</v>
      </c>
      <c r="H1317" s="185" t="s">
        <v>1515</v>
      </c>
      <c r="I1317" s="258" t="str">
        <f t="shared" si="61"/>
        <v>5</v>
      </c>
      <c r="J1317" s="221">
        <f t="shared" si="62"/>
        <v>60929</v>
      </c>
      <c r="K1317" s="258">
        <f t="shared" si="63"/>
        <v>5</v>
      </c>
      <c r="L1317" s="188">
        <v>60929</v>
      </c>
      <c r="M1317" s="188">
        <v>0</v>
      </c>
      <c r="N1317" s="189">
        <v>1020842223</v>
      </c>
      <c r="O1317" t="s">
        <v>2726</v>
      </c>
      <c r="P1317" s="187">
        <v>45072</v>
      </c>
      <c r="Q1317" s="186">
        <v>11389</v>
      </c>
      <c r="R1317" s="185"/>
      <c r="S1317" s="185" t="s">
        <v>1532</v>
      </c>
      <c r="T1317" t="s">
        <v>2729</v>
      </c>
      <c r="U1317" t="str">
        <f>IF($L1317&gt;0,VLOOKUP($E1317,Valida!$A$1:$G$270,6,FALSE),IF($M1317&gt;=0,VLOOKUP($E1317,Valida!$A$1:$G$270,7,FALSE)))</f>
        <v>(+/-) Ganancia (pérdida)</v>
      </c>
      <c r="V1317" s="190" t="str">
        <f>VLOOKUP(E1317,Valida!$A$2:$K$271,4,FALSE)</f>
        <v>P&amp;L</v>
      </c>
      <c r="W1317" s="185" t="s">
        <v>1900</v>
      </c>
      <c r="X1317" s="185"/>
      <c r="Y1317" s="185" t="s">
        <v>1789</v>
      </c>
      <c r="Z1317"/>
    </row>
    <row r="1318" spans="1:26">
      <c r="A1318" s="185" t="s">
        <v>2725</v>
      </c>
      <c r="B1318" s="185" t="s">
        <v>2726</v>
      </c>
      <c r="C1318" s="185" t="s">
        <v>1897</v>
      </c>
      <c r="D1318" s="185" t="s">
        <v>2727</v>
      </c>
      <c r="E1318" s="185">
        <v>51052408</v>
      </c>
      <c r="F1318" s="185" t="s">
        <v>1722</v>
      </c>
      <c r="G1318" s="185" t="s">
        <v>2728</v>
      </c>
      <c r="H1318" s="185" t="s">
        <v>1515</v>
      </c>
      <c r="I1318" s="258" t="str">
        <f t="shared" si="61"/>
        <v>5</v>
      </c>
      <c r="J1318" s="221">
        <f t="shared" si="62"/>
        <v>93500</v>
      </c>
      <c r="K1318" s="258">
        <f t="shared" si="63"/>
        <v>5</v>
      </c>
      <c r="L1318" s="188">
        <v>93500</v>
      </c>
      <c r="M1318" s="188">
        <v>0</v>
      </c>
      <c r="N1318" s="189">
        <v>1020842223</v>
      </c>
      <c r="O1318" t="s">
        <v>2726</v>
      </c>
      <c r="P1318" s="187">
        <v>45072</v>
      </c>
      <c r="Q1318" s="186">
        <v>11390</v>
      </c>
      <c r="R1318" s="185"/>
      <c r="S1318" s="185" t="s">
        <v>1532</v>
      </c>
      <c r="T1318" t="s">
        <v>2729</v>
      </c>
      <c r="U1318" t="str">
        <f>IF($L1318&gt;0,VLOOKUP($E1318,Valida!$A$1:$G$270,6,FALSE),IF($M1318&gt;=0,VLOOKUP($E1318,Valida!$A$1:$G$270,7,FALSE)))</f>
        <v>(+/-) Ganancia (pérdida)</v>
      </c>
      <c r="V1318" s="190" t="str">
        <f>VLOOKUP(E1318,Valida!$A$2:$K$271,4,FALSE)</f>
        <v>P&amp;L</v>
      </c>
      <c r="W1318" s="185" t="s">
        <v>1900</v>
      </c>
      <c r="X1318" s="185"/>
      <c r="Y1318" s="185" t="s">
        <v>1789</v>
      </c>
      <c r="Z1318"/>
    </row>
    <row r="1319" spans="1:26">
      <c r="A1319" s="185" t="s">
        <v>2725</v>
      </c>
      <c r="B1319" s="185" t="s">
        <v>2726</v>
      </c>
      <c r="C1319" s="185" t="s">
        <v>1897</v>
      </c>
      <c r="D1319" s="185" t="s">
        <v>2727</v>
      </c>
      <c r="E1319" s="185">
        <v>51052403</v>
      </c>
      <c r="F1319" s="185" t="s">
        <v>1720</v>
      </c>
      <c r="G1319" s="185" t="s">
        <v>2728</v>
      </c>
      <c r="H1319" s="185" t="s">
        <v>1515</v>
      </c>
      <c r="I1319" s="258" t="str">
        <f t="shared" si="61"/>
        <v>5</v>
      </c>
      <c r="J1319" s="221">
        <f t="shared" si="62"/>
        <v>580000</v>
      </c>
      <c r="K1319" s="258">
        <f t="shared" si="63"/>
        <v>5</v>
      </c>
      <c r="L1319" s="188">
        <v>580000</v>
      </c>
      <c r="M1319" s="188">
        <v>0</v>
      </c>
      <c r="N1319" s="189">
        <v>1020842223</v>
      </c>
      <c r="O1319" t="s">
        <v>2726</v>
      </c>
      <c r="P1319" s="187">
        <v>45072</v>
      </c>
      <c r="Q1319" s="186">
        <v>11391</v>
      </c>
      <c r="R1319" s="185"/>
      <c r="S1319" s="185" t="s">
        <v>1532</v>
      </c>
      <c r="T1319" t="s">
        <v>2729</v>
      </c>
      <c r="U1319" t="str">
        <f>IF($L1319&gt;0,VLOOKUP($E1319,Valida!$A$1:$G$270,6,FALSE),IF($M1319&gt;=0,VLOOKUP($E1319,Valida!$A$1:$G$270,7,FALSE)))</f>
        <v>(+/-) Ganancia (pérdida)</v>
      </c>
      <c r="V1319" s="190" t="str">
        <f>VLOOKUP(E1319,Valida!$A$2:$K$271,4,FALSE)</f>
        <v>P&amp;L</v>
      </c>
      <c r="W1319" s="185" t="s">
        <v>1900</v>
      </c>
      <c r="X1319" s="185"/>
      <c r="Y1319" s="185" t="s">
        <v>1789</v>
      </c>
      <c r="Z1319"/>
    </row>
    <row r="1320" spans="1:26">
      <c r="A1320" s="185" t="s">
        <v>2725</v>
      </c>
      <c r="B1320" s="185" t="s">
        <v>2726</v>
      </c>
      <c r="C1320" s="185" t="s">
        <v>1897</v>
      </c>
      <c r="D1320" s="185" t="s">
        <v>2727</v>
      </c>
      <c r="E1320" s="185">
        <v>510515</v>
      </c>
      <c r="F1320" s="185" t="s">
        <v>1080</v>
      </c>
      <c r="G1320" s="185" t="s">
        <v>2728</v>
      </c>
      <c r="H1320" s="185" t="s">
        <v>1515</v>
      </c>
      <c r="I1320" s="258" t="str">
        <f t="shared" si="61"/>
        <v>5</v>
      </c>
      <c r="J1320" s="221">
        <f t="shared" si="62"/>
        <v>49844</v>
      </c>
      <c r="K1320" s="258">
        <f t="shared" si="63"/>
        <v>5</v>
      </c>
      <c r="L1320" s="188">
        <v>49844</v>
      </c>
      <c r="M1320" s="188">
        <v>0</v>
      </c>
      <c r="N1320" s="189">
        <v>1020842223</v>
      </c>
      <c r="O1320" t="s">
        <v>2726</v>
      </c>
      <c r="P1320" s="187">
        <v>45072</v>
      </c>
      <c r="Q1320" s="186">
        <v>11392</v>
      </c>
      <c r="R1320" s="185"/>
      <c r="S1320" s="185" t="s">
        <v>1532</v>
      </c>
      <c r="T1320" t="s">
        <v>2729</v>
      </c>
      <c r="U1320" t="str">
        <f>IF($L1320&gt;0,VLOOKUP($E1320,Valida!$A$1:$G$270,6,FALSE),IF($M1320&gt;=0,VLOOKUP($E1320,Valida!$A$1:$G$270,7,FALSE)))</f>
        <v>(+/-) Ganancia (pérdida)</v>
      </c>
      <c r="V1320" s="190" t="str">
        <f>VLOOKUP(E1320,Valida!$A$2:$K$271,4,FALSE)</f>
        <v>P&amp;L</v>
      </c>
      <c r="W1320" s="185" t="s">
        <v>1900</v>
      </c>
      <c r="X1320" s="185"/>
      <c r="Y1320" s="185" t="s">
        <v>1789</v>
      </c>
      <c r="Z1320"/>
    </row>
    <row r="1321" spans="1:26">
      <c r="A1321" s="185" t="s">
        <v>2725</v>
      </c>
      <c r="B1321" s="185" t="s">
        <v>2726</v>
      </c>
      <c r="C1321" s="185" t="s">
        <v>1897</v>
      </c>
      <c r="D1321" s="185" t="s">
        <v>2727</v>
      </c>
      <c r="E1321" s="185">
        <v>237005</v>
      </c>
      <c r="F1321" s="185" t="s">
        <v>676</v>
      </c>
      <c r="G1321" s="185" t="s">
        <v>2728</v>
      </c>
      <c r="H1321" s="185" t="s">
        <v>1628</v>
      </c>
      <c r="I1321" s="258" t="str">
        <f t="shared" si="61"/>
        <v>2</v>
      </c>
      <c r="J1321" s="221">
        <f t="shared" si="62"/>
        <v>-52734</v>
      </c>
      <c r="K1321" s="258">
        <f t="shared" si="63"/>
        <v>5</v>
      </c>
      <c r="L1321" s="188">
        <v>0</v>
      </c>
      <c r="M1321" s="188">
        <v>52734</v>
      </c>
      <c r="N1321" s="189">
        <v>800251440</v>
      </c>
      <c r="O1321" t="s">
        <v>2726</v>
      </c>
      <c r="P1321" s="187">
        <v>45072</v>
      </c>
      <c r="Q1321" s="186">
        <v>11393</v>
      </c>
      <c r="R1321" s="185" t="s">
        <v>1901</v>
      </c>
      <c r="S1321" s="185" t="s">
        <v>1560</v>
      </c>
      <c r="T1321" t="s">
        <v>2729</v>
      </c>
      <c r="U1321" t="str">
        <f>IF($L1321&gt;0,VLOOKUP($E1321,Valida!$A$1:$G$270,6,FALSE),IF($M1321&gt;=0,VLOOKUP($E1321,Valida!$A$1:$G$270,7,FALSE)))</f>
        <v>(+/-) Ajustes por el incremento (disminución) de cuentas por pagar de origen comercial</v>
      </c>
      <c r="V1321" s="190" t="str">
        <f>VLOOKUP(E1321,Valida!$A$2:$K$271,4,FALSE)</f>
        <v>Trade and other payables</v>
      </c>
      <c r="W1321" s="185" t="s">
        <v>1902</v>
      </c>
      <c r="X1321" s="185" t="s">
        <v>1903</v>
      </c>
      <c r="Y1321" s="185" t="s">
        <v>1789</v>
      </c>
      <c r="Z1321"/>
    </row>
    <row r="1322" spans="1:26">
      <c r="A1322" s="185" t="s">
        <v>2725</v>
      </c>
      <c r="B1322" s="185" t="s">
        <v>2726</v>
      </c>
      <c r="C1322" s="185" t="s">
        <v>1897</v>
      </c>
      <c r="D1322" s="185" t="s">
        <v>2727</v>
      </c>
      <c r="E1322" s="185">
        <v>238030</v>
      </c>
      <c r="F1322" s="185" t="s">
        <v>721</v>
      </c>
      <c r="G1322" s="185" t="s">
        <v>2728</v>
      </c>
      <c r="H1322" s="185" t="s">
        <v>1628</v>
      </c>
      <c r="I1322" s="258" t="str">
        <f t="shared" si="61"/>
        <v>2</v>
      </c>
      <c r="J1322" s="221">
        <f t="shared" si="62"/>
        <v>-52734</v>
      </c>
      <c r="K1322" s="258">
        <f t="shared" si="63"/>
        <v>5</v>
      </c>
      <c r="L1322" s="188">
        <v>0</v>
      </c>
      <c r="M1322" s="188">
        <v>52734</v>
      </c>
      <c r="N1322" s="189">
        <v>800224808</v>
      </c>
      <c r="O1322" t="s">
        <v>2726</v>
      </c>
      <c r="P1322" s="187">
        <v>45072</v>
      </c>
      <c r="Q1322" s="186">
        <v>11394</v>
      </c>
      <c r="R1322" s="185" t="s">
        <v>1827</v>
      </c>
      <c r="S1322" s="185" t="s">
        <v>1662</v>
      </c>
      <c r="T1322" t="s">
        <v>2729</v>
      </c>
      <c r="U1322" t="str">
        <f>IF($L1322&gt;0,VLOOKUP($E1322,Valida!$A$1:$G$270,6,FALSE),IF($M1322&gt;=0,VLOOKUP($E1322,Valida!$A$1:$G$270,7,FALSE)))</f>
        <v>(+/-) Ajustes por el incremento (disminución) de cuentas por pagar de origen comercial</v>
      </c>
      <c r="V1322" s="190" t="str">
        <f>VLOOKUP(E1322,Valida!$A$2:$K$271,4,FALSE)</f>
        <v>Trade and other payables</v>
      </c>
      <c r="W1322" s="185" t="s">
        <v>1911</v>
      </c>
      <c r="X1322" s="185"/>
      <c r="Y1322" s="185" t="s">
        <v>1789</v>
      </c>
      <c r="Z1322"/>
    </row>
    <row r="1323" spans="1:26">
      <c r="A1323" s="185" t="s">
        <v>2725</v>
      </c>
      <c r="B1323" s="185" t="s">
        <v>2726</v>
      </c>
      <c r="C1323" s="185" t="s">
        <v>1897</v>
      </c>
      <c r="D1323" s="185" t="s">
        <v>2727</v>
      </c>
      <c r="E1323" s="185">
        <v>510506</v>
      </c>
      <c r="F1323" s="185" t="s">
        <v>1076</v>
      </c>
      <c r="G1323" s="185" t="s">
        <v>2728</v>
      </c>
      <c r="H1323" s="185" t="s">
        <v>1515</v>
      </c>
      <c r="I1323" s="258" t="str">
        <f t="shared" si="61"/>
        <v>5</v>
      </c>
      <c r="J1323" s="221">
        <f t="shared" si="62"/>
        <v>1276000</v>
      </c>
      <c r="K1323" s="258">
        <f t="shared" si="63"/>
        <v>5</v>
      </c>
      <c r="L1323" s="188">
        <v>1276000</v>
      </c>
      <c r="M1323" s="188">
        <v>0</v>
      </c>
      <c r="N1323" s="189">
        <v>1000018061</v>
      </c>
      <c r="O1323" t="s">
        <v>2726</v>
      </c>
      <c r="P1323" s="187">
        <v>45072</v>
      </c>
      <c r="Q1323" s="186">
        <v>11395</v>
      </c>
      <c r="R1323" s="185"/>
      <c r="S1323" s="185" t="s">
        <v>1522</v>
      </c>
      <c r="T1323" t="s">
        <v>2729</v>
      </c>
      <c r="U1323" t="str">
        <f>IF($L1323&gt;0,VLOOKUP($E1323,Valida!$A$1:$G$270,6,FALSE),IF($M1323&gt;=0,VLOOKUP($E1323,Valida!$A$1:$G$270,7,FALSE)))</f>
        <v>(+/-) Ganancia (pérdida)</v>
      </c>
      <c r="V1323" s="190" t="str">
        <f>VLOOKUP(E1323,Valida!$A$2:$K$271,4,FALSE)</f>
        <v>P&amp;L</v>
      </c>
      <c r="W1323" s="185" t="s">
        <v>1978</v>
      </c>
      <c r="X1323" s="185"/>
      <c r="Y1323" s="185" t="s">
        <v>1789</v>
      </c>
      <c r="Z1323"/>
    </row>
    <row r="1324" spans="1:26">
      <c r="A1324" s="185" t="s">
        <v>2725</v>
      </c>
      <c r="B1324" s="185" t="s">
        <v>2726</v>
      </c>
      <c r="C1324" s="185" t="s">
        <v>1897</v>
      </c>
      <c r="D1324" s="185" t="s">
        <v>2727</v>
      </c>
      <c r="E1324" s="185">
        <v>510527</v>
      </c>
      <c r="F1324" s="185" t="s">
        <v>1089</v>
      </c>
      <c r="G1324" s="185" t="s">
        <v>2728</v>
      </c>
      <c r="H1324" s="185" t="s">
        <v>1515</v>
      </c>
      <c r="I1324" s="258" t="str">
        <f t="shared" si="61"/>
        <v>5</v>
      </c>
      <c r="J1324" s="221">
        <f t="shared" si="62"/>
        <v>140606</v>
      </c>
      <c r="K1324" s="258">
        <f t="shared" si="63"/>
        <v>5</v>
      </c>
      <c r="L1324" s="188">
        <v>140606</v>
      </c>
      <c r="M1324" s="188">
        <v>0</v>
      </c>
      <c r="N1324" s="189">
        <v>1000018061</v>
      </c>
      <c r="O1324" t="s">
        <v>2726</v>
      </c>
      <c r="P1324" s="187">
        <v>45072</v>
      </c>
      <c r="Q1324" s="186">
        <v>11396</v>
      </c>
      <c r="R1324" s="185"/>
      <c r="S1324" s="185" t="s">
        <v>1522</v>
      </c>
      <c r="T1324" t="s">
        <v>2729</v>
      </c>
      <c r="U1324" t="str">
        <f>IF($L1324&gt;0,VLOOKUP($E1324,Valida!$A$1:$G$270,6,FALSE),IF($M1324&gt;=0,VLOOKUP($E1324,Valida!$A$1:$G$270,7,FALSE)))</f>
        <v>(+/-) Ganancia (pérdida)</v>
      </c>
      <c r="V1324" s="190" t="str">
        <f>VLOOKUP(E1324,Valida!$A$2:$K$271,4,FALSE)</f>
        <v>P&amp;L</v>
      </c>
      <c r="W1324" s="185" t="s">
        <v>1978</v>
      </c>
      <c r="X1324" s="185"/>
      <c r="Y1324" s="185" t="s">
        <v>1789</v>
      </c>
      <c r="Z1324"/>
    </row>
    <row r="1325" spans="1:26">
      <c r="A1325" s="185" t="s">
        <v>2725</v>
      </c>
      <c r="B1325" s="185" t="s">
        <v>2726</v>
      </c>
      <c r="C1325" s="185" t="s">
        <v>1897</v>
      </c>
      <c r="D1325" s="185" t="s">
        <v>2727</v>
      </c>
      <c r="E1325" s="185">
        <v>237005</v>
      </c>
      <c r="F1325" s="185" t="s">
        <v>676</v>
      </c>
      <c r="G1325" s="185" t="s">
        <v>2728</v>
      </c>
      <c r="H1325" s="185" t="s">
        <v>1628</v>
      </c>
      <c r="I1325" s="258" t="str">
        <f t="shared" si="61"/>
        <v>2</v>
      </c>
      <c r="J1325" s="221">
        <f t="shared" si="62"/>
        <v>-51040</v>
      </c>
      <c r="K1325" s="258">
        <f t="shared" si="63"/>
        <v>5</v>
      </c>
      <c r="L1325" s="188">
        <v>0</v>
      </c>
      <c r="M1325" s="188">
        <v>51040</v>
      </c>
      <c r="N1325" s="189">
        <v>830003564</v>
      </c>
      <c r="O1325" t="s">
        <v>2726</v>
      </c>
      <c r="P1325" s="187">
        <v>45072</v>
      </c>
      <c r="Q1325" s="186">
        <v>11397</v>
      </c>
      <c r="R1325" s="185" t="s">
        <v>1814</v>
      </c>
      <c r="S1325" s="185" t="s">
        <v>1652</v>
      </c>
      <c r="T1325" t="s">
        <v>2729</v>
      </c>
      <c r="U1325" t="str">
        <f>IF($L1325&gt;0,VLOOKUP($E1325,Valida!$A$1:$G$270,6,FALSE),IF($M1325&gt;=0,VLOOKUP($E1325,Valida!$A$1:$G$270,7,FALSE)))</f>
        <v>(+/-) Ajustes por el incremento (disminución) de cuentas por pagar de origen comercial</v>
      </c>
      <c r="V1325" s="190" t="str">
        <f>VLOOKUP(E1325,Valida!$A$2:$K$271,4,FALSE)</f>
        <v>Trade and other payables</v>
      </c>
      <c r="W1325" s="185" t="s">
        <v>1973</v>
      </c>
      <c r="X1325" s="185" t="s">
        <v>1974</v>
      </c>
      <c r="Y1325" s="185" t="s">
        <v>1789</v>
      </c>
      <c r="Z1325"/>
    </row>
    <row r="1326" spans="1:26">
      <c r="A1326" s="185" t="s">
        <v>2725</v>
      </c>
      <c r="B1326" s="185" t="s">
        <v>2726</v>
      </c>
      <c r="C1326" s="185" t="s">
        <v>1897</v>
      </c>
      <c r="D1326" s="185" t="s">
        <v>2727</v>
      </c>
      <c r="E1326" s="185">
        <v>238030</v>
      </c>
      <c r="F1326" s="185" t="s">
        <v>721</v>
      </c>
      <c r="G1326" s="185" t="s">
        <v>2728</v>
      </c>
      <c r="H1326" s="185" t="s">
        <v>1628</v>
      </c>
      <c r="I1326" s="258" t="str">
        <f t="shared" si="61"/>
        <v>2</v>
      </c>
      <c r="J1326" s="221">
        <f t="shared" si="62"/>
        <v>-51040</v>
      </c>
      <c r="K1326" s="258">
        <f t="shared" si="63"/>
        <v>5</v>
      </c>
      <c r="L1326" s="188">
        <v>0</v>
      </c>
      <c r="M1326" s="188">
        <v>51040</v>
      </c>
      <c r="N1326" s="189">
        <v>800227940</v>
      </c>
      <c r="O1326" t="s">
        <v>2726</v>
      </c>
      <c r="P1326" s="187">
        <v>45072</v>
      </c>
      <c r="Q1326" s="186">
        <v>11398</v>
      </c>
      <c r="R1326" s="185"/>
      <c r="S1326" s="185" t="s">
        <v>1664</v>
      </c>
      <c r="T1326" t="s">
        <v>2729</v>
      </c>
      <c r="U1326" t="str">
        <f>IF($L1326&gt;0,VLOOKUP($E1326,Valida!$A$1:$G$270,6,FALSE),IF($M1326&gt;=0,VLOOKUP($E1326,Valida!$A$1:$G$270,7,FALSE)))</f>
        <v>(+/-) Ajustes por el incremento (disminución) de cuentas por pagar de origen comercial</v>
      </c>
      <c r="V1326" s="190" t="str">
        <f>VLOOKUP(E1326,Valida!$A$2:$K$271,4,FALSE)</f>
        <v>Trade and other payables</v>
      </c>
      <c r="W1326" s="185"/>
      <c r="X1326" s="185"/>
      <c r="Y1326" s="185"/>
      <c r="Z1326"/>
    </row>
    <row r="1327" spans="1:26">
      <c r="A1327" s="185" t="s">
        <v>2725</v>
      </c>
      <c r="B1327" s="185" t="s">
        <v>2726</v>
      </c>
      <c r="C1327" s="185" t="s">
        <v>1897</v>
      </c>
      <c r="D1327" s="185" t="s">
        <v>2727</v>
      </c>
      <c r="E1327" s="185">
        <v>510506</v>
      </c>
      <c r="F1327" s="185" t="s">
        <v>1076</v>
      </c>
      <c r="G1327" s="185" t="s">
        <v>2728</v>
      </c>
      <c r="H1327" s="185" t="s">
        <v>1628</v>
      </c>
      <c r="I1327" s="258" t="str">
        <f t="shared" si="61"/>
        <v>5</v>
      </c>
      <c r="J1327" s="221">
        <f t="shared" si="62"/>
        <v>-79750</v>
      </c>
      <c r="K1327" s="258">
        <f t="shared" si="63"/>
        <v>5</v>
      </c>
      <c r="L1327" s="188">
        <v>0</v>
      </c>
      <c r="M1327" s="188">
        <v>79750</v>
      </c>
      <c r="N1327" s="189">
        <v>1000018061</v>
      </c>
      <c r="O1327" t="s">
        <v>2726</v>
      </c>
      <c r="P1327" s="187">
        <v>45072</v>
      </c>
      <c r="Q1327" s="186">
        <v>11399</v>
      </c>
      <c r="R1327" s="185"/>
      <c r="S1327" s="185" t="s">
        <v>1522</v>
      </c>
      <c r="T1327" t="s">
        <v>2729</v>
      </c>
      <c r="U1327" t="str">
        <f>IF($L1327&gt;0,VLOOKUP($E1327,Valida!$A$1:$G$270,6,FALSE),IF($M1327&gt;=0,VLOOKUP($E1327,Valida!$A$1:$G$270,7,FALSE)))</f>
        <v>(+/-) Ganancia (pérdida)</v>
      </c>
      <c r="V1327" s="190" t="str">
        <f>VLOOKUP(E1327,Valida!$A$2:$K$271,4,FALSE)</f>
        <v>P&amp;L</v>
      </c>
      <c r="W1327" s="185" t="s">
        <v>1978</v>
      </c>
      <c r="X1327" s="185"/>
      <c r="Y1327" s="185" t="s">
        <v>1789</v>
      </c>
      <c r="Z1327"/>
    </row>
    <row r="1328" spans="1:26">
      <c r="A1328" s="185" t="s">
        <v>2725</v>
      </c>
      <c r="B1328" s="185" t="s">
        <v>2726</v>
      </c>
      <c r="C1328" s="185" t="s">
        <v>1897</v>
      </c>
      <c r="D1328" s="185" t="s">
        <v>2727</v>
      </c>
      <c r="E1328" s="185">
        <v>510506</v>
      </c>
      <c r="F1328" s="185" t="s">
        <v>1076</v>
      </c>
      <c r="G1328" s="185" t="s">
        <v>2728</v>
      </c>
      <c r="H1328" s="185" t="s">
        <v>1515</v>
      </c>
      <c r="I1328" s="258" t="str">
        <f t="shared" si="61"/>
        <v>5</v>
      </c>
      <c r="J1328" s="221">
        <f t="shared" si="62"/>
        <v>1500000</v>
      </c>
      <c r="K1328" s="258">
        <f t="shared" si="63"/>
        <v>5</v>
      </c>
      <c r="L1328" s="188">
        <v>1500000</v>
      </c>
      <c r="M1328" s="188">
        <v>0</v>
      </c>
      <c r="N1328" s="189">
        <v>1000036375</v>
      </c>
      <c r="O1328" t="s">
        <v>2726</v>
      </c>
      <c r="P1328" s="187">
        <v>45072</v>
      </c>
      <c r="Q1328" s="186">
        <v>11400</v>
      </c>
      <c r="R1328" s="185"/>
      <c r="S1328" s="185" t="s">
        <v>1524</v>
      </c>
      <c r="T1328" t="s">
        <v>2729</v>
      </c>
      <c r="U1328" t="str">
        <f>IF($L1328&gt;0,VLOOKUP($E1328,Valida!$A$1:$G$270,6,FALSE),IF($M1328&gt;=0,VLOOKUP($E1328,Valida!$A$1:$G$270,7,FALSE)))</f>
        <v>(+/-) Ganancia (pérdida)</v>
      </c>
      <c r="V1328" s="190" t="str">
        <f>VLOOKUP(E1328,Valida!$A$2:$K$271,4,FALSE)</f>
        <v>P&amp;L</v>
      </c>
      <c r="W1328" s="185" t="s">
        <v>1983</v>
      </c>
      <c r="X1328" s="185"/>
      <c r="Y1328" s="185" t="s">
        <v>1789</v>
      </c>
      <c r="Z1328"/>
    </row>
    <row r="1329" spans="1:26">
      <c r="A1329" s="185" t="s">
        <v>2725</v>
      </c>
      <c r="B1329" s="185" t="s">
        <v>2726</v>
      </c>
      <c r="C1329" s="185" t="s">
        <v>1897</v>
      </c>
      <c r="D1329" s="185" t="s">
        <v>2727</v>
      </c>
      <c r="E1329" s="185">
        <v>51054801</v>
      </c>
      <c r="F1329" s="185" t="s">
        <v>1726</v>
      </c>
      <c r="G1329" s="185" t="s">
        <v>2728</v>
      </c>
      <c r="H1329" s="185" t="s">
        <v>1515</v>
      </c>
      <c r="I1329" s="258" t="str">
        <f t="shared" si="61"/>
        <v>5</v>
      </c>
      <c r="J1329" s="221">
        <f t="shared" si="62"/>
        <v>100000</v>
      </c>
      <c r="K1329" s="258">
        <f t="shared" si="63"/>
        <v>5</v>
      </c>
      <c r="L1329" s="188">
        <v>100000</v>
      </c>
      <c r="M1329" s="188">
        <v>0</v>
      </c>
      <c r="N1329" s="189">
        <v>1000036375</v>
      </c>
      <c r="O1329" t="s">
        <v>2726</v>
      </c>
      <c r="P1329" s="187">
        <v>45072</v>
      </c>
      <c r="Q1329" s="186">
        <v>11401</v>
      </c>
      <c r="R1329" s="185"/>
      <c r="S1329" s="185" t="s">
        <v>1524</v>
      </c>
      <c r="T1329" t="s">
        <v>2729</v>
      </c>
      <c r="U1329" t="str">
        <f>IF($L1329&gt;0,VLOOKUP($E1329,Valida!$A$1:$G$270,6,FALSE),IF($M1329&gt;=0,VLOOKUP($E1329,Valida!$A$1:$G$270,7,FALSE)))</f>
        <v>(+/-) Ganancia (pérdida)</v>
      </c>
      <c r="V1329" s="190" t="str">
        <f>VLOOKUP(E1329,Valida!$A$2:$K$271,4,FALSE)</f>
        <v>P&amp;L</v>
      </c>
      <c r="W1329" s="185" t="s">
        <v>1983</v>
      </c>
      <c r="X1329" s="185"/>
      <c r="Y1329" s="185" t="s">
        <v>1789</v>
      </c>
      <c r="Z1329"/>
    </row>
    <row r="1330" spans="1:26">
      <c r="A1330" s="185" t="s">
        <v>2725</v>
      </c>
      <c r="B1330" s="185" t="s">
        <v>2726</v>
      </c>
      <c r="C1330" s="185" t="s">
        <v>1897</v>
      </c>
      <c r="D1330" s="185" t="s">
        <v>2727</v>
      </c>
      <c r="E1330" s="185">
        <v>510527</v>
      </c>
      <c r="F1330" s="185" t="s">
        <v>1089</v>
      </c>
      <c r="G1330" s="185" t="s">
        <v>2728</v>
      </c>
      <c r="H1330" s="185" t="s">
        <v>1515</v>
      </c>
      <c r="I1330" s="258" t="str">
        <f t="shared" si="61"/>
        <v>5</v>
      </c>
      <c r="J1330" s="221">
        <f t="shared" si="62"/>
        <v>140606</v>
      </c>
      <c r="K1330" s="258">
        <f t="shared" si="63"/>
        <v>5</v>
      </c>
      <c r="L1330" s="188">
        <v>140606</v>
      </c>
      <c r="M1330" s="188">
        <v>0</v>
      </c>
      <c r="N1330" s="189">
        <v>1000036375</v>
      </c>
      <c r="O1330" t="s">
        <v>2726</v>
      </c>
      <c r="P1330" s="187">
        <v>45072</v>
      </c>
      <c r="Q1330" s="186">
        <v>11402</v>
      </c>
      <c r="R1330" s="185"/>
      <c r="S1330" s="185" t="s">
        <v>1524</v>
      </c>
      <c r="T1330" t="s">
        <v>2729</v>
      </c>
      <c r="U1330" t="str">
        <f>IF($L1330&gt;0,VLOOKUP($E1330,Valida!$A$1:$G$270,6,FALSE),IF($M1330&gt;=0,VLOOKUP($E1330,Valida!$A$1:$G$270,7,FALSE)))</f>
        <v>(+/-) Ganancia (pérdida)</v>
      </c>
      <c r="V1330" s="190" t="str">
        <f>VLOOKUP(E1330,Valida!$A$2:$K$271,4,FALSE)</f>
        <v>P&amp;L</v>
      </c>
      <c r="W1330" s="185" t="s">
        <v>1983</v>
      </c>
      <c r="X1330" s="185"/>
      <c r="Y1330" s="185" t="s">
        <v>1789</v>
      </c>
      <c r="Z1330"/>
    </row>
    <row r="1331" spans="1:26">
      <c r="A1331" s="185" t="s">
        <v>2725</v>
      </c>
      <c r="B1331" s="185" t="s">
        <v>2726</v>
      </c>
      <c r="C1331" s="185" t="s">
        <v>1897</v>
      </c>
      <c r="D1331" s="185" t="s">
        <v>2727</v>
      </c>
      <c r="E1331" s="185">
        <v>510515</v>
      </c>
      <c r="F1331" s="185" t="s">
        <v>1080</v>
      </c>
      <c r="G1331" s="185" t="s">
        <v>2728</v>
      </c>
      <c r="H1331" s="185" t="s">
        <v>1515</v>
      </c>
      <c r="I1331" s="258" t="str">
        <f t="shared" si="61"/>
        <v>5</v>
      </c>
      <c r="J1331" s="221">
        <f t="shared" si="62"/>
        <v>445312</v>
      </c>
      <c r="K1331" s="258">
        <f t="shared" si="63"/>
        <v>5</v>
      </c>
      <c r="L1331" s="188">
        <v>445312</v>
      </c>
      <c r="M1331" s="188">
        <v>0</v>
      </c>
      <c r="N1331" s="189">
        <v>1000036375</v>
      </c>
      <c r="O1331" t="s">
        <v>2726</v>
      </c>
      <c r="P1331" s="187">
        <v>45072</v>
      </c>
      <c r="Q1331" s="186">
        <v>11403</v>
      </c>
      <c r="R1331" s="185"/>
      <c r="S1331" s="185" t="s">
        <v>1524</v>
      </c>
      <c r="T1331" t="s">
        <v>2729</v>
      </c>
      <c r="U1331" t="str">
        <f>IF($L1331&gt;0,VLOOKUP($E1331,Valida!$A$1:$G$270,6,FALSE),IF($M1331&gt;=0,VLOOKUP($E1331,Valida!$A$1:$G$270,7,FALSE)))</f>
        <v>(+/-) Ganancia (pérdida)</v>
      </c>
      <c r="V1331" s="190" t="str">
        <f>VLOOKUP(E1331,Valida!$A$2:$K$271,4,FALSE)</f>
        <v>P&amp;L</v>
      </c>
      <c r="W1331" s="185" t="s">
        <v>1983</v>
      </c>
      <c r="X1331" s="185"/>
      <c r="Y1331" s="185" t="s">
        <v>1789</v>
      </c>
      <c r="Z1331"/>
    </row>
    <row r="1332" spans="1:26">
      <c r="A1332" s="185" t="s">
        <v>2725</v>
      </c>
      <c r="B1332" s="185" t="s">
        <v>2726</v>
      </c>
      <c r="C1332" s="185" t="s">
        <v>1897</v>
      </c>
      <c r="D1332" s="185" t="s">
        <v>2727</v>
      </c>
      <c r="E1332" s="185">
        <v>510515</v>
      </c>
      <c r="F1332" s="185" t="s">
        <v>1080</v>
      </c>
      <c r="G1332" s="185" t="s">
        <v>2728</v>
      </c>
      <c r="H1332" s="185" t="s">
        <v>1515</v>
      </c>
      <c r="I1332" s="258" t="str">
        <f t="shared" si="61"/>
        <v>5</v>
      </c>
      <c r="J1332" s="221">
        <f t="shared" si="62"/>
        <v>210938</v>
      </c>
      <c r="K1332" s="258">
        <f t="shared" si="63"/>
        <v>5</v>
      </c>
      <c r="L1332" s="188">
        <v>210938</v>
      </c>
      <c r="M1332" s="188">
        <v>0</v>
      </c>
      <c r="N1332" s="189">
        <v>1000036375</v>
      </c>
      <c r="O1332" t="s">
        <v>2726</v>
      </c>
      <c r="P1332" s="187">
        <v>45072</v>
      </c>
      <c r="Q1332" s="186">
        <v>11404</v>
      </c>
      <c r="R1332" s="185"/>
      <c r="S1332" s="185" t="s">
        <v>1524</v>
      </c>
      <c r="T1332" t="s">
        <v>2729</v>
      </c>
      <c r="U1332" t="str">
        <f>IF($L1332&gt;0,VLOOKUP($E1332,Valida!$A$1:$G$270,6,FALSE),IF($M1332&gt;=0,VLOOKUP($E1332,Valida!$A$1:$G$270,7,FALSE)))</f>
        <v>(+/-) Ganancia (pérdida)</v>
      </c>
      <c r="V1332" s="190" t="str">
        <f>VLOOKUP(E1332,Valida!$A$2:$K$271,4,FALSE)</f>
        <v>P&amp;L</v>
      </c>
      <c r="W1332" s="185" t="s">
        <v>1983</v>
      </c>
      <c r="X1332" s="185"/>
      <c r="Y1332" s="185" t="s">
        <v>1789</v>
      </c>
      <c r="Z1332"/>
    </row>
    <row r="1333" spans="1:26">
      <c r="A1333" s="185" t="s">
        <v>2725</v>
      </c>
      <c r="B1333" s="185" t="s">
        <v>2726</v>
      </c>
      <c r="C1333" s="185" t="s">
        <v>1897</v>
      </c>
      <c r="D1333" s="185" t="s">
        <v>2727</v>
      </c>
      <c r="E1333" s="185">
        <v>237005</v>
      </c>
      <c r="F1333" s="185" t="s">
        <v>676</v>
      </c>
      <c r="G1333" s="185" t="s">
        <v>2728</v>
      </c>
      <c r="H1333" s="185" t="s">
        <v>1628</v>
      </c>
      <c r="I1333" s="258" t="str">
        <f t="shared" si="61"/>
        <v>2</v>
      </c>
      <c r="J1333" s="221">
        <f t="shared" si="62"/>
        <v>-86250</v>
      </c>
      <c r="K1333" s="258">
        <f t="shared" si="63"/>
        <v>5</v>
      </c>
      <c r="L1333" s="188">
        <v>0</v>
      </c>
      <c r="M1333" s="188">
        <v>86250</v>
      </c>
      <c r="N1333" s="189">
        <v>900156264</v>
      </c>
      <c r="O1333" t="s">
        <v>2726</v>
      </c>
      <c r="P1333" s="187">
        <v>45072</v>
      </c>
      <c r="Q1333" s="186">
        <v>11405</v>
      </c>
      <c r="R1333" s="185" t="s">
        <v>433</v>
      </c>
      <c r="S1333" s="185" t="s">
        <v>1654</v>
      </c>
      <c r="T1333" t="s">
        <v>2729</v>
      </c>
      <c r="U1333" t="str">
        <f>IF($L1333&gt;0,VLOOKUP($E1333,Valida!$A$1:$G$270,6,FALSE),IF($M1333&gt;=0,VLOOKUP($E1333,Valida!$A$1:$G$270,7,FALSE)))</f>
        <v>(+/-) Ajustes por el incremento (disminución) de cuentas por pagar de origen comercial</v>
      </c>
      <c r="V1333" s="190" t="str">
        <f>VLOOKUP(E1333,Valida!$A$2:$K$271,4,FALSE)</f>
        <v>Trade and other payables</v>
      </c>
      <c r="W1333" s="185" t="s">
        <v>1926</v>
      </c>
      <c r="X1333" s="185" t="s">
        <v>1927</v>
      </c>
      <c r="Y1333" s="185" t="s">
        <v>1789</v>
      </c>
      <c r="Z1333"/>
    </row>
    <row r="1334" spans="1:26">
      <c r="A1334" s="185" t="s">
        <v>2725</v>
      </c>
      <c r="B1334" s="185" t="s">
        <v>2726</v>
      </c>
      <c r="C1334" s="185" t="s">
        <v>1897</v>
      </c>
      <c r="D1334" s="185" t="s">
        <v>2727</v>
      </c>
      <c r="E1334" s="185">
        <v>238030</v>
      </c>
      <c r="F1334" s="185" t="s">
        <v>721</v>
      </c>
      <c r="G1334" s="185" t="s">
        <v>2728</v>
      </c>
      <c r="H1334" s="185" t="s">
        <v>1628</v>
      </c>
      <c r="I1334" s="258" t="str">
        <f t="shared" si="61"/>
        <v>2</v>
      </c>
      <c r="J1334" s="221">
        <f t="shared" si="62"/>
        <v>-86250</v>
      </c>
      <c r="K1334" s="258">
        <f t="shared" si="63"/>
        <v>5</v>
      </c>
      <c r="L1334" s="188">
        <v>0</v>
      </c>
      <c r="M1334" s="188">
        <v>86250</v>
      </c>
      <c r="N1334" s="189">
        <v>800224808</v>
      </c>
      <c r="O1334" t="s">
        <v>2726</v>
      </c>
      <c r="P1334" s="187">
        <v>45072</v>
      </c>
      <c r="Q1334" s="186">
        <v>11406</v>
      </c>
      <c r="R1334" s="185" t="s">
        <v>1827</v>
      </c>
      <c r="S1334" s="185" t="s">
        <v>1662</v>
      </c>
      <c r="T1334" t="s">
        <v>2729</v>
      </c>
      <c r="U1334" t="str">
        <f>IF($L1334&gt;0,VLOOKUP($E1334,Valida!$A$1:$G$270,6,FALSE),IF($M1334&gt;=0,VLOOKUP($E1334,Valida!$A$1:$G$270,7,FALSE)))</f>
        <v>(+/-) Ajustes por el incremento (disminución) de cuentas por pagar de origen comercial</v>
      </c>
      <c r="V1334" s="190" t="str">
        <f>VLOOKUP(E1334,Valida!$A$2:$K$271,4,FALSE)</f>
        <v>Trade and other payables</v>
      </c>
      <c r="W1334" s="185" t="s">
        <v>1911</v>
      </c>
      <c r="X1334" s="185"/>
      <c r="Y1334" s="185" t="s">
        <v>1789</v>
      </c>
      <c r="Z1334"/>
    </row>
    <row r="1335" spans="1:26">
      <c r="A1335" s="185" t="s">
        <v>2725</v>
      </c>
      <c r="B1335" s="185" t="s">
        <v>2726</v>
      </c>
      <c r="C1335" s="185" t="s">
        <v>1897</v>
      </c>
      <c r="D1335" s="185" t="s">
        <v>2727</v>
      </c>
      <c r="E1335" s="185">
        <v>510506</v>
      </c>
      <c r="F1335" s="185" t="s">
        <v>1076</v>
      </c>
      <c r="G1335" s="185" t="s">
        <v>2728</v>
      </c>
      <c r="H1335" s="185" t="s">
        <v>1515</v>
      </c>
      <c r="I1335" s="258" t="str">
        <f t="shared" si="61"/>
        <v>5</v>
      </c>
      <c r="J1335" s="221">
        <f t="shared" si="62"/>
        <v>1613333</v>
      </c>
      <c r="K1335" s="258">
        <f t="shared" si="63"/>
        <v>5</v>
      </c>
      <c r="L1335" s="188">
        <v>1613333</v>
      </c>
      <c r="M1335" s="188">
        <v>0</v>
      </c>
      <c r="N1335" s="189">
        <v>1100623759</v>
      </c>
      <c r="O1335" t="s">
        <v>2726</v>
      </c>
      <c r="P1335" s="187">
        <v>45072</v>
      </c>
      <c r="Q1335" s="186">
        <v>11407</v>
      </c>
      <c r="R1335" s="185"/>
      <c r="S1335" s="185" t="s">
        <v>1536</v>
      </c>
      <c r="T1335" t="s">
        <v>2729</v>
      </c>
      <c r="U1335" t="str">
        <f>IF($L1335&gt;0,VLOOKUP($E1335,Valida!$A$1:$G$270,6,FALSE),IF($M1335&gt;=0,VLOOKUP($E1335,Valida!$A$1:$G$270,7,FALSE)))</f>
        <v>(+/-) Ganancia (pérdida)</v>
      </c>
      <c r="V1335" s="190" t="str">
        <f>VLOOKUP(E1335,Valida!$A$2:$K$271,4,FALSE)</f>
        <v>P&amp;L</v>
      </c>
      <c r="W1335" s="185" t="s">
        <v>2730</v>
      </c>
      <c r="X1335" s="185"/>
      <c r="Y1335" s="185" t="s">
        <v>1789</v>
      </c>
      <c r="Z1335"/>
    </row>
    <row r="1336" spans="1:26">
      <c r="A1336" s="185" t="s">
        <v>2725</v>
      </c>
      <c r="B1336" s="185" t="s">
        <v>2726</v>
      </c>
      <c r="C1336" s="185" t="s">
        <v>1897</v>
      </c>
      <c r="D1336" s="185" t="s">
        <v>2727</v>
      </c>
      <c r="E1336" s="185">
        <v>510527</v>
      </c>
      <c r="F1336" s="185" t="s">
        <v>1089</v>
      </c>
      <c r="G1336" s="185" t="s">
        <v>2728</v>
      </c>
      <c r="H1336" s="185" t="s">
        <v>1515</v>
      </c>
      <c r="I1336" s="258" t="str">
        <f t="shared" si="61"/>
        <v>5</v>
      </c>
      <c r="J1336" s="221">
        <f t="shared" si="62"/>
        <v>103111</v>
      </c>
      <c r="K1336" s="258">
        <f t="shared" si="63"/>
        <v>5</v>
      </c>
      <c r="L1336" s="188">
        <v>103111</v>
      </c>
      <c r="M1336" s="188">
        <v>0</v>
      </c>
      <c r="N1336" s="189">
        <v>1100623759</v>
      </c>
      <c r="O1336" t="s">
        <v>2726</v>
      </c>
      <c r="P1336" s="187">
        <v>45072</v>
      </c>
      <c r="Q1336" s="186">
        <v>11408</v>
      </c>
      <c r="R1336" s="185"/>
      <c r="S1336" s="185" t="s">
        <v>1536</v>
      </c>
      <c r="T1336" t="s">
        <v>2729</v>
      </c>
      <c r="U1336" t="str">
        <f>IF($L1336&gt;0,VLOOKUP($E1336,Valida!$A$1:$G$270,6,FALSE),IF($M1336&gt;=0,VLOOKUP($E1336,Valida!$A$1:$G$270,7,FALSE)))</f>
        <v>(+/-) Ganancia (pérdida)</v>
      </c>
      <c r="V1336" s="190" t="str">
        <f>VLOOKUP(E1336,Valida!$A$2:$K$271,4,FALSE)</f>
        <v>P&amp;L</v>
      </c>
      <c r="W1336" s="185" t="s">
        <v>2730</v>
      </c>
      <c r="X1336" s="185"/>
      <c r="Y1336" s="185" t="s">
        <v>1789</v>
      </c>
      <c r="Z1336"/>
    </row>
    <row r="1337" spans="1:26">
      <c r="A1337" s="185" t="s">
        <v>2725</v>
      </c>
      <c r="B1337" s="185" t="s">
        <v>2726</v>
      </c>
      <c r="C1337" s="185" t="s">
        <v>1897</v>
      </c>
      <c r="D1337" s="185" t="s">
        <v>2727</v>
      </c>
      <c r="E1337" s="185">
        <v>237005</v>
      </c>
      <c r="F1337" s="185" t="s">
        <v>676</v>
      </c>
      <c r="G1337" s="185" t="s">
        <v>2728</v>
      </c>
      <c r="H1337" s="185" t="s">
        <v>1628</v>
      </c>
      <c r="I1337" s="258" t="str">
        <f t="shared" si="61"/>
        <v>2</v>
      </c>
      <c r="J1337" s="221">
        <f t="shared" si="62"/>
        <v>-64533</v>
      </c>
      <c r="K1337" s="258">
        <f t="shared" si="63"/>
        <v>5</v>
      </c>
      <c r="L1337" s="188">
        <v>0</v>
      </c>
      <c r="M1337" s="188">
        <v>64533</v>
      </c>
      <c r="N1337" s="189">
        <v>800251440</v>
      </c>
      <c r="O1337" t="s">
        <v>2726</v>
      </c>
      <c r="P1337" s="187">
        <v>45072</v>
      </c>
      <c r="Q1337" s="186">
        <v>11409</v>
      </c>
      <c r="R1337" s="185" t="s">
        <v>1901</v>
      </c>
      <c r="S1337" s="185" t="s">
        <v>1560</v>
      </c>
      <c r="T1337" t="s">
        <v>2729</v>
      </c>
      <c r="U1337" t="str">
        <f>IF($L1337&gt;0,VLOOKUP($E1337,Valida!$A$1:$G$270,6,FALSE),IF($M1337&gt;=0,VLOOKUP($E1337,Valida!$A$1:$G$270,7,FALSE)))</f>
        <v>(+/-) Ajustes por el incremento (disminución) de cuentas por pagar de origen comercial</v>
      </c>
      <c r="V1337" s="190" t="str">
        <f>VLOOKUP(E1337,Valida!$A$2:$K$271,4,FALSE)</f>
        <v>Trade and other payables</v>
      </c>
      <c r="W1337" s="185" t="s">
        <v>1902</v>
      </c>
      <c r="X1337" s="185" t="s">
        <v>1903</v>
      </c>
      <c r="Y1337" s="185" t="s">
        <v>1789</v>
      </c>
      <c r="Z1337"/>
    </row>
    <row r="1338" spans="1:26">
      <c r="A1338" s="185" t="s">
        <v>2725</v>
      </c>
      <c r="B1338" s="185" t="s">
        <v>2726</v>
      </c>
      <c r="C1338" s="185" t="s">
        <v>1897</v>
      </c>
      <c r="D1338" s="185" t="s">
        <v>2727</v>
      </c>
      <c r="E1338" s="185">
        <v>238030</v>
      </c>
      <c r="F1338" s="185" t="s">
        <v>721</v>
      </c>
      <c r="G1338" s="185" t="s">
        <v>2728</v>
      </c>
      <c r="H1338" s="185" t="s">
        <v>1628</v>
      </c>
      <c r="I1338" s="258" t="str">
        <f t="shared" si="61"/>
        <v>2</v>
      </c>
      <c r="J1338" s="221">
        <f t="shared" si="62"/>
        <v>-64533</v>
      </c>
      <c r="K1338" s="258">
        <f t="shared" si="63"/>
        <v>5</v>
      </c>
      <c r="L1338" s="188">
        <v>0</v>
      </c>
      <c r="M1338" s="188">
        <v>64533</v>
      </c>
      <c r="N1338" s="189">
        <v>800224808</v>
      </c>
      <c r="O1338" t="s">
        <v>2726</v>
      </c>
      <c r="P1338" s="187">
        <v>45072</v>
      </c>
      <c r="Q1338" s="186">
        <v>11410</v>
      </c>
      <c r="R1338" s="185" t="s">
        <v>1827</v>
      </c>
      <c r="S1338" s="185" t="s">
        <v>1662</v>
      </c>
      <c r="T1338" t="s">
        <v>2729</v>
      </c>
      <c r="U1338" t="str">
        <f>IF($L1338&gt;0,VLOOKUP($E1338,Valida!$A$1:$G$270,6,FALSE),IF($M1338&gt;=0,VLOOKUP($E1338,Valida!$A$1:$G$270,7,FALSE)))</f>
        <v>(+/-) Ajustes por el incremento (disminución) de cuentas por pagar de origen comercial</v>
      </c>
      <c r="V1338" s="190" t="str">
        <f>VLOOKUP(E1338,Valida!$A$2:$K$271,4,FALSE)</f>
        <v>Trade and other payables</v>
      </c>
      <c r="W1338" s="185" t="s">
        <v>1911</v>
      </c>
      <c r="X1338" s="185"/>
      <c r="Y1338" s="185" t="s">
        <v>1789</v>
      </c>
      <c r="Z1338"/>
    </row>
    <row r="1339" spans="1:26">
      <c r="A1339" s="185" t="s">
        <v>2725</v>
      </c>
      <c r="B1339" s="185" t="s">
        <v>2726</v>
      </c>
      <c r="C1339" s="185" t="s">
        <v>1897</v>
      </c>
      <c r="D1339" s="185" t="s">
        <v>2727</v>
      </c>
      <c r="E1339" s="185">
        <v>250505</v>
      </c>
      <c r="F1339" s="185" t="s">
        <v>767</v>
      </c>
      <c r="G1339" s="185" t="s">
        <v>2728</v>
      </c>
      <c r="H1339" s="185" t="s">
        <v>1628</v>
      </c>
      <c r="I1339" s="258" t="str">
        <f t="shared" si="61"/>
        <v>2</v>
      </c>
      <c r="J1339" s="221">
        <f t="shared" si="62"/>
        <v>-1234776</v>
      </c>
      <c r="K1339" s="258">
        <f t="shared" si="63"/>
        <v>5</v>
      </c>
      <c r="L1339" s="188">
        <v>0</v>
      </c>
      <c r="M1339" s="188">
        <v>1234776</v>
      </c>
      <c r="N1339" s="189">
        <v>1000018061</v>
      </c>
      <c r="O1339" t="s">
        <v>2726</v>
      </c>
      <c r="P1339" s="187">
        <v>45072</v>
      </c>
      <c r="Q1339" s="186">
        <v>11411</v>
      </c>
      <c r="R1339" s="185"/>
      <c r="S1339" s="185" t="s">
        <v>1522</v>
      </c>
      <c r="T1339" t="s">
        <v>2729</v>
      </c>
      <c r="U1339" t="str">
        <f>IF($L1339&gt;0,VLOOKUP($E1339,Valida!$A$1:$G$270,6,FALSE),IF($M1339&gt;=0,VLOOKUP($E1339,Valida!$A$1:$G$270,7,FALSE)))</f>
        <v>(+/-) Ajustes por el incremento (disminución) de cuentas por pagar de origen comercial</v>
      </c>
      <c r="V1339" s="190" t="str">
        <f>VLOOKUP(E1339,Valida!$A$2:$K$271,4,FALSE)</f>
        <v>Trade and other payables</v>
      </c>
      <c r="W1339" s="185" t="s">
        <v>1978</v>
      </c>
      <c r="X1339" s="185"/>
      <c r="Y1339" s="185" t="s">
        <v>1789</v>
      </c>
      <c r="Z1339"/>
    </row>
    <row r="1340" spans="1:26">
      <c r="A1340" s="185" t="s">
        <v>2725</v>
      </c>
      <c r="B1340" s="185" t="s">
        <v>2726</v>
      </c>
      <c r="C1340" s="185" t="s">
        <v>1897</v>
      </c>
      <c r="D1340" s="185" t="s">
        <v>2727</v>
      </c>
      <c r="E1340" s="185">
        <v>250505</v>
      </c>
      <c r="F1340" s="185" t="s">
        <v>767</v>
      </c>
      <c r="G1340" s="185" t="s">
        <v>2728</v>
      </c>
      <c r="H1340" s="185" t="s">
        <v>1628</v>
      </c>
      <c r="I1340" s="258" t="str">
        <f t="shared" si="61"/>
        <v>2</v>
      </c>
      <c r="J1340" s="221">
        <f t="shared" si="62"/>
        <v>-2224356</v>
      </c>
      <c r="K1340" s="258">
        <f t="shared" si="63"/>
        <v>5</v>
      </c>
      <c r="L1340" s="188">
        <v>0</v>
      </c>
      <c r="M1340" s="188">
        <v>2224356</v>
      </c>
      <c r="N1340" s="189">
        <v>1000036375</v>
      </c>
      <c r="O1340" t="s">
        <v>2726</v>
      </c>
      <c r="P1340" s="187">
        <v>45072</v>
      </c>
      <c r="Q1340" s="186">
        <v>11412</v>
      </c>
      <c r="R1340" s="185"/>
      <c r="S1340" s="185" t="s">
        <v>1524</v>
      </c>
      <c r="T1340" t="s">
        <v>2729</v>
      </c>
      <c r="U1340" t="str">
        <f>IF($L1340&gt;0,VLOOKUP($E1340,Valida!$A$1:$G$270,6,FALSE),IF($M1340&gt;=0,VLOOKUP($E1340,Valida!$A$1:$G$270,7,FALSE)))</f>
        <v>(+/-) Ajustes por el incremento (disminución) de cuentas por pagar de origen comercial</v>
      </c>
      <c r="V1340" s="190" t="str">
        <f>VLOOKUP(E1340,Valida!$A$2:$K$271,4,FALSE)</f>
        <v>Trade and other payables</v>
      </c>
      <c r="W1340" s="185" t="s">
        <v>1983</v>
      </c>
      <c r="X1340" s="185"/>
      <c r="Y1340" s="185" t="s">
        <v>1789</v>
      </c>
      <c r="Z1340"/>
    </row>
    <row r="1341" spans="1:26">
      <c r="A1341" s="185" t="s">
        <v>2725</v>
      </c>
      <c r="B1341" s="185" t="s">
        <v>2726</v>
      </c>
      <c r="C1341" s="185" t="s">
        <v>1897</v>
      </c>
      <c r="D1341" s="185" t="s">
        <v>2727</v>
      </c>
      <c r="E1341" s="185">
        <v>250505</v>
      </c>
      <c r="F1341" s="185" t="s">
        <v>767</v>
      </c>
      <c r="G1341" s="185" t="s">
        <v>2728</v>
      </c>
      <c r="H1341" s="185" t="s">
        <v>1628</v>
      </c>
      <c r="I1341" s="258" t="str">
        <f t="shared" si="61"/>
        <v>2</v>
      </c>
      <c r="J1341" s="221">
        <f t="shared" si="62"/>
        <v>-1470606</v>
      </c>
      <c r="K1341" s="258">
        <f t="shared" si="63"/>
        <v>5</v>
      </c>
      <c r="L1341" s="188">
        <v>0</v>
      </c>
      <c r="M1341" s="188">
        <v>1470606</v>
      </c>
      <c r="N1341" s="189">
        <v>1010101811</v>
      </c>
      <c r="O1341" t="s">
        <v>2726</v>
      </c>
      <c r="P1341" s="187">
        <v>45072</v>
      </c>
      <c r="Q1341" s="186">
        <v>11413</v>
      </c>
      <c r="R1341" s="185"/>
      <c r="S1341" s="185" t="s">
        <v>1528</v>
      </c>
      <c r="T1341" t="s">
        <v>2729</v>
      </c>
      <c r="U1341" t="str">
        <f>IF($L1341&gt;0,VLOOKUP($E1341,Valida!$A$1:$G$270,6,FALSE),IF($M1341&gt;=0,VLOOKUP($E1341,Valida!$A$1:$G$270,7,FALSE)))</f>
        <v>(+/-) Ajustes por el incremento (disminución) de cuentas por pagar de origen comercial</v>
      </c>
      <c r="V1341" s="190" t="str">
        <f>VLOOKUP(E1341,Valida!$A$2:$K$271,4,FALSE)</f>
        <v>Trade and other payables</v>
      </c>
      <c r="W1341" s="185" t="s">
        <v>1967</v>
      </c>
      <c r="X1341" s="185"/>
      <c r="Y1341" s="185" t="s">
        <v>1789</v>
      </c>
      <c r="Z1341"/>
    </row>
    <row r="1342" spans="1:26">
      <c r="A1342" s="185" t="s">
        <v>2725</v>
      </c>
      <c r="B1342" s="185" t="s">
        <v>2726</v>
      </c>
      <c r="C1342" s="185" t="s">
        <v>1897</v>
      </c>
      <c r="D1342" s="185" t="s">
        <v>2727</v>
      </c>
      <c r="E1342" s="185">
        <v>250505</v>
      </c>
      <c r="F1342" s="185" t="s">
        <v>767</v>
      </c>
      <c r="G1342" s="185" t="s">
        <v>2728</v>
      </c>
      <c r="H1342" s="185" t="s">
        <v>1628</v>
      </c>
      <c r="I1342" s="258" t="str">
        <f t="shared" si="61"/>
        <v>2</v>
      </c>
      <c r="J1342" s="221">
        <f t="shared" si="62"/>
        <v>-1273805</v>
      </c>
      <c r="K1342" s="258">
        <f t="shared" si="63"/>
        <v>5</v>
      </c>
      <c r="L1342" s="188">
        <v>0</v>
      </c>
      <c r="M1342" s="188">
        <v>1273805</v>
      </c>
      <c r="N1342" s="189">
        <v>1020842223</v>
      </c>
      <c r="O1342" t="s">
        <v>2726</v>
      </c>
      <c r="P1342" s="187">
        <v>45072</v>
      </c>
      <c r="Q1342" s="186">
        <v>11414</v>
      </c>
      <c r="R1342" s="185"/>
      <c r="S1342" s="185" t="s">
        <v>1532</v>
      </c>
      <c r="T1342" t="s">
        <v>2729</v>
      </c>
      <c r="U1342" t="str">
        <f>IF($L1342&gt;0,VLOOKUP($E1342,Valida!$A$1:$G$270,6,FALSE),IF($M1342&gt;=0,VLOOKUP($E1342,Valida!$A$1:$G$270,7,FALSE)))</f>
        <v>(+/-) Ajustes por el incremento (disminución) de cuentas por pagar de origen comercial</v>
      </c>
      <c r="V1342" s="190" t="str">
        <f>VLOOKUP(E1342,Valida!$A$2:$K$271,4,FALSE)</f>
        <v>Trade and other payables</v>
      </c>
      <c r="W1342" s="185" t="s">
        <v>1900</v>
      </c>
      <c r="X1342" s="185"/>
      <c r="Y1342" s="185" t="s">
        <v>1789</v>
      </c>
      <c r="Z1342"/>
    </row>
    <row r="1343" spans="1:26">
      <c r="A1343" s="185" t="s">
        <v>2725</v>
      </c>
      <c r="B1343" s="185" t="s">
        <v>2726</v>
      </c>
      <c r="C1343" s="185" t="s">
        <v>1897</v>
      </c>
      <c r="D1343" s="185" t="s">
        <v>2727</v>
      </c>
      <c r="E1343" s="185">
        <v>250505</v>
      </c>
      <c r="F1343" s="185" t="s">
        <v>767</v>
      </c>
      <c r="G1343" s="185" t="s">
        <v>2728</v>
      </c>
      <c r="H1343" s="185" t="s">
        <v>1628</v>
      </c>
      <c r="I1343" s="258" t="str">
        <f t="shared" si="61"/>
        <v>2</v>
      </c>
      <c r="J1343" s="221">
        <f t="shared" si="62"/>
        <v>-1587378</v>
      </c>
      <c r="K1343" s="258">
        <f t="shared" si="63"/>
        <v>5</v>
      </c>
      <c r="L1343" s="188">
        <v>0</v>
      </c>
      <c r="M1343" s="188">
        <v>1587378</v>
      </c>
      <c r="N1343" s="189">
        <v>1100623759</v>
      </c>
      <c r="O1343" t="s">
        <v>2726</v>
      </c>
      <c r="P1343" s="187">
        <v>45072</v>
      </c>
      <c r="Q1343" s="186">
        <v>11415</v>
      </c>
      <c r="R1343" s="185"/>
      <c r="S1343" s="185" t="s">
        <v>1536</v>
      </c>
      <c r="T1343" t="s">
        <v>2729</v>
      </c>
      <c r="U1343" t="str">
        <f>IF($L1343&gt;0,VLOOKUP($E1343,Valida!$A$1:$G$270,6,FALSE),IF($M1343&gt;=0,VLOOKUP($E1343,Valida!$A$1:$G$270,7,FALSE)))</f>
        <v>(+/-) Ajustes por el incremento (disminución) de cuentas por pagar de origen comercial</v>
      </c>
      <c r="V1343" s="190" t="str">
        <f>VLOOKUP(E1343,Valida!$A$2:$K$271,4,FALSE)</f>
        <v>Trade and other payables</v>
      </c>
      <c r="W1343" s="185" t="s">
        <v>2730</v>
      </c>
      <c r="X1343" s="185"/>
      <c r="Y1343" s="185" t="s">
        <v>1789</v>
      </c>
      <c r="Z1343"/>
    </row>
    <row r="1344" spans="1:26">
      <c r="A1344" s="185" t="s">
        <v>2725</v>
      </c>
      <c r="B1344" s="185" t="s">
        <v>2726</v>
      </c>
      <c r="C1344" s="185" t="s">
        <v>1897</v>
      </c>
      <c r="D1344" s="185" t="s">
        <v>2727</v>
      </c>
      <c r="E1344" s="185">
        <v>250505</v>
      </c>
      <c r="F1344" s="185" t="s">
        <v>767</v>
      </c>
      <c r="G1344" s="185" t="s">
        <v>2728</v>
      </c>
      <c r="H1344" s="185" t="s">
        <v>1628</v>
      </c>
      <c r="I1344" s="258" t="str">
        <f t="shared" si="61"/>
        <v>2</v>
      </c>
      <c r="J1344" s="221">
        <f t="shared" si="62"/>
        <v>-1207806</v>
      </c>
      <c r="K1344" s="258">
        <f t="shared" si="63"/>
        <v>5</v>
      </c>
      <c r="L1344" s="188">
        <v>0</v>
      </c>
      <c r="M1344" s="188">
        <v>1207806</v>
      </c>
      <c r="N1344" s="189">
        <v>1130744136</v>
      </c>
      <c r="O1344" t="s">
        <v>2726</v>
      </c>
      <c r="P1344" s="187">
        <v>45072</v>
      </c>
      <c r="Q1344" s="186">
        <v>11416</v>
      </c>
      <c r="R1344" s="185"/>
      <c r="S1344" s="185" t="s">
        <v>1538</v>
      </c>
      <c r="T1344" t="s">
        <v>2729</v>
      </c>
      <c r="U1344" t="str">
        <f>IF($L1344&gt;0,VLOOKUP($E1344,Valida!$A$1:$G$270,6,FALSE),IF($M1344&gt;=0,VLOOKUP($E1344,Valida!$A$1:$G$270,7,FALSE)))</f>
        <v>(+/-) Ajustes por el incremento (disminución) de cuentas por pagar de origen comercial</v>
      </c>
      <c r="V1344" s="190" t="str">
        <f>VLOOKUP(E1344,Valida!$A$2:$K$271,4,FALSE)</f>
        <v>Trade and other payables</v>
      </c>
      <c r="W1344" s="185" t="s">
        <v>1909</v>
      </c>
      <c r="X1344" s="185" t="s">
        <v>1910</v>
      </c>
      <c r="Y1344" s="185" t="s">
        <v>1789</v>
      </c>
      <c r="Z1344"/>
    </row>
    <row r="1345" spans="1:26">
      <c r="A1345" s="185" t="s">
        <v>2725</v>
      </c>
      <c r="B1345" s="185" t="s">
        <v>2731</v>
      </c>
      <c r="C1345" s="185" t="s">
        <v>1897</v>
      </c>
      <c r="D1345" s="185" t="s">
        <v>2732</v>
      </c>
      <c r="E1345" s="185">
        <v>237005</v>
      </c>
      <c r="F1345" s="185" t="s">
        <v>676</v>
      </c>
      <c r="G1345" s="185" t="s">
        <v>2733</v>
      </c>
      <c r="H1345" s="185" t="s">
        <v>1628</v>
      </c>
      <c r="I1345" s="258" t="str">
        <f t="shared" si="61"/>
        <v>2</v>
      </c>
      <c r="J1345" s="221">
        <f t="shared" si="62"/>
        <v>-133</v>
      </c>
      <c r="K1345" s="258">
        <f t="shared" si="63"/>
        <v>5</v>
      </c>
      <c r="L1345" s="188">
        <v>0</v>
      </c>
      <c r="M1345" s="188">
        <v>133</v>
      </c>
      <c r="N1345" s="189">
        <v>800251440</v>
      </c>
      <c r="O1345" t="s">
        <v>2731</v>
      </c>
      <c r="P1345" s="187">
        <v>45072</v>
      </c>
      <c r="Q1345" s="186">
        <v>11417</v>
      </c>
      <c r="R1345" s="185" t="s">
        <v>1901</v>
      </c>
      <c r="S1345" s="185" t="s">
        <v>1560</v>
      </c>
      <c r="T1345" t="s">
        <v>2729</v>
      </c>
      <c r="U1345" t="str">
        <f>IF($L1345&gt;0,VLOOKUP($E1345,Valida!$A$1:$G$270,6,FALSE),IF($M1345&gt;=0,VLOOKUP($E1345,Valida!$A$1:$G$270,7,FALSE)))</f>
        <v>(+/-) Ajustes por el incremento (disminución) de cuentas por pagar de origen comercial</v>
      </c>
      <c r="V1345" s="190" t="str">
        <f>VLOOKUP(E1345,Valida!$A$2:$K$271,4,FALSE)</f>
        <v>Trade and other payables</v>
      </c>
      <c r="W1345" s="185" t="s">
        <v>1902</v>
      </c>
      <c r="X1345" s="185" t="s">
        <v>1903</v>
      </c>
      <c r="Y1345" s="185" t="s">
        <v>1789</v>
      </c>
      <c r="Z1345"/>
    </row>
    <row r="1346" spans="1:26">
      <c r="A1346" s="185" t="s">
        <v>2725</v>
      </c>
      <c r="B1346" s="185" t="s">
        <v>2731</v>
      </c>
      <c r="C1346" s="185" t="s">
        <v>1897</v>
      </c>
      <c r="D1346" s="185" t="s">
        <v>2732</v>
      </c>
      <c r="E1346" s="185">
        <v>237005</v>
      </c>
      <c r="F1346" s="185" t="s">
        <v>676</v>
      </c>
      <c r="G1346" s="185" t="s">
        <v>2733</v>
      </c>
      <c r="H1346" s="185" t="s">
        <v>1628</v>
      </c>
      <c r="I1346" s="258" t="str">
        <f t="shared" si="61"/>
        <v>2</v>
      </c>
      <c r="J1346" s="221">
        <f t="shared" si="62"/>
        <v>-60</v>
      </c>
      <c r="K1346" s="258">
        <f t="shared" si="63"/>
        <v>5</v>
      </c>
      <c r="L1346" s="188">
        <v>0</v>
      </c>
      <c r="M1346" s="188">
        <v>60</v>
      </c>
      <c r="N1346" s="189">
        <v>830003564</v>
      </c>
      <c r="O1346" t="s">
        <v>2731</v>
      </c>
      <c r="P1346" s="187">
        <v>45072</v>
      </c>
      <c r="Q1346" s="186">
        <v>11418</v>
      </c>
      <c r="R1346" s="185" t="s">
        <v>1814</v>
      </c>
      <c r="S1346" s="185" t="s">
        <v>1652</v>
      </c>
      <c r="T1346" t="s">
        <v>2729</v>
      </c>
      <c r="U1346" t="str">
        <f>IF($L1346&gt;0,VLOOKUP($E1346,Valida!$A$1:$G$270,6,FALSE),IF($M1346&gt;=0,VLOOKUP($E1346,Valida!$A$1:$G$270,7,FALSE)))</f>
        <v>(+/-) Ajustes por el incremento (disminución) de cuentas por pagar de origen comercial</v>
      </c>
      <c r="V1346" s="190" t="str">
        <f>VLOOKUP(E1346,Valida!$A$2:$K$271,4,FALSE)</f>
        <v>Trade and other payables</v>
      </c>
      <c r="W1346" s="185" t="s">
        <v>1973</v>
      </c>
      <c r="X1346" s="185" t="s">
        <v>1974</v>
      </c>
      <c r="Y1346" s="185" t="s">
        <v>1789</v>
      </c>
      <c r="Z1346"/>
    </row>
    <row r="1347" spans="1:26">
      <c r="A1347" s="185" t="s">
        <v>2725</v>
      </c>
      <c r="B1347" s="185" t="s">
        <v>2731</v>
      </c>
      <c r="C1347" s="185" t="s">
        <v>1897</v>
      </c>
      <c r="D1347" s="185" t="s">
        <v>2732</v>
      </c>
      <c r="E1347" s="185">
        <v>237005</v>
      </c>
      <c r="F1347" s="185" t="s">
        <v>676</v>
      </c>
      <c r="G1347" s="185" t="s">
        <v>2733</v>
      </c>
      <c r="H1347" s="185" t="s">
        <v>1628</v>
      </c>
      <c r="I1347" s="258" t="str">
        <f t="shared" ref="I1347:I1410" si="64">LEFT(E1347,1)</f>
        <v>2</v>
      </c>
      <c r="J1347" s="221">
        <f t="shared" ref="J1347:J1410" si="65">L1347-M1347</f>
        <v>-50</v>
      </c>
      <c r="K1347" s="258">
        <f t="shared" ref="K1347:K1410" si="66">MONTH(A1347)</f>
        <v>5</v>
      </c>
      <c r="L1347" s="188">
        <v>0</v>
      </c>
      <c r="M1347" s="188">
        <v>50</v>
      </c>
      <c r="N1347" s="189">
        <v>900156264</v>
      </c>
      <c r="O1347" t="s">
        <v>2731</v>
      </c>
      <c r="P1347" s="187">
        <v>45072</v>
      </c>
      <c r="Q1347" s="186">
        <v>11419</v>
      </c>
      <c r="R1347" s="185" t="s">
        <v>433</v>
      </c>
      <c r="S1347" s="185" t="s">
        <v>1654</v>
      </c>
      <c r="T1347" t="s">
        <v>2729</v>
      </c>
      <c r="U1347" t="str">
        <f>IF($L1347&gt;0,VLOOKUP($E1347,Valida!$A$1:$G$270,6,FALSE),IF($M1347&gt;=0,VLOOKUP($E1347,Valida!$A$1:$G$270,7,FALSE)))</f>
        <v>(+/-) Ajustes por el incremento (disminución) de cuentas por pagar de origen comercial</v>
      </c>
      <c r="V1347" s="190" t="str">
        <f>VLOOKUP(E1347,Valida!$A$2:$K$271,4,FALSE)</f>
        <v>Trade and other payables</v>
      </c>
      <c r="W1347" s="185" t="s">
        <v>1926</v>
      </c>
      <c r="X1347" s="185" t="s">
        <v>1927</v>
      </c>
      <c r="Y1347" s="185" t="s">
        <v>1789</v>
      </c>
      <c r="Z1347"/>
    </row>
    <row r="1348" spans="1:26">
      <c r="A1348" s="185" t="s">
        <v>2725</v>
      </c>
      <c r="B1348" s="185" t="s">
        <v>2731</v>
      </c>
      <c r="C1348" s="185" t="s">
        <v>1897</v>
      </c>
      <c r="D1348" s="185" t="s">
        <v>2732</v>
      </c>
      <c r="E1348" s="185">
        <v>237006</v>
      </c>
      <c r="F1348" s="185" t="s">
        <v>680</v>
      </c>
      <c r="G1348" s="185" t="s">
        <v>2734</v>
      </c>
      <c r="H1348" s="185" t="s">
        <v>1628</v>
      </c>
      <c r="I1348" s="258" t="str">
        <f t="shared" si="64"/>
        <v>2</v>
      </c>
      <c r="J1348" s="221">
        <f t="shared" si="65"/>
        <v>-43900</v>
      </c>
      <c r="K1348" s="258">
        <f t="shared" si="66"/>
        <v>5</v>
      </c>
      <c r="L1348" s="188">
        <v>0</v>
      </c>
      <c r="M1348" s="188">
        <v>43900</v>
      </c>
      <c r="N1348" s="189">
        <v>860002503</v>
      </c>
      <c r="O1348" t="s">
        <v>2731</v>
      </c>
      <c r="P1348" s="187">
        <v>45072</v>
      </c>
      <c r="Q1348" s="186">
        <v>11420</v>
      </c>
      <c r="R1348" s="185" t="s">
        <v>433</v>
      </c>
      <c r="S1348" s="185" t="s">
        <v>1656</v>
      </c>
      <c r="T1348" t="s">
        <v>2729</v>
      </c>
      <c r="U1348" t="str">
        <f>IF($L1348&gt;0,VLOOKUP($E1348,Valida!$A$1:$G$270,6,FALSE),IF($M1348&gt;=0,VLOOKUP($E1348,Valida!$A$1:$G$270,7,FALSE)))</f>
        <v>(+/-) Ajustes por el incremento (disminución) de cuentas por pagar de origen comercial</v>
      </c>
      <c r="V1348" s="190" t="str">
        <f>VLOOKUP(E1348,Valida!$A$2:$K$271,4,FALSE)</f>
        <v>Trade and other payables</v>
      </c>
      <c r="W1348" s="185" t="s">
        <v>1912</v>
      </c>
      <c r="X1348" s="185" t="s">
        <v>1913</v>
      </c>
      <c r="Y1348" s="185" t="s">
        <v>1789</v>
      </c>
      <c r="Z1348"/>
    </row>
    <row r="1349" spans="1:26">
      <c r="A1349" s="185" t="s">
        <v>2725</v>
      </c>
      <c r="B1349" s="185" t="s">
        <v>2731</v>
      </c>
      <c r="C1349" s="185" t="s">
        <v>1897</v>
      </c>
      <c r="D1349" s="185" t="s">
        <v>2732</v>
      </c>
      <c r="E1349" s="185">
        <v>237010</v>
      </c>
      <c r="F1349" s="185" t="s">
        <v>683</v>
      </c>
      <c r="G1349" s="185" t="s">
        <v>2735</v>
      </c>
      <c r="H1349" s="185" t="s">
        <v>1628</v>
      </c>
      <c r="I1349" s="258" t="str">
        <f t="shared" si="64"/>
        <v>2</v>
      </c>
      <c r="J1349" s="221">
        <f t="shared" si="65"/>
        <v>-180700</v>
      </c>
      <c r="K1349" s="258">
        <f t="shared" si="66"/>
        <v>5</v>
      </c>
      <c r="L1349" s="188">
        <v>0</v>
      </c>
      <c r="M1349" s="188">
        <v>180700</v>
      </c>
      <c r="N1349" s="189">
        <v>860066942</v>
      </c>
      <c r="O1349" t="s">
        <v>2731</v>
      </c>
      <c r="P1349" s="187">
        <v>45072</v>
      </c>
      <c r="Q1349" s="186">
        <v>11421</v>
      </c>
      <c r="R1349" s="185" t="s">
        <v>1814</v>
      </c>
      <c r="S1349" s="185" t="s">
        <v>1574</v>
      </c>
      <c r="T1349" t="s">
        <v>2729</v>
      </c>
      <c r="U1349" t="str">
        <f>IF($L1349&gt;0,VLOOKUP($E1349,Valida!$A$1:$G$270,6,FALSE),IF($M1349&gt;=0,VLOOKUP($E1349,Valida!$A$1:$G$270,7,FALSE)))</f>
        <v>(+/-) Ajustes por el incremento (disminución) de cuentas por pagar de origen comercial</v>
      </c>
      <c r="V1349" s="190" t="str">
        <f>VLOOKUP(E1349,Valida!$A$2:$K$271,4,FALSE)</f>
        <v>Trade and other payables</v>
      </c>
      <c r="W1349" s="185" t="s">
        <v>1914</v>
      </c>
      <c r="X1349" s="185" t="s">
        <v>1915</v>
      </c>
      <c r="Y1349" s="185" t="s">
        <v>1789</v>
      </c>
      <c r="Z1349"/>
    </row>
    <row r="1350" spans="1:26">
      <c r="A1350" s="185" t="s">
        <v>2725</v>
      </c>
      <c r="B1350" s="185" t="s">
        <v>2731</v>
      </c>
      <c r="C1350" s="185" t="s">
        <v>1897</v>
      </c>
      <c r="D1350" s="185" t="s">
        <v>2732</v>
      </c>
      <c r="E1350" s="185">
        <v>238030</v>
      </c>
      <c r="F1350" s="185" t="s">
        <v>721</v>
      </c>
      <c r="G1350" s="185" t="s">
        <v>2736</v>
      </c>
      <c r="H1350" s="185" t="s">
        <v>1628</v>
      </c>
      <c r="I1350" s="258" t="str">
        <f t="shared" si="64"/>
        <v>2</v>
      </c>
      <c r="J1350" s="221">
        <f t="shared" si="65"/>
        <v>-929883</v>
      </c>
      <c r="K1350" s="258">
        <f t="shared" si="66"/>
        <v>5</v>
      </c>
      <c r="L1350" s="188">
        <v>0</v>
      </c>
      <c r="M1350" s="188">
        <v>929883</v>
      </c>
      <c r="N1350" s="189">
        <v>800224808</v>
      </c>
      <c r="O1350" t="s">
        <v>2731</v>
      </c>
      <c r="P1350" s="187">
        <v>45072</v>
      </c>
      <c r="Q1350" s="186">
        <v>11422</v>
      </c>
      <c r="R1350" s="185" t="s">
        <v>1827</v>
      </c>
      <c r="S1350" s="185" t="s">
        <v>1662</v>
      </c>
      <c r="T1350" t="s">
        <v>2729</v>
      </c>
      <c r="U1350" t="str">
        <f>IF($L1350&gt;0,VLOOKUP($E1350,Valida!$A$1:$G$270,6,FALSE),IF($M1350&gt;=0,VLOOKUP($E1350,Valida!$A$1:$G$270,7,FALSE)))</f>
        <v>(+/-) Ajustes por el incremento (disminución) de cuentas por pagar de origen comercial</v>
      </c>
      <c r="V1350" s="190" t="str">
        <f>VLOOKUP(E1350,Valida!$A$2:$K$271,4,FALSE)</f>
        <v>Trade and other payables</v>
      </c>
      <c r="W1350" s="185" t="s">
        <v>1911</v>
      </c>
      <c r="X1350" s="185"/>
      <c r="Y1350" s="185" t="s">
        <v>1789</v>
      </c>
      <c r="Z1350"/>
    </row>
    <row r="1351" spans="1:26">
      <c r="A1351" s="185" t="s">
        <v>2725</v>
      </c>
      <c r="B1351" s="185" t="s">
        <v>2731</v>
      </c>
      <c r="C1351" s="185" t="s">
        <v>1897</v>
      </c>
      <c r="D1351" s="185" t="s">
        <v>2732</v>
      </c>
      <c r="E1351" s="185">
        <v>238030</v>
      </c>
      <c r="F1351" s="185" t="s">
        <v>721</v>
      </c>
      <c r="G1351" s="185" t="s">
        <v>2736</v>
      </c>
      <c r="H1351" s="185" t="s">
        <v>1628</v>
      </c>
      <c r="I1351" s="258" t="str">
        <f t="shared" si="64"/>
        <v>2</v>
      </c>
      <c r="J1351" s="221">
        <f t="shared" si="65"/>
        <v>-153160</v>
      </c>
      <c r="K1351" s="258">
        <f t="shared" si="66"/>
        <v>5</v>
      </c>
      <c r="L1351" s="188">
        <v>0</v>
      </c>
      <c r="M1351" s="188">
        <v>153160</v>
      </c>
      <c r="N1351" s="189">
        <v>800227940</v>
      </c>
      <c r="O1351" t="s">
        <v>2731</v>
      </c>
      <c r="P1351" s="187">
        <v>45072</v>
      </c>
      <c r="Q1351" s="186">
        <v>11423</v>
      </c>
      <c r="R1351" s="185"/>
      <c r="S1351" s="185" t="s">
        <v>1664</v>
      </c>
      <c r="T1351" t="s">
        <v>2729</v>
      </c>
      <c r="U1351" t="str">
        <f>IF($L1351&gt;0,VLOOKUP($E1351,Valida!$A$1:$G$270,6,FALSE),IF($M1351&gt;=0,VLOOKUP($E1351,Valida!$A$1:$G$270,7,FALSE)))</f>
        <v>(+/-) Ajustes por el incremento (disminución) de cuentas por pagar de origen comercial</v>
      </c>
      <c r="V1351" s="190" t="str">
        <f>VLOOKUP(E1351,Valida!$A$2:$K$271,4,FALSE)</f>
        <v>Trade and other payables</v>
      </c>
      <c r="W1351" s="185"/>
      <c r="X1351" s="185"/>
      <c r="Y1351" s="185"/>
      <c r="Z1351"/>
    </row>
    <row r="1352" spans="1:26">
      <c r="A1352" s="185" t="s">
        <v>2725</v>
      </c>
      <c r="B1352" s="185" t="s">
        <v>2731</v>
      </c>
      <c r="C1352" s="185" t="s">
        <v>1897</v>
      </c>
      <c r="D1352" s="185" t="s">
        <v>2732</v>
      </c>
      <c r="E1352" s="185">
        <v>251010</v>
      </c>
      <c r="F1352" s="185" t="s">
        <v>776</v>
      </c>
      <c r="G1352" s="185" t="s">
        <v>2737</v>
      </c>
      <c r="H1352" s="185" t="s">
        <v>1628</v>
      </c>
      <c r="I1352" s="258" t="str">
        <f t="shared" si="64"/>
        <v>2</v>
      </c>
      <c r="J1352" s="221">
        <f t="shared" si="65"/>
        <v>-118051</v>
      </c>
      <c r="K1352" s="258">
        <f t="shared" si="66"/>
        <v>5</v>
      </c>
      <c r="L1352" s="188">
        <v>0</v>
      </c>
      <c r="M1352" s="188">
        <v>118051</v>
      </c>
      <c r="N1352" s="189">
        <v>1000018061</v>
      </c>
      <c r="O1352" t="s">
        <v>2731</v>
      </c>
      <c r="P1352" s="187">
        <v>45072</v>
      </c>
      <c r="Q1352" s="186">
        <v>11424</v>
      </c>
      <c r="R1352" s="185"/>
      <c r="S1352" s="185" t="s">
        <v>1522</v>
      </c>
      <c r="T1352" t="s">
        <v>2729</v>
      </c>
      <c r="U1352" t="str">
        <f>IF($L1352&gt;0,VLOOKUP($E1352,Valida!$A$1:$G$270,6,FALSE),IF($M1352&gt;=0,VLOOKUP($E1352,Valida!$A$1:$G$270,7,FALSE)))</f>
        <v>(+/-) Ajustes por el incremento (disminución) de cuentas por pagar de origen comercial</v>
      </c>
      <c r="V1352" s="190" t="str">
        <f>VLOOKUP(E1352,Valida!$A$2:$K$271,4,FALSE)</f>
        <v>Trade and other payables</v>
      </c>
      <c r="W1352" s="185" t="s">
        <v>1978</v>
      </c>
      <c r="X1352" s="185"/>
      <c r="Y1352" s="185" t="s">
        <v>1789</v>
      </c>
      <c r="Z1352"/>
    </row>
    <row r="1353" spans="1:26">
      <c r="A1353" s="185" t="s">
        <v>2725</v>
      </c>
      <c r="B1353" s="185" t="s">
        <v>2731</v>
      </c>
      <c r="C1353" s="185" t="s">
        <v>1897</v>
      </c>
      <c r="D1353" s="185" t="s">
        <v>2732</v>
      </c>
      <c r="E1353" s="185">
        <v>251010</v>
      </c>
      <c r="F1353" s="185" t="s">
        <v>776</v>
      </c>
      <c r="G1353" s="185" t="s">
        <v>2737</v>
      </c>
      <c r="H1353" s="185" t="s">
        <v>1628</v>
      </c>
      <c r="I1353" s="258" t="str">
        <f t="shared" si="64"/>
        <v>2</v>
      </c>
      <c r="J1353" s="221">
        <f t="shared" si="65"/>
        <v>-191405</v>
      </c>
      <c r="K1353" s="258">
        <f t="shared" si="66"/>
        <v>5</v>
      </c>
      <c r="L1353" s="188">
        <v>0</v>
      </c>
      <c r="M1353" s="188">
        <v>191405</v>
      </c>
      <c r="N1353" s="189">
        <v>1000036375</v>
      </c>
      <c r="O1353" t="s">
        <v>2731</v>
      </c>
      <c r="P1353" s="187">
        <v>45072</v>
      </c>
      <c r="Q1353" s="186">
        <v>11425</v>
      </c>
      <c r="R1353" s="185"/>
      <c r="S1353" s="185" t="s">
        <v>1524</v>
      </c>
      <c r="T1353" t="s">
        <v>2729</v>
      </c>
      <c r="U1353" t="str">
        <f>IF($L1353&gt;0,VLOOKUP($E1353,Valida!$A$1:$G$270,6,FALSE),IF($M1353&gt;=0,VLOOKUP($E1353,Valida!$A$1:$G$270,7,FALSE)))</f>
        <v>(+/-) Ajustes por el incremento (disminución) de cuentas por pagar de origen comercial</v>
      </c>
      <c r="V1353" s="190" t="str">
        <f>VLOOKUP(E1353,Valida!$A$2:$K$271,4,FALSE)</f>
        <v>Trade and other payables</v>
      </c>
      <c r="W1353" s="185" t="s">
        <v>1983</v>
      </c>
      <c r="X1353" s="185"/>
      <c r="Y1353" s="185" t="s">
        <v>1789</v>
      </c>
      <c r="Z1353"/>
    </row>
    <row r="1354" spans="1:26">
      <c r="A1354" s="185" t="s">
        <v>2725</v>
      </c>
      <c r="B1354" s="185" t="s">
        <v>2731</v>
      </c>
      <c r="C1354" s="185" t="s">
        <v>1897</v>
      </c>
      <c r="D1354" s="185" t="s">
        <v>2732</v>
      </c>
      <c r="E1354" s="185">
        <v>251010</v>
      </c>
      <c r="F1354" s="185" t="s">
        <v>776</v>
      </c>
      <c r="G1354" s="185" t="s">
        <v>2737</v>
      </c>
      <c r="H1354" s="185" t="s">
        <v>1628</v>
      </c>
      <c r="I1354" s="258" t="str">
        <f t="shared" si="64"/>
        <v>2</v>
      </c>
      <c r="J1354" s="221">
        <f t="shared" si="65"/>
        <v>-138286</v>
      </c>
      <c r="K1354" s="258">
        <f t="shared" si="66"/>
        <v>5</v>
      </c>
      <c r="L1354" s="188">
        <v>0</v>
      </c>
      <c r="M1354" s="188">
        <v>138286</v>
      </c>
      <c r="N1354" s="189">
        <v>1010101811</v>
      </c>
      <c r="O1354" t="s">
        <v>2731</v>
      </c>
      <c r="P1354" s="187">
        <v>45072</v>
      </c>
      <c r="Q1354" s="186">
        <v>11426</v>
      </c>
      <c r="R1354" s="185"/>
      <c r="S1354" s="185" t="s">
        <v>1528</v>
      </c>
      <c r="T1354" t="s">
        <v>2729</v>
      </c>
      <c r="U1354" t="str">
        <f>IF($L1354&gt;0,VLOOKUP($E1354,Valida!$A$1:$G$270,6,FALSE),IF($M1354&gt;=0,VLOOKUP($E1354,Valida!$A$1:$G$270,7,FALSE)))</f>
        <v>(+/-) Ajustes por el incremento (disminución) de cuentas por pagar de origen comercial</v>
      </c>
      <c r="V1354" s="190" t="str">
        <f>VLOOKUP(E1354,Valida!$A$2:$K$271,4,FALSE)</f>
        <v>Trade and other payables</v>
      </c>
      <c r="W1354" s="185" t="s">
        <v>1967</v>
      </c>
      <c r="X1354" s="185"/>
      <c r="Y1354" s="185" t="s">
        <v>1789</v>
      </c>
      <c r="Z1354"/>
    </row>
    <row r="1355" spans="1:26">
      <c r="A1355" s="185" t="s">
        <v>2725</v>
      </c>
      <c r="B1355" s="185" t="s">
        <v>2731</v>
      </c>
      <c r="C1355" s="185" t="s">
        <v>1897</v>
      </c>
      <c r="D1355" s="185" t="s">
        <v>2732</v>
      </c>
      <c r="E1355" s="185">
        <v>251010</v>
      </c>
      <c r="F1355" s="185" t="s">
        <v>776</v>
      </c>
      <c r="G1355" s="185" t="s">
        <v>2737</v>
      </c>
      <c r="H1355" s="185" t="s">
        <v>1628</v>
      </c>
      <c r="I1355" s="258" t="str">
        <f t="shared" si="64"/>
        <v>2</v>
      </c>
      <c r="J1355" s="221">
        <f t="shared" si="65"/>
        <v>-110990</v>
      </c>
      <c r="K1355" s="258">
        <f t="shared" si="66"/>
        <v>5</v>
      </c>
      <c r="L1355" s="188">
        <v>0</v>
      </c>
      <c r="M1355" s="188">
        <v>110990</v>
      </c>
      <c r="N1355" s="189">
        <v>1020842223</v>
      </c>
      <c r="O1355" t="s">
        <v>2731</v>
      </c>
      <c r="P1355" s="187">
        <v>45072</v>
      </c>
      <c r="Q1355" s="186">
        <v>11427</v>
      </c>
      <c r="R1355" s="185"/>
      <c r="S1355" s="185" t="s">
        <v>1532</v>
      </c>
      <c r="T1355" t="s">
        <v>2729</v>
      </c>
      <c r="U1355" t="str">
        <f>IF($L1355&gt;0,VLOOKUP($E1355,Valida!$A$1:$G$270,6,FALSE),IF($M1355&gt;=0,VLOOKUP($E1355,Valida!$A$1:$G$270,7,FALSE)))</f>
        <v>(+/-) Ajustes por el incremento (disminución) de cuentas por pagar de origen comercial</v>
      </c>
      <c r="V1355" s="190" t="str">
        <f>VLOOKUP(E1355,Valida!$A$2:$K$271,4,FALSE)</f>
        <v>Trade and other payables</v>
      </c>
      <c r="W1355" s="185" t="s">
        <v>1900</v>
      </c>
      <c r="X1355" s="185"/>
      <c r="Y1355" s="185" t="s">
        <v>1789</v>
      </c>
      <c r="Z1355"/>
    </row>
    <row r="1356" spans="1:26">
      <c r="A1356" s="185" t="s">
        <v>2725</v>
      </c>
      <c r="B1356" s="185" t="s">
        <v>2731</v>
      </c>
      <c r="C1356" s="185" t="s">
        <v>1897</v>
      </c>
      <c r="D1356" s="185" t="s">
        <v>2732</v>
      </c>
      <c r="E1356" s="185">
        <v>251010</v>
      </c>
      <c r="F1356" s="185" t="s">
        <v>776</v>
      </c>
      <c r="G1356" s="185" t="s">
        <v>2737</v>
      </c>
      <c r="H1356" s="185" t="s">
        <v>1628</v>
      </c>
      <c r="I1356" s="258" t="str">
        <f t="shared" si="64"/>
        <v>2</v>
      </c>
      <c r="J1356" s="221">
        <f t="shared" si="65"/>
        <v>-143037</v>
      </c>
      <c r="K1356" s="258">
        <f t="shared" si="66"/>
        <v>5</v>
      </c>
      <c r="L1356" s="188">
        <v>0</v>
      </c>
      <c r="M1356" s="188">
        <v>143037</v>
      </c>
      <c r="N1356" s="189">
        <v>1100623759</v>
      </c>
      <c r="O1356" t="s">
        <v>2731</v>
      </c>
      <c r="P1356" s="187">
        <v>45072</v>
      </c>
      <c r="Q1356" s="186">
        <v>11428</v>
      </c>
      <c r="R1356" s="185"/>
      <c r="S1356" s="185" t="s">
        <v>1536</v>
      </c>
      <c r="T1356" t="s">
        <v>2729</v>
      </c>
      <c r="U1356" t="str">
        <f>IF($L1356&gt;0,VLOOKUP($E1356,Valida!$A$1:$G$270,6,FALSE),IF($M1356&gt;=0,VLOOKUP($E1356,Valida!$A$1:$G$270,7,FALSE)))</f>
        <v>(+/-) Ajustes por el incremento (disminución) de cuentas por pagar de origen comercial</v>
      </c>
      <c r="V1356" s="190" t="str">
        <f>VLOOKUP(E1356,Valida!$A$2:$K$271,4,FALSE)</f>
        <v>Trade and other payables</v>
      </c>
      <c r="W1356" s="185" t="s">
        <v>2730</v>
      </c>
      <c r="X1356" s="185"/>
      <c r="Y1356" s="185" t="s">
        <v>1789</v>
      </c>
      <c r="Z1356"/>
    </row>
    <row r="1357" spans="1:26">
      <c r="A1357" s="185" t="s">
        <v>2725</v>
      </c>
      <c r="B1357" s="185" t="s">
        <v>2731</v>
      </c>
      <c r="C1357" s="185" t="s">
        <v>1897</v>
      </c>
      <c r="D1357" s="185" t="s">
        <v>2732</v>
      </c>
      <c r="E1357" s="185">
        <v>251010</v>
      </c>
      <c r="F1357" s="185" t="s">
        <v>776</v>
      </c>
      <c r="G1357" s="185" t="s">
        <v>2737</v>
      </c>
      <c r="H1357" s="185" t="s">
        <v>1628</v>
      </c>
      <c r="I1357" s="258" t="str">
        <f t="shared" si="64"/>
        <v>2</v>
      </c>
      <c r="J1357" s="221">
        <f t="shared" si="65"/>
        <v>-108384</v>
      </c>
      <c r="K1357" s="258">
        <f t="shared" si="66"/>
        <v>5</v>
      </c>
      <c r="L1357" s="188">
        <v>0</v>
      </c>
      <c r="M1357" s="188">
        <v>108384</v>
      </c>
      <c r="N1357" s="189">
        <v>1130744136</v>
      </c>
      <c r="O1357" t="s">
        <v>2731</v>
      </c>
      <c r="P1357" s="187">
        <v>45072</v>
      </c>
      <c r="Q1357" s="186">
        <v>11429</v>
      </c>
      <c r="R1357" s="185"/>
      <c r="S1357" s="185" t="s">
        <v>1538</v>
      </c>
      <c r="T1357" t="s">
        <v>2729</v>
      </c>
      <c r="U1357" t="str">
        <f>IF($L1357&gt;0,VLOOKUP($E1357,Valida!$A$1:$G$270,6,FALSE),IF($M1357&gt;=0,VLOOKUP($E1357,Valida!$A$1:$G$270,7,FALSE)))</f>
        <v>(+/-) Ajustes por el incremento (disminución) de cuentas por pagar de origen comercial</v>
      </c>
      <c r="V1357" s="190" t="str">
        <f>VLOOKUP(E1357,Valida!$A$2:$K$271,4,FALSE)</f>
        <v>Trade and other payables</v>
      </c>
      <c r="W1357" s="185" t="s">
        <v>1909</v>
      </c>
      <c r="X1357" s="185" t="s">
        <v>1910</v>
      </c>
      <c r="Y1357" s="185" t="s">
        <v>1789</v>
      </c>
      <c r="Z1357"/>
    </row>
    <row r="1358" spans="1:26">
      <c r="A1358" s="185" t="s">
        <v>2725</v>
      </c>
      <c r="B1358" s="185" t="s">
        <v>2731</v>
      </c>
      <c r="C1358" s="185" t="s">
        <v>1897</v>
      </c>
      <c r="D1358" s="185" t="s">
        <v>2732</v>
      </c>
      <c r="E1358" s="185">
        <v>251505</v>
      </c>
      <c r="F1358" s="185" t="s">
        <v>779</v>
      </c>
      <c r="G1358" s="185" t="s">
        <v>2738</v>
      </c>
      <c r="H1358" s="185" t="s">
        <v>1628</v>
      </c>
      <c r="I1358" s="258" t="str">
        <f t="shared" si="64"/>
        <v>2</v>
      </c>
      <c r="J1358" s="221">
        <f t="shared" si="65"/>
        <v>-7259</v>
      </c>
      <c r="K1358" s="258">
        <f t="shared" si="66"/>
        <v>5</v>
      </c>
      <c r="L1358" s="188">
        <v>0</v>
      </c>
      <c r="M1358" s="188">
        <v>7259</v>
      </c>
      <c r="N1358" s="189">
        <v>1000018061</v>
      </c>
      <c r="O1358" t="s">
        <v>2731</v>
      </c>
      <c r="P1358" s="187">
        <v>45072</v>
      </c>
      <c r="Q1358" s="186">
        <v>11430</v>
      </c>
      <c r="R1358" s="185"/>
      <c r="S1358" s="185" t="s">
        <v>1522</v>
      </c>
      <c r="T1358" t="s">
        <v>2729</v>
      </c>
      <c r="U1358" t="str">
        <f>IF($L1358&gt;0,VLOOKUP($E1358,Valida!$A$1:$G$270,6,FALSE),IF($M1358&gt;=0,VLOOKUP($E1358,Valida!$A$1:$G$270,7,FALSE)))</f>
        <v>(+/-) Ajustes por el incremento (disminución) de cuentas por pagar de origen comercial</v>
      </c>
      <c r="V1358" s="190" t="str">
        <f>VLOOKUP(E1358,Valida!$A$2:$K$271,4,FALSE)</f>
        <v>Trade and other payables</v>
      </c>
      <c r="W1358" s="185" t="s">
        <v>1978</v>
      </c>
      <c r="X1358" s="185"/>
      <c r="Y1358" s="185" t="s">
        <v>1789</v>
      </c>
      <c r="Z1358"/>
    </row>
    <row r="1359" spans="1:26">
      <c r="A1359" s="185" t="s">
        <v>2725</v>
      </c>
      <c r="B1359" s="185" t="s">
        <v>2731</v>
      </c>
      <c r="C1359" s="185" t="s">
        <v>1897</v>
      </c>
      <c r="D1359" s="185" t="s">
        <v>2732</v>
      </c>
      <c r="E1359" s="185">
        <v>251505</v>
      </c>
      <c r="F1359" s="185" t="s">
        <v>779</v>
      </c>
      <c r="G1359" s="185" t="s">
        <v>2738</v>
      </c>
      <c r="H1359" s="185" t="s">
        <v>1628</v>
      </c>
      <c r="I1359" s="258" t="str">
        <f t="shared" si="64"/>
        <v>2</v>
      </c>
      <c r="J1359" s="221">
        <f t="shared" si="65"/>
        <v>-8610</v>
      </c>
      <c r="K1359" s="258">
        <f t="shared" si="66"/>
        <v>5</v>
      </c>
      <c r="L1359" s="188">
        <v>0</v>
      </c>
      <c r="M1359" s="188">
        <v>8610</v>
      </c>
      <c r="N1359" s="189">
        <v>1000036375</v>
      </c>
      <c r="O1359" t="s">
        <v>2731</v>
      </c>
      <c r="P1359" s="187">
        <v>45072</v>
      </c>
      <c r="Q1359" s="186">
        <v>11431</v>
      </c>
      <c r="R1359" s="185"/>
      <c r="S1359" s="185" t="s">
        <v>1524</v>
      </c>
      <c r="T1359" t="s">
        <v>2729</v>
      </c>
      <c r="U1359" t="str">
        <f>IF($L1359&gt;0,VLOOKUP($E1359,Valida!$A$1:$G$270,6,FALSE),IF($M1359&gt;=0,VLOOKUP($E1359,Valida!$A$1:$G$270,7,FALSE)))</f>
        <v>(+/-) Ajustes por el incremento (disminución) de cuentas por pagar de origen comercial</v>
      </c>
      <c r="V1359" s="190" t="str">
        <f>VLOOKUP(E1359,Valida!$A$2:$K$271,4,FALSE)</f>
        <v>Trade and other payables</v>
      </c>
      <c r="W1359" s="185" t="s">
        <v>1983</v>
      </c>
      <c r="X1359" s="185"/>
      <c r="Y1359" s="185" t="s">
        <v>1789</v>
      </c>
      <c r="Z1359"/>
    </row>
    <row r="1360" spans="1:26">
      <c r="A1360" s="185" t="s">
        <v>2725</v>
      </c>
      <c r="B1360" s="185" t="s">
        <v>2731</v>
      </c>
      <c r="C1360" s="185" t="s">
        <v>1897</v>
      </c>
      <c r="D1360" s="185" t="s">
        <v>2732</v>
      </c>
      <c r="E1360" s="185">
        <v>251505</v>
      </c>
      <c r="F1360" s="185" t="s">
        <v>779</v>
      </c>
      <c r="G1360" s="185" t="s">
        <v>2738</v>
      </c>
      <c r="H1360" s="185" t="s">
        <v>1628</v>
      </c>
      <c r="I1360" s="258" t="str">
        <f t="shared" si="64"/>
        <v>2</v>
      </c>
      <c r="J1360" s="221">
        <f t="shared" si="65"/>
        <v>-12541</v>
      </c>
      <c r="K1360" s="258">
        <f t="shared" si="66"/>
        <v>5</v>
      </c>
      <c r="L1360" s="188">
        <v>0</v>
      </c>
      <c r="M1360" s="188">
        <v>12541</v>
      </c>
      <c r="N1360" s="189">
        <v>1010101811</v>
      </c>
      <c r="O1360" t="s">
        <v>2731</v>
      </c>
      <c r="P1360" s="187">
        <v>45072</v>
      </c>
      <c r="Q1360" s="186">
        <v>11432</v>
      </c>
      <c r="R1360" s="185"/>
      <c r="S1360" s="185" t="s">
        <v>1528</v>
      </c>
      <c r="T1360" t="s">
        <v>2729</v>
      </c>
      <c r="U1360" t="str">
        <f>IF($L1360&gt;0,VLOOKUP($E1360,Valida!$A$1:$G$270,6,FALSE),IF($M1360&gt;=0,VLOOKUP($E1360,Valida!$A$1:$G$270,7,FALSE)))</f>
        <v>(+/-) Ajustes por el incremento (disminución) de cuentas por pagar de origen comercial</v>
      </c>
      <c r="V1360" s="190" t="str">
        <f>VLOOKUP(E1360,Valida!$A$2:$K$271,4,FALSE)</f>
        <v>Trade and other payables</v>
      </c>
      <c r="W1360" s="185" t="s">
        <v>1967</v>
      </c>
      <c r="X1360" s="185"/>
      <c r="Y1360" s="185" t="s">
        <v>1789</v>
      </c>
      <c r="Z1360"/>
    </row>
    <row r="1361" spans="1:26">
      <c r="A1361" s="185" t="s">
        <v>2725</v>
      </c>
      <c r="B1361" s="185" t="s">
        <v>2731</v>
      </c>
      <c r="C1361" s="185" t="s">
        <v>1897</v>
      </c>
      <c r="D1361" s="185" t="s">
        <v>2732</v>
      </c>
      <c r="E1361" s="185">
        <v>251505</v>
      </c>
      <c r="F1361" s="185" t="s">
        <v>779</v>
      </c>
      <c r="G1361" s="185" t="s">
        <v>2738</v>
      </c>
      <c r="H1361" s="185" t="s">
        <v>1628</v>
      </c>
      <c r="I1361" s="258" t="str">
        <f t="shared" si="64"/>
        <v>2</v>
      </c>
      <c r="J1361" s="221">
        <f t="shared" si="65"/>
        <v>-7840</v>
      </c>
      <c r="K1361" s="258">
        <f t="shared" si="66"/>
        <v>5</v>
      </c>
      <c r="L1361" s="188">
        <v>0</v>
      </c>
      <c r="M1361" s="188">
        <v>7840</v>
      </c>
      <c r="N1361" s="189">
        <v>1020842223</v>
      </c>
      <c r="O1361" t="s">
        <v>2731</v>
      </c>
      <c r="P1361" s="187">
        <v>45072</v>
      </c>
      <c r="Q1361" s="186">
        <v>11433</v>
      </c>
      <c r="R1361" s="185"/>
      <c r="S1361" s="185" t="s">
        <v>1532</v>
      </c>
      <c r="T1361" t="s">
        <v>2729</v>
      </c>
      <c r="U1361" t="str">
        <f>IF($L1361&gt;0,VLOOKUP($E1361,Valida!$A$1:$G$270,6,FALSE),IF($M1361&gt;=0,VLOOKUP($E1361,Valida!$A$1:$G$270,7,FALSE)))</f>
        <v>(+/-) Ajustes por el incremento (disminución) de cuentas por pagar de origen comercial</v>
      </c>
      <c r="V1361" s="190" t="str">
        <f>VLOOKUP(E1361,Valida!$A$2:$K$271,4,FALSE)</f>
        <v>Trade and other payables</v>
      </c>
      <c r="W1361" s="185" t="s">
        <v>1900</v>
      </c>
      <c r="X1361" s="185"/>
      <c r="Y1361" s="185" t="s">
        <v>1789</v>
      </c>
      <c r="Z1361"/>
    </row>
    <row r="1362" spans="1:26">
      <c r="A1362" s="185" t="s">
        <v>2725</v>
      </c>
      <c r="B1362" s="185" t="s">
        <v>2731</v>
      </c>
      <c r="C1362" s="185" t="s">
        <v>1897</v>
      </c>
      <c r="D1362" s="185" t="s">
        <v>2732</v>
      </c>
      <c r="E1362" s="185">
        <v>251505</v>
      </c>
      <c r="F1362" s="185" t="s">
        <v>779</v>
      </c>
      <c r="G1362" s="185" t="s">
        <v>2738</v>
      </c>
      <c r="H1362" s="185" t="s">
        <v>1628</v>
      </c>
      <c r="I1362" s="258" t="str">
        <f t="shared" si="64"/>
        <v>2</v>
      </c>
      <c r="J1362" s="221">
        <f t="shared" si="65"/>
        <v>-1049</v>
      </c>
      <c r="K1362" s="258">
        <f t="shared" si="66"/>
        <v>5</v>
      </c>
      <c r="L1362" s="188">
        <v>0</v>
      </c>
      <c r="M1362" s="188">
        <v>1049</v>
      </c>
      <c r="N1362" s="189">
        <v>1100623759</v>
      </c>
      <c r="O1362" t="s">
        <v>2731</v>
      </c>
      <c r="P1362" s="187">
        <v>45072</v>
      </c>
      <c r="Q1362" s="186">
        <v>11434</v>
      </c>
      <c r="R1362" s="185"/>
      <c r="S1362" s="185" t="s">
        <v>1536</v>
      </c>
      <c r="T1362" t="s">
        <v>2729</v>
      </c>
      <c r="U1362" t="str">
        <f>IF($L1362&gt;0,VLOOKUP($E1362,Valida!$A$1:$G$270,6,FALSE),IF($M1362&gt;=0,VLOOKUP($E1362,Valida!$A$1:$G$270,7,FALSE)))</f>
        <v>(+/-) Ajustes por el incremento (disminución) de cuentas por pagar de origen comercial</v>
      </c>
      <c r="V1362" s="190" t="str">
        <f>VLOOKUP(E1362,Valida!$A$2:$K$271,4,FALSE)</f>
        <v>Trade and other payables</v>
      </c>
      <c r="W1362" s="185" t="s">
        <v>2730</v>
      </c>
      <c r="X1362" s="185"/>
      <c r="Y1362" s="185" t="s">
        <v>1789</v>
      </c>
      <c r="Z1362"/>
    </row>
    <row r="1363" spans="1:26">
      <c r="A1363" s="185" t="s">
        <v>2725</v>
      </c>
      <c r="B1363" s="185" t="s">
        <v>2731</v>
      </c>
      <c r="C1363" s="185" t="s">
        <v>1897</v>
      </c>
      <c r="D1363" s="185" t="s">
        <v>2732</v>
      </c>
      <c r="E1363" s="185">
        <v>251505</v>
      </c>
      <c r="F1363" s="185" t="s">
        <v>779</v>
      </c>
      <c r="G1363" s="185" t="s">
        <v>2738</v>
      </c>
      <c r="H1363" s="185" t="s">
        <v>1628</v>
      </c>
      <c r="I1363" s="258" t="str">
        <f t="shared" si="64"/>
        <v>2</v>
      </c>
      <c r="J1363" s="221">
        <f t="shared" si="65"/>
        <v>-9755</v>
      </c>
      <c r="K1363" s="258">
        <f t="shared" si="66"/>
        <v>5</v>
      </c>
      <c r="L1363" s="188">
        <v>0</v>
      </c>
      <c r="M1363" s="188">
        <v>9755</v>
      </c>
      <c r="N1363" s="189">
        <v>1130744136</v>
      </c>
      <c r="O1363" t="s">
        <v>2731</v>
      </c>
      <c r="P1363" s="187">
        <v>45072</v>
      </c>
      <c r="Q1363" s="186">
        <v>11435</v>
      </c>
      <c r="R1363" s="185"/>
      <c r="S1363" s="185" t="s">
        <v>1538</v>
      </c>
      <c r="T1363" t="s">
        <v>2729</v>
      </c>
      <c r="U1363" t="str">
        <f>IF($L1363&gt;0,VLOOKUP($E1363,Valida!$A$1:$G$270,6,FALSE),IF($M1363&gt;=0,VLOOKUP($E1363,Valida!$A$1:$G$270,7,FALSE)))</f>
        <v>(+/-) Ajustes por el incremento (disminución) de cuentas por pagar de origen comercial</v>
      </c>
      <c r="V1363" s="190" t="str">
        <f>VLOOKUP(E1363,Valida!$A$2:$K$271,4,FALSE)</f>
        <v>Trade and other payables</v>
      </c>
      <c r="W1363" s="185" t="s">
        <v>1909</v>
      </c>
      <c r="X1363" s="185" t="s">
        <v>1910</v>
      </c>
      <c r="Y1363" s="185" t="s">
        <v>1789</v>
      </c>
      <c r="Z1363"/>
    </row>
    <row r="1364" spans="1:26">
      <c r="A1364" s="185" t="s">
        <v>2725</v>
      </c>
      <c r="B1364" s="185" t="s">
        <v>2731</v>
      </c>
      <c r="C1364" s="185" t="s">
        <v>1897</v>
      </c>
      <c r="D1364" s="185" t="s">
        <v>2732</v>
      </c>
      <c r="E1364" s="185">
        <v>252005</v>
      </c>
      <c r="F1364" s="185" t="s">
        <v>783</v>
      </c>
      <c r="G1364" s="185" t="s">
        <v>2739</v>
      </c>
      <c r="H1364" s="185" t="s">
        <v>1628</v>
      </c>
      <c r="I1364" s="258" t="str">
        <f t="shared" si="64"/>
        <v>2</v>
      </c>
      <c r="J1364" s="221">
        <f t="shared" si="65"/>
        <v>-118051</v>
      </c>
      <c r="K1364" s="258">
        <f t="shared" si="66"/>
        <v>5</v>
      </c>
      <c r="L1364" s="188">
        <v>0</v>
      </c>
      <c r="M1364" s="188">
        <v>118051</v>
      </c>
      <c r="N1364" s="189">
        <v>1000018061</v>
      </c>
      <c r="O1364" t="s">
        <v>2731</v>
      </c>
      <c r="P1364" s="187">
        <v>45072</v>
      </c>
      <c r="Q1364" s="186">
        <v>11436</v>
      </c>
      <c r="R1364" s="185"/>
      <c r="S1364" s="185" t="s">
        <v>1522</v>
      </c>
      <c r="T1364" t="s">
        <v>2729</v>
      </c>
      <c r="U1364" t="str">
        <f>IF($L1364&gt;0,VLOOKUP($E1364,Valida!$A$1:$G$270,6,FALSE),IF($M1364&gt;=0,VLOOKUP($E1364,Valida!$A$1:$G$270,7,FALSE)))</f>
        <v>(+/-) Ajustes por el incremento (disminución) de cuentas por pagar de origen comercial</v>
      </c>
      <c r="V1364" s="190" t="str">
        <f>VLOOKUP(E1364,Valida!$A$2:$K$271,4,FALSE)</f>
        <v>Trade and other payables</v>
      </c>
      <c r="W1364" s="185" t="s">
        <v>1978</v>
      </c>
      <c r="X1364" s="185"/>
      <c r="Y1364" s="185" t="s">
        <v>1789</v>
      </c>
      <c r="Z1364"/>
    </row>
    <row r="1365" spans="1:26">
      <c r="A1365" s="185" t="s">
        <v>2725</v>
      </c>
      <c r="B1365" s="185" t="s">
        <v>2731</v>
      </c>
      <c r="C1365" s="185" t="s">
        <v>1897</v>
      </c>
      <c r="D1365" s="185" t="s">
        <v>2732</v>
      </c>
      <c r="E1365" s="185">
        <v>252005</v>
      </c>
      <c r="F1365" s="185" t="s">
        <v>783</v>
      </c>
      <c r="G1365" s="185" t="s">
        <v>2739</v>
      </c>
      <c r="H1365" s="185" t="s">
        <v>1628</v>
      </c>
      <c r="I1365" s="258" t="str">
        <f t="shared" si="64"/>
        <v>2</v>
      </c>
      <c r="J1365" s="221">
        <f t="shared" si="65"/>
        <v>-191405</v>
      </c>
      <c r="K1365" s="258">
        <f t="shared" si="66"/>
        <v>5</v>
      </c>
      <c r="L1365" s="188">
        <v>0</v>
      </c>
      <c r="M1365" s="188">
        <v>191405</v>
      </c>
      <c r="N1365" s="189">
        <v>1000036375</v>
      </c>
      <c r="O1365" t="s">
        <v>2731</v>
      </c>
      <c r="P1365" s="187">
        <v>45072</v>
      </c>
      <c r="Q1365" s="186">
        <v>11437</v>
      </c>
      <c r="R1365" s="185"/>
      <c r="S1365" s="185" t="s">
        <v>1524</v>
      </c>
      <c r="T1365" t="s">
        <v>2729</v>
      </c>
      <c r="U1365" t="str">
        <f>IF($L1365&gt;0,VLOOKUP($E1365,Valida!$A$1:$G$270,6,FALSE),IF($M1365&gt;=0,VLOOKUP($E1365,Valida!$A$1:$G$270,7,FALSE)))</f>
        <v>(+/-) Ajustes por el incremento (disminución) de cuentas por pagar de origen comercial</v>
      </c>
      <c r="V1365" s="190" t="str">
        <f>VLOOKUP(E1365,Valida!$A$2:$K$271,4,FALSE)</f>
        <v>Trade and other payables</v>
      </c>
      <c r="W1365" s="185" t="s">
        <v>1983</v>
      </c>
      <c r="X1365" s="185"/>
      <c r="Y1365" s="185" t="s">
        <v>1789</v>
      </c>
      <c r="Z1365"/>
    </row>
    <row r="1366" spans="1:26">
      <c r="A1366" s="185" t="s">
        <v>2725</v>
      </c>
      <c r="B1366" s="185" t="s">
        <v>2731</v>
      </c>
      <c r="C1366" s="185" t="s">
        <v>1897</v>
      </c>
      <c r="D1366" s="185" t="s">
        <v>2732</v>
      </c>
      <c r="E1366" s="185">
        <v>252005</v>
      </c>
      <c r="F1366" s="185" t="s">
        <v>783</v>
      </c>
      <c r="G1366" s="185" t="s">
        <v>2739</v>
      </c>
      <c r="H1366" s="185" t="s">
        <v>1628</v>
      </c>
      <c r="I1366" s="258" t="str">
        <f t="shared" si="64"/>
        <v>2</v>
      </c>
      <c r="J1366" s="221">
        <f t="shared" si="65"/>
        <v>-136717</v>
      </c>
      <c r="K1366" s="258">
        <f t="shared" si="66"/>
        <v>5</v>
      </c>
      <c r="L1366" s="188">
        <v>0</v>
      </c>
      <c r="M1366" s="188">
        <v>136717</v>
      </c>
      <c r="N1366" s="189">
        <v>1010101811</v>
      </c>
      <c r="O1366" t="s">
        <v>2731</v>
      </c>
      <c r="P1366" s="187">
        <v>45072</v>
      </c>
      <c r="Q1366" s="186">
        <v>11438</v>
      </c>
      <c r="R1366" s="185"/>
      <c r="S1366" s="185" t="s">
        <v>1528</v>
      </c>
      <c r="T1366" t="s">
        <v>2729</v>
      </c>
      <c r="U1366" t="str">
        <f>IF($L1366&gt;0,VLOOKUP($E1366,Valida!$A$1:$G$270,6,FALSE),IF($M1366&gt;=0,VLOOKUP($E1366,Valida!$A$1:$G$270,7,FALSE)))</f>
        <v>(+/-) Ajustes por el incremento (disminución) de cuentas por pagar de origen comercial</v>
      </c>
      <c r="V1366" s="190" t="str">
        <f>VLOOKUP(E1366,Valida!$A$2:$K$271,4,FALSE)</f>
        <v>Trade and other payables</v>
      </c>
      <c r="W1366" s="185" t="s">
        <v>1967</v>
      </c>
      <c r="X1366" s="185"/>
      <c r="Y1366" s="185" t="s">
        <v>1789</v>
      </c>
      <c r="Z1366"/>
    </row>
    <row r="1367" spans="1:26">
      <c r="A1367" s="185" t="s">
        <v>2725</v>
      </c>
      <c r="B1367" s="185" t="s">
        <v>2731</v>
      </c>
      <c r="C1367" s="185" t="s">
        <v>1897</v>
      </c>
      <c r="D1367" s="185" t="s">
        <v>2732</v>
      </c>
      <c r="E1367" s="185">
        <v>252005</v>
      </c>
      <c r="F1367" s="185" t="s">
        <v>783</v>
      </c>
      <c r="G1367" s="185" t="s">
        <v>2739</v>
      </c>
      <c r="H1367" s="185" t="s">
        <v>1628</v>
      </c>
      <c r="I1367" s="258" t="str">
        <f t="shared" si="64"/>
        <v>2</v>
      </c>
      <c r="J1367" s="221">
        <f t="shared" si="65"/>
        <v>-110990</v>
      </c>
      <c r="K1367" s="258">
        <f t="shared" si="66"/>
        <v>5</v>
      </c>
      <c r="L1367" s="188">
        <v>0</v>
      </c>
      <c r="M1367" s="188">
        <v>110990</v>
      </c>
      <c r="N1367" s="189">
        <v>1020842223</v>
      </c>
      <c r="O1367" t="s">
        <v>2731</v>
      </c>
      <c r="P1367" s="187">
        <v>45072</v>
      </c>
      <c r="Q1367" s="186">
        <v>11439</v>
      </c>
      <c r="R1367" s="185"/>
      <c r="S1367" s="185" t="s">
        <v>1532</v>
      </c>
      <c r="T1367" t="s">
        <v>2729</v>
      </c>
      <c r="U1367" t="str">
        <f>IF($L1367&gt;0,VLOOKUP($E1367,Valida!$A$1:$G$270,6,FALSE),IF($M1367&gt;=0,VLOOKUP($E1367,Valida!$A$1:$G$270,7,FALSE)))</f>
        <v>(+/-) Ajustes por el incremento (disminución) de cuentas por pagar de origen comercial</v>
      </c>
      <c r="V1367" s="190" t="str">
        <f>VLOOKUP(E1367,Valida!$A$2:$K$271,4,FALSE)</f>
        <v>Trade and other payables</v>
      </c>
      <c r="W1367" s="185" t="s">
        <v>1900</v>
      </c>
      <c r="X1367" s="185"/>
      <c r="Y1367" s="185" t="s">
        <v>1789</v>
      </c>
      <c r="Z1367"/>
    </row>
    <row r="1368" spans="1:26">
      <c r="A1368" s="185" t="s">
        <v>2725</v>
      </c>
      <c r="B1368" s="185" t="s">
        <v>2731</v>
      </c>
      <c r="C1368" s="185" t="s">
        <v>1897</v>
      </c>
      <c r="D1368" s="185" t="s">
        <v>2732</v>
      </c>
      <c r="E1368" s="185">
        <v>252005</v>
      </c>
      <c r="F1368" s="185" t="s">
        <v>783</v>
      </c>
      <c r="G1368" s="185" t="s">
        <v>2739</v>
      </c>
      <c r="H1368" s="185" t="s">
        <v>1628</v>
      </c>
      <c r="I1368" s="258" t="str">
        <f t="shared" si="64"/>
        <v>2</v>
      </c>
      <c r="J1368" s="221">
        <f t="shared" si="65"/>
        <v>-143037</v>
      </c>
      <c r="K1368" s="258">
        <f t="shared" si="66"/>
        <v>5</v>
      </c>
      <c r="L1368" s="188">
        <v>0</v>
      </c>
      <c r="M1368" s="188">
        <v>143037</v>
      </c>
      <c r="N1368" s="189">
        <v>1100623759</v>
      </c>
      <c r="O1368" t="s">
        <v>2731</v>
      </c>
      <c r="P1368" s="187">
        <v>45072</v>
      </c>
      <c r="Q1368" s="186">
        <v>11440</v>
      </c>
      <c r="R1368" s="185"/>
      <c r="S1368" s="185" t="s">
        <v>1536</v>
      </c>
      <c r="T1368" t="s">
        <v>2729</v>
      </c>
      <c r="U1368" t="str">
        <f>IF($L1368&gt;0,VLOOKUP($E1368,Valida!$A$1:$G$270,6,FALSE),IF($M1368&gt;=0,VLOOKUP($E1368,Valida!$A$1:$G$270,7,FALSE)))</f>
        <v>(+/-) Ajustes por el incremento (disminución) de cuentas por pagar de origen comercial</v>
      </c>
      <c r="V1368" s="190" t="str">
        <f>VLOOKUP(E1368,Valida!$A$2:$K$271,4,FALSE)</f>
        <v>Trade and other payables</v>
      </c>
      <c r="W1368" s="185" t="s">
        <v>2730</v>
      </c>
      <c r="X1368" s="185"/>
      <c r="Y1368" s="185" t="s">
        <v>1789</v>
      </c>
      <c r="Z1368"/>
    </row>
    <row r="1369" spans="1:26">
      <c r="A1369" s="185" t="s">
        <v>2725</v>
      </c>
      <c r="B1369" s="185" t="s">
        <v>2731</v>
      </c>
      <c r="C1369" s="185" t="s">
        <v>1897</v>
      </c>
      <c r="D1369" s="185" t="s">
        <v>2732</v>
      </c>
      <c r="E1369" s="185">
        <v>252005</v>
      </c>
      <c r="F1369" s="185" t="s">
        <v>783</v>
      </c>
      <c r="G1369" s="185" t="s">
        <v>2739</v>
      </c>
      <c r="H1369" s="185" t="s">
        <v>1628</v>
      </c>
      <c r="I1369" s="258" t="str">
        <f t="shared" si="64"/>
        <v>2</v>
      </c>
      <c r="J1369" s="221">
        <f t="shared" si="65"/>
        <v>-108384</v>
      </c>
      <c r="K1369" s="258">
        <f t="shared" si="66"/>
        <v>5</v>
      </c>
      <c r="L1369" s="188">
        <v>0</v>
      </c>
      <c r="M1369" s="188">
        <v>108384</v>
      </c>
      <c r="N1369" s="189">
        <v>1130744136</v>
      </c>
      <c r="O1369" t="s">
        <v>2731</v>
      </c>
      <c r="P1369" s="187">
        <v>45072</v>
      </c>
      <c r="Q1369" s="186">
        <v>11441</v>
      </c>
      <c r="R1369" s="185"/>
      <c r="S1369" s="185" t="s">
        <v>1538</v>
      </c>
      <c r="T1369" t="s">
        <v>2729</v>
      </c>
      <c r="U1369" t="str">
        <f>IF($L1369&gt;0,VLOOKUP($E1369,Valida!$A$1:$G$270,6,FALSE),IF($M1369&gt;=0,VLOOKUP($E1369,Valida!$A$1:$G$270,7,FALSE)))</f>
        <v>(+/-) Ajustes por el incremento (disminución) de cuentas por pagar de origen comercial</v>
      </c>
      <c r="V1369" s="190" t="str">
        <f>VLOOKUP(E1369,Valida!$A$2:$K$271,4,FALSE)</f>
        <v>Trade and other payables</v>
      </c>
      <c r="W1369" s="185" t="s">
        <v>1909</v>
      </c>
      <c r="X1369" s="185" t="s">
        <v>1910</v>
      </c>
      <c r="Y1369" s="185" t="s">
        <v>1789</v>
      </c>
      <c r="Z1369"/>
    </row>
    <row r="1370" spans="1:26">
      <c r="A1370" s="185" t="s">
        <v>2725</v>
      </c>
      <c r="B1370" s="185" t="s">
        <v>2731</v>
      </c>
      <c r="C1370" s="185" t="s">
        <v>1897</v>
      </c>
      <c r="D1370" s="185" t="s">
        <v>2732</v>
      </c>
      <c r="E1370" s="185">
        <v>252505</v>
      </c>
      <c r="F1370" s="185" t="s">
        <v>787</v>
      </c>
      <c r="G1370" s="185" t="s">
        <v>2740</v>
      </c>
      <c r="H1370" s="185" t="s">
        <v>1628</v>
      </c>
      <c r="I1370" s="258" t="str">
        <f t="shared" si="64"/>
        <v>2</v>
      </c>
      <c r="J1370" s="221">
        <f t="shared" si="65"/>
        <v>-53167</v>
      </c>
      <c r="K1370" s="258">
        <f t="shared" si="66"/>
        <v>5</v>
      </c>
      <c r="L1370" s="188">
        <v>0</v>
      </c>
      <c r="M1370" s="188">
        <v>53167</v>
      </c>
      <c r="N1370" s="189">
        <v>1000018061</v>
      </c>
      <c r="O1370" t="s">
        <v>2731</v>
      </c>
      <c r="P1370" s="187">
        <v>45072</v>
      </c>
      <c r="Q1370" s="186">
        <v>11442</v>
      </c>
      <c r="R1370" s="185"/>
      <c r="S1370" s="185" t="s">
        <v>1522</v>
      </c>
      <c r="T1370" t="s">
        <v>2729</v>
      </c>
      <c r="U1370" t="str">
        <f>IF($L1370&gt;0,VLOOKUP($E1370,Valida!$A$1:$G$270,6,FALSE),IF($M1370&gt;=0,VLOOKUP($E1370,Valida!$A$1:$G$270,7,FALSE)))</f>
        <v>(+/-) Ajustes por el incremento (disminución) de cuentas por pagar de origen comercial</v>
      </c>
      <c r="V1370" s="190" t="str">
        <f>VLOOKUP(E1370,Valida!$A$2:$K$271,4,FALSE)</f>
        <v>Trade and other payables</v>
      </c>
      <c r="W1370" s="185" t="s">
        <v>1978</v>
      </c>
      <c r="X1370" s="185"/>
      <c r="Y1370" s="185" t="s">
        <v>1789</v>
      </c>
      <c r="Z1370"/>
    </row>
    <row r="1371" spans="1:26">
      <c r="A1371" s="185" t="s">
        <v>2725</v>
      </c>
      <c r="B1371" s="185" t="s">
        <v>2731</v>
      </c>
      <c r="C1371" s="185" t="s">
        <v>1897</v>
      </c>
      <c r="D1371" s="185" t="s">
        <v>2732</v>
      </c>
      <c r="E1371" s="185">
        <v>252505</v>
      </c>
      <c r="F1371" s="185" t="s">
        <v>787</v>
      </c>
      <c r="G1371" s="185" t="s">
        <v>2740</v>
      </c>
      <c r="H1371" s="185" t="s">
        <v>1628</v>
      </c>
      <c r="I1371" s="258" t="str">
        <f t="shared" si="64"/>
        <v>2</v>
      </c>
      <c r="J1371" s="221">
        <f t="shared" si="65"/>
        <v>-89844</v>
      </c>
      <c r="K1371" s="258">
        <f t="shared" si="66"/>
        <v>5</v>
      </c>
      <c r="L1371" s="188">
        <v>0</v>
      </c>
      <c r="M1371" s="188">
        <v>89844</v>
      </c>
      <c r="N1371" s="189">
        <v>1000036375</v>
      </c>
      <c r="O1371" t="s">
        <v>2731</v>
      </c>
      <c r="P1371" s="187">
        <v>45072</v>
      </c>
      <c r="Q1371" s="186">
        <v>11443</v>
      </c>
      <c r="R1371" s="185"/>
      <c r="S1371" s="185" t="s">
        <v>1524</v>
      </c>
      <c r="T1371" t="s">
        <v>2729</v>
      </c>
      <c r="U1371" t="str">
        <f>IF($L1371&gt;0,VLOOKUP($E1371,Valida!$A$1:$G$270,6,FALSE),IF($M1371&gt;=0,VLOOKUP($E1371,Valida!$A$1:$G$270,7,FALSE)))</f>
        <v>(+/-) Ajustes por el incremento (disminución) de cuentas por pagar de origen comercial</v>
      </c>
      <c r="V1371" s="190" t="str">
        <f>VLOOKUP(E1371,Valida!$A$2:$K$271,4,FALSE)</f>
        <v>Trade and other payables</v>
      </c>
      <c r="W1371" s="185" t="s">
        <v>1983</v>
      </c>
      <c r="X1371" s="185"/>
      <c r="Y1371" s="185" t="s">
        <v>1789</v>
      </c>
      <c r="Z1371"/>
    </row>
    <row r="1372" spans="1:26">
      <c r="A1372" s="185" t="s">
        <v>2725</v>
      </c>
      <c r="B1372" s="185" t="s">
        <v>2731</v>
      </c>
      <c r="C1372" s="185" t="s">
        <v>1897</v>
      </c>
      <c r="D1372" s="185" t="s">
        <v>2732</v>
      </c>
      <c r="E1372" s="185">
        <v>252505</v>
      </c>
      <c r="F1372" s="185" t="s">
        <v>787</v>
      </c>
      <c r="G1372" s="185" t="s">
        <v>2740</v>
      </c>
      <c r="H1372" s="185" t="s">
        <v>1628</v>
      </c>
      <c r="I1372" s="258" t="str">
        <f t="shared" si="64"/>
        <v>2</v>
      </c>
      <c r="J1372" s="221">
        <f t="shared" si="65"/>
        <v>-62500</v>
      </c>
      <c r="K1372" s="258">
        <f t="shared" si="66"/>
        <v>5</v>
      </c>
      <c r="L1372" s="188">
        <v>0</v>
      </c>
      <c r="M1372" s="188">
        <v>62500</v>
      </c>
      <c r="N1372" s="189">
        <v>1010101811</v>
      </c>
      <c r="O1372" t="s">
        <v>2731</v>
      </c>
      <c r="P1372" s="187">
        <v>45072</v>
      </c>
      <c r="Q1372" s="186">
        <v>11444</v>
      </c>
      <c r="R1372" s="185"/>
      <c r="S1372" s="185" t="s">
        <v>1528</v>
      </c>
      <c r="T1372" t="s">
        <v>2729</v>
      </c>
      <c r="U1372" t="str">
        <f>IF($L1372&gt;0,VLOOKUP($E1372,Valida!$A$1:$G$270,6,FALSE),IF($M1372&gt;=0,VLOOKUP($E1372,Valida!$A$1:$G$270,7,FALSE)))</f>
        <v>(+/-) Ajustes por el incremento (disminución) de cuentas por pagar de origen comercial</v>
      </c>
      <c r="V1372" s="190" t="str">
        <f>VLOOKUP(E1372,Valida!$A$2:$K$271,4,FALSE)</f>
        <v>Trade and other payables</v>
      </c>
      <c r="W1372" s="185" t="s">
        <v>1967</v>
      </c>
      <c r="X1372" s="185"/>
      <c r="Y1372" s="185" t="s">
        <v>1789</v>
      </c>
      <c r="Z1372"/>
    </row>
    <row r="1373" spans="1:26">
      <c r="A1373" s="185" t="s">
        <v>2725</v>
      </c>
      <c r="B1373" s="185" t="s">
        <v>2731</v>
      </c>
      <c r="C1373" s="185" t="s">
        <v>1897</v>
      </c>
      <c r="D1373" s="185" t="s">
        <v>2732</v>
      </c>
      <c r="E1373" s="185">
        <v>252505</v>
      </c>
      <c r="F1373" s="185" t="s">
        <v>787</v>
      </c>
      <c r="G1373" s="185" t="s">
        <v>2740</v>
      </c>
      <c r="H1373" s="185" t="s">
        <v>1628</v>
      </c>
      <c r="I1373" s="258" t="str">
        <f t="shared" si="64"/>
        <v>2</v>
      </c>
      <c r="J1373" s="221">
        <f t="shared" si="65"/>
        <v>-54931</v>
      </c>
      <c r="K1373" s="258">
        <f t="shared" si="66"/>
        <v>5</v>
      </c>
      <c r="L1373" s="188">
        <v>0</v>
      </c>
      <c r="M1373" s="188">
        <v>54931</v>
      </c>
      <c r="N1373" s="189">
        <v>1020842223</v>
      </c>
      <c r="O1373" t="s">
        <v>2731</v>
      </c>
      <c r="P1373" s="187">
        <v>45072</v>
      </c>
      <c r="Q1373" s="186">
        <v>11445</v>
      </c>
      <c r="R1373" s="185"/>
      <c r="S1373" s="185" t="s">
        <v>1532</v>
      </c>
      <c r="T1373" t="s">
        <v>2729</v>
      </c>
      <c r="U1373" t="str">
        <f>IF($L1373&gt;0,VLOOKUP($E1373,Valida!$A$1:$G$270,6,FALSE),IF($M1373&gt;=0,VLOOKUP($E1373,Valida!$A$1:$G$270,7,FALSE)))</f>
        <v>(+/-) Ajustes por el incremento (disminución) de cuentas por pagar de origen comercial</v>
      </c>
      <c r="V1373" s="190" t="str">
        <f>VLOOKUP(E1373,Valida!$A$2:$K$271,4,FALSE)</f>
        <v>Trade and other payables</v>
      </c>
      <c r="W1373" s="185" t="s">
        <v>1900</v>
      </c>
      <c r="X1373" s="185"/>
      <c r="Y1373" s="185" t="s">
        <v>1789</v>
      </c>
      <c r="Z1373"/>
    </row>
    <row r="1374" spans="1:26">
      <c r="A1374" s="185" t="s">
        <v>2725</v>
      </c>
      <c r="B1374" s="185" t="s">
        <v>2731</v>
      </c>
      <c r="C1374" s="185" t="s">
        <v>1897</v>
      </c>
      <c r="D1374" s="185" t="s">
        <v>2732</v>
      </c>
      <c r="E1374" s="185">
        <v>252505</v>
      </c>
      <c r="F1374" s="185" t="s">
        <v>787</v>
      </c>
      <c r="G1374" s="185" t="s">
        <v>2740</v>
      </c>
      <c r="H1374" s="185" t="s">
        <v>1628</v>
      </c>
      <c r="I1374" s="258" t="str">
        <f t="shared" si="64"/>
        <v>2</v>
      </c>
      <c r="J1374" s="221">
        <f t="shared" si="65"/>
        <v>-67222</v>
      </c>
      <c r="K1374" s="258">
        <f t="shared" si="66"/>
        <v>5</v>
      </c>
      <c r="L1374" s="188">
        <v>0</v>
      </c>
      <c r="M1374" s="188">
        <v>67222</v>
      </c>
      <c r="N1374" s="189">
        <v>1100623759</v>
      </c>
      <c r="O1374" t="s">
        <v>2731</v>
      </c>
      <c r="P1374" s="187">
        <v>45072</v>
      </c>
      <c r="Q1374" s="186">
        <v>11446</v>
      </c>
      <c r="R1374" s="185"/>
      <c r="S1374" s="185" t="s">
        <v>1536</v>
      </c>
      <c r="T1374" t="s">
        <v>2729</v>
      </c>
      <c r="U1374" t="str">
        <f>IF($L1374&gt;0,VLOOKUP($E1374,Valida!$A$1:$G$270,6,FALSE),IF($M1374&gt;=0,VLOOKUP($E1374,Valida!$A$1:$G$270,7,FALSE)))</f>
        <v>(+/-) Ajustes por el incremento (disminución) de cuentas por pagar de origen comercial</v>
      </c>
      <c r="V1374" s="190" t="str">
        <f>VLOOKUP(E1374,Valida!$A$2:$K$271,4,FALSE)</f>
        <v>Trade and other payables</v>
      </c>
      <c r="W1374" s="185" t="s">
        <v>2730</v>
      </c>
      <c r="X1374" s="185"/>
      <c r="Y1374" s="185" t="s">
        <v>1789</v>
      </c>
      <c r="Z1374"/>
    </row>
    <row r="1375" spans="1:26">
      <c r="A1375" s="185" t="s">
        <v>2725</v>
      </c>
      <c r="B1375" s="185" t="s">
        <v>2731</v>
      </c>
      <c r="C1375" s="185" t="s">
        <v>1897</v>
      </c>
      <c r="D1375" s="185" t="s">
        <v>2732</v>
      </c>
      <c r="E1375" s="185">
        <v>252505</v>
      </c>
      <c r="F1375" s="185" t="s">
        <v>787</v>
      </c>
      <c r="G1375" s="185" t="s">
        <v>2740</v>
      </c>
      <c r="H1375" s="185" t="s">
        <v>1628</v>
      </c>
      <c r="I1375" s="258" t="str">
        <f t="shared" si="64"/>
        <v>2</v>
      </c>
      <c r="J1375" s="221">
        <f t="shared" si="65"/>
        <v>-48333</v>
      </c>
      <c r="K1375" s="258">
        <f t="shared" si="66"/>
        <v>5</v>
      </c>
      <c r="L1375" s="188">
        <v>0</v>
      </c>
      <c r="M1375" s="188">
        <v>48333</v>
      </c>
      <c r="N1375" s="189">
        <v>1130744136</v>
      </c>
      <c r="O1375" t="s">
        <v>2731</v>
      </c>
      <c r="P1375" s="187">
        <v>45072</v>
      </c>
      <c r="Q1375" s="186">
        <v>11447</v>
      </c>
      <c r="R1375" s="185"/>
      <c r="S1375" s="185" t="s">
        <v>1538</v>
      </c>
      <c r="T1375" t="s">
        <v>2729</v>
      </c>
      <c r="U1375" t="str">
        <f>IF($L1375&gt;0,VLOOKUP($E1375,Valida!$A$1:$G$270,6,FALSE),IF($M1375&gt;=0,VLOOKUP($E1375,Valida!$A$1:$G$270,7,FALSE)))</f>
        <v>(+/-) Ajustes por el incremento (disminución) de cuentas por pagar de origen comercial</v>
      </c>
      <c r="V1375" s="190" t="str">
        <f>VLOOKUP(E1375,Valida!$A$2:$K$271,4,FALSE)</f>
        <v>Trade and other payables</v>
      </c>
      <c r="W1375" s="185" t="s">
        <v>1909</v>
      </c>
      <c r="X1375" s="185" t="s">
        <v>1910</v>
      </c>
      <c r="Y1375" s="185" t="s">
        <v>1789</v>
      </c>
      <c r="Z1375"/>
    </row>
    <row r="1376" spans="1:26">
      <c r="A1376" s="185" t="s">
        <v>2725</v>
      </c>
      <c r="B1376" s="185" t="s">
        <v>2731</v>
      </c>
      <c r="C1376" s="185" t="s">
        <v>1897</v>
      </c>
      <c r="D1376" s="185" t="s">
        <v>2732</v>
      </c>
      <c r="E1376" s="185">
        <v>510530</v>
      </c>
      <c r="F1376" s="185" t="s">
        <v>813</v>
      </c>
      <c r="G1376" s="185" t="s">
        <v>2737</v>
      </c>
      <c r="H1376" s="185" t="s">
        <v>1515</v>
      </c>
      <c r="I1376" s="258" t="str">
        <f t="shared" si="64"/>
        <v>5</v>
      </c>
      <c r="J1376" s="221">
        <f t="shared" si="65"/>
        <v>118051</v>
      </c>
      <c r="K1376" s="258">
        <f t="shared" si="66"/>
        <v>5</v>
      </c>
      <c r="L1376" s="188">
        <v>118051</v>
      </c>
      <c r="M1376" s="188">
        <v>0</v>
      </c>
      <c r="N1376" s="189">
        <v>1000018061</v>
      </c>
      <c r="O1376" t="s">
        <v>2731</v>
      </c>
      <c r="P1376" s="187">
        <v>45072</v>
      </c>
      <c r="Q1376" s="186">
        <v>11448</v>
      </c>
      <c r="R1376" s="185"/>
      <c r="S1376" s="185" t="s">
        <v>1522</v>
      </c>
      <c r="T1376" t="s">
        <v>2729</v>
      </c>
      <c r="U1376" t="str">
        <f>IF($L1376&gt;0,VLOOKUP($E1376,Valida!$A$1:$G$270,6,FALSE),IF($M1376&gt;=0,VLOOKUP($E1376,Valida!$A$1:$G$270,7,FALSE)))</f>
        <v>(+/-) Ganancia (pérdida)</v>
      </c>
      <c r="V1376" s="190" t="str">
        <f>VLOOKUP(E1376,Valida!$A$2:$K$271,4,FALSE)</f>
        <v>P&amp;L</v>
      </c>
      <c r="W1376" s="185" t="s">
        <v>1978</v>
      </c>
      <c r="X1376" s="185"/>
      <c r="Y1376" s="185" t="s">
        <v>1789</v>
      </c>
      <c r="Z1376"/>
    </row>
    <row r="1377" spans="1:26">
      <c r="A1377" s="185" t="s">
        <v>2725</v>
      </c>
      <c r="B1377" s="185" t="s">
        <v>2731</v>
      </c>
      <c r="C1377" s="185" t="s">
        <v>1897</v>
      </c>
      <c r="D1377" s="185" t="s">
        <v>2732</v>
      </c>
      <c r="E1377" s="185">
        <v>510530</v>
      </c>
      <c r="F1377" s="185" t="s">
        <v>813</v>
      </c>
      <c r="G1377" s="185" t="s">
        <v>2737</v>
      </c>
      <c r="H1377" s="185" t="s">
        <v>1515</v>
      </c>
      <c r="I1377" s="258" t="str">
        <f t="shared" si="64"/>
        <v>5</v>
      </c>
      <c r="J1377" s="221">
        <f t="shared" si="65"/>
        <v>191405</v>
      </c>
      <c r="K1377" s="258">
        <f t="shared" si="66"/>
        <v>5</v>
      </c>
      <c r="L1377" s="188">
        <v>191405</v>
      </c>
      <c r="M1377" s="188">
        <v>0</v>
      </c>
      <c r="N1377" s="189">
        <v>1000036375</v>
      </c>
      <c r="O1377" t="s">
        <v>2731</v>
      </c>
      <c r="P1377" s="187">
        <v>45072</v>
      </c>
      <c r="Q1377" s="186">
        <v>11449</v>
      </c>
      <c r="R1377" s="185"/>
      <c r="S1377" s="185" t="s">
        <v>1524</v>
      </c>
      <c r="T1377" t="s">
        <v>2729</v>
      </c>
      <c r="U1377" t="str">
        <f>IF($L1377&gt;0,VLOOKUP($E1377,Valida!$A$1:$G$270,6,FALSE),IF($M1377&gt;=0,VLOOKUP($E1377,Valida!$A$1:$G$270,7,FALSE)))</f>
        <v>(+/-) Ganancia (pérdida)</v>
      </c>
      <c r="V1377" s="190" t="str">
        <f>VLOOKUP(E1377,Valida!$A$2:$K$271,4,FALSE)</f>
        <v>P&amp;L</v>
      </c>
      <c r="W1377" s="185" t="s">
        <v>1983</v>
      </c>
      <c r="X1377" s="185"/>
      <c r="Y1377" s="185" t="s">
        <v>1789</v>
      </c>
      <c r="Z1377"/>
    </row>
    <row r="1378" spans="1:26">
      <c r="A1378" s="185" t="s">
        <v>2725</v>
      </c>
      <c r="B1378" s="185" t="s">
        <v>2731</v>
      </c>
      <c r="C1378" s="185" t="s">
        <v>1897</v>
      </c>
      <c r="D1378" s="185" t="s">
        <v>2732</v>
      </c>
      <c r="E1378" s="185">
        <v>510530</v>
      </c>
      <c r="F1378" s="185" t="s">
        <v>813</v>
      </c>
      <c r="G1378" s="185" t="s">
        <v>2737</v>
      </c>
      <c r="H1378" s="185" t="s">
        <v>1515</v>
      </c>
      <c r="I1378" s="258" t="str">
        <f t="shared" si="64"/>
        <v>5</v>
      </c>
      <c r="J1378" s="221">
        <f t="shared" si="65"/>
        <v>138286</v>
      </c>
      <c r="K1378" s="258">
        <f t="shared" si="66"/>
        <v>5</v>
      </c>
      <c r="L1378" s="188">
        <v>138286</v>
      </c>
      <c r="M1378" s="188">
        <v>0</v>
      </c>
      <c r="N1378" s="189">
        <v>1010101811</v>
      </c>
      <c r="O1378" t="s">
        <v>2731</v>
      </c>
      <c r="P1378" s="187">
        <v>45072</v>
      </c>
      <c r="Q1378" s="186">
        <v>11450</v>
      </c>
      <c r="R1378" s="185"/>
      <c r="S1378" s="185" t="s">
        <v>1528</v>
      </c>
      <c r="T1378" t="s">
        <v>2729</v>
      </c>
      <c r="U1378" t="str">
        <f>IF($L1378&gt;0,VLOOKUP($E1378,Valida!$A$1:$G$270,6,FALSE),IF($M1378&gt;=0,VLOOKUP($E1378,Valida!$A$1:$G$270,7,FALSE)))</f>
        <v>(+/-) Ganancia (pérdida)</v>
      </c>
      <c r="V1378" s="190" t="str">
        <f>VLOOKUP(E1378,Valida!$A$2:$K$271,4,FALSE)</f>
        <v>P&amp;L</v>
      </c>
      <c r="W1378" s="185" t="s">
        <v>1967</v>
      </c>
      <c r="X1378" s="185"/>
      <c r="Y1378" s="185" t="s">
        <v>1789</v>
      </c>
      <c r="Z1378"/>
    </row>
    <row r="1379" spans="1:26">
      <c r="A1379" s="185" t="s">
        <v>2725</v>
      </c>
      <c r="B1379" s="185" t="s">
        <v>2731</v>
      </c>
      <c r="C1379" s="185" t="s">
        <v>1897</v>
      </c>
      <c r="D1379" s="185" t="s">
        <v>2732</v>
      </c>
      <c r="E1379" s="185">
        <v>510530</v>
      </c>
      <c r="F1379" s="185" t="s">
        <v>813</v>
      </c>
      <c r="G1379" s="185" t="s">
        <v>2737</v>
      </c>
      <c r="H1379" s="185" t="s">
        <v>1515</v>
      </c>
      <c r="I1379" s="258" t="str">
        <f t="shared" si="64"/>
        <v>5</v>
      </c>
      <c r="J1379" s="221">
        <f t="shared" si="65"/>
        <v>110990</v>
      </c>
      <c r="K1379" s="258">
        <f t="shared" si="66"/>
        <v>5</v>
      </c>
      <c r="L1379" s="188">
        <v>110990</v>
      </c>
      <c r="M1379" s="188">
        <v>0</v>
      </c>
      <c r="N1379" s="189">
        <v>1020842223</v>
      </c>
      <c r="O1379" t="s">
        <v>2731</v>
      </c>
      <c r="P1379" s="187">
        <v>45072</v>
      </c>
      <c r="Q1379" s="186">
        <v>11451</v>
      </c>
      <c r="R1379" s="185"/>
      <c r="S1379" s="185" t="s">
        <v>1532</v>
      </c>
      <c r="T1379" t="s">
        <v>2729</v>
      </c>
      <c r="U1379" t="str">
        <f>IF($L1379&gt;0,VLOOKUP($E1379,Valida!$A$1:$G$270,6,FALSE),IF($M1379&gt;=0,VLOOKUP($E1379,Valida!$A$1:$G$270,7,FALSE)))</f>
        <v>(+/-) Ganancia (pérdida)</v>
      </c>
      <c r="V1379" s="190" t="str">
        <f>VLOOKUP(E1379,Valida!$A$2:$K$271,4,FALSE)</f>
        <v>P&amp;L</v>
      </c>
      <c r="W1379" s="185" t="s">
        <v>1900</v>
      </c>
      <c r="X1379" s="185"/>
      <c r="Y1379" s="185" t="s">
        <v>1789</v>
      </c>
      <c r="Z1379"/>
    </row>
    <row r="1380" spans="1:26">
      <c r="A1380" s="185" t="s">
        <v>2725</v>
      </c>
      <c r="B1380" s="185" t="s">
        <v>2731</v>
      </c>
      <c r="C1380" s="185" t="s">
        <v>1897</v>
      </c>
      <c r="D1380" s="185" t="s">
        <v>2732</v>
      </c>
      <c r="E1380" s="185">
        <v>510530</v>
      </c>
      <c r="F1380" s="185" t="s">
        <v>813</v>
      </c>
      <c r="G1380" s="185" t="s">
        <v>2737</v>
      </c>
      <c r="H1380" s="185" t="s">
        <v>1515</v>
      </c>
      <c r="I1380" s="258" t="str">
        <f t="shared" si="64"/>
        <v>5</v>
      </c>
      <c r="J1380" s="221">
        <f t="shared" si="65"/>
        <v>143037</v>
      </c>
      <c r="K1380" s="258">
        <f t="shared" si="66"/>
        <v>5</v>
      </c>
      <c r="L1380" s="188">
        <v>143037</v>
      </c>
      <c r="M1380" s="188">
        <v>0</v>
      </c>
      <c r="N1380" s="189">
        <v>1100623759</v>
      </c>
      <c r="O1380" t="s">
        <v>2731</v>
      </c>
      <c r="P1380" s="187">
        <v>45072</v>
      </c>
      <c r="Q1380" s="186">
        <v>11452</v>
      </c>
      <c r="R1380" s="185"/>
      <c r="S1380" s="185" t="s">
        <v>1536</v>
      </c>
      <c r="T1380" t="s">
        <v>2729</v>
      </c>
      <c r="U1380" t="str">
        <f>IF($L1380&gt;0,VLOOKUP($E1380,Valida!$A$1:$G$270,6,FALSE),IF($M1380&gt;=0,VLOOKUP($E1380,Valida!$A$1:$G$270,7,FALSE)))</f>
        <v>(+/-) Ganancia (pérdida)</v>
      </c>
      <c r="V1380" s="190" t="str">
        <f>VLOOKUP(E1380,Valida!$A$2:$K$271,4,FALSE)</f>
        <v>P&amp;L</v>
      </c>
      <c r="W1380" s="185" t="s">
        <v>2730</v>
      </c>
      <c r="X1380" s="185"/>
      <c r="Y1380" s="185" t="s">
        <v>1789</v>
      </c>
      <c r="Z1380"/>
    </row>
    <row r="1381" spans="1:26">
      <c r="A1381" s="185" t="s">
        <v>2725</v>
      </c>
      <c r="B1381" s="185" t="s">
        <v>2731</v>
      </c>
      <c r="C1381" s="185" t="s">
        <v>1897</v>
      </c>
      <c r="D1381" s="185" t="s">
        <v>2732</v>
      </c>
      <c r="E1381" s="185">
        <v>510530</v>
      </c>
      <c r="F1381" s="185" t="s">
        <v>813</v>
      </c>
      <c r="G1381" s="185" t="s">
        <v>2737</v>
      </c>
      <c r="H1381" s="185" t="s">
        <v>1515</v>
      </c>
      <c r="I1381" s="258" t="str">
        <f t="shared" si="64"/>
        <v>5</v>
      </c>
      <c r="J1381" s="221">
        <f t="shared" si="65"/>
        <v>108384</v>
      </c>
      <c r="K1381" s="258">
        <f t="shared" si="66"/>
        <v>5</v>
      </c>
      <c r="L1381" s="188">
        <v>108384</v>
      </c>
      <c r="M1381" s="188">
        <v>0</v>
      </c>
      <c r="N1381" s="189">
        <v>1130744136</v>
      </c>
      <c r="O1381" t="s">
        <v>2731</v>
      </c>
      <c r="P1381" s="187">
        <v>45072</v>
      </c>
      <c r="Q1381" s="186">
        <v>11453</v>
      </c>
      <c r="R1381" s="185"/>
      <c r="S1381" s="185" t="s">
        <v>1538</v>
      </c>
      <c r="T1381" t="s">
        <v>2729</v>
      </c>
      <c r="U1381" t="str">
        <f>IF($L1381&gt;0,VLOOKUP($E1381,Valida!$A$1:$G$270,6,FALSE),IF($M1381&gt;=0,VLOOKUP($E1381,Valida!$A$1:$G$270,7,FALSE)))</f>
        <v>(+/-) Ganancia (pérdida)</v>
      </c>
      <c r="V1381" s="190" t="str">
        <f>VLOOKUP(E1381,Valida!$A$2:$K$271,4,FALSE)</f>
        <v>P&amp;L</v>
      </c>
      <c r="W1381" s="185" t="s">
        <v>1909</v>
      </c>
      <c r="X1381" s="185" t="s">
        <v>1910</v>
      </c>
      <c r="Y1381" s="185" t="s">
        <v>1789</v>
      </c>
      <c r="Z1381"/>
    </row>
    <row r="1382" spans="1:26">
      <c r="A1382" s="185" t="s">
        <v>2725</v>
      </c>
      <c r="B1382" s="185" t="s">
        <v>2731</v>
      </c>
      <c r="C1382" s="185" t="s">
        <v>1897</v>
      </c>
      <c r="D1382" s="185" t="s">
        <v>2732</v>
      </c>
      <c r="E1382" s="185">
        <v>510533</v>
      </c>
      <c r="F1382" s="185" t="s">
        <v>779</v>
      </c>
      <c r="G1382" s="185" t="s">
        <v>2738</v>
      </c>
      <c r="H1382" s="185" t="s">
        <v>1515</v>
      </c>
      <c r="I1382" s="258" t="str">
        <f t="shared" si="64"/>
        <v>5</v>
      </c>
      <c r="J1382" s="221">
        <f t="shared" si="65"/>
        <v>7259</v>
      </c>
      <c r="K1382" s="258">
        <f t="shared" si="66"/>
        <v>5</v>
      </c>
      <c r="L1382" s="188">
        <v>7259</v>
      </c>
      <c r="M1382" s="188">
        <v>0</v>
      </c>
      <c r="N1382" s="189">
        <v>1000018061</v>
      </c>
      <c r="O1382" t="s">
        <v>2731</v>
      </c>
      <c r="P1382" s="187">
        <v>45072</v>
      </c>
      <c r="Q1382" s="186">
        <v>11454</v>
      </c>
      <c r="R1382" s="185"/>
      <c r="S1382" s="185" t="s">
        <v>1522</v>
      </c>
      <c r="T1382" t="s">
        <v>2729</v>
      </c>
      <c r="U1382" t="str">
        <f>IF($L1382&gt;0,VLOOKUP($E1382,Valida!$A$1:$G$270,6,FALSE),IF($M1382&gt;=0,VLOOKUP($E1382,Valida!$A$1:$G$270,7,FALSE)))</f>
        <v>(+/-) Ganancia (pérdida)</v>
      </c>
      <c r="V1382" s="190" t="str">
        <f>VLOOKUP(E1382,Valida!$A$2:$K$271,4,FALSE)</f>
        <v>P&amp;L</v>
      </c>
      <c r="W1382" s="185" t="s">
        <v>1978</v>
      </c>
      <c r="X1382" s="185"/>
      <c r="Y1382" s="185" t="s">
        <v>1789</v>
      </c>
      <c r="Z1382"/>
    </row>
    <row r="1383" spans="1:26">
      <c r="A1383" s="185" t="s">
        <v>2725</v>
      </c>
      <c r="B1383" s="185" t="s">
        <v>2731</v>
      </c>
      <c r="C1383" s="185" t="s">
        <v>1897</v>
      </c>
      <c r="D1383" s="185" t="s">
        <v>2732</v>
      </c>
      <c r="E1383" s="185">
        <v>510533</v>
      </c>
      <c r="F1383" s="185" t="s">
        <v>779</v>
      </c>
      <c r="G1383" s="185" t="s">
        <v>2738</v>
      </c>
      <c r="H1383" s="185" t="s">
        <v>1515</v>
      </c>
      <c r="I1383" s="258" t="str">
        <f t="shared" si="64"/>
        <v>5</v>
      </c>
      <c r="J1383" s="221">
        <f t="shared" si="65"/>
        <v>8610</v>
      </c>
      <c r="K1383" s="258">
        <f t="shared" si="66"/>
        <v>5</v>
      </c>
      <c r="L1383" s="188">
        <v>8610</v>
      </c>
      <c r="M1383" s="188">
        <v>0</v>
      </c>
      <c r="N1383" s="189">
        <v>1000036375</v>
      </c>
      <c r="O1383" t="s">
        <v>2731</v>
      </c>
      <c r="P1383" s="187">
        <v>45072</v>
      </c>
      <c r="Q1383" s="186">
        <v>11455</v>
      </c>
      <c r="R1383" s="185"/>
      <c r="S1383" s="185" t="s">
        <v>1524</v>
      </c>
      <c r="T1383" t="s">
        <v>2729</v>
      </c>
      <c r="U1383" t="str">
        <f>IF($L1383&gt;0,VLOOKUP($E1383,Valida!$A$1:$G$270,6,FALSE),IF($M1383&gt;=0,VLOOKUP($E1383,Valida!$A$1:$G$270,7,FALSE)))</f>
        <v>(+/-) Ganancia (pérdida)</v>
      </c>
      <c r="V1383" s="190" t="str">
        <f>VLOOKUP(E1383,Valida!$A$2:$K$271,4,FALSE)</f>
        <v>P&amp;L</v>
      </c>
      <c r="W1383" s="185" t="s">
        <v>1983</v>
      </c>
      <c r="X1383" s="185"/>
      <c r="Y1383" s="185" t="s">
        <v>1789</v>
      </c>
      <c r="Z1383"/>
    </row>
    <row r="1384" spans="1:26">
      <c r="A1384" s="185" t="s">
        <v>2725</v>
      </c>
      <c r="B1384" s="185" t="s">
        <v>2731</v>
      </c>
      <c r="C1384" s="185" t="s">
        <v>1897</v>
      </c>
      <c r="D1384" s="185" t="s">
        <v>2732</v>
      </c>
      <c r="E1384" s="185">
        <v>510533</v>
      </c>
      <c r="F1384" s="185" t="s">
        <v>779</v>
      </c>
      <c r="G1384" s="185" t="s">
        <v>2738</v>
      </c>
      <c r="H1384" s="185" t="s">
        <v>1515</v>
      </c>
      <c r="I1384" s="258" t="str">
        <f t="shared" si="64"/>
        <v>5</v>
      </c>
      <c r="J1384" s="221">
        <f t="shared" si="65"/>
        <v>12541</v>
      </c>
      <c r="K1384" s="258">
        <f t="shared" si="66"/>
        <v>5</v>
      </c>
      <c r="L1384" s="188">
        <v>12541</v>
      </c>
      <c r="M1384" s="188">
        <v>0</v>
      </c>
      <c r="N1384" s="189">
        <v>1010101811</v>
      </c>
      <c r="O1384" t="s">
        <v>2731</v>
      </c>
      <c r="P1384" s="187">
        <v>45072</v>
      </c>
      <c r="Q1384" s="186">
        <v>11456</v>
      </c>
      <c r="R1384" s="185"/>
      <c r="S1384" s="185" t="s">
        <v>1528</v>
      </c>
      <c r="T1384" t="s">
        <v>2729</v>
      </c>
      <c r="U1384" t="str">
        <f>IF($L1384&gt;0,VLOOKUP($E1384,Valida!$A$1:$G$270,6,FALSE),IF($M1384&gt;=0,VLOOKUP($E1384,Valida!$A$1:$G$270,7,FALSE)))</f>
        <v>(+/-) Ganancia (pérdida)</v>
      </c>
      <c r="V1384" s="190" t="str">
        <f>VLOOKUP(E1384,Valida!$A$2:$K$271,4,FALSE)</f>
        <v>P&amp;L</v>
      </c>
      <c r="W1384" s="185" t="s">
        <v>1967</v>
      </c>
      <c r="X1384" s="185"/>
      <c r="Y1384" s="185" t="s">
        <v>1789</v>
      </c>
      <c r="Z1384"/>
    </row>
    <row r="1385" spans="1:26">
      <c r="A1385" s="185" t="s">
        <v>2725</v>
      </c>
      <c r="B1385" s="185" t="s">
        <v>2731</v>
      </c>
      <c r="C1385" s="185" t="s">
        <v>1897</v>
      </c>
      <c r="D1385" s="185" t="s">
        <v>2732</v>
      </c>
      <c r="E1385" s="185">
        <v>510533</v>
      </c>
      <c r="F1385" s="185" t="s">
        <v>779</v>
      </c>
      <c r="G1385" s="185" t="s">
        <v>2738</v>
      </c>
      <c r="H1385" s="185" t="s">
        <v>1515</v>
      </c>
      <c r="I1385" s="258" t="str">
        <f t="shared" si="64"/>
        <v>5</v>
      </c>
      <c r="J1385" s="221">
        <f t="shared" si="65"/>
        <v>7840</v>
      </c>
      <c r="K1385" s="258">
        <f t="shared" si="66"/>
        <v>5</v>
      </c>
      <c r="L1385" s="188">
        <v>7840</v>
      </c>
      <c r="M1385" s="188">
        <v>0</v>
      </c>
      <c r="N1385" s="189">
        <v>1020842223</v>
      </c>
      <c r="O1385" t="s">
        <v>2731</v>
      </c>
      <c r="P1385" s="187">
        <v>45072</v>
      </c>
      <c r="Q1385" s="186">
        <v>11457</v>
      </c>
      <c r="R1385" s="185"/>
      <c r="S1385" s="185" t="s">
        <v>1532</v>
      </c>
      <c r="T1385" t="s">
        <v>2729</v>
      </c>
      <c r="U1385" t="str">
        <f>IF($L1385&gt;0,VLOOKUP($E1385,Valida!$A$1:$G$270,6,FALSE),IF($M1385&gt;=0,VLOOKUP($E1385,Valida!$A$1:$G$270,7,FALSE)))</f>
        <v>(+/-) Ganancia (pérdida)</v>
      </c>
      <c r="V1385" s="190" t="str">
        <f>VLOOKUP(E1385,Valida!$A$2:$K$271,4,FALSE)</f>
        <v>P&amp;L</v>
      </c>
      <c r="W1385" s="185" t="s">
        <v>1900</v>
      </c>
      <c r="X1385" s="185"/>
      <c r="Y1385" s="185" t="s">
        <v>1789</v>
      </c>
      <c r="Z1385"/>
    </row>
    <row r="1386" spans="1:26">
      <c r="A1386" s="185" t="s">
        <v>2725</v>
      </c>
      <c r="B1386" s="185" t="s">
        <v>2731</v>
      </c>
      <c r="C1386" s="185" t="s">
        <v>1897</v>
      </c>
      <c r="D1386" s="185" t="s">
        <v>2732</v>
      </c>
      <c r="E1386" s="185">
        <v>510533</v>
      </c>
      <c r="F1386" s="185" t="s">
        <v>779</v>
      </c>
      <c r="G1386" s="185" t="s">
        <v>2738</v>
      </c>
      <c r="H1386" s="185" t="s">
        <v>1515</v>
      </c>
      <c r="I1386" s="258" t="str">
        <f t="shared" si="64"/>
        <v>5</v>
      </c>
      <c r="J1386" s="221">
        <f t="shared" si="65"/>
        <v>1049</v>
      </c>
      <c r="K1386" s="258">
        <f t="shared" si="66"/>
        <v>5</v>
      </c>
      <c r="L1386" s="188">
        <v>1049</v>
      </c>
      <c r="M1386" s="188">
        <v>0</v>
      </c>
      <c r="N1386" s="189">
        <v>1100623759</v>
      </c>
      <c r="O1386" t="s">
        <v>2731</v>
      </c>
      <c r="P1386" s="187">
        <v>45072</v>
      </c>
      <c r="Q1386" s="186">
        <v>11458</v>
      </c>
      <c r="R1386" s="185"/>
      <c r="S1386" s="185" t="s">
        <v>1536</v>
      </c>
      <c r="T1386" t="s">
        <v>2729</v>
      </c>
      <c r="U1386" t="str">
        <f>IF($L1386&gt;0,VLOOKUP($E1386,Valida!$A$1:$G$270,6,FALSE),IF($M1386&gt;=0,VLOOKUP($E1386,Valida!$A$1:$G$270,7,FALSE)))</f>
        <v>(+/-) Ganancia (pérdida)</v>
      </c>
      <c r="V1386" s="190" t="str">
        <f>VLOOKUP(E1386,Valida!$A$2:$K$271,4,FALSE)</f>
        <v>P&amp;L</v>
      </c>
      <c r="W1386" s="185" t="s">
        <v>2730</v>
      </c>
      <c r="X1386" s="185"/>
      <c r="Y1386" s="185" t="s">
        <v>1789</v>
      </c>
      <c r="Z1386"/>
    </row>
    <row r="1387" spans="1:26">
      <c r="A1387" s="185" t="s">
        <v>2725</v>
      </c>
      <c r="B1387" s="185" t="s">
        <v>2731</v>
      </c>
      <c r="C1387" s="185" t="s">
        <v>1897</v>
      </c>
      <c r="D1387" s="185" t="s">
        <v>2732</v>
      </c>
      <c r="E1387" s="185">
        <v>510533</v>
      </c>
      <c r="F1387" s="185" t="s">
        <v>779</v>
      </c>
      <c r="G1387" s="185" t="s">
        <v>2738</v>
      </c>
      <c r="H1387" s="185" t="s">
        <v>1515</v>
      </c>
      <c r="I1387" s="258" t="str">
        <f t="shared" si="64"/>
        <v>5</v>
      </c>
      <c r="J1387" s="221">
        <f t="shared" si="65"/>
        <v>9755</v>
      </c>
      <c r="K1387" s="258">
        <f t="shared" si="66"/>
        <v>5</v>
      </c>
      <c r="L1387" s="188">
        <v>9755</v>
      </c>
      <c r="M1387" s="188">
        <v>0</v>
      </c>
      <c r="N1387" s="189">
        <v>1130744136</v>
      </c>
      <c r="O1387" t="s">
        <v>2731</v>
      </c>
      <c r="P1387" s="187">
        <v>45072</v>
      </c>
      <c r="Q1387" s="186">
        <v>11459</v>
      </c>
      <c r="R1387" s="185"/>
      <c r="S1387" s="185" t="s">
        <v>1538</v>
      </c>
      <c r="T1387" t="s">
        <v>2729</v>
      </c>
      <c r="U1387" t="str">
        <f>IF($L1387&gt;0,VLOOKUP($E1387,Valida!$A$1:$G$270,6,FALSE),IF($M1387&gt;=0,VLOOKUP($E1387,Valida!$A$1:$G$270,7,FALSE)))</f>
        <v>(+/-) Ganancia (pérdida)</v>
      </c>
      <c r="V1387" s="190" t="str">
        <f>VLOOKUP(E1387,Valida!$A$2:$K$271,4,FALSE)</f>
        <v>P&amp;L</v>
      </c>
      <c r="W1387" s="185" t="s">
        <v>1909</v>
      </c>
      <c r="X1387" s="185" t="s">
        <v>1910</v>
      </c>
      <c r="Y1387" s="185" t="s">
        <v>1789</v>
      </c>
      <c r="Z1387"/>
    </row>
    <row r="1388" spans="1:26">
      <c r="A1388" s="185" t="s">
        <v>2725</v>
      </c>
      <c r="B1388" s="185" t="s">
        <v>2731</v>
      </c>
      <c r="C1388" s="185" t="s">
        <v>1897</v>
      </c>
      <c r="D1388" s="185" t="s">
        <v>2732</v>
      </c>
      <c r="E1388" s="185">
        <v>510536</v>
      </c>
      <c r="F1388" s="185" t="s">
        <v>783</v>
      </c>
      <c r="G1388" s="185" t="s">
        <v>2739</v>
      </c>
      <c r="H1388" s="185" t="s">
        <v>1515</v>
      </c>
      <c r="I1388" s="258" t="str">
        <f t="shared" si="64"/>
        <v>5</v>
      </c>
      <c r="J1388" s="221">
        <f t="shared" si="65"/>
        <v>118051</v>
      </c>
      <c r="K1388" s="258">
        <f t="shared" si="66"/>
        <v>5</v>
      </c>
      <c r="L1388" s="188">
        <v>118051</v>
      </c>
      <c r="M1388" s="188">
        <v>0</v>
      </c>
      <c r="N1388" s="189">
        <v>1000018061</v>
      </c>
      <c r="O1388" t="s">
        <v>2731</v>
      </c>
      <c r="P1388" s="187">
        <v>45072</v>
      </c>
      <c r="Q1388" s="186">
        <v>11460</v>
      </c>
      <c r="R1388" s="185"/>
      <c r="S1388" s="185" t="s">
        <v>1522</v>
      </c>
      <c r="T1388" t="s">
        <v>2729</v>
      </c>
      <c r="U1388" t="str">
        <f>IF($L1388&gt;0,VLOOKUP($E1388,Valida!$A$1:$G$270,6,FALSE),IF($M1388&gt;=0,VLOOKUP($E1388,Valida!$A$1:$G$270,7,FALSE)))</f>
        <v>(+/-) Ganancia (pérdida)</v>
      </c>
      <c r="V1388" s="190" t="str">
        <f>VLOOKUP(E1388,Valida!$A$2:$K$271,4,FALSE)</f>
        <v>P&amp;L</v>
      </c>
      <c r="W1388" s="185" t="s">
        <v>1978</v>
      </c>
      <c r="X1388" s="185"/>
      <c r="Y1388" s="185" t="s">
        <v>1789</v>
      </c>
      <c r="Z1388"/>
    </row>
    <row r="1389" spans="1:26">
      <c r="A1389" s="185" t="s">
        <v>2725</v>
      </c>
      <c r="B1389" s="185" t="s">
        <v>2731</v>
      </c>
      <c r="C1389" s="185" t="s">
        <v>1897</v>
      </c>
      <c r="D1389" s="185" t="s">
        <v>2732</v>
      </c>
      <c r="E1389" s="185">
        <v>510536</v>
      </c>
      <c r="F1389" s="185" t="s">
        <v>783</v>
      </c>
      <c r="G1389" s="185" t="s">
        <v>2739</v>
      </c>
      <c r="H1389" s="185" t="s">
        <v>1515</v>
      </c>
      <c r="I1389" s="258" t="str">
        <f t="shared" si="64"/>
        <v>5</v>
      </c>
      <c r="J1389" s="221">
        <f t="shared" si="65"/>
        <v>191405</v>
      </c>
      <c r="K1389" s="258">
        <f t="shared" si="66"/>
        <v>5</v>
      </c>
      <c r="L1389" s="188">
        <v>191405</v>
      </c>
      <c r="M1389" s="188">
        <v>0</v>
      </c>
      <c r="N1389" s="189">
        <v>1000036375</v>
      </c>
      <c r="O1389" t="s">
        <v>2731</v>
      </c>
      <c r="P1389" s="187">
        <v>45072</v>
      </c>
      <c r="Q1389" s="186">
        <v>11461</v>
      </c>
      <c r="R1389" s="185"/>
      <c r="S1389" s="185" t="s">
        <v>1524</v>
      </c>
      <c r="T1389" t="s">
        <v>2729</v>
      </c>
      <c r="U1389" t="str">
        <f>IF($L1389&gt;0,VLOOKUP($E1389,Valida!$A$1:$G$270,6,FALSE),IF($M1389&gt;=0,VLOOKUP($E1389,Valida!$A$1:$G$270,7,FALSE)))</f>
        <v>(+/-) Ganancia (pérdida)</v>
      </c>
      <c r="V1389" s="190" t="str">
        <f>VLOOKUP(E1389,Valida!$A$2:$K$271,4,FALSE)</f>
        <v>P&amp;L</v>
      </c>
      <c r="W1389" s="185" t="s">
        <v>1983</v>
      </c>
      <c r="X1389" s="185"/>
      <c r="Y1389" s="185" t="s">
        <v>1789</v>
      </c>
      <c r="Z1389"/>
    </row>
    <row r="1390" spans="1:26">
      <c r="A1390" s="185" t="s">
        <v>2725</v>
      </c>
      <c r="B1390" s="185" t="s">
        <v>2731</v>
      </c>
      <c r="C1390" s="185" t="s">
        <v>1897</v>
      </c>
      <c r="D1390" s="185" t="s">
        <v>2732</v>
      </c>
      <c r="E1390" s="185">
        <v>510536</v>
      </c>
      <c r="F1390" s="185" t="s">
        <v>783</v>
      </c>
      <c r="G1390" s="185" t="s">
        <v>2739</v>
      </c>
      <c r="H1390" s="185" t="s">
        <v>1515</v>
      </c>
      <c r="I1390" s="258" t="str">
        <f t="shared" si="64"/>
        <v>5</v>
      </c>
      <c r="J1390" s="221">
        <f t="shared" si="65"/>
        <v>136717</v>
      </c>
      <c r="K1390" s="258">
        <f t="shared" si="66"/>
        <v>5</v>
      </c>
      <c r="L1390" s="188">
        <v>136717</v>
      </c>
      <c r="M1390" s="188">
        <v>0</v>
      </c>
      <c r="N1390" s="189">
        <v>1010101811</v>
      </c>
      <c r="O1390" t="s">
        <v>2731</v>
      </c>
      <c r="P1390" s="187">
        <v>45072</v>
      </c>
      <c r="Q1390" s="186">
        <v>11462</v>
      </c>
      <c r="R1390" s="185"/>
      <c r="S1390" s="185" t="s">
        <v>1528</v>
      </c>
      <c r="T1390" t="s">
        <v>2729</v>
      </c>
      <c r="U1390" t="str">
        <f>IF($L1390&gt;0,VLOOKUP($E1390,Valida!$A$1:$G$270,6,FALSE),IF($M1390&gt;=0,VLOOKUP($E1390,Valida!$A$1:$G$270,7,FALSE)))</f>
        <v>(+/-) Ganancia (pérdida)</v>
      </c>
      <c r="V1390" s="190" t="str">
        <f>VLOOKUP(E1390,Valida!$A$2:$K$271,4,FALSE)</f>
        <v>P&amp;L</v>
      </c>
      <c r="W1390" s="185" t="s">
        <v>1967</v>
      </c>
      <c r="X1390" s="185"/>
      <c r="Y1390" s="185" t="s">
        <v>1789</v>
      </c>
      <c r="Z1390"/>
    </row>
    <row r="1391" spans="1:26">
      <c r="A1391" s="185" t="s">
        <v>2725</v>
      </c>
      <c r="B1391" s="185" t="s">
        <v>2731</v>
      </c>
      <c r="C1391" s="185" t="s">
        <v>1897</v>
      </c>
      <c r="D1391" s="185" t="s">
        <v>2732</v>
      </c>
      <c r="E1391" s="185">
        <v>510536</v>
      </c>
      <c r="F1391" s="185" t="s">
        <v>783</v>
      </c>
      <c r="G1391" s="185" t="s">
        <v>2739</v>
      </c>
      <c r="H1391" s="185" t="s">
        <v>1515</v>
      </c>
      <c r="I1391" s="258" t="str">
        <f t="shared" si="64"/>
        <v>5</v>
      </c>
      <c r="J1391" s="221">
        <f t="shared" si="65"/>
        <v>110990</v>
      </c>
      <c r="K1391" s="258">
        <f t="shared" si="66"/>
        <v>5</v>
      </c>
      <c r="L1391" s="188">
        <v>110990</v>
      </c>
      <c r="M1391" s="188">
        <v>0</v>
      </c>
      <c r="N1391" s="189">
        <v>1020842223</v>
      </c>
      <c r="O1391" t="s">
        <v>2731</v>
      </c>
      <c r="P1391" s="187">
        <v>45072</v>
      </c>
      <c r="Q1391" s="186">
        <v>11463</v>
      </c>
      <c r="R1391" s="185"/>
      <c r="S1391" s="185" t="s">
        <v>1532</v>
      </c>
      <c r="T1391" t="s">
        <v>2729</v>
      </c>
      <c r="U1391" t="str">
        <f>IF($L1391&gt;0,VLOOKUP($E1391,Valida!$A$1:$G$270,6,FALSE),IF($M1391&gt;=0,VLOOKUP($E1391,Valida!$A$1:$G$270,7,FALSE)))</f>
        <v>(+/-) Ganancia (pérdida)</v>
      </c>
      <c r="V1391" s="190" t="str">
        <f>VLOOKUP(E1391,Valida!$A$2:$K$271,4,FALSE)</f>
        <v>P&amp;L</v>
      </c>
      <c r="W1391" s="185" t="s">
        <v>1900</v>
      </c>
      <c r="X1391" s="185"/>
      <c r="Y1391" s="185" t="s">
        <v>1789</v>
      </c>
      <c r="Z1391"/>
    </row>
    <row r="1392" spans="1:26">
      <c r="A1392" s="185" t="s">
        <v>2725</v>
      </c>
      <c r="B1392" s="185" t="s">
        <v>2731</v>
      </c>
      <c r="C1392" s="185" t="s">
        <v>1897</v>
      </c>
      <c r="D1392" s="185" t="s">
        <v>2732</v>
      </c>
      <c r="E1392" s="185">
        <v>510536</v>
      </c>
      <c r="F1392" s="185" t="s">
        <v>783</v>
      </c>
      <c r="G1392" s="185" t="s">
        <v>2739</v>
      </c>
      <c r="H1392" s="185" t="s">
        <v>1515</v>
      </c>
      <c r="I1392" s="258" t="str">
        <f t="shared" si="64"/>
        <v>5</v>
      </c>
      <c r="J1392" s="221">
        <f t="shared" si="65"/>
        <v>143037</v>
      </c>
      <c r="K1392" s="258">
        <f t="shared" si="66"/>
        <v>5</v>
      </c>
      <c r="L1392" s="188">
        <v>143037</v>
      </c>
      <c r="M1392" s="188">
        <v>0</v>
      </c>
      <c r="N1392" s="189">
        <v>1100623759</v>
      </c>
      <c r="O1392" t="s">
        <v>2731</v>
      </c>
      <c r="P1392" s="187">
        <v>45072</v>
      </c>
      <c r="Q1392" s="186">
        <v>11464</v>
      </c>
      <c r="R1392" s="185"/>
      <c r="S1392" s="185" t="s">
        <v>1536</v>
      </c>
      <c r="T1392" t="s">
        <v>2729</v>
      </c>
      <c r="U1392" t="str">
        <f>IF($L1392&gt;0,VLOOKUP($E1392,Valida!$A$1:$G$270,6,FALSE),IF($M1392&gt;=0,VLOOKUP($E1392,Valida!$A$1:$G$270,7,FALSE)))</f>
        <v>(+/-) Ganancia (pérdida)</v>
      </c>
      <c r="V1392" s="190" t="str">
        <f>VLOOKUP(E1392,Valida!$A$2:$K$271,4,FALSE)</f>
        <v>P&amp;L</v>
      </c>
      <c r="W1392" s="185" t="s">
        <v>2730</v>
      </c>
      <c r="X1392" s="185"/>
      <c r="Y1392" s="185" t="s">
        <v>1789</v>
      </c>
      <c r="Z1392"/>
    </row>
    <row r="1393" spans="1:26">
      <c r="A1393" s="185" t="s">
        <v>2725</v>
      </c>
      <c r="B1393" s="185" t="s">
        <v>2731</v>
      </c>
      <c r="C1393" s="185" t="s">
        <v>1897</v>
      </c>
      <c r="D1393" s="185" t="s">
        <v>2732</v>
      </c>
      <c r="E1393" s="185">
        <v>510536</v>
      </c>
      <c r="F1393" s="185" t="s">
        <v>783</v>
      </c>
      <c r="G1393" s="185" t="s">
        <v>2739</v>
      </c>
      <c r="H1393" s="185" t="s">
        <v>1515</v>
      </c>
      <c r="I1393" s="258" t="str">
        <f t="shared" si="64"/>
        <v>5</v>
      </c>
      <c r="J1393" s="221">
        <f t="shared" si="65"/>
        <v>108384</v>
      </c>
      <c r="K1393" s="258">
        <f t="shared" si="66"/>
        <v>5</v>
      </c>
      <c r="L1393" s="188">
        <v>108384</v>
      </c>
      <c r="M1393" s="188">
        <v>0</v>
      </c>
      <c r="N1393" s="189">
        <v>1130744136</v>
      </c>
      <c r="O1393" t="s">
        <v>2731</v>
      </c>
      <c r="P1393" s="187">
        <v>45072</v>
      </c>
      <c r="Q1393" s="186">
        <v>11465</v>
      </c>
      <c r="R1393" s="185"/>
      <c r="S1393" s="185" t="s">
        <v>1538</v>
      </c>
      <c r="T1393" t="s">
        <v>2729</v>
      </c>
      <c r="U1393" t="str">
        <f>IF($L1393&gt;0,VLOOKUP($E1393,Valida!$A$1:$G$270,6,FALSE),IF($M1393&gt;=0,VLOOKUP($E1393,Valida!$A$1:$G$270,7,FALSE)))</f>
        <v>(+/-) Ganancia (pérdida)</v>
      </c>
      <c r="V1393" s="190" t="str">
        <f>VLOOKUP(E1393,Valida!$A$2:$K$271,4,FALSE)</f>
        <v>P&amp;L</v>
      </c>
      <c r="W1393" s="185" t="s">
        <v>1909</v>
      </c>
      <c r="X1393" s="185" t="s">
        <v>1910</v>
      </c>
      <c r="Y1393" s="185" t="s">
        <v>1789</v>
      </c>
      <c r="Z1393"/>
    </row>
    <row r="1394" spans="1:26">
      <c r="A1394" s="185" t="s">
        <v>2725</v>
      </c>
      <c r="B1394" s="185" t="s">
        <v>2731</v>
      </c>
      <c r="C1394" s="185" t="s">
        <v>1897</v>
      </c>
      <c r="D1394" s="185" t="s">
        <v>2732</v>
      </c>
      <c r="E1394" s="185">
        <v>510539</v>
      </c>
      <c r="F1394" s="185" t="s">
        <v>818</v>
      </c>
      <c r="G1394" s="185" t="s">
        <v>2740</v>
      </c>
      <c r="H1394" s="185" t="s">
        <v>1515</v>
      </c>
      <c r="I1394" s="258" t="str">
        <f t="shared" si="64"/>
        <v>5</v>
      </c>
      <c r="J1394" s="221">
        <f t="shared" si="65"/>
        <v>53167</v>
      </c>
      <c r="K1394" s="258">
        <f t="shared" si="66"/>
        <v>5</v>
      </c>
      <c r="L1394" s="188">
        <v>53167</v>
      </c>
      <c r="M1394" s="188">
        <v>0</v>
      </c>
      <c r="N1394" s="189">
        <v>1000018061</v>
      </c>
      <c r="O1394" t="s">
        <v>2731</v>
      </c>
      <c r="P1394" s="187">
        <v>45072</v>
      </c>
      <c r="Q1394" s="186">
        <v>11466</v>
      </c>
      <c r="R1394" s="185"/>
      <c r="S1394" s="185" t="s">
        <v>1522</v>
      </c>
      <c r="T1394" t="s">
        <v>2729</v>
      </c>
      <c r="U1394" t="str">
        <f>IF($L1394&gt;0,VLOOKUP($E1394,Valida!$A$1:$G$270,6,FALSE),IF($M1394&gt;=0,VLOOKUP($E1394,Valida!$A$1:$G$270,7,FALSE)))</f>
        <v>(+/-) Ganancia (pérdida)</v>
      </c>
      <c r="V1394" s="190" t="str">
        <f>VLOOKUP(E1394,Valida!$A$2:$K$271,4,FALSE)</f>
        <v>P&amp;L</v>
      </c>
      <c r="W1394" s="185" t="s">
        <v>1978</v>
      </c>
      <c r="X1394" s="185"/>
      <c r="Y1394" s="185" t="s">
        <v>1789</v>
      </c>
      <c r="Z1394"/>
    </row>
    <row r="1395" spans="1:26">
      <c r="A1395" s="185" t="s">
        <v>2725</v>
      </c>
      <c r="B1395" s="185" t="s">
        <v>2731</v>
      </c>
      <c r="C1395" s="185" t="s">
        <v>1897</v>
      </c>
      <c r="D1395" s="185" t="s">
        <v>2732</v>
      </c>
      <c r="E1395" s="185">
        <v>510539</v>
      </c>
      <c r="F1395" s="185" t="s">
        <v>818</v>
      </c>
      <c r="G1395" s="185" t="s">
        <v>2740</v>
      </c>
      <c r="H1395" s="185" t="s">
        <v>1515</v>
      </c>
      <c r="I1395" s="258" t="str">
        <f t="shared" si="64"/>
        <v>5</v>
      </c>
      <c r="J1395" s="221">
        <f t="shared" si="65"/>
        <v>89844</v>
      </c>
      <c r="K1395" s="258">
        <f t="shared" si="66"/>
        <v>5</v>
      </c>
      <c r="L1395" s="188">
        <v>89844</v>
      </c>
      <c r="M1395" s="188">
        <v>0</v>
      </c>
      <c r="N1395" s="189">
        <v>1000036375</v>
      </c>
      <c r="O1395" t="s">
        <v>2731</v>
      </c>
      <c r="P1395" s="187">
        <v>45072</v>
      </c>
      <c r="Q1395" s="186">
        <v>11467</v>
      </c>
      <c r="R1395" s="185"/>
      <c r="S1395" s="185" t="s">
        <v>1524</v>
      </c>
      <c r="T1395" t="s">
        <v>2729</v>
      </c>
      <c r="U1395" t="str">
        <f>IF($L1395&gt;0,VLOOKUP($E1395,Valida!$A$1:$G$270,6,FALSE),IF($M1395&gt;=0,VLOOKUP($E1395,Valida!$A$1:$G$270,7,FALSE)))</f>
        <v>(+/-) Ganancia (pérdida)</v>
      </c>
      <c r="V1395" s="190" t="str">
        <f>VLOOKUP(E1395,Valida!$A$2:$K$271,4,FALSE)</f>
        <v>P&amp;L</v>
      </c>
      <c r="W1395" s="185" t="s">
        <v>1983</v>
      </c>
      <c r="X1395" s="185"/>
      <c r="Y1395" s="185" t="s">
        <v>1789</v>
      </c>
      <c r="Z1395"/>
    </row>
    <row r="1396" spans="1:26">
      <c r="A1396" s="185" t="s">
        <v>2725</v>
      </c>
      <c r="B1396" s="185" t="s">
        <v>2731</v>
      </c>
      <c r="C1396" s="185" t="s">
        <v>1897</v>
      </c>
      <c r="D1396" s="185" t="s">
        <v>2732</v>
      </c>
      <c r="E1396" s="185">
        <v>510539</v>
      </c>
      <c r="F1396" s="185" t="s">
        <v>818</v>
      </c>
      <c r="G1396" s="185" t="s">
        <v>2740</v>
      </c>
      <c r="H1396" s="185" t="s">
        <v>1515</v>
      </c>
      <c r="I1396" s="258" t="str">
        <f t="shared" si="64"/>
        <v>5</v>
      </c>
      <c r="J1396" s="221">
        <f t="shared" si="65"/>
        <v>62500</v>
      </c>
      <c r="K1396" s="258">
        <f t="shared" si="66"/>
        <v>5</v>
      </c>
      <c r="L1396" s="188">
        <v>62500</v>
      </c>
      <c r="M1396" s="188">
        <v>0</v>
      </c>
      <c r="N1396" s="189">
        <v>1010101811</v>
      </c>
      <c r="O1396" t="s">
        <v>2731</v>
      </c>
      <c r="P1396" s="187">
        <v>45072</v>
      </c>
      <c r="Q1396" s="186">
        <v>11468</v>
      </c>
      <c r="R1396" s="185"/>
      <c r="S1396" s="185" t="s">
        <v>1528</v>
      </c>
      <c r="T1396" t="s">
        <v>2729</v>
      </c>
      <c r="U1396" t="str">
        <f>IF($L1396&gt;0,VLOOKUP($E1396,Valida!$A$1:$G$270,6,FALSE),IF($M1396&gt;=0,VLOOKUP($E1396,Valida!$A$1:$G$270,7,FALSE)))</f>
        <v>(+/-) Ganancia (pérdida)</v>
      </c>
      <c r="V1396" s="190" t="str">
        <f>VLOOKUP(E1396,Valida!$A$2:$K$271,4,FALSE)</f>
        <v>P&amp;L</v>
      </c>
      <c r="W1396" s="185" t="s">
        <v>1967</v>
      </c>
      <c r="X1396" s="185"/>
      <c r="Y1396" s="185" t="s">
        <v>1789</v>
      </c>
      <c r="Z1396"/>
    </row>
    <row r="1397" spans="1:26">
      <c r="A1397" s="185" t="s">
        <v>2725</v>
      </c>
      <c r="B1397" s="185" t="s">
        <v>2731</v>
      </c>
      <c r="C1397" s="185" t="s">
        <v>1897</v>
      </c>
      <c r="D1397" s="185" t="s">
        <v>2732</v>
      </c>
      <c r="E1397" s="185">
        <v>510539</v>
      </c>
      <c r="F1397" s="185" t="s">
        <v>818</v>
      </c>
      <c r="G1397" s="185" t="s">
        <v>2740</v>
      </c>
      <c r="H1397" s="185" t="s">
        <v>1515</v>
      </c>
      <c r="I1397" s="258" t="str">
        <f t="shared" si="64"/>
        <v>5</v>
      </c>
      <c r="J1397" s="221">
        <f t="shared" si="65"/>
        <v>54931</v>
      </c>
      <c r="K1397" s="258">
        <f t="shared" si="66"/>
        <v>5</v>
      </c>
      <c r="L1397" s="188">
        <v>54931</v>
      </c>
      <c r="M1397" s="188">
        <v>0</v>
      </c>
      <c r="N1397" s="189">
        <v>1020842223</v>
      </c>
      <c r="O1397" t="s">
        <v>2731</v>
      </c>
      <c r="P1397" s="187">
        <v>45072</v>
      </c>
      <c r="Q1397" s="186">
        <v>11469</v>
      </c>
      <c r="R1397" s="185"/>
      <c r="S1397" s="185" t="s">
        <v>1532</v>
      </c>
      <c r="T1397" t="s">
        <v>2729</v>
      </c>
      <c r="U1397" t="str">
        <f>IF($L1397&gt;0,VLOOKUP($E1397,Valida!$A$1:$G$270,6,FALSE),IF($M1397&gt;=0,VLOOKUP($E1397,Valida!$A$1:$G$270,7,FALSE)))</f>
        <v>(+/-) Ganancia (pérdida)</v>
      </c>
      <c r="V1397" s="190" t="str">
        <f>VLOOKUP(E1397,Valida!$A$2:$K$271,4,FALSE)</f>
        <v>P&amp;L</v>
      </c>
      <c r="W1397" s="185" t="s">
        <v>1900</v>
      </c>
      <c r="X1397" s="185"/>
      <c r="Y1397" s="185" t="s">
        <v>1789</v>
      </c>
      <c r="Z1397"/>
    </row>
    <row r="1398" spans="1:26">
      <c r="A1398" s="185" t="s">
        <v>2725</v>
      </c>
      <c r="B1398" s="185" t="s">
        <v>2731</v>
      </c>
      <c r="C1398" s="185" t="s">
        <v>1897</v>
      </c>
      <c r="D1398" s="185" t="s">
        <v>2732</v>
      </c>
      <c r="E1398" s="185">
        <v>510539</v>
      </c>
      <c r="F1398" s="185" t="s">
        <v>818</v>
      </c>
      <c r="G1398" s="185" t="s">
        <v>2740</v>
      </c>
      <c r="H1398" s="185" t="s">
        <v>1515</v>
      </c>
      <c r="I1398" s="258" t="str">
        <f t="shared" si="64"/>
        <v>5</v>
      </c>
      <c r="J1398" s="221">
        <f t="shared" si="65"/>
        <v>67222</v>
      </c>
      <c r="K1398" s="258">
        <f t="shared" si="66"/>
        <v>5</v>
      </c>
      <c r="L1398" s="188">
        <v>67222</v>
      </c>
      <c r="M1398" s="188">
        <v>0</v>
      </c>
      <c r="N1398" s="189">
        <v>1100623759</v>
      </c>
      <c r="O1398" t="s">
        <v>2731</v>
      </c>
      <c r="P1398" s="187">
        <v>45072</v>
      </c>
      <c r="Q1398" s="186">
        <v>11470</v>
      </c>
      <c r="R1398" s="185"/>
      <c r="S1398" s="185" t="s">
        <v>1536</v>
      </c>
      <c r="T1398" t="s">
        <v>2729</v>
      </c>
      <c r="U1398" t="str">
        <f>IF($L1398&gt;0,VLOOKUP($E1398,Valida!$A$1:$G$270,6,FALSE),IF($M1398&gt;=0,VLOOKUP($E1398,Valida!$A$1:$G$270,7,FALSE)))</f>
        <v>(+/-) Ganancia (pérdida)</v>
      </c>
      <c r="V1398" s="190" t="str">
        <f>VLOOKUP(E1398,Valida!$A$2:$K$271,4,FALSE)</f>
        <v>P&amp;L</v>
      </c>
      <c r="W1398" s="185" t="s">
        <v>2730</v>
      </c>
      <c r="X1398" s="185"/>
      <c r="Y1398" s="185" t="s">
        <v>1789</v>
      </c>
      <c r="Z1398"/>
    </row>
    <row r="1399" spans="1:26">
      <c r="A1399" s="185" t="s">
        <v>2725</v>
      </c>
      <c r="B1399" s="185" t="s">
        <v>2731</v>
      </c>
      <c r="C1399" s="185" t="s">
        <v>1897</v>
      </c>
      <c r="D1399" s="185" t="s">
        <v>2732</v>
      </c>
      <c r="E1399" s="185">
        <v>510539</v>
      </c>
      <c r="F1399" s="185" t="s">
        <v>818</v>
      </c>
      <c r="G1399" s="185" t="s">
        <v>2740</v>
      </c>
      <c r="H1399" s="185" t="s">
        <v>1515</v>
      </c>
      <c r="I1399" s="258" t="str">
        <f t="shared" si="64"/>
        <v>5</v>
      </c>
      <c r="J1399" s="221">
        <f t="shared" si="65"/>
        <v>48333</v>
      </c>
      <c r="K1399" s="258">
        <f t="shared" si="66"/>
        <v>5</v>
      </c>
      <c r="L1399" s="188">
        <v>48333</v>
      </c>
      <c r="M1399" s="188">
        <v>0</v>
      </c>
      <c r="N1399" s="189">
        <v>1130744136</v>
      </c>
      <c r="O1399" t="s">
        <v>2731</v>
      </c>
      <c r="P1399" s="187">
        <v>45072</v>
      </c>
      <c r="Q1399" s="186">
        <v>11471</v>
      </c>
      <c r="R1399" s="185"/>
      <c r="S1399" s="185" t="s">
        <v>1538</v>
      </c>
      <c r="T1399" t="s">
        <v>2729</v>
      </c>
      <c r="U1399" t="str">
        <f>IF($L1399&gt;0,VLOOKUP($E1399,Valida!$A$1:$G$270,6,FALSE),IF($M1399&gt;=0,VLOOKUP($E1399,Valida!$A$1:$G$270,7,FALSE)))</f>
        <v>(+/-) Ganancia (pérdida)</v>
      </c>
      <c r="V1399" s="190" t="str">
        <f>VLOOKUP(E1399,Valida!$A$2:$K$271,4,FALSE)</f>
        <v>P&amp;L</v>
      </c>
      <c r="W1399" s="185" t="s">
        <v>1909</v>
      </c>
      <c r="X1399" s="185" t="s">
        <v>1910</v>
      </c>
      <c r="Y1399" s="185" t="s">
        <v>1789</v>
      </c>
      <c r="Z1399"/>
    </row>
    <row r="1400" spans="1:26">
      <c r="A1400" s="185" t="s">
        <v>2725</v>
      </c>
      <c r="B1400" s="185" t="s">
        <v>2731</v>
      </c>
      <c r="C1400" s="185" t="s">
        <v>1897</v>
      </c>
      <c r="D1400" s="185" t="s">
        <v>2732</v>
      </c>
      <c r="E1400" s="185">
        <v>510568</v>
      </c>
      <c r="F1400" s="185" t="s">
        <v>680</v>
      </c>
      <c r="G1400" s="185" t="s">
        <v>2734</v>
      </c>
      <c r="H1400" s="185" t="s">
        <v>1515</v>
      </c>
      <c r="I1400" s="258" t="str">
        <f t="shared" si="64"/>
        <v>5</v>
      </c>
      <c r="J1400" s="221">
        <f t="shared" si="65"/>
        <v>43900</v>
      </c>
      <c r="K1400" s="258">
        <f t="shared" si="66"/>
        <v>5</v>
      </c>
      <c r="L1400" s="188">
        <v>43900</v>
      </c>
      <c r="M1400" s="188">
        <v>0</v>
      </c>
      <c r="N1400" s="189">
        <v>860002503</v>
      </c>
      <c r="O1400" t="s">
        <v>2731</v>
      </c>
      <c r="P1400" s="187">
        <v>45072</v>
      </c>
      <c r="Q1400" s="186">
        <v>11472</v>
      </c>
      <c r="R1400" s="185" t="s">
        <v>433</v>
      </c>
      <c r="S1400" s="185" t="s">
        <v>1656</v>
      </c>
      <c r="T1400" t="s">
        <v>2729</v>
      </c>
      <c r="U1400" t="str">
        <f>IF($L1400&gt;0,VLOOKUP($E1400,Valida!$A$1:$G$270,6,FALSE),IF($M1400&gt;=0,VLOOKUP($E1400,Valida!$A$1:$G$270,7,FALSE)))</f>
        <v>(+/-) Ganancia (pérdida)</v>
      </c>
      <c r="V1400" s="190" t="str">
        <f>VLOOKUP(E1400,Valida!$A$2:$K$271,4,FALSE)</f>
        <v>P&amp;L</v>
      </c>
      <c r="W1400" s="185" t="s">
        <v>1912</v>
      </c>
      <c r="X1400" s="185" t="s">
        <v>1913</v>
      </c>
      <c r="Y1400" s="185" t="s">
        <v>1789</v>
      </c>
      <c r="Z1400"/>
    </row>
    <row r="1401" spans="1:26">
      <c r="A1401" s="185" t="s">
        <v>2725</v>
      </c>
      <c r="B1401" s="185" t="s">
        <v>2731</v>
      </c>
      <c r="C1401" s="185" t="s">
        <v>1897</v>
      </c>
      <c r="D1401" s="185" t="s">
        <v>2732</v>
      </c>
      <c r="E1401" s="185">
        <v>510569</v>
      </c>
      <c r="F1401" s="185" t="s">
        <v>1114</v>
      </c>
      <c r="G1401" s="185" t="s">
        <v>2733</v>
      </c>
      <c r="H1401" s="185" t="s">
        <v>1515</v>
      </c>
      <c r="I1401" s="258" t="str">
        <f t="shared" si="64"/>
        <v>5</v>
      </c>
      <c r="J1401" s="221">
        <f t="shared" si="65"/>
        <v>133</v>
      </c>
      <c r="K1401" s="258">
        <f t="shared" si="66"/>
        <v>5</v>
      </c>
      <c r="L1401" s="188">
        <v>133</v>
      </c>
      <c r="M1401" s="188">
        <v>0</v>
      </c>
      <c r="N1401" s="189">
        <v>800251440</v>
      </c>
      <c r="O1401" t="s">
        <v>2731</v>
      </c>
      <c r="P1401" s="187">
        <v>45072</v>
      </c>
      <c r="Q1401" s="186">
        <v>11473</v>
      </c>
      <c r="R1401" s="185" t="s">
        <v>1901</v>
      </c>
      <c r="S1401" s="185" t="s">
        <v>1560</v>
      </c>
      <c r="T1401" t="s">
        <v>2729</v>
      </c>
      <c r="U1401" t="str">
        <f>IF($L1401&gt;0,VLOOKUP($E1401,Valida!$A$1:$G$270,6,FALSE),IF($M1401&gt;=0,VLOOKUP($E1401,Valida!$A$1:$G$270,7,FALSE)))</f>
        <v>(+/-) Ganancia (pérdida)</v>
      </c>
      <c r="V1401" s="190" t="str">
        <f>VLOOKUP(E1401,Valida!$A$2:$K$271,4,FALSE)</f>
        <v>P&amp;L</v>
      </c>
      <c r="W1401" s="185" t="s">
        <v>1902</v>
      </c>
      <c r="X1401" s="185" t="s">
        <v>1903</v>
      </c>
      <c r="Y1401" s="185" t="s">
        <v>1789</v>
      </c>
      <c r="Z1401"/>
    </row>
    <row r="1402" spans="1:26">
      <c r="A1402" s="185" t="s">
        <v>2725</v>
      </c>
      <c r="B1402" s="185" t="s">
        <v>2731</v>
      </c>
      <c r="C1402" s="185" t="s">
        <v>1897</v>
      </c>
      <c r="D1402" s="185" t="s">
        <v>2732</v>
      </c>
      <c r="E1402" s="185">
        <v>510569</v>
      </c>
      <c r="F1402" s="185" t="s">
        <v>1114</v>
      </c>
      <c r="G1402" s="185" t="s">
        <v>2733</v>
      </c>
      <c r="H1402" s="185" t="s">
        <v>1515</v>
      </c>
      <c r="I1402" s="258" t="str">
        <f t="shared" si="64"/>
        <v>5</v>
      </c>
      <c r="J1402" s="221">
        <f t="shared" si="65"/>
        <v>60</v>
      </c>
      <c r="K1402" s="258">
        <f t="shared" si="66"/>
        <v>5</v>
      </c>
      <c r="L1402" s="188">
        <v>60</v>
      </c>
      <c r="M1402" s="188">
        <v>0</v>
      </c>
      <c r="N1402" s="189">
        <v>830003564</v>
      </c>
      <c r="O1402" t="s">
        <v>2731</v>
      </c>
      <c r="P1402" s="187">
        <v>45072</v>
      </c>
      <c r="Q1402" s="186">
        <v>11474</v>
      </c>
      <c r="R1402" s="185" t="s">
        <v>1814</v>
      </c>
      <c r="S1402" s="185" t="s">
        <v>1652</v>
      </c>
      <c r="T1402" t="s">
        <v>2729</v>
      </c>
      <c r="U1402" t="str">
        <f>IF($L1402&gt;0,VLOOKUP($E1402,Valida!$A$1:$G$270,6,FALSE),IF($M1402&gt;=0,VLOOKUP($E1402,Valida!$A$1:$G$270,7,FALSE)))</f>
        <v>(+/-) Ganancia (pérdida)</v>
      </c>
      <c r="V1402" s="190" t="str">
        <f>VLOOKUP(E1402,Valida!$A$2:$K$271,4,FALSE)</f>
        <v>P&amp;L</v>
      </c>
      <c r="W1402" s="185" t="s">
        <v>1973</v>
      </c>
      <c r="X1402" s="185" t="s">
        <v>1974</v>
      </c>
      <c r="Y1402" s="185" t="s">
        <v>1789</v>
      </c>
      <c r="Z1402"/>
    </row>
    <row r="1403" spans="1:26">
      <c r="A1403" s="185" t="s">
        <v>2725</v>
      </c>
      <c r="B1403" s="185" t="s">
        <v>2731</v>
      </c>
      <c r="C1403" s="185" t="s">
        <v>1897</v>
      </c>
      <c r="D1403" s="185" t="s">
        <v>2732</v>
      </c>
      <c r="E1403" s="185">
        <v>510569</v>
      </c>
      <c r="F1403" s="185" t="s">
        <v>1114</v>
      </c>
      <c r="G1403" s="185" t="s">
        <v>2733</v>
      </c>
      <c r="H1403" s="185" t="s">
        <v>1515</v>
      </c>
      <c r="I1403" s="258" t="str">
        <f t="shared" si="64"/>
        <v>5</v>
      </c>
      <c r="J1403" s="221">
        <f t="shared" si="65"/>
        <v>50</v>
      </c>
      <c r="K1403" s="258">
        <f t="shared" si="66"/>
        <v>5</v>
      </c>
      <c r="L1403" s="188">
        <v>50</v>
      </c>
      <c r="M1403" s="188">
        <v>0</v>
      </c>
      <c r="N1403" s="189">
        <v>900156264</v>
      </c>
      <c r="O1403" t="s">
        <v>2731</v>
      </c>
      <c r="P1403" s="187">
        <v>45072</v>
      </c>
      <c r="Q1403" s="186">
        <v>11475</v>
      </c>
      <c r="R1403" s="185" t="s">
        <v>433</v>
      </c>
      <c r="S1403" s="185" t="s">
        <v>1654</v>
      </c>
      <c r="T1403" t="s">
        <v>2729</v>
      </c>
      <c r="U1403" t="str">
        <f>IF($L1403&gt;0,VLOOKUP($E1403,Valida!$A$1:$G$270,6,FALSE),IF($M1403&gt;=0,VLOOKUP($E1403,Valida!$A$1:$G$270,7,FALSE)))</f>
        <v>(+/-) Ganancia (pérdida)</v>
      </c>
      <c r="V1403" s="190" t="str">
        <f>VLOOKUP(E1403,Valida!$A$2:$K$271,4,FALSE)</f>
        <v>P&amp;L</v>
      </c>
      <c r="W1403" s="185" t="s">
        <v>1926</v>
      </c>
      <c r="X1403" s="185" t="s">
        <v>1927</v>
      </c>
      <c r="Y1403" s="185" t="s">
        <v>1789</v>
      </c>
      <c r="Z1403"/>
    </row>
    <row r="1404" spans="1:26">
      <c r="A1404" s="185" t="s">
        <v>2725</v>
      </c>
      <c r="B1404" s="185" t="s">
        <v>2731</v>
      </c>
      <c r="C1404" s="185" t="s">
        <v>1897</v>
      </c>
      <c r="D1404" s="185" t="s">
        <v>2732</v>
      </c>
      <c r="E1404" s="185">
        <v>510570</v>
      </c>
      <c r="F1404" s="185" t="s">
        <v>1116</v>
      </c>
      <c r="G1404" s="185" t="s">
        <v>2736</v>
      </c>
      <c r="H1404" s="185" t="s">
        <v>1515</v>
      </c>
      <c r="I1404" s="258" t="str">
        <f t="shared" si="64"/>
        <v>5</v>
      </c>
      <c r="J1404" s="221">
        <f t="shared" si="65"/>
        <v>929883</v>
      </c>
      <c r="K1404" s="258">
        <f t="shared" si="66"/>
        <v>5</v>
      </c>
      <c r="L1404" s="188">
        <v>929883</v>
      </c>
      <c r="M1404" s="188">
        <v>0</v>
      </c>
      <c r="N1404" s="189">
        <v>800224808</v>
      </c>
      <c r="O1404" t="s">
        <v>2731</v>
      </c>
      <c r="P1404" s="187">
        <v>45072</v>
      </c>
      <c r="Q1404" s="186">
        <v>11476</v>
      </c>
      <c r="R1404" s="185" t="s">
        <v>1827</v>
      </c>
      <c r="S1404" s="185" t="s">
        <v>1662</v>
      </c>
      <c r="T1404" t="s">
        <v>2729</v>
      </c>
      <c r="U1404" t="str">
        <f>IF($L1404&gt;0,VLOOKUP($E1404,Valida!$A$1:$G$270,6,FALSE),IF($M1404&gt;=0,VLOOKUP($E1404,Valida!$A$1:$G$270,7,FALSE)))</f>
        <v>(+/-) Ganancia (pérdida)</v>
      </c>
      <c r="V1404" s="190" t="str">
        <f>VLOOKUP(E1404,Valida!$A$2:$K$271,4,FALSE)</f>
        <v>P&amp;L</v>
      </c>
      <c r="W1404" s="185" t="s">
        <v>1911</v>
      </c>
      <c r="X1404" s="185"/>
      <c r="Y1404" s="185" t="s">
        <v>1789</v>
      </c>
      <c r="Z1404"/>
    </row>
    <row r="1405" spans="1:26">
      <c r="A1405" s="185" t="s">
        <v>2725</v>
      </c>
      <c r="B1405" s="185" t="s">
        <v>2731</v>
      </c>
      <c r="C1405" s="185" t="s">
        <v>1897</v>
      </c>
      <c r="D1405" s="185" t="s">
        <v>2732</v>
      </c>
      <c r="E1405" s="185">
        <v>510570</v>
      </c>
      <c r="F1405" s="185" t="s">
        <v>1116</v>
      </c>
      <c r="G1405" s="185" t="s">
        <v>2736</v>
      </c>
      <c r="H1405" s="185" t="s">
        <v>1515</v>
      </c>
      <c r="I1405" s="258" t="str">
        <f t="shared" si="64"/>
        <v>5</v>
      </c>
      <c r="J1405" s="221">
        <f t="shared" si="65"/>
        <v>153160</v>
      </c>
      <c r="K1405" s="258">
        <f t="shared" si="66"/>
        <v>5</v>
      </c>
      <c r="L1405" s="188">
        <v>153160</v>
      </c>
      <c r="M1405" s="188">
        <v>0</v>
      </c>
      <c r="N1405" s="189">
        <v>800227940</v>
      </c>
      <c r="O1405" t="s">
        <v>2731</v>
      </c>
      <c r="P1405" s="187">
        <v>45072</v>
      </c>
      <c r="Q1405" s="186">
        <v>11477</v>
      </c>
      <c r="R1405" s="185"/>
      <c r="S1405" s="185" t="s">
        <v>1664</v>
      </c>
      <c r="T1405" t="s">
        <v>2729</v>
      </c>
      <c r="U1405" t="str">
        <f>IF($L1405&gt;0,VLOOKUP($E1405,Valida!$A$1:$G$270,6,FALSE),IF($M1405&gt;=0,VLOOKUP($E1405,Valida!$A$1:$G$270,7,FALSE)))</f>
        <v>(+/-) Ganancia (pérdida)</v>
      </c>
      <c r="V1405" s="190" t="str">
        <f>VLOOKUP(E1405,Valida!$A$2:$K$271,4,FALSE)</f>
        <v>P&amp;L</v>
      </c>
      <c r="W1405" s="185"/>
      <c r="X1405" s="185"/>
      <c r="Y1405" s="185"/>
      <c r="Z1405"/>
    </row>
    <row r="1406" spans="1:26">
      <c r="A1406" s="185" t="s">
        <v>2725</v>
      </c>
      <c r="B1406" s="185" t="s">
        <v>2731</v>
      </c>
      <c r="C1406" s="185" t="s">
        <v>1897</v>
      </c>
      <c r="D1406" s="185" t="s">
        <v>2732</v>
      </c>
      <c r="E1406" s="185">
        <v>510572</v>
      </c>
      <c r="F1406" s="185" t="s">
        <v>1118</v>
      </c>
      <c r="G1406" s="185" t="s">
        <v>2735</v>
      </c>
      <c r="H1406" s="185" t="s">
        <v>1515</v>
      </c>
      <c r="I1406" s="258" t="str">
        <f t="shared" si="64"/>
        <v>5</v>
      </c>
      <c r="J1406" s="221">
        <f t="shared" si="65"/>
        <v>180700</v>
      </c>
      <c r="K1406" s="258">
        <f t="shared" si="66"/>
        <v>5</v>
      </c>
      <c r="L1406" s="188">
        <v>180700</v>
      </c>
      <c r="M1406" s="188">
        <v>0</v>
      </c>
      <c r="N1406" s="189">
        <v>860066942</v>
      </c>
      <c r="O1406" t="s">
        <v>2731</v>
      </c>
      <c r="P1406" s="187">
        <v>45072</v>
      </c>
      <c r="Q1406" s="186">
        <v>11478</v>
      </c>
      <c r="R1406" s="185" t="s">
        <v>1814</v>
      </c>
      <c r="S1406" s="185" t="s">
        <v>1574</v>
      </c>
      <c r="T1406" t="s">
        <v>2729</v>
      </c>
      <c r="U1406" t="str">
        <f>IF($L1406&gt;0,VLOOKUP($E1406,Valida!$A$1:$G$270,6,FALSE),IF($M1406&gt;=0,VLOOKUP($E1406,Valida!$A$1:$G$270,7,FALSE)))</f>
        <v>(+/-) Ganancia (pérdida)</v>
      </c>
      <c r="V1406" s="190" t="str">
        <f>VLOOKUP(E1406,Valida!$A$2:$K$271,4,FALSE)</f>
        <v>P&amp;L</v>
      </c>
      <c r="W1406" s="185" t="s">
        <v>1914</v>
      </c>
      <c r="X1406" s="185" t="s">
        <v>1915</v>
      </c>
      <c r="Y1406" s="185" t="s">
        <v>1789</v>
      </c>
      <c r="Z1406"/>
    </row>
    <row r="1407" spans="1:26">
      <c r="A1407" s="185" t="s">
        <v>2664</v>
      </c>
      <c r="B1407" s="185" t="s">
        <v>2741</v>
      </c>
      <c r="C1407" s="185" t="s">
        <v>1949</v>
      </c>
      <c r="D1407" s="185" t="s">
        <v>2218</v>
      </c>
      <c r="E1407" s="185">
        <v>130510</v>
      </c>
      <c r="F1407" s="185" t="s">
        <v>64</v>
      </c>
      <c r="G1407" s="185" t="s">
        <v>1921</v>
      </c>
      <c r="H1407" s="185" t="s">
        <v>1628</v>
      </c>
      <c r="I1407" s="258" t="str">
        <f t="shared" si="64"/>
        <v>1</v>
      </c>
      <c r="J1407" s="221">
        <f t="shared" si="65"/>
        <v>-72397947.599999994</v>
      </c>
      <c r="K1407" s="258">
        <f t="shared" si="66"/>
        <v>5</v>
      </c>
      <c r="L1407" s="188">
        <v>0</v>
      </c>
      <c r="M1407" s="188">
        <v>72397947.599999994</v>
      </c>
      <c r="N1407" s="189">
        <v>374795</v>
      </c>
      <c r="O1407"/>
      <c r="P1407" s="187">
        <v>45072.555833333303</v>
      </c>
      <c r="Q1407" s="186">
        <v>11479</v>
      </c>
      <c r="R1407" s="185"/>
      <c r="S1407" s="185" t="s">
        <v>1544</v>
      </c>
      <c r="T1407"/>
      <c r="U1407" t="str">
        <f>IF($L1407&gt;0,VLOOKUP($E1407,Valida!$A$1:$G$270,6,FALSE),IF($M1407&gt;=0,VLOOKUP($E1407,Valida!$A$1:$G$270,7,FALSE)))</f>
        <v>(+/-) Ajustes por la disminución (incremento) de cuentas por cobrar de origen comercial</v>
      </c>
      <c r="V1407" s="190" t="str">
        <f>VLOOKUP(E1407,Valida!$A$2:$K$271,4,FALSE)</f>
        <v>Trade and other receivables</v>
      </c>
      <c r="W1407" s="185" t="s">
        <v>1803</v>
      </c>
      <c r="X1407" s="185"/>
      <c r="Y1407" s="185"/>
      <c r="Z1407"/>
    </row>
    <row r="1408" spans="1:26">
      <c r="A1408" s="185" t="s">
        <v>2664</v>
      </c>
      <c r="B1408" s="185" t="s">
        <v>2741</v>
      </c>
      <c r="C1408" s="185" t="s">
        <v>1949</v>
      </c>
      <c r="D1408" s="185" t="s">
        <v>2218</v>
      </c>
      <c r="E1408" s="185">
        <v>112005</v>
      </c>
      <c r="F1408" s="185" t="s">
        <v>24</v>
      </c>
      <c r="G1408" s="185" t="s">
        <v>1921</v>
      </c>
      <c r="H1408" s="185" t="s">
        <v>1515</v>
      </c>
      <c r="I1408" s="258" t="str">
        <f t="shared" si="64"/>
        <v>1</v>
      </c>
      <c r="J1408" s="221">
        <f t="shared" si="65"/>
        <v>68246143</v>
      </c>
      <c r="K1408" s="258">
        <f t="shared" si="66"/>
        <v>5</v>
      </c>
      <c r="L1408" s="188">
        <v>68246143</v>
      </c>
      <c r="M1408" s="188">
        <v>0</v>
      </c>
      <c r="N1408" s="189">
        <v>374795</v>
      </c>
      <c r="O1408"/>
      <c r="P1408" s="187">
        <v>45072.555833333303</v>
      </c>
      <c r="Q1408" s="186">
        <v>11480</v>
      </c>
      <c r="R1408" s="185"/>
      <c r="S1408" s="185" t="s">
        <v>1544</v>
      </c>
      <c r="T1408" t="s">
        <v>1894</v>
      </c>
      <c r="U1408" t="str">
        <f>IF($L1408&gt;0,VLOOKUP($E1408,Valida!$A$1:$G$270,6,FALSE),IF($M1408&gt;=0,VLOOKUP($E1408,Valida!$A$1:$G$270,7,FALSE)))</f>
        <v>Disponible</v>
      </c>
      <c r="V1408" s="190" t="str">
        <f>VLOOKUP(E1408,Valida!$A$2:$K$271,4,FALSE)</f>
        <v>Cash and equivalents</v>
      </c>
      <c r="W1408" s="185" t="s">
        <v>1803</v>
      </c>
      <c r="X1408" s="185"/>
      <c r="Y1408" s="185"/>
      <c r="Z1408"/>
    </row>
    <row r="1409" spans="1:26">
      <c r="A1409" s="185" t="s">
        <v>2664</v>
      </c>
      <c r="B1409" s="185" t="s">
        <v>2741</v>
      </c>
      <c r="C1409" s="185" t="s">
        <v>1949</v>
      </c>
      <c r="D1409" s="185" t="s">
        <v>2218</v>
      </c>
      <c r="E1409" s="185">
        <v>53052501</v>
      </c>
      <c r="F1409" s="185" t="s">
        <v>1752</v>
      </c>
      <c r="G1409" s="185" t="s">
        <v>1921</v>
      </c>
      <c r="H1409" s="185" t="s">
        <v>1515</v>
      </c>
      <c r="I1409" s="258" t="str">
        <f t="shared" si="64"/>
        <v>5</v>
      </c>
      <c r="J1409" s="221">
        <f t="shared" si="65"/>
        <v>4151804.6</v>
      </c>
      <c r="K1409" s="258">
        <f t="shared" si="66"/>
        <v>5</v>
      </c>
      <c r="L1409" s="188">
        <v>4151804.6</v>
      </c>
      <c r="M1409" s="188">
        <v>0</v>
      </c>
      <c r="N1409" s="189">
        <v>374795</v>
      </c>
      <c r="O1409"/>
      <c r="P1409" s="187">
        <v>45072.555833333303</v>
      </c>
      <c r="Q1409" s="186">
        <v>11481</v>
      </c>
      <c r="R1409" s="185"/>
      <c r="S1409" s="185" t="s">
        <v>1544</v>
      </c>
      <c r="T1409"/>
      <c r="U1409" t="str">
        <f>IF($L1409&gt;0,VLOOKUP($E1409,Valida!$A$1:$G$270,6,FALSE),IF($M1409&gt;=0,VLOOKUP($E1409,Valida!$A$1:$G$270,7,FALSE)))</f>
        <v>(+/-) Ganancia (pérdida)</v>
      </c>
      <c r="V1409" s="190" t="str">
        <f>VLOOKUP(E1409,Valida!$A$2:$K$271,4,FALSE)</f>
        <v>P&amp;L</v>
      </c>
      <c r="W1409" s="185" t="s">
        <v>1803</v>
      </c>
      <c r="X1409" s="185"/>
      <c r="Y1409" s="185"/>
      <c r="Z1409"/>
    </row>
    <row r="1410" spans="1:26">
      <c r="A1410" s="185" t="s">
        <v>2720</v>
      </c>
      <c r="B1410" s="185" t="s">
        <v>2742</v>
      </c>
      <c r="C1410" s="185" t="s">
        <v>1890</v>
      </c>
      <c r="D1410" s="185" t="s">
        <v>2743</v>
      </c>
      <c r="E1410" s="185">
        <v>112005</v>
      </c>
      <c r="F1410" s="185" t="s">
        <v>24</v>
      </c>
      <c r="G1410" s="185" t="s">
        <v>2744</v>
      </c>
      <c r="H1410" s="185" t="s">
        <v>1628</v>
      </c>
      <c r="I1410" s="258" t="str">
        <f t="shared" si="64"/>
        <v>1</v>
      </c>
      <c r="J1410" s="221">
        <f t="shared" si="65"/>
        <v>-2224356</v>
      </c>
      <c r="K1410" s="258">
        <f t="shared" si="66"/>
        <v>5</v>
      </c>
      <c r="L1410" s="188">
        <v>0</v>
      </c>
      <c r="M1410" s="188">
        <v>2224356</v>
      </c>
      <c r="N1410" s="189">
        <v>1000036375</v>
      </c>
      <c r="O1410"/>
      <c r="P1410" s="187">
        <v>45072.557222222204</v>
      </c>
      <c r="Q1410" s="186">
        <v>11482</v>
      </c>
      <c r="R1410" s="185"/>
      <c r="S1410" s="185" t="s">
        <v>1524</v>
      </c>
      <c r="T1410" t="s">
        <v>1894</v>
      </c>
      <c r="U1410" t="str">
        <f>IF($L1410&gt;0,VLOOKUP($E1410,Valida!$A$1:$G$270,6,FALSE),IF($M1410&gt;=0,VLOOKUP($E1410,Valida!$A$1:$G$270,7,FALSE)))</f>
        <v>Disponible</v>
      </c>
      <c r="V1410" s="190" t="str">
        <f>VLOOKUP(E1410,Valida!$A$2:$K$271,4,FALSE)</f>
        <v>Cash and equivalents</v>
      </c>
      <c r="W1410" s="185" t="s">
        <v>1983</v>
      </c>
      <c r="X1410" s="185"/>
      <c r="Y1410" s="185" t="s">
        <v>1789</v>
      </c>
      <c r="Z1410"/>
    </row>
    <row r="1411" spans="1:26">
      <c r="A1411" s="185" t="s">
        <v>2720</v>
      </c>
      <c r="B1411" s="185" t="s">
        <v>2742</v>
      </c>
      <c r="C1411" s="185" t="s">
        <v>1890</v>
      </c>
      <c r="D1411" s="185" t="s">
        <v>2743</v>
      </c>
      <c r="E1411" s="185">
        <v>250505</v>
      </c>
      <c r="F1411" s="185" t="s">
        <v>767</v>
      </c>
      <c r="G1411" s="185" t="s">
        <v>2744</v>
      </c>
      <c r="H1411" s="185" t="s">
        <v>1515</v>
      </c>
      <c r="I1411" s="258" t="str">
        <f t="shared" ref="I1411:I1474" si="67">LEFT(E1411,1)</f>
        <v>2</v>
      </c>
      <c r="J1411" s="221">
        <f t="shared" ref="J1411:J1474" si="68">L1411-M1411</f>
        <v>2224356</v>
      </c>
      <c r="K1411" s="258">
        <f t="shared" ref="K1411:K1474" si="69">MONTH(A1411)</f>
        <v>5</v>
      </c>
      <c r="L1411" s="188">
        <v>2224356</v>
      </c>
      <c r="M1411" s="188">
        <v>0</v>
      </c>
      <c r="N1411" s="189">
        <v>1000036375</v>
      </c>
      <c r="O1411"/>
      <c r="P1411" s="187">
        <v>45072.557233796302</v>
      </c>
      <c r="Q1411" s="186">
        <v>11483</v>
      </c>
      <c r="R1411" s="185"/>
      <c r="S1411" s="185" t="s">
        <v>1524</v>
      </c>
      <c r="T1411"/>
      <c r="U1411" t="str">
        <f>IF($L1411&gt;0,VLOOKUP($E1411,Valida!$A$1:$G$270,6,FALSE),IF($M1411&gt;=0,VLOOKUP($E1411,Valida!$A$1:$G$270,7,FALSE)))</f>
        <v>(+/-) Ajustes por el incremento (disminución) de cuentas por pagar de origen comercial</v>
      </c>
      <c r="V1411" s="190" t="str">
        <f>VLOOKUP(E1411,Valida!$A$2:$K$271,4,FALSE)</f>
        <v>Trade and other payables</v>
      </c>
      <c r="W1411" s="185" t="s">
        <v>1983</v>
      </c>
      <c r="X1411" s="185"/>
      <c r="Y1411" s="185" t="s">
        <v>1789</v>
      </c>
      <c r="Z1411"/>
    </row>
    <row r="1412" spans="1:26">
      <c r="A1412" s="185" t="s">
        <v>2720</v>
      </c>
      <c r="B1412" s="185" t="s">
        <v>2745</v>
      </c>
      <c r="C1412" s="185" t="s">
        <v>1890</v>
      </c>
      <c r="D1412" s="185" t="s">
        <v>2746</v>
      </c>
      <c r="E1412" s="185">
        <v>112005</v>
      </c>
      <c r="F1412" s="185" t="s">
        <v>24</v>
      </c>
      <c r="G1412" s="185" t="s">
        <v>2744</v>
      </c>
      <c r="H1412" s="185" t="s">
        <v>1628</v>
      </c>
      <c r="I1412" s="258" t="str">
        <f t="shared" si="67"/>
        <v>1</v>
      </c>
      <c r="J1412" s="221">
        <f t="shared" si="68"/>
        <v>-1234776</v>
      </c>
      <c r="K1412" s="258">
        <f t="shared" si="69"/>
        <v>5</v>
      </c>
      <c r="L1412" s="188">
        <v>0</v>
      </c>
      <c r="M1412" s="188">
        <v>1234776</v>
      </c>
      <c r="N1412" s="189">
        <v>1000018061</v>
      </c>
      <c r="O1412"/>
      <c r="P1412" s="187">
        <v>45072.557604166701</v>
      </c>
      <c r="Q1412" s="186">
        <v>11484</v>
      </c>
      <c r="R1412" s="185"/>
      <c r="S1412" s="185" t="s">
        <v>1522</v>
      </c>
      <c r="T1412" t="s">
        <v>1894</v>
      </c>
      <c r="U1412" t="str">
        <f>IF($L1412&gt;0,VLOOKUP($E1412,Valida!$A$1:$G$270,6,FALSE),IF($M1412&gt;=0,VLOOKUP($E1412,Valida!$A$1:$G$270,7,FALSE)))</f>
        <v>Disponible</v>
      </c>
      <c r="V1412" s="190" t="str">
        <f>VLOOKUP(E1412,Valida!$A$2:$K$271,4,FALSE)</f>
        <v>Cash and equivalents</v>
      </c>
      <c r="W1412" s="185" t="s">
        <v>1978</v>
      </c>
      <c r="X1412" s="185"/>
      <c r="Y1412" s="185" t="s">
        <v>1789</v>
      </c>
      <c r="Z1412"/>
    </row>
    <row r="1413" spans="1:26">
      <c r="A1413" s="185" t="s">
        <v>2720</v>
      </c>
      <c r="B1413" s="185" t="s">
        <v>2745</v>
      </c>
      <c r="C1413" s="185" t="s">
        <v>1890</v>
      </c>
      <c r="D1413" s="185" t="s">
        <v>2746</v>
      </c>
      <c r="E1413" s="185">
        <v>250505</v>
      </c>
      <c r="F1413" s="185" t="s">
        <v>767</v>
      </c>
      <c r="G1413" s="185" t="s">
        <v>2744</v>
      </c>
      <c r="H1413" s="185" t="s">
        <v>1515</v>
      </c>
      <c r="I1413" s="258" t="str">
        <f t="shared" si="67"/>
        <v>2</v>
      </c>
      <c r="J1413" s="221">
        <f t="shared" si="68"/>
        <v>1234776</v>
      </c>
      <c r="K1413" s="258">
        <f t="shared" si="69"/>
        <v>5</v>
      </c>
      <c r="L1413" s="188">
        <v>1234776</v>
      </c>
      <c r="M1413" s="188">
        <v>0</v>
      </c>
      <c r="N1413" s="189">
        <v>1000018061</v>
      </c>
      <c r="O1413"/>
      <c r="P1413" s="187">
        <v>45072.557604166701</v>
      </c>
      <c r="Q1413" s="186">
        <v>11485</v>
      </c>
      <c r="R1413" s="185"/>
      <c r="S1413" s="185" t="s">
        <v>1522</v>
      </c>
      <c r="T1413"/>
      <c r="U1413" t="str">
        <f>IF($L1413&gt;0,VLOOKUP($E1413,Valida!$A$1:$G$270,6,FALSE),IF($M1413&gt;=0,VLOOKUP($E1413,Valida!$A$1:$G$270,7,FALSE)))</f>
        <v>(+/-) Ajustes por el incremento (disminución) de cuentas por pagar de origen comercial</v>
      </c>
      <c r="V1413" s="190" t="str">
        <f>VLOOKUP(E1413,Valida!$A$2:$K$271,4,FALSE)</f>
        <v>Trade and other payables</v>
      </c>
      <c r="W1413" s="185" t="s">
        <v>1978</v>
      </c>
      <c r="X1413" s="185"/>
      <c r="Y1413" s="185" t="s">
        <v>1789</v>
      </c>
      <c r="Z1413"/>
    </row>
    <row r="1414" spans="1:26">
      <c r="A1414" s="185" t="s">
        <v>2720</v>
      </c>
      <c r="B1414" s="185" t="s">
        <v>2747</v>
      </c>
      <c r="C1414" s="185" t="s">
        <v>1890</v>
      </c>
      <c r="D1414" s="185" t="s">
        <v>2748</v>
      </c>
      <c r="E1414" s="185">
        <v>112005</v>
      </c>
      <c r="F1414" s="185" t="s">
        <v>24</v>
      </c>
      <c r="G1414" s="185" t="s">
        <v>2744</v>
      </c>
      <c r="H1414" s="185" t="s">
        <v>1628</v>
      </c>
      <c r="I1414" s="258" t="str">
        <f t="shared" si="67"/>
        <v>1</v>
      </c>
      <c r="J1414" s="221">
        <f t="shared" si="68"/>
        <v>-1470606</v>
      </c>
      <c r="K1414" s="258">
        <f t="shared" si="69"/>
        <v>5</v>
      </c>
      <c r="L1414" s="188">
        <v>0</v>
      </c>
      <c r="M1414" s="188">
        <v>1470606</v>
      </c>
      <c r="N1414" s="189">
        <v>1010101811</v>
      </c>
      <c r="O1414"/>
      <c r="P1414" s="187">
        <v>45072.558020833298</v>
      </c>
      <c r="Q1414" s="186">
        <v>11486</v>
      </c>
      <c r="R1414" s="185"/>
      <c r="S1414" s="185" t="s">
        <v>1528</v>
      </c>
      <c r="T1414" t="s">
        <v>1894</v>
      </c>
      <c r="U1414" t="str">
        <f>IF($L1414&gt;0,VLOOKUP($E1414,Valida!$A$1:$G$270,6,FALSE),IF($M1414&gt;=0,VLOOKUP($E1414,Valida!$A$1:$G$270,7,FALSE)))</f>
        <v>Disponible</v>
      </c>
      <c r="V1414" s="190" t="str">
        <f>VLOOKUP(E1414,Valida!$A$2:$K$271,4,FALSE)</f>
        <v>Cash and equivalents</v>
      </c>
      <c r="W1414" s="185" t="s">
        <v>1967</v>
      </c>
      <c r="X1414" s="185"/>
      <c r="Y1414" s="185" t="s">
        <v>1789</v>
      </c>
      <c r="Z1414"/>
    </row>
    <row r="1415" spans="1:26">
      <c r="A1415" s="185" t="s">
        <v>2720</v>
      </c>
      <c r="B1415" s="185" t="s">
        <v>2747</v>
      </c>
      <c r="C1415" s="185" t="s">
        <v>1890</v>
      </c>
      <c r="D1415" s="185" t="s">
        <v>2748</v>
      </c>
      <c r="E1415" s="185">
        <v>250505</v>
      </c>
      <c r="F1415" s="185" t="s">
        <v>767</v>
      </c>
      <c r="G1415" s="185" t="s">
        <v>2744</v>
      </c>
      <c r="H1415" s="185" t="s">
        <v>1515</v>
      </c>
      <c r="I1415" s="258" t="str">
        <f t="shared" si="67"/>
        <v>2</v>
      </c>
      <c r="J1415" s="221">
        <f t="shared" si="68"/>
        <v>1470606</v>
      </c>
      <c r="K1415" s="258">
        <f t="shared" si="69"/>
        <v>5</v>
      </c>
      <c r="L1415" s="188">
        <v>1470606</v>
      </c>
      <c r="M1415" s="188">
        <v>0</v>
      </c>
      <c r="N1415" s="189">
        <v>1010101811</v>
      </c>
      <c r="O1415"/>
      <c r="P1415" s="187">
        <v>45072.558020833298</v>
      </c>
      <c r="Q1415" s="186">
        <v>11487</v>
      </c>
      <c r="R1415" s="185"/>
      <c r="S1415" s="185" t="s">
        <v>1528</v>
      </c>
      <c r="T1415"/>
      <c r="U1415" t="str">
        <f>IF($L1415&gt;0,VLOOKUP($E1415,Valida!$A$1:$G$270,6,FALSE),IF($M1415&gt;=0,VLOOKUP($E1415,Valida!$A$1:$G$270,7,FALSE)))</f>
        <v>(+/-) Ajustes por el incremento (disminución) de cuentas por pagar de origen comercial</v>
      </c>
      <c r="V1415" s="190" t="str">
        <f>VLOOKUP(E1415,Valida!$A$2:$K$271,4,FALSE)</f>
        <v>Trade and other payables</v>
      </c>
      <c r="W1415" s="185" t="s">
        <v>1967</v>
      </c>
      <c r="X1415" s="185"/>
      <c r="Y1415" s="185" t="s">
        <v>1789</v>
      </c>
      <c r="Z1415"/>
    </row>
    <row r="1416" spans="1:26">
      <c r="A1416" s="185" t="s">
        <v>2720</v>
      </c>
      <c r="B1416" s="185" t="s">
        <v>2749</v>
      </c>
      <c r="C1416" s="185" t="s">
        <v>1890</v>
      </c>
      <c r="D1416" s="185" t="s">
        <v>2750</v>
      </c>
      <c r="E1416" s="185">
        <v>112005</v>
      </c>
      <c r="F1416" s="185" t="s">
        <v>24</v>
      </c>
      <c r="G1416" s="185" t="s">
        <v>2744</v>
      </c>
      <c r="H1416" s="185" t="s">
        <v>1628</v>
      </c>
      <c r="I1416" s="258" t="str">
        <f t="shared" si="67"/>
        <v>1</v>
      </c>
      <c r="J1416" s="221">
        <f t="shared" si="68"/>
        <v>-1207806</v>
      </c>
      <c r="K1416" s="258">
        <f t="shared" si="69"/>
        <v>5</v>
      </c>
      <c r="L1416" s="188">
        <v>0</v>
      </c>
      <c r="M1416" s="188">
        <v>1207806</v>
      </c>
      <c r="N1416" s="189">
        <v>1130744136</v>
      </c>
      <c r="O1416"/>
      <c r="P1416" s="187">
        <v>45072.558483796303</v>
      </c>
      <c r="Q1416" s="186">
        <v>11488</v>
      </c>
      <c r="R1416" s="185"/>
      <c r="S1416" s="185" t="s">
        <v>1538</v>
      </c>
      <c r="T1416" t="s">
        <v>1894</v>
      </c>
      <c r="U1416" t="str">
        <f>IF($L1416&gt;0,VLOOKUP($E1416,Valida!$A$1:$G$270,6,FALSE),IF($M1416&gt;=0,VLOOKUP($E1416,Valida!$A$1:$G$270,7,FALSE)))</f>
        <v>Disponible</v>
      </c>
      <c r="V1416" s="190" t="str">
        <f>VLOOKUP(E1416,Valida!$A$2:$K$271,4,FALSE)</f>
        <v>Cash and equivalents</v>
      </c>
      <c r="W1416" s="185" t="s">
        <v>1909</v>
      </c>
      <c r="X1416" s="185" t="s">
        <v>1910</v>
      </c>
      <c r="Y1416" s="185" t="s">
        <v>1789</v>
      </c>
      <c r="Z1416"/>
    </row>
    <row r="1417" spans="1:26">
      <c r="A1417" s="185" t="s">
        <v>2720</v>
      </c>
      <c r="B1417" s="185" t="s">
        <v>2749</v>
      </c>
      <c r="C1417" s="185" t="s">
        <v>1890</v>
      </c>
      <c r="D1417" s="185" t="s">
        <v>2750</v>
      </c>
      <c r="E1417" s="185">
        <v>250505</v>
      </c>
      <c r="F1417" s="185" t="s">
        <v>767</v>
      </c>
      <c r="G1417" s="185" t="s">
        <v>2744</v>
      </c>
      <c r="H1417" s="185" t="s">
        <v>1515</v>
      </c>
      <c r="I1417" s="258" t="str">
        <f t="shared" si="67"/>
        <v>2</v>
      </c>
      <c r="J1417" s="221">
        <f t="shared" si="68"/>
        <v>1207806</v>
      </c>
      <c r="K1417" s="258">
        <f t="shared" si="69"/>
        <v>5</v>
      </c>
      <c r="L1417" s="188">
        <v>1207806</v>
      </c>
      <c r="M1417" s="188">
        <v>0</v>
      </c>
      <c r="N1417" s="189">
        <v>1130744136</v>
      </c>
      <c r="O1417"/>
      <c r="P1417" s="187">
        <v>45072.558483796303</v>
      </c>
      <c r="Q1417" s="186">
        <v>11489</v>
      </c>
      <c r="R1417" s="185"/>
      <c r="S1417" s="185" t="s">
        <v>1538</v>
      </c>
      <c r="T1417"/>
      <c r="U1417" t="str">
        <f>IF($L1417&gt;0,VLOOKUP($E1417,Valida!$A$1:$G$270,6,FALSE),IF($M1417&gt;=0,VLOOKUP($E1417,Valida!$A$1:$G$270,7,FALSE)))</f>
        <v>(+/-) Ajustes por el incremento (disminución) de cuentas por pagar de origen comercial</v>
      </c>
      <c r="V1417" s="190" t="str">
        <f>VLOOKUP(E1417,Valida!$A$2:$K$271,4,FALSE)</f>
        <v>Trade and other payables</v>
      </c>
      <c r="W1417" s="185" t="s">
        <v>1909</v>
      </c>
      <c r="X1417" s="185" t="s">
        <v>1910</v>
      </c>
      <c r="Y1417" s="185" t="s">
        <v>1789</v>
      </c>
      <c r="Z1417"/>
    </row>
    <row r="1418" spans="1:26">
      <c r="A1418" s="185" t="s">
        <v>2720</v>
      </c>
      <c r="B1418" s="185" t="s">
        <v>2751</v>
      </c>
      <c r="C1418" s="185" t="s">
        <v>1890</v>
      </c>
      <c r="D1418" s="185" t="s">
        <v>2752</v>
      </c>
      <c r="E1418" s="185">
        <v>112005</v>
      </c>
      <c r="F1418" s="185" t="s">
        <v>24</v>
      </c>
      <c r="G1418" s="185" t="s">
        <v>2744</v>
      </c>
      <c r="H1418" s="185" t="s">
        <v>1628</v>
      </c>
      <c r="I1418" s="258" t="str">
        <f t="shared" si="67"/>
        <v>1</v>
      </c>
      <c r="J1418" s="221">
        <f t="shared" si="68"/>
        <v>-1587378</v>
      </c>
      <c r="K1418" s="258">
        <f t="shared" si="69"/>
        <v>5</v>
      </c>
      <c r="L1418" s="188">
        <v>0</v>
      </c>
      <c r="M1418" s="188">
        <v>1587378</v>
      </c>
      <c r="N1418" s="189">
        <v>1100623759</v>
      </c>
      <c r="O1418"/>
      <c r="P1418" s="187">
        <v>45072.559155092596</v>
      </c>
      <c r="Q1418" s="186">
        <v>11490</v>
      </c>
      <c r="R1418" s="185"/>
      <c r="S1418" s="185" t="s">
        <v>1536</v>
      </c>
      <c r="T1418" t="s">
        <v>1894</v>
      </c>
      <c r="U1418" t="str">
        <f>IF($L1418&gt;0,VLOOKUP($E1418,Valida!$A$1:$G$270,6,FALSE),IF($M1418&gt;=0,VLOOKUP($E1418,Valida!$A$1:$G$270,7,FALSE)))</f>
        <v>Disponible</v>
      </c>
      <c r="V1418" s="190" t="str">
        <f>VLOOKUP(E1418,Valida!$A$2:$K$271,4,FALSE)</f>
        <v>Cash and equivalents</v>
      </c>
      <c r="W1418" s="185" t="s">
        <v>2730</v>
      </c>
      <c r="X1418" s="185"/>
      <c r="Y1418" s="185" t="s">
        <v>1789</v>
      </c>
      <c r="Z1418"/>
    </row>
    <row r="1419" spans="1:26">
      <c r="A1419" s="185" t="s">
        <v>2720</v>
      </c>
      <c r="B1419" s="185" t="s">
        <v>2751</v>
      </c>
      <c r="C1419" s="185" t="s">
        <v>1890</v>
      </c>
      <c r="D1419" s="185" t="s">
        <v>2752</v>
      </c>
      <c r="E1419" s="185">
        <v>250505</v>
      </c>
      <c r="F1419" s="185" t="s">
        <v>767</v>
      </c>
      <c r="G1419" s="185" t="s">
        <v>2744</v>
      </c>
      <c r="H1419" s="185" t="s">
        <v>1515</v>
      </c>
      <c r="I1419" s="258" t="str">
        <f t="shared" si="67"/>
        <v>2</v>
      </c>
      <c r="J1419" s="221">
        <f t="shared" si="68"/>
        <v>1587378</v>
      </c>
      <c r="K1419" s="258">
        <f t="shared" si="69"/>
        <v>5</v>
      </c>
      <c r="L1419" s="188">
        <v>1587378</v>
      </c>
      <c r="M1419" s="188">
        <v>0</v>
      </c>
      <c r="N1419" s="189">
        <v>1100623759</v>
      </c>
      <c r="O1419"/>
      <c r="P1419" s="187">
        <v>45072.559155092596</v>
      </c>
      <c r="Q1419" s="186">
        <v>11491</v>
      </c>
      <c r="R1419" s="185"/>
      <c r="S1419" s="185" t="s">
        <v>1536</v>
      </c>
      <c r="T1419"/>
      <c r="U1419" t="str">
        <f>IF($L1419&gt;0,VLOOKUP($E1419,Valida!$A$1:$G$270,6,FALSE),IF($M1419&gt;=0,VLOOKUP($E1419,Valida!$A$1:$G$270,7,FALSE)))</f>
        <v>(+/-) Ajustes por el incremento (disminución) de cuentas por pagar de origen comercial</v>
      </c>
      <c r="V1419" s="190" t="str">
        <f>VLOOKUP(E1419,Valida!$A$2:$K$271,4,FALSE)</f>
        <v>Trade and other payables</v>
      </c>
      <c r="W1419" s="185" t="s">
        <v>2730</v>
      </c>
      <c r="X1419" s="185"/>
      <c r="Y1419" s="185" t="s">
        <v>1789</v>
      </c>
      <c r="Z1419"/>
    </row>
    <row r="1420" spans="1:26">
      <c r="A1420" s="185" t="s">
        <v>2720</v>
      </c>
      <c r="B1420" s="185" t="s">
        <v>2753</v>
      </c>
      <c r="C1420" s="185" t="s">
        <v>1890</v>
      </c>
      <c r="D1420" s="185" t="s">
        <v>2754</v>
      </c>
      <c r="E1420" s="185">
        <v>112005</v>
      </c>
      <c r="F1420" s="185" t="s">
        <v>24</v>
      </c>
      <c r="G1420" s="185" t="s">
        <v>2744</v>
      </c>
      <c r="H1420" s="185" t="s">
        <v>1628</v>
      </c>
      <c r="I1420" s="258" t="str">
        <f t="shared" si="67"/>
        <v>1</v>
      </c>
      <c r="J1420" s="221">
        <f t="shared" si="68"/>
        <v>-1273805</v>
      </c>
      <c r="K1420" s="258">
        <f t="shared" si="69"/>
        <v>5</v>
      </c>
      <c r="L1420" s="188">
        <v>0</v>
      </c>
      <c r="M1420" s="188">
        <v>1273805</v>
      </c>
      <c r="N1420" s="189">
        <v>1020842223</v>
      </c>
      <c r="O1420"/>
      <c r="P1420" s="187">
        <v>45072.559513888897</v>
      </c>
      <c r="Q1420" s="186">
        <v>11492</v>
      </c>
      <c r="R1420" s="185"/>
      <c r="S1420" s="185" t="s">
        <v>1532</v>
      </c>
      <c r="T1420" t="s">
        <v>1894</v>
      </c>
      <c r="U1420" t="str">
        <f>IF($L1420&gt;0,VLOOKUP($E1420,Valida!$A$1:$G$270,6,FALSE),IF($M1420&gt;=0,VLOOKUP($E1420,Valida!$A$1:$G$270,7,FALSE)))</f>
        <v>Disponible</v>
      </c>
      <c r="V1420" s="190" t="str">
        <f>VLOOKUP(E1420,Valida!$A$2:$K$271,4,FALSE)</f>
        <v>Cash and equivalents</v>
      </c>
      <c r="W1420" s="185" t="s">
        <v>1900</v>
      </c>
      <c r="X1420" s="185"/>
      <c r="Y1420" s="185" t="s">
        <v>1789</v>
      </c>
      <c r="Z1420"/>
    </row>
    <row r="1421" spans="1:26">
      <c r="A1421" s="185" t="s">
        <v>2720</v>
      </c>
      <c r="B1421" s="185" t="s">
        <v>2753</v>
      </c>
      <c r="C1421" s="185" t="s">
        <v>1890</v>
      </c>
      <c r="D1421" s="185" t="s">
        <v>2754</v>
      </c>
      <c r="E1421" s="185">
        <v>250505</v>
      </c>
      <c r="F1421" s="185" t="s">
        <v>767</v>
      </c>
      <c r="G1421" s="185" t="s">
        <v>2744</v>
      </c>
      <c r="H1421" s="185" t="s">
        <v>1515</v>
      </c>
      <c r="I1421" s="258" t="str">
        <f t="shared" si="67"/>
        <v>2</v>
      </c>
      <c r="J1421" s="221">
        <f t="shared" si="68"/>
        <v>1273805</v>
      </c>
      <c r="K1421" s="258">
        <f t="shared" si="69"/>
        <v>5</v>
      </c>
      <c r="L1421" s="188">
        <v>1273805</v>
      </c>
      <c r="M1421" s="188">
        <v>0</v>
      </c>
      <c r="N1421" s="189">
        <v>1020842223</v>
      </c>
      <c r="O1421"/>
      <c r="P1421" s="187">
        <v>45072.559513888897</v>
      </c>
      <c r="Q1421" s="186">
        <v>11493</v>
      </c>
      <c r="R1421" s="185"/>
      <c r="S1421" s="185" t="s">
        <v>1532</v>
      </c>
      <c r="T1421"/>
      <c r="U1421" t="str">
        <f>IF($L1421&gt;0,VLOOKUP($E1421,Valida!$A$1:$G$270,6,FALSE),IF($M1421&gt;=0,VLOOKUP($E1421,Valida!$A$1:$G$270,7,FALSE)))</f>
        <v>(+/-) Ajustes por el incremento (disminución) de cuentas por pagar de origen comercial</v>
      </c>
      <c r="V1421" s="190" t="str">
        <f>VLOOKUP(E1421,Valida!$A$2:$K$271,4,FALSE)</f>
        <v>Trade and other payables</v>
      </c>
      <c r="W1421" s="185" t="s">
        <v>1900</v>
      </c>
      <c r="X1421" s="185"/>
      <c r="Y1421" s="185" t="s">
        <v>1789</v>
      </c>
      <c r="Z1421"/>
    </row>
    <row r="1422" spans="1:26">
      <c r="A1422" s="185" t="s">
        <v>2720</v>
      </c>
      <c r="B1422" s="185" t="s">
        <v>2755</v>
      </c>
      <c r="C1422" s="185" t="s">
        <v>2045</v>
      </c>
      <c r="D1422" s="185" t="s">
        <v>2601</v>
      </c>
      <c r="E1422" s="185">
        <v>23355007</v>
      </c>
      <c r="F1422" s="185" t="s">
        <v>1638</v>
      </c>
      <c r="G1422" s="185" t="s">
        <v>2756</v>
      </c>
      <c r="H1422" s="185" t="s">
        <v>1628</v>
      </c>
      <c r="I1422" s="258" t="str">
        <f t="shared" si="67"/>
        <v>2</v>
      </c>
      <c r="J1422" s="221">
        <f t="shared" si="68"/>
        <v>-509446.97</v>
      </c>
      <c r="K1422" s="258">
        <f t="shared" si="69"/>
        <v>5</v>
      </c>
      <c r="L1422" s="188">
        <v>0</v>
      </c>
      <c r="M1422" s="188">
        <v>509446.97</v>
      </c>
      <c r="N1422" s="189">
        <v>444444001</v>
      </c>
      <c r="O1422" t="s">
        <v>2757</v>
      </c>
      <c r="P1422" s="187">
        <v>45072.5615972222</v>
      </c>
      <c r="Q1422" s="186">
        <v>11494</v>
      </c>
      <c r="R1422" s="185"/>
      <c r="S1422" s="185" t="s">
        <v>1548</v>
      </c>
      <c r="T1422"/>
      <c r="U1422" t="str">
        <f>IF($L1422&gt;0,VLOOKUP($E1422,Valida!$A$1:$G$270,6,FALSE),IF($M1422&gt;=0,VLOOKUP($E1422,Valida!$A$1:$G$270,7,FALSE)))</f>
        <v>(+/-) Ajustes por el incremento (disminución) de cuentas por pagar de origen comercial</v>
      </c>
      <c r="V1422" s="190" t="str">
        <f>VLOOKUP(E1422,Valida!$A$2:$K$271,4,FALSE)</f>
        <v>Trade and other payables</v>
      </c>
      <c r="W1422" s="185"/>
      <c r="X1422" s="185"/>
      <c r="Y1422" s="185"/>
      <c r="Z1422"/>
    </row>
    <row r="1423" spans="1:26">
      <c r="A1423" s="185" t="s">
        <v>2720</v>
      </c>
      <c r="B1423" s="185" t="s">
        <v>2755</v>
      </c>
      <c r="C1423" s="185" t="s">
        <v>2045</v>
      </c>
      <c r="D1423" s="185" t="s">
        <v>2601</v>
      </c>
      <c r="E1423" s="185">
        <v>51350504</v>
      </c>
      <c r="F1423" s="185" t="s">
        <v>1638</v>
      </c>
      <c r="G1423" s="185" t="s">
        <v>2758</v>
      </c>
      <c r="H1423" s="185" t="s">
        <v>1515</v>
      </c>
      <c r="I1423" s="258" t="str">
        <f t="shared" si="67"/>
        <v>5</v>
      </c>
      <c r="J1423" s="221">
        <f t="shared" si="68"/>
        <v>509446.97</v>
      </c>
      <c r="K1423" s="258">
        <f t="shared" si="69"/>
        <v>5</v>
      </c>
      <c r="L1423" s="188">
        <v>509446.97</v>
      </c>
      <c r="M1423" s="188">
        <v>0</v>
      </c>
      <c r="N1423" s="189">
        <v>444444001</v>
      </c>
      <c r="O1423" t="s">
        <v>2757</v>
      </c>
      <c r="P1423" s="187">
        <v>45072.5615972222</v>
      </c>
      <c r="Q1423" s="186">
        <v>11495</v>
      </c>
      <c r="R1423" s="185"/>
      <c r="S1423" s="185" t="s">
        <v>1548</v>
      </c>
      <c r="T1423"/>
      <c r="U1423" t="str">
        <f>IF($L1423&gt;0,VLOOKUP($E1423,Valida!$A$1:$G$270,6,FALSE),IF($M1423&gt;=0,VLOOKUP($E1423,Valida!$A$1:$G$270,7,FALSE)))</f>
        <v>(+/-) Ganancia (pérdida)</v>
      </c>
      <c r="V1423" s="190" t="str">
        <f>VLOOKUP(E1423,Valida!$A$2:$K$271,4,FALSE)</f>
        <v>P&amp;L</v>
      </c>
      <c r="W1423" s="185"/>
      <c r="X1423" s="185"/>
      <c r="Y1423" s="185"/>
      <c r="Z1423"/>
    </row>
    <row r="1424" spans="1:26">
      <c r="A1424" s="185" t="s">
        <v>2720</v>
      </c>
      <c r="B1424" s="185" t="s">
        <v>2759</v>
      </c>
      <c r="C1424" s="185" t="s">
        <v>1890</v>
      </c>
      <c r="D1424" s="185" t="s">
        <v>2760</v>
      </c>
      <c r="E1424" s="185">
        <v>112005</v>
      </c>
      <c r="F1424" s="185" t="s">
        <v>24</v>
      </c>
      <c r="G1424" s="185" t="s">
        <v>1921</v>
      </c>
      <c r="H1424" s="185" t="s">
        <v>1628</v>
      </c>
      <c r="I1424" s="258" t="str">
        <f t="shared" si="67"/>
        <v>1</v>
      </c>
      <c r="J1424" s="221">
        <f t="shared" si="68"/>
        <v>-509446.97</v>
      </c>
      <c r="K1424" s="258">
        <f t="shared" si="69"/>
        <v>5</v>
      </c>
      <c r="L1424" s="188">
        <v>0</v>
      </c>
      <c r="M1424" s="188">
        <v>509446.97</v>
      </c>
      <c r="N1424" s="189">
        <v>444444001</v>
      </c>
      <c r="O1424"/>
      <c r="P1424" s="187">
        <v>45072.562604166698</v>
      </c>
      <c r="Q1424" s="186">
        <v>11496</v>
      </c>
      <c r="R1424" s="185"/>
      <c r="S1424" s="185" t="s">
        <v>1548</v>
      </c>
      <c r="T1424" t="s">
        <v>1894</v>
      </c>
      <c r="U1424" t="str">
        <f>IF($L1424&gt;0,VLOOKUP($E1424,Valida!$A$1:$G$270,6,FALSE),IF($M1424&gt;=0,VLOOKUP($E1424,Valida!$A$1:$G$270,7,FALSE)))</f>
        <v>Disponible</v>
      </c>
      <c r="V1424" s="190" t="str">
        <f>VLOOKUP(E1424,Valida!$A$2:$K$271,4,FALSE)</f>
        <v>Cash and equivalents</v>
      </c>
      <c r="W1424" s="185"/>
      <c r="X1424" s="185"/>
      <c r="Y1424" s="185"/>
      <c r="Z1424"/>
    </row>
    <row r="1425" spans="1:26">
      <c r="A1425" s="185" t="s">
        <v>2720</v>
      </c>
      <c r="B1425" s="185" t="s">
        <v>2759</v>
      </c>
      <c r="C1425" s="185" t="s">
        <v>1890</v>
      </c>
      <c r="D1425" s="185" t="s">
        <v>2760</v>
      </c>
      <c r="E1425" s="185">
        <v>23355007</v>
      </c>
      <c r="F1425" s="185" t="s">
        <v>1638</v>
      </c>
      <c r="G1425" s="185" t="s">
        <v>1921</v>
      </c>
      <c r="H1425" s="185" t="s">
        <v>1515</v>
      </c>
      <c r="I1425" s="258" t="str">
        <f t="shared" si="67"/>
        <v>2</v>
      </c>
      <c r="J1425" s="221">
        <f t="shared" si="68"/>
        <v>509446.97</v>
      </c>
      <c r="K1425" s="258">
        <f t="shared" si="69"/>
        <v>5</v>
      </c>
      <c r="L1425" s="188">
        <v>509446.97</v>
      </c>
      <c r="M1425" s="188">
        <v>0</v>
      </c>
      <c r="N1425" s="189">
        <v>444444001</v>
      </c>
      <c r="O1425"/>
      <c r="P1425" s="187">
        <v>45072.562604166698</v>
      </c>
      <c r="Q1425" s="186">
        <v>11497</v>
      </c>
      <c r="R1425" s="185"/>
      <c r="S1425" s="185" t="s">
        <v>1548</v>
      </c>
      <c r="T1425"/>
      <c r="U1425" t="str">
        <f>IF($L1425&gt;0,VLOOKUP($E1425,Valida!$A$1:$G$270,6,FALSE),IF($M1425&gt;=0,VLOOKUP($E1425,Valida!$A$1:$G$270,7,FALSE)))</f>
        <v>(+/-) Ajustes por el incremento (disminución) de cuentas por pagar de origen comercial</v>
      </c>
      <c r="V1425" s="190" t="str">
        <f>VLOOKUP(E1425,Valida!$A$2:$K$271,4,FALSE)</f>
        <v>Trade and other payables</v>
      </c>
      <c r="W1425" s="185"/>
      <c r="X1425" s="185"/>
      <c r="Y1425" s="185"/>
      <c r="Z1425"/>
    </row>
    <row r="1426" spans="1:26">
      <c r="A1426" s="185" t="s">
        <v>2720</v>
      </c>
      <c r="B1426" s="185" t="s">
        <v>2761</v>
      </c>
      <c r="C1426" s="185" t="s">
        <v>1890</v>
      </c>
      <c r="D1426" s="185" t="s">
        <v>2762</v>
      </c>
      <c r="E1426" s="185">
        <v>23355004</v>
      </c>
      <c r="F1426" s="185" t="s">
        <v>513</v>
      </c>
      <c r="G1426" s="185" t="s">
        <v>1921</v>
      </c>
      <c r="H1426" s="185" t="s">
        <v>1515</v>
      </c>
      <c r="I1426" s="258" t="str">
        <f t="shared" si="67"/>
        <v>2</v>
      </c>
      <c r="J1426" s="221">
        <f t="shared" si="68"/>
        <v>2551999.23</v>
      </c>
      <c r="K1426" s="258">
        <f t="shared" si="69"/>
        <v>5</v>
      </c>
      <c r="L1426" s="188">
        <v>2551999.23</v>
      </c>
      <c r="M1426" s="188">
        <v>0</v>
      </c>
      <c r="N1426" s="189">
        <v>900994552</v>
      </c>
      <c r="O1426"/>
      <c r="P1426" s="187">
        <v>45072.563657407401</v>
      </c>
      <c r="Q1426" s="186">
        <v>11498</v>
      </c>
      <c r="R1426" s="185" t="s">
        <v>844</v>
      </c>
      <c r="S1426" s="185" t="s">
        <v>1606</v>
      </c>
      <c r="T1426"/>
      <c r="U1426" t="str">
        <f>IF($L1426&gt;0,VLOOKUP($E1426,Valida!$A$1:$G$270,6,FALSE),IF($M1426&gt;=0,VLOOKUP($E1426,Valida!$A$1:$G$270,7,FALSE)))</f>
        <v>(+/-) Ajustes por el incremento (disminución) de cuentas por pagar de origen comercial</v>
      </c>
      <c r="V1426" s="190" t="str">
        <f>VLOOKUP(E1426,Valida!$A$2:$K$271,4,FALSE)</f>
        <v>Trade and other payables</v>
      </c>
      <c r="W1426" s="185" t="s">
        <v>1796</v>
      </c>
      <c r="X1426" s="185" t="s">
        <v>1797</v>
      </c>
      <c r="Y1426" s="185" t="s">
        <v>1789</v>
      </c>
      <c r="Z1426"/>
    </row>
    <row r="1427" spans="1:26">
      <c r="A1427" s="185" t="s">
        <v>2720</v>
      </c>
      <c r="B1427" s="185" t="s">
        <v>2761</v>
      </c>
      <c r="C1427" s="185" t="s">
        <v>1890</v>
      </c>
      <c r="D1427" s="185" t="s">
        <v>2762</v>
      </c>
      <c r="E1427" s="185">
        <v>112005</v>
      </c>
      <c r="F1427" s="185" t="s">
        <v>24</v>
      </c>
      <c r="G1427" s="185" t="s">
        <v>1921</v>
      </c>
      <c r="H1427" s="185" t="s">
        <v>1628</v>
      </c>
      <c r="I1427" s="258" t="str">
        <f t="shared" si="67"/>
        <v>1</v>
      </c>
      <c r="J1427" s="221">
        <f t="shared" si="68"/>
        <v>-2551999.23</v>
      </c>
      <c r="K1427" s="258">
        <f t="shared" si="69"/>
        <v>5</v>
      </c>
      <c r="L1427" s="188">
        <v>0</v>
      </c>
      <c r="M1427" s="188">
        <v>2551999.23</v>
      </c>
      <c r="N1427" s="189">
        <v>900994552</v>
      </c>
      <c r="O1427"/>
      <c r="P1427" s="187">
        <v>45072.563657407401</v>
      </c>
      <c r="Q1427" s="186">
        <v>11499</v>
      </c>
      <c r="R1427" s="185" t="s">
        <v>844</v>
      </c>
      <c r="S1427" s="185" t="s">
        <v>1606</v>
      </c>
      <c r="T1427" t="s">
        <v>1894</v>
      </c>
      <c r="U1427" t="str">
        <f>IF($L1427&gt;0,VLOOKUP($E1427,Valida!$A$1:$G$270,6,FALSE),IF($M1427&gt;=0,VLOOKUP($E1427,Valida!$A$1:$G$270,7,FALSE)))</f>
        <v>Disponible</v>
      </c>
      <c r="V1427" s="190" t="str">
        <f>VLOOKUP(E1427,Valida!$A$2:$K$271,4,FALSE)</f>
        <v>Cash and equivalents</v>
      </c>
      <c r="W1427" s="185" t="s">
        <v>1796</v>
      </c>
      <c r="X1427" s="185" t="s">
        <v>1797</v>
      </c>
      <c r="Y1427" s="185" t="s">
        <v>1789</v>
      </c>
      <c r="Z1427"/>
    </row>
    <row r="1428" spans="1:26">
      <c r="A1428" s="185" t="s">
        <v>2763</v>
      </c>
      <c r="B1428" s="185" t="s">
        <v>2764</v>
      </c>
      <c r="C1428" s="185" t="s">
        <v>1890</v>
      </c>
      <c r="D1428" s="185" t="s">
        <v>2765</v>
      </c>
      <c r="E1428" s="185">
        <v>23355006</v>
      </c>
      <c r="F1428" s="185" t="s">
        <v>519</v>
      </c>
      <c r="G1428" s="185" t="s">
        <v>1921</v>
      </c>
      <c r="H1428" s="185" t="s">
        <v>1515</v>
      </c>
      <c r="I1428" s="258" t="str">
        <f t="shared" si="67"/>
        <v>2</v>
      </c>
      <c r="J1428" s="221">
        <f t="shared" si="68"/>
        <v>1457040</v>
      </c>
      <c r="K1428" s="258">
        <f t="shared" si="69"/>
        <v>5</v>
      </c>
      <c r="L1428" s="188">
        <v>1457040</v>
      </c>
      <c r="M1428" s="188">
        <v>0</v>
      </c>
      <c r="N1428" s="189">
        <v>899999115</v>
      </c>
      <c r="O1428"/>
      <c r="P1428" s="187">
        <v>45072.564305555599</v>
      </c>
      <c r="Q1428" s="186">
        <v>11500</v>
      </c>
      <c r="R1428" s="185" t="s">
        <v>1827</v>
      </c>
      <c r="S1428" s="185" t="s">
        <v>1586</v>
      </c>
      <c r="T1428"/>
      <c r="U1428" t="str">
        <f>IF($L1428&gt;0,VLOOKUP($E1428,Valida!$A$1:$G$270,6,FALSE),IF($M1428&gt;=0,VLOOKUP($E1428,Valida!$A$1:$G$270,7,FALSE)))</f>
        <v>(+/-) Ajustes por el incremento (disminución) de cuentas por pagar de origen comercial</v>
      </c>
      <c r="V1428" s="190" t="str">
        <f>VLOOKUP(E1428,Valida!$A$2:$K$271,4,FALSE)</f>
        <v>Trade and other payables</v>
      </c>
      <c r="W1428" s="185" t="s">
        <v>1828</v>
      </c>
      <c r="X1428" s="185" t="s">
        <v>1829</v>
      </c>
      <c r="Y1428" s="185" t="s">
        <v>1789</v>
      </c>
      <c r="Z1428"/>
    </row>
    <row r="1429" spans="1:26">
      <c r="A1429" s="185" t="s">
        <v>2763</v>
      </c>
      <c r="B1429" s="185" t="s">
        <v>2764</v>
      </c>
      <c r="C1429" s="185" t="s">
        <v>1890</v>
      </c>
      <c r="D1429" s="185" t="s">
        <v>2765</v>
      </c>
      <c r="E1429" s="185">
        <v>112005</v>
      </c>
      <c r="F1429" s="185" t="s">
        <v>24</v>
      </c>
      <c r="G1429" s="185" t="s">
        <v>1921</v>
      </c>
      <c r="H1429" s="185" t="s">
        <v>1628</v>
      </c>
      <c r="I1429" s="258" t="str">
        <f t="shared" si="67"/>
        <v>1</v>
      </c>
      <c r="J1429" s="221">
        <f t="shared" si="68"/>
        <v>-1457040</v>
      </c>
      <c r="K1429" s="258">
        <f t="shared" si="69"/>
        <v>5</v>
      </c>
      <c r="L1429" s="188">
        <v>0</v>
      </c>
      <c r="M1429" s="188">
        <v>1457040</v>
      </c>
      <c r="N1429" s="189">
        <v>899999115</v>
      </c>
      <c r="O1429"/>
      <c r="P1429" s="187">
        <v>45072.564305555599</v>
      </c>
      <c r="Q1429" s="186">
        <v>11501</v>
      </c>
      <c r="R1429" s="185" t="s">
        <v>1827</v>
      </c>
      <c r="S1429" s="185" t="s">
        <v>1586</v>
      </c>
      <c r="T1429" t="s">
        <v>1894</v>
      </c>
      <c r="U1429" t="str">
        <f>IF($L1429&gt;0,VLOOKUP($E1429,Valida!$A$1:$G$270,6,FALSE),IF($M1429&gt;=0,VLOOKUP($E1429,Valida!$A$1:$G$270,7,FALSE)))</f>
        <v>Disponible</v>
      </c>
      <c r="V1429" s="190" t="str">
        <f>VLOOKUP(E1429,Valida!$A$2:$K$271,4,FALSE)</f>
        <v>Cash and equivalents</v>
      </c>
      <c r="W1429" s="185" t="s">
        <v>1828</v>
      </c>
      <c r="X1429" s="185" t="s">
        <v>1829</v>
      </c>
      <c r="Y1429" s="185" t="s">
        <v>1789</v>
      </c>
      <c r="Z1429"/>
    </row>
    <row r="1430" spans="1:26">
      <c r="A1430" s="185" t="s">
        <v>2403</v>
      </c>
      <c r="B1430" s="185" t="s">
        <v>2592</v>
      </c>
      <c r="C1430" s="185" t="s">
        <v>1952</v>
      </c>
      <c r="D1430" s="185" t="s">
        <v>2591</v>
      </c>
      <c r="E1430" s="185">
        <v>51350504</v>
      </c>
      <c r="F1430" s="185" t="s">
        <v>1638</v>
      </c>
      <c r="G1430" s="185" t="s">
        <v>2766</v>
      </c>
      <c r="H1430" s="185" t="s">
        <v>1515</v>
      </c>
      <c r="I1430" s="258" t="str">
        <f t="shared" si="67"/>
        <v>5</v>
      </c>
      <c r="J1430" s="221">
        <f t="shared" si="68"/>
        <v>2484.0100000000002</v>
      </c>
      <c r="K1430" s="258">
        <f t="shared" si="69"/>
        <v>3</v>
      </c>
      <c r="L1430" s="188">
        <v>2484.0100000000002</v>
      </c>
      <c r="M1430" s="188">
        <v>0</v>
      </c>
      <c r="N1430" s="189">
        <v>444444001</v>
      </c>
      <c r="O1430" t="s">
        <v>2592</v>
      </c>
      <c r="P1430" s="187">
        <v>45075</v>
      </c>
      <c r="Q1430" s="186">
        <v>11502</v>
      </c>
      <c r="R1430" s="185"/>
      <c r="S1430" s="185" t="s">
        <v>1548</v>
      </c>
      <c r="T1430"/>
      <c r="U1430" t="str">
        <f>IF($L1430&gt;0,VLOOKUP($E1430,Valida!$A$1:$G$270,6,FALSE),IF($M1430&gt;=0,VLOOKUP($E1430,Valida!$A$1:$G$270,7,FALSE)))</f>
        <v>(+/-) Ganancia (pérdida)</v>
      </c>
      <c r="V1430" s="190" t="str">
        <f>VLOOKUP(E1430,Valida!$A$2:$K$271,4,FALSE)</f>
        <v>P&amp;L</v>
      </c>
      <c r="W1430" s="185"/>
      <c r="X1430" s="185"/>
      <c r="Y1430" s="185"/>
      <c r="Z1430"/>
    </row>
    <row r="1431" spans="1:26">
      <c r="A1431" s="185" t="s">
        <v>2403</v>
      </c>
      <c r="B1431" s="185" t="s">
        <v>2592</v>
      </c>
      <c r="C1431" s="185" t="s">
        <v>1952</v>
      </c>
      <c r="D1431" s="185" t="s">
        <v>2591</v>
      </c>
      <c r="E1431" s="185">
        <v>112005</v>
      </c>
      <c r="F1431" s="185" t="s">
        <v>24</v>
      </c>
      <c r="G1431" s="185" t="s">
        <v>2766</v>
      </c>
      <c r="H1431" s="185" t="s">
        <v>1628</v>
      </c>
      <c r="I1431" s="258" t="str">
        <f t="shared" si="67"/>
        <v>1</v>
      </c>
      <c r="J1431" s="221">
        <f t="shared" si="68"/>
        <v>-2484.0100000000002</v>
      </c>
      <c r="K1431" s="258">
        <f t="shared" si="69"/>
        <v>3</v>
      </c>
      <c r="L1431" s="188">
        <v>0</v>
      </c>
      <c r="M1431" s="188">
        <v>2484.0100000000002</v>
      </c>
      <c r="N1431" s="189">
        <v>444444001</v>
      </c>
      <c r="O1431" t="s">
        <v>2592</v>
      </c>
      <c r="P1431" s="187">
        <v>45075</v>
      </c>
      <c r="Q1431" s="186">
        <v>11503</v>
      </c>
      <c r="R1431" s="185"/>
      <c r="S1431" s="185" t="s">
        <v>1548</v>
      </c>
      <c r="T1431" t="s">
        <v>1894</v>
      </c>
      <c r="U1431" t="str">
        <f>IF($L1431&gt;0,VLOOKUP($E1431,Valida!$A$1:$G$270,6,FALSE),IF($M1431&gt;=0,VLOOKUP($E1431,Valida!$A$1:$G$270,7,FALSE)))</f>
        <v>Disponible</v>
      </c>
      <c r="V1431" s="190" t="str">
        <f>VLOOKUP(E1431,Valida!$A$2:$K$271,4,FALSE)</f>
        <v>Cash and equivalents</v>
      </c>
      <c r="W1431" s="185"/>
      <c r="X1431" s="185"/>
      <c r="Y1431" s="185"/>
      <c r="Z1431"/>
    </row>
    <row r="1432" spans="1:26">
      <c r="A1432" s="185" t="s">
        <v>2355</v>
      </c>
      <c r="B1432" s="185" t="s">
        <v>2356</v>
      </c>
      <c r="C1432" s="185" t="s">
        <v>1890</v>
      </c>
      <c r="D1432" s="185" t="s">
        <v>2357</v>
      </c>
      <c r="E1432" s="185">
        <v>53059510</v>
      </c>
      <c r="F1432" s="185" t="s">
        <v>1065</v>
      </c>
      <c r="G1432" s="185" t="s">
        <v>2358</v>
      </c>
      <c r="H1432" s="185" t="s">
        <v>1515</v>
      </c>
      <c r="I1432" s="258" t="str">
        <f t="shared" si="67"/>
        <v>5</v>
      </c>
      <c r="J1432" s="221">
        <f t="shared" si="68"/>
        <v>4</v>
      </c>
      <c r="K1432" s="258">
        <f t="shared" si="69"/>
        <v>3</v>
      </c>
      <c r="L1432" s="188">
        <v>4</v>
      </c>
      <c r="M1432" s="188">
        <v>0</v>
      </c>
      <c r="N1432" s="189">
        <v>899999115</v>
      </c>
      <c r="O1432" t="s">
        <v>2356</v>
      </c>
      <c r="P1432" s="187">
        <v>45075</v>
      </c>
      <c r="Q1432" s="186">
        <v>11504</v>
      </c>
      <c r="R1432" s="185" t="s">
        <v>1827</v>
      </c>
      <c r="S1432" s="185" t="s">
        <v>1586</v>
      </c>
      <c r="T1432"/>
      <c r="U1432" t="str">
        <f>IF($L1432&gt;0,VLOOKUP($E1432,Valida!$A$1:$G$270,6,FALSE),IF($M1432&gt;=0,VLOOKUP($E1432,Valida!$A$1:$G$270,7,FALSE)))</f>
        <v>(+/-) Ganancia (pérdida)</v>
      </c>
      <c r="V1432" s="190" t="str">
        <f>VLOOKUP(E1432,Valida!$A$2:$K$271,4,FALSE)</f>
        <v>P&amp;L</v>
      </c>
      <c r="W1432" s="185" t="s">
        <v>1828</v>
      </c>
      <c r="X1432" s="185" t="s">
        <v>1829</v>
      </c>
      <c r="Y1432" s="185" t="s">
        <v>1789</v>
      </c>
      <c r="Z1432"/>
    </row>
    <row r="1433" spans="1:26">
      <c r="A1433" s="185" t="s">
        <v>2725</v>
      </c>
      <c r="B1433" s="185" t="s">
        <v>2767</v>
      </c>
      <c r="C1433" s="185" t="s">
        <v>1991</v>
      </c>
      <c r="D1433" s="185" t="s">
        <v>2768</v>
      </c>
      <c r="E1433" s="185">
        <v>23653001</v>
      </c>
      <c r="F1433" s="185" t="s">
        <v>611</v>
      </c>
      <c r="G1433" s="185" t="s">
        <v>2769</v>
      </c>
      <c r="H1433" s="185" t="s">
        <v>1515</v>
      </c>
      <c r="I1433" s="258" t="str">
        <f t="shared" si="67"/>
        <v>2</v>
      </c>
      <c r="J1433" s="221">
        <f t="shared" si="68"/>
        <v>446250</v>
      </c>
      <c r="K1433" s="258">
        <f t="shared" si="69"/>
        <v>5</v>
      </c>
      <c r="L1433" s="188">
        <v>446250</v>
      </c>
      <c r="M1433" s="188">
        <v>0</v>
      </c>
      <c r="N1433" s="189">
        <v>800197268</v>
      </c>
      <c r="O1433"/>
      <c r="P1433" s="187">
        <v>45075.357569444401</v>
      </c>
      <c r="Q1433" s="186">
        <v>11505</v>
      </c>
      <c r="R1433" s="185" t="s">
        <v>983</v>
      </c>
      <c r="S1433" s="185" t="s">
        <v>1558</v>
      </c>
      <c r="T1433"/>
      <c r="U1433" t="str">
        <f>IF($L1433&gt;0,VLOOKUP($E1433,Valida!$A$1:$G$270,6,FALSE),IF($M1433&gt;=0,VLOOKUP($E1433,Valida!$A$1:$G$270,7,FALSE)))</f>
        <v>(+/-) Ajustes por el incremento (disminución) de cuentas por pagar de origen comercial</v>
      </c>
      <c r="V1433" s="190" t="str">
        <f>VLOOKUP(E1433,Valida!$A$2:$K$271,4,FALSE)</f>
        <v>Trade and other payables</v>
      </c>
      <c r="W1433" s="185" t="s">
        <v>1944</v>
      </c>
      <c r="X1433" s="185"/>
      <c r="Y1433" s="185" t="s">
        <v>1789</v>
      </c>
      <c r="Z1433"/>
    </row>
    <row r="1434" spans="1:26">
      <c r="A1434" s="185" t="s">
        <v>2725</v>
      </c>
      <c r="B1434" s="185" t="s">
        <v>2767</v>
      </c>
      <c r="C1434" s="185" t="s">
        <v>1991</v>
      </c>
      <c r="D1434" s="185" t="s">
        <v>2768</v>
      </c>
      <c r="E1434" s="185">
        <v>23653002</v>
      </c>
      <c r="F1434" s="185" t="s">
        <v>241</v>
      </c>
      <c r="G1434" s="185" t="s">
        <v>2769</v>
      </c>
      <c r="H1434" s="185" t="s">
        <v>1515</v>
      </c>
      <c r="I1434" s="258" t="str">
        <f t="shared" si="67"/>
        <v>2</v>
      </c>
      <c r="J1434" s="221">
        <f t="shared" si="68"/>
        <v>4280</v>
      </c>
      <c r="K1434" s="258">
        <f t="shared" si="69"/>
        <v>5</v>
      </c>
      <c r="L1434" s="188">
        <v>4280</v>
      </c>
      <c r="M1434" s="188">
        <v>0</v>
      </c>
      <c r="N1434" s="189">
        <v>800197268</v>
      </c>
      <c r="O1434"/>
      <c r="P1434" s="187">
        <v>45075.357569444401</v>
      </c>
      <c r="Q1434" s="186">
        <v>11506</v>
      </c>
      <c r="R1434" s="185" t="s">
        <v>983</v>
      </c>
      <c r="S1434" s="185" t="s">
        <v>1558</v>
      </c>
      <c r="T1434"/>
      <c r="U1434" t="str">
        <f>IF($L1434&gt;0,VLOOKUP($E1434,Valida!$A$1:$G$270,6,FALSE),IF($M1434&gt;=0,VLOOKUP($E1434,Valida!$A$1:$G$270,7,FALSE)))</f>
        <v>(+/-) Ajustes por el incremento (disminución) de cuentas por pagar de origen comercial</v>
      </c>
      <c r="V1434" s="190" t="str">
        <f>VLOOKUP(E1434,Valida!$A$2:$K$271,4,FALSE)</f>
        <v>Trade and other payables</v>
      </c>
      <c r="W1434" s="185" t="s">
        <v>1944</v>
      </c>
      <c r="X1434" s="185"/>
      <c r="Y1434" s="185" t="s">
        <v>1789</v>
      </c>
      <c r="Z1434"/>
    </row>
    <row r="1435" spans="1:26">
      <c r="A1435" s="185" t="s">
        <v>2725</v>
      </c>
      <c r="B1435" s="185" t="s">
        <v>2767</v>
      </c>
      <c r="C1435" s="185" t="s">
        <v>1991</v>
      </c>
      <c r="D1435" s="185" t="s">
        <v>2768</v>
      </c>
      <c r="E1435" s="185">
        <v>23654001</v>
      </c>
      <c r="F1435" s="185" t="s">
        <v>622</v>
      </c>
      <c r="G1435" s="185" t="s">
        <v>2769</v>
      </c>
      <c r="H1435" s="185" t="s">
        <v>1515</v>
      </c>
      <c r="I1435" s="258" t="str">
        <f t="shared" si="67"/>
        <v>2</v>
      </c>
      <c r="J1435" s="221">
        <f t="shared" si="68"/>
        <v>83389</v>
      </c>
      <c r="K1435" s="258">
        <f t="shared" si="69"/>
        <v>5</v>
      </c>
      <c r="L1435" s="188">
        <v>83389</v>
      </c>
      <c r="M1435" s="188">
        <v>0</v>
      </c>
      <c r="N1435" s="189">
        <v>800197268</v>
      </c>
      <c r="O1435"/>
      <c r="P1435" s="187">
        <v>45075.357569444401</v>
      </c>
      <c r="Q1435" s="186">
        <v>11507</v>
      </c>
      <c r="R1435" s="185" t="s">
        <v>983</v>
      </c>
      <c r="S1435" s="185" t="s">
        <v>1558</v>
      </c>
      <c r="T1435"/>
      <c r="U1435" t="str">
        <f>IF($L1435&gt;0,VLOOKUP($E1435,Valida!$A$1:$G$270,6,FALSE),IF($M1435&gt;=0,VLOOKUP($E1435,Valida!$A$1:$G$270,7,FALSE)))</f>
        <v>(+/-) Ajustes por el incremento (disminución) de cuentas por pagar de origen comercial</v>
      </c>
      <c r="V1435" s="190" t="str">
        <f>VLOOKUP(E1435,Valida!$A$2:$K$271,4,FALSE)</f>
        <v>Trade and other payables</v>
      </c>
      <c r="W1435" s="185" t="s">
        <v>1944</v>
      </c>
      <c r="X1435" s="185"/>
      <c r="Y1435" s="185" t="s">
        <v>1789</v>
      </c>
      <c r="Z1435"/>
    </row>
    <row r="1436" spans="1:26">
      <c r="A1436" s="185" t="s">
        <v>2725</v>
      </c>
      <c r="B1436" s="185" t="s">
        <v>2767</v>
      </c>
      <c r="C1436" s="185" t="s">
        <v>1991</v>
      </c>
      <c r="D1436" s="185" t="s">
        <v>2768</v>
      </c>
      <c r="E1436" s="185">
        <v>236595</v>
      </c>
      <c r="F1436" s="185" t="s">
        <v>648</v>
      </c>
      <c r="G1436" s="185" t="s">
        <v>2769</v>
      </c>
      <c r="H1436" s="185" t="s">
        <v>1628</v>
      </c>
      <c r="I1436" s="258" t="str">
        <f t="shared" si="67"/>
        <v>2</v>
      </c>
      <c r="J1436" s="221">
        <f t="shared" si="68"/>
        <v>-533919</v>
      </c>
      <c r="K1436" s="258">
        <f t="shared" si="69"/>
        <v>5</v>
      </c>
      <c r="L1436" s="188">
        <v>0</v>
      </c>
      <c r="M1436" s="188">
        <v>533919</v>
      </c>
      <c r="N1436" s="189">
        <v>800197268</v>
      </c>
      <c r="O1436"/>
      <c r="P1436" s="187">
        <v>45075.357569444401</v>
      </c>
      <c r="Q1436" s="186">
        <v>11508</v>
      </c>
      <c r="R1436" s="185" t="s">
        <v>983</v>
      </c>
      <c r="S1436" s="185" t="s">
        <v>1558</v>
      </c>
      <c r="T1436"/>
      <c r="U1436" t="str">
        <f>IF($L1436&gt;0,VLOOKUP($E1436,Valida!$A$1:$G$270,6,FALSE),IF($M1436&gt;=0,VLOOKUP($E1436,Valida!$A$1:$G$270,7,FALSE)))</f>
        <v>(+/-) Ajustes por el incremento (disminución) de cuentas por pagar de origen comercial</v>
      </c>
      <c r="V1436" s="190" t="str">
        <f>VLOOKUP(E1436,Valida!$A$2:$K$271,4,FALSE)</f>
        <v>Trade and other payables</v>
      </c>
      <c r="W1436" s="185" t="s">
        <v>1944</v>
      </c>
      <c r="X1436" s="185"/>
      <c r="Y1436" s="185" t="s">
        <v>1789</v>
      </c>
      <c r="Z1436"/>
    </row>
    <row r="1437" spans="1:26">
      <c r="A1437" s="185" t="s">
        <v>2770</v>
      </c>
      <c r="B1437" s="185" t="s">
        <v>2771</v>
      </c>
      <c r="C1437" s="185" t="s">
        <v>1785</v>
      </c>
      <c r="D1437" s="185" t="s">
        <v>1898</v>
      </c>
      <c r="E1437" s="185">
        <v>237095</v>
      </c>
      <c r="F1437" s="185" t="s">
        <v>150</v>
      </c>
      <c r="G1437" s="185" t="s">
        <v>2207</v>
      </c>
      <c r="H1437" s="185" t="s">
        <v>1628</v>
      </c>
      <c r="I1437" s="258" t="str">
        <f t="shared" si="67"/>
        <v>2</v>
      </c>
      <c r="J1437" s="221">
        <f t="shared" si="68"/>
        <v>-361200</v>
      </c>
      <c r="K1437" s="258">
        <f t="shared" si="69"/>
        <v>5</v>
      </c>
      <c r="L1437" s="188">
        <v>0</v>
      </c>
      <c r="M1437" s="188">
        <v>361200</v>
      </c>
      <c r="N1437" s="189">
        <v>860066942</v>
      </c>
      <c r="O1437"/>
      <c r="P1437" s="187">
        <v>45075.3620717593</v>
      </c>
      <c r="Q1437" s="186">
        <v>11509</v>
      </c>
      <c r="R1437" s="185" t="s">
        <v>1814</v>
      </c>
      <c r="S1437" s="185" t="s">
        <v>1574</v>
      </c>
      <c r="T1437"/>
      <c r="U1437" t="str">
        <f>IF($L1437&gt;0,VLOOKUP($E1437,Valida!$A$1:$G$270,6,FALSE),IF($M1437&gt;=0,VLOOKUP($E1437,Valida!$A$1:$G$270,7,FALSE)))</f>
        <v>(+/-) Ajustes por el incremento (disminución) de cuentas por pagar de origen comercial</v>
      </c>
      <c r="V1437" s="190" t="str">
        <f>VLOOKUP(E1437,Valida!$A$2:$K$271,4,FALSE)</f>
        <v>Trade and other payables</v>
      </c>
      <c r="W1437" s="185" t="s">
        <v>1914</v>
      </c>
      <c r="X1437" s="185" t="s">
        <v>1915</v>
      </c>
      <c r="Y1437" s="185" t="s">
        <v>1789</v>
      </c>
      <c r="Z1437"/>
    </row>
    <row r="1438" spans="1:26">
      <c r="A1438" s="185" t="s">
        <v>2770</v>
      </c>
      <c r="B1438" s="185" t="s">
        <v>2771</v>
      </c>
      <c r="C1438" s="185" t="s">
        <v>1785</v>
      </c>
      <c r="D1438" s="185" t="s">
        <v>1898</v>
      </c>
      <c r="E1438" s="185">
        <v>237005</v>
      </c>
      <c r="F1438" s="185" t="s">
        <v>676</v>
      </c>
      <c r="G1438" s="185" t="s">
        <v>2207</v>
      </c>
      <c r="H1438" s="185" t="s">
        <v>1515</v>
      </c>
      <c r="I1438" s="258" t="str">
        <f t="shared" si="67"/>
        <v>2</v>
      </c>
      <c r="J1438" s="221">
        <f t="shared" si="68"/>
        <v>163800</v>
      </c>
      <c r="K1438" s="258">
        <f t="shared" si="69"/>
        <v>5</v>
      </c>
      <c r="L1438" s="188">
        <v>163800</v>
      </c>
      <c r="M1438" s="188">
        <v>0</v>
      </c>
      <c r="N1438" s="189">
        <v>800251440</v>
      </c>
      <c r="O1438"/>
      <c r="P1438" s="187">
        <v>45075.3620717593</v>
      </c>
      <c r="Q1438" s="186">
        <v>11510</v>
      </c>
      <c r="R1438" s="185" t="s">
        <v>1901</v>
      </c>
      <c r="S1438" s="185" t="s">
        <v>1560</v>
      </c>
      <c r="T1438"/>
      <c r="U1438" t="str">
        <f>IF($L1438&gt;0,VLOOKUP($E1438,Valida!$A$1:$G$270,6,FALSE),IF($M1438&gt;=0,VLOOKUP($E1438,Valida!$A$1:$G$270,7,FALSE)))</f>
        <v>(+/-) Ajustes por el incremento (disminución) de cuentas por pagar de origen comercial</v>
      </c>
      <c r="V1438" s="190" t="str">
        <f>VLOOKUP(E1438,Valida!$A$2:$K$271,4,FALSE)</f>
        <v>Trade and other payables</v>
      </c>
      <c r="W1438" s="185" t="s">
        <v>1902</v>
      </c>
      <c r="X1438" s="185" t="s">
        <v>1903</v>
      </c>
      <c r="Y1438" s="185" t="s">
        <v>1789</v>
      </c>
      <c r="Z1438"/>
    </row>
    <row r="1439" spans="1:26">
      <c r="A1439" s="185" t="s">
        <v>2770</v>
      </c>
      <c r="B1439" s="185" t="s">
        <v>2771</v>
      </c>
      <c r="C1439" s="185" t="s">
        <v>1785</v>
      </c>
      <c r="D1439" s="185" t="s">
        <v>1898</v>
      </c>
      <c r="E1439" s="185">
        <v>237005</v>
      </c>
      <c r="F1439" s="185" t="s">
        <v>676</v>
      </c>
      <c r="G1439" s="185" t="s">
        <v>2207</v>
      </c>
      <c r="H1439" s="185" t="s">
        <v>1515</v>
      </c>
      <c r="I1439" s="258" t="str">
        <f t="shared" si="67"/>
        <v>2</v>
      </c>
      <c r="J1439" s="221">
        <f t="shared" si="68"/>
        <v>51100</v>
      </c>
      <c r="K1439" s="258">
        <f t="shared" si="69"/>
        <v>5</v>
      </c>
      <c r="L1439" s="188">
        <v>51100</v>
      </c>
      <c r="M1439" s="188">
        <v>0</v>
      </c>
      <c r="N1439" s="189">
        <v>830003564</v>
      </c>
      <c r="O1439"/>
      <c r="P1439" s="187">
        <v>45075.3620717593</v>
      </c>
      <c r="Q1439" s="186">
        <v>11511</v>
      </c>
      <c r="R1439" s="185" t="s">
        <v>1814</v>
      </c>
      <c r="S1439" s="185" t="s">
        <v>1652</v>
      </c>
      <c r="T1439"/>
      <c r="U1439" t="str">
        <f>IF($L1439&gt;0,VLOOKUP($E1439,Valida!$A$1:$G$270,6,FALSE),IF($M1439&gt;=0,VLOOKUP($E1439,Valida!$A$1:$G$270,7,FALSE)))</f>
        <v>(+/-) Ajustes por el incremento (disminución) de cuentas por pagar de origen comercial</v>
      </c>
      <c r="V1439" s="190" t="str">
        <f>VLOOKUP(E1439,Valida!$A$2:$K$271,4,FALSE)</f>
        <v>Trade and other payables</v>
      </c>
      <c r="W1439" s="185" t="s">
        <v>1973</v>
      </c>
      <c r="X1439" s="185" t="s">
        <v>1974</v>
      </c>
      <c r="Y1439" s="185" t="s">
        <v>1789</v>
      </c>
      <c r="Z1439"/>
    </row>
    <row r="1440" spans="1:26">
      <c r="A1440" s="185" t="s">
        <v>2770</v>
      </c>
      <c r="B1440" s="185" t="s">
        <v>2771</v>
      </c>
      <c r="C1440" s="185" t="s">
        <v>1785</v>
      </c>
      <c r="D1440" s="185" t="s">
        <v>1898</v>
      </c>
      <c r="E1440" s="185">
        <v>237005</v>
      </c>
      <c r="F1440" s="185" t="s">
        <v>676</v>
      </c>
      <c r="G1440" s="185" t="s">
        <v>2207</v>
      </c>
      <c r="H1440" s="185" t="s">
        <v>1515</v>
      </c>
      <c r="I1440" s="258" t="str">
        <f t="shared" si="67"/>
        <v>2</v>
      </c>
      <c r="J1440" s="221">
        <f t="shared" si="68"/>
        <v>60000</v>
      </c>
      <c r="K1440" s="258">
        <f t="shared" si="69"/>
        <v>5</v>
      </c>
      <c r="L1440" s="188">
        <v>60000</v>
      </c>
      <c r="M1440" s="188">
        <v>0</v>
      </c>
      <c r="N1440" s="189">
        <v>860066942</v>
      </c>
      <c r="O1440"/>
      <c r="P1440" s="187">
        <v>45075.3620717593</v>
      </c>
      <c r="Q1440" s="186">
        <v>11512</v>
      </c>
      <c r="R1440" s="185" t="s">
        <v>1814</v>
      </c>
      <c r="S1440" s="185" t="s">
        <v>1574</v>
      </c>
      <c r="T1440"/>
      <c r="U1440" t="str">
        <f>IF($L1440&gt;0,VLOOKUP($E1440,Valida!$A$1:$G$270,6,FALSE),IF($M1440&gt;=0,VLOOKUP($E1440,Valida!$A$1:$G$270,7,FALSE)))</f>
        <v>(+/-) Ajustes por el incremento (disminución) de cuentas por pagar de origen comercial</v>
      </c>
      <c r="V1440" s="190" t="str">
        <f>VLOOKUP(E1440,Valida!$A$2:$K$271,4,FALSE)</f>
        <v>Trade and other payables</v>
      </c>
      <c r="W1440" s="185" t="s">
        <v>1914</v>
      </c>
      <c r="X1440" s="185" t="s">
        <v>1915</v>
      </c>
      <c r="Y1440" s="185" t="s">
        <v>1789</v>
      </c>
      <c r="Z1440"/>
    </row>
    <row r="1441" spans="1:26">
      <c r="A1441" s="185" t="s">
        <v>2770</v>
      </c>
      <c r="B1441" s="185" t="s">
        <v>2771</v>
      </c>
      <c r="C1441" s="185" t="s">
        <v>1785</v>
      </c>
      <c r="D1441" s="185" t="s">
        <v>1898</v>
      </c>
      <c r="E1441" s="185">
        <v>237005</v>
      </c>
      <c r="F1441" s="185" t="s">
        <v>676</v>
      </c>
      <c r="G1441" s="185" t="s">
        <v>2207</v>
      </c>
      <c r="H1441" s="185" t="s">
        <v>1515</v>
      </c>
      <c r="I1441" s="258" t="str">
        <f t="shared" si="67"/>
        <v>2</v>
      </c>
      <c r="J1441" s="221">
        <f t="shared" si="68"/>
        <v>86300</v>
      </c>
      <c r="K1441" s="258">
        <f t="shared" si="69"/>
        <v>5</v>
      </c>
      <c r="L1441" s="188">
        <v>86300</v>
      </c>
      <c r="M1441" s="188">
        <v>0</v>
      </c>
      <c r="N1441" s="189">
        <v>900156264</v>
      </c>
      <c r="O1441"/>
      <c r="P1441" s="187">
        <v>45075.3620717593</v>
      </c>
      <c r="Q1441" s="186">
        <v>11513</v>
      </c>
      <c r="R1441" s="185" t="s">
        <v>433</v>
      </c>
      <c r="S1441" s="185" t="s">
        <v>1654</v>
      </c>
      <c r="T1441"/>
      <c r="U1441" t="str">
        <f>IF($L1441&gt;0,VLOOKUP($E1441,Valida!$A$1:$G$270,6,FALSE),IF($M1441&gt;=0,VLOOKUP($E1441,Valida!$A$1:$G$270,7,FALSE)))</f>
        <v>(+/-) Ajustes por el incremento (disminución) de cuentas por pagar de origen comercial</v>
      </c>
      <c r="V1441" s="190" t="str">
        <f>VLOOKUP(E1441,Valida!$A$2:$K$271,4,FALSE)</f>
        <v>Trade and other payables</v>
      </c>
      <c r="W1441" s="185" t="s">
        <v>1926</v>
      </c>
      <c r="X1441" s="185" t="s">
        <v>1927</v>
      </c>
      <c r="Y1441" s="185" t="s">
        <v>1789</v>
      </c>
      <c r="Z1441"/>
    </row>
    <row r="1442" spans="1:26">
      <c r="A1442" s="185" t="s">
        <v>2770</v>
      </c>
      <c r="B1442" s="185" t="s">
        <v>2771</v>
      </c>
      <c r="C1442" s="185" t="s">
        <v>1785</v>
      </c>
      <c r="D1442" s="185" t="s">
        <v>1898</v>
      </c>
      <c r="E1442" s="185">
        <v>53059510</v>
      </c>
      <c r="F1442" s="185" t="s">
        <v>1065</v>
      </c>
      <c r="G1442" s="185" t="s">
        <v>2207</v>
      </c>
      <c r="H1442" s="185" t="s">
        <v>1628</v>
      </c>
      <c r="I1442" s="258" t="str">
        <f t="shared" si="67"/>
        <v>5</v>
      </c>
      <c r="J1442" s="221">
        <f t="shared" si="68"/>
        <v>0</v>
      </c>
      <c r="K1442" s="258">
        <f t="shared" si="69"/>
        <v>5</v>
      </c>
      <c r="L1442" s="188">
        <v>0</v>
      </c>
      <c r="M1442" s="188">
        <v>0</v>
      </c>
      <c r="N1442" s="189">
        <v>860066942</v>
      </c>
      <c r="O1442"/>
      <c r="P1442" s="187">
        <v>45075.3620717593</v>
      </c>
      <c r="Q1442" s="186">
        <v>11514</v>
      </c>
      <c r="R1442" s="185" t="s">
        <v>1814</v>
      </c>
      <c r="S1442" s="185" t="s">
        <v>1574</v>
      </c>
      <c r="T1442"/>
      <c r="U1442" t="str">
        <f>IF($L1442&gt;0,VLOOKUP($E1442,Valida!$A$1:$G$270,6,FALSE),IF($M1442&gt;=0,VLOOKUP($E1442,Valida!$A$1:$G$270,7,FALSE)))</f>
        <v>(+/-) Ganancia (pérdida)</v>
      </c>
      <c r="V1442" s="190" t="str">
        <f>VLOOKUP(E1442,Valida!$A$2:$K$271,4,FALSE)</f>
        <v>P&amp;L</v>
      </c>
      <c r="W1442" s="185" t="s">
        <v>1914</v>
      </c>
      <c r="X1442" s="185" t="s">
        <v>1915</v>
      </c>
      <c r="Y1442" s="185" t="s">
        <v>1789</v>
      </c>
      <c r="Z1442"/>
    </row>
    <row r="1443" spans="1:26">
      <c r="A1443" s="185" t="s">
        <v>2770</v>
      </c>
      <c r="B1443" s="185" t="s">
        <v>2772</v>
      </c>
      <c r="C1443" s="185" t="s">
        <v>1785</v>
      </c>
      <c r="D1443" s="185" t="s">
        <v>1907</v>
      </c>
      <c r="E1443" s="185">
        <v>237095</v>
      </c>
      <c r="F1443" s="185" t="s">
        <v>150</v>
      </c>
      <c r="G1443" s="185" t="s">
        <v>1986</v>
      </c>
      <c r="H1443" s="185" t="s">
        <v>1628</v>
      </c>
      <c r="I1443" s="258" t="str">
        <f t="shared" si="67"/>
        <v>2</v>
      </c>
      <c r="J1443" s="221">
        <f t="shared" si="68"/>
        <v>-1444000</v>
      </c>
      <c r="K1443" s="258">
        <f t="shared" si="69"/>
        <v>5</v>
      </c>
      <c r="L1443" s="188">
        <v>0</v>
      </c>
      <c r="M1443" s="188">
        <v>1444000</v>
      </c>
      <c r="N1443" s="189">
        <v>860066942</v>
      </c>
      <c r="O1443"/>
      <c r="P1443" s="187">
        <v>45075.364039351902</v>
      </c>
      <c r="Q1443" s="186">
        <v>11515</v>
      </c>
      <c r="R1443" s="185" t="s">
        <v>1814</v>
      </c>
      <c r="S1443" s="185" t="s">
        <v>1574</v>
      </c>
      <c r="T1443"/>
      <c r="U1443" t="str">
        <f>IF($L1443&gt;0,VLOOKUP($E1443,Valida!$A$1:$G$270,6,FALSE),IF($M1443&gt;=0,VLOOKUP($E1443,Valida!$A$1:$G$270,7,FALSE)))</f>
        <v>(+/-) Ajustes por el incremento (disminución) de cuentas por pagar de origen comercial</v>
      </c>
      <c r="V1443" s="190" t="str">
        <f>VLOOKUP(E1443,Valida!$A$2:$K$271,4,FALSE)</f>
        <v>Trade and other payables</v>
      </c>
      <c r="W1443" s="185" t="s">
        <v>1914</v>
      </c>
      <c r="X1443" s="185" t="s">
        <v>1915</v>
      </c>
      <c r="Y1443" s="185" t="s">
        <v>1789</v>
      </c>
      <c r="Z1443"/>
    </row>
    <row r="1444" spans="1:26">
      <c r="A1444" s="185" t="s">
        <v>2770</v>
      </c>
      <c r="B1444" s="185" t="s">
        <v>2772</v>
      </c>
      <c r="C1444" s="185" t="s">
        <v>1785</v>
      </c>
      <c r="D1444" s="185" t="s">
        <v>1907</v>
      </c>
      <c r="E1444" s="185">
        <v>238030</v>
      </c>
      <c r="F1444" s="185" t="s">
        <v>721</v>
      </c>
      <c r="G1444" s="185" t="s">
        <v>1986</v>
      </c>
      <c r="H1444" s="185" t="s">
        <v>1515</v>
      </c>
      <c r="I1444" s="258" t="str">
        <f t="shared" si="67"/>
        <v>2</v>
      </c>
      <c r="J1444" s="221">
        <f t="shared" si="68"/>
        <v>1239800</v>
      </c>
      <c r="K1444" s="258">
        <f t="shared" si="69"/>
        <v>5</v>
      </c>
      <c r="L1444" s="188">
        <v>1239800</v>
      </c>
      <c r="M1444" s="188">
        <v>0</v>
      </c>
      <c r="N1444" s="189">
        <v>800224808</v>
      </c>
      <c r="O1444"/>
      <c r="P1444" s="187">
        <v>45075.364039351902</v>
      </c>
      <c r="Q1444" s="186">
        <v>11516</v>
      </c>
      <c r="R1444" s="185" t="s">
        <v>1827</v>
      </c>
      <c r="S1444" s="185" t="s">
        <v>1662</v>
      </c>
      <c r="T1444"/>
      <c r="U1444" t="str">
        <f>IF($L1444&gt;0,VLOOKUP($E1444,Valida!$A$1:$G$270,6,FALSE),IF($M1444&gt;=0,VLOOKUP($E1444,Valida!$A$1:$G$270,7,FALSE)))</f>
        <v>(+/-) Ajustes por el incremento (disminución) de cuentas por pagar de origen comercial</v>
      </c>
      <c r="V1444" s="190" t="str">
        <f>VLOOKUP(E1444,Valida!$A$2:$K$271,4,FALSE)</f>
        <v>Trade and other payables</v>
      </c>
      <c r="W1444" s="185" t="s">
        <v>1911</v>
      </c>
      <c r="X1444" s="185"/>
      <c r="Y1444" s="185" t="s">
        <v>1789</v>
      </c>
      <c r="Z1444"/>
    </row>
    <row r="1445" spans="1:26">
      <c r="A1445" s="185" t="s">
        <v>2770</v>
      </c>
      <c r="B1445" s="185" t="s">
        <v>2772</v>
      </c>
      <c r="C1445" s="185" t="s">
        <v>1785</v>
      </c>
      <c r="D1445" s="185" t="s">
        <v>1907</v>
      </c>
      <c r="E1445" s="185">
        <v>238030</v>
      </c>
      <c r="F1445" s="185" t="s">
        <v>721</v>
      </c>
      <c r="G1445" s="185" t="s">
        <v>1986</v>
      </c>
      <c r="H1445" s="185" t="s">
        <v>1515</v>
      </c>
      <c r="I1445" s="258" t="str">
        <f t="shared" si="67"/>
        <v>2</v>
      </c>
      <c r="J1445" s="221">
        <f t="shared" si="68"/>
        <v>204200</v>
      </c>
      <c r="K1445" s="258">
        <f t="shared" si="69"/>
        <v>5</v>
      </c>
      <c r="L1445" s="188">
        <v>204200</v>
      </c>
      <c r="M1445" s="188">
        <v>0</v>
      </c>
      <c r="N1445" s="189">
        <v>800227940</v>
      </c>
      <c r="O1445"/>
      <c r="P1445" s="187">
        <v>45075.364039351902</v>
      </c>
      <c r="Q1445" s="186">
        <v>11517</v>
      </c>
      <c r="R1445" s="185"/>
      <c r="S1445" s="185" t="s">
        <v>1664</v>
      </c>
      <c r="T1445"/>
      <c r="U1445" t="str">
        <f>IF($L1445&gt;0,VLOOKUP($E1445,Valida!$A$1:$G$270,6,FALSE),IF($M1445&gt;=0,VLOOKUP($E1445,Valida!$A$1:$G$270,7,FALSE)))</f>
        <v>(+/-) Ajustes por el incremento (disminución) de cuentas por pagar de origen comercial</v>
      </c>
      <c r="V1445" s="190" t="str">
        <f>VLOOKUP(E1445,Valida!$A$2:$K$271,4,FALSE)</f>
        <v>Trade and other payables</v>
      </c>
      <c r="W1445" s="185"/>
      <c r="X1445" s="185"/>
      <c r="Y1445" s="185"/>
      <c r="Z1445"/>
    </row>
    <row r="1446" spans="1:26">
      <c r="A1446" s="185" t="s">
        <v>2770</v>
      </c>
      <c r="B1446" s="185" t="s">
        <v>2772</v>
      </c>
      <c r="C1446" s="185" t="s">
        <v>1785</v>
      </c>
      <c r="D1446" s="185" t="s">
        <v>1907</v>
      </c>
      <c r="E1446" s="185">
        <v>53059510</v>
      </c>
      <c r="F1446" s="185" t="s">
        <v>1065</v>
      </c>
      <c r="G1446" s="185" t="s">
        <v>1986</v>
      </c>
      <c r="H1446" s="185" t="s">
        <v>1628</v>
      </c>
      <c r="I1446" s="258" t="str">
        <f t="shared" si="67"/>
        <v>5</v>
      </c>
      <c r="J1446" s="221">
        <f t="shared" si="68"/>
        <v>0</v>
      </c>
      <c r="K1446" s="258">
        <f t="shared" si="69"/>
        <v>5</v>
      </c>
      <c r="L1446" s="188">
        <v>0</v>
      </c>
      <c r="M1446" s="188">
        <v>0</v>
      </c>
      <c r="N1446" s="189">
        <v>860066942</v>
      </c>
      <c r="O1446"/>
      <c r="P1446" s="187">
        <v>45075.364039351902</v>
      </c>
      <c r="Q1446" s="186">
        <v>11518</v>
      </c>
      <c r="R1446" s="185" t="s">
        <v>1814</v>
      </c>
      <c r="S1446" s="185" t="s">
        <v>1574</v>
      </c>
      <c r="T1446"/>
      <c r="U1446" t="str">
        <f>IF($L1446&gt;0,VLOOKUP($E1446,Valida!$A$1:$G$270,6,FALSE),IF($M1446&gt;=0,VLOOKUP($E1446,Valida!$A$1:$G$270,7,FALSE)))</f>
        <v>(+/-) Ganancia (pérdida)</v>
      </c>
      <c r="V1446" s="190" t="str">
        <f>VLOOKUP(E1446,Valida!$A$2:$K$271,4,FALSE)</f>
        <v>P&amp;L</v>
      </c>
      <c r="W1446" s="185" t="s">
        <v>1914</v>
      </c>
      <c r="X1446" s="185" t="s">
        <v>1915</v>
      </c>
      <c r="Y1446" s="185" t="s">
        <v>1789</v>
      </c>
      <c r="Z1446"/>
    </row>
    <row r="1447" spans="1:26">
      <c r="A1447" s="185" t="s">
        <v>2770</v>
      </c>
      <c r="B1447" s="185" t="s">
        <v>2773</v>
      </c>
      <c r="C1447" s="185" t="s">
        <v>1785</v>
      </c>
      <c r="D1447" s="185" t="s">
        <v>1917</v>
      </c>
      <c r="E1447" s="185">
        <v>237010</v>
      </c>
      <c r="F1447" s="185" t="s">
        <v>683</v>
      </c>
      <c r="G1447" s="185" t="s">
        <v>1989</v>
      </c>
      <c r="H1447" s="185" t="s">
        <v>1515</v>
      </c>
      <c r="I1447" s="258" t="str">
        <f t="shared" si="67"/>
        <v>2</v>
      </c>
      <c r="J1447" s="221">
        <f t="shared" si="68"/>
        <v>180700</v>
      </c>
      <c r="K1447" s="258">
        <f t="shared" si="69"/>
        <v>5</v>
      </c>
      <c r="L1447" s="188">
        <v>180700</v>
      </c>
      <c r="M1447" s="188">
        <v>0</v>
      </c>
      <c r="N1447" s="189">
        <v>860066942</v>
      </c>
      <c r="O1447"/>
      <c r="P1447" s="187">
        <v>45075.365729166697</v>
      </c>
      <c r="Q1447" s="186">
        <v>11519</v>
      </c>
      <c r="R1447" s="185" t="s">
        <v>1814</v>
      </c>
      <c r="S1447" s="185" t="s">
        <v>1574</v>
      </c>
      <c r="T1447"/>
      <c r="U1447" t="str">
        <f>IF($L1447&gt;0,VLOOKUP($E1447,Valida!$A$1:$G$270,6,FALSE),IF($M1447&gt;=0,VLOOKUP($E1447,Valida!$A$1:$G$270,7,FALSE)))</f>
        <v>(+/-) Ajustes por el incremento (disminución) de cuentas por pagar de origen comercial</v>
      </c>
      <c r="V1447" s="190" t="str">
        <f>VLOOKUP(E1447,Valida!$A$2:$K$271,4,FALSE)</f>
        <v>Trade and other payables</v>
      </c>
      <c r="W1447" s="185" t="s">
        <v>1914</v>
      </c>
      <c r="X1447" s="185" t="s">
        <v>1915</v>
      </c>
      <c r="Y1447" s="185" t="s">
        <v>1789</v>
      </c>
      <c r="Z1447"/>
    </row>
    <row r="1448" spans="1:26">
      <c r="A1448" s="185" t="s">
        <v>2770</v>
      </c>
      <c r="B1448" s="185" t="s">
        <v>2773</v>
      </c>
      <c r="C1448" s="185" t="s">
        <v>1785</v>
      </c>
      <c r="D1448" s="185" t="s">
        <v>1917</v>
      </c>
      <c r="E1448" s="185">
        <v>237006</v>
      </c>
      <c r="F1448" s="185" t="s">
        <v>680</v>
      </c>
      <c r="G1448" s="185" t="s">
        <v>1989</v>
      </c>
      <c r="H1448" s="185" t="s">
        <v>1515</v>
      </c>
      <c r="I1448" s="258" t="str">
        <f t="shared" si="67"/>
        <v>2</v>
      </c>
      <c r="J1448" s="221">
        <f t="shared" si="68"/>
        <v>43900</v>
      </c>
      <c r="K1448" s="258">
        <f t="shared" si="69"/>
        <v>5</v>
      </c>
      <c r="L1448" s="188">
        <v>43900</v>
      </c>
      <c r="M1448" s="188">
        <v>0</v>
      </c>
      <c r="N1448" s="189">
        <v>860002503</v>
      </c>
      <c r="O1448"/>
      <c r="P1448" s="187">
        <v>45075.365729166697</v>
      </c>
      <c r="Q1448" s="186">
        <v>11520</v>
      </c>
      <c r="R1448" s="185" t="s">
        <v>433</v>
      </c>
      <c r="S1448" s="185" t="s">
        <v>1656</v>
      </c>
      <c r="T1448"/>
      <c r="U1448" t="str">
        <f>IF($L1448&gt;0,VLOOKUP($E1448,Valida!$A$1:$G$270,6,FALSE),IF($M1448&gt;=0,VLOOKUP($E1448,Valida!$A$1:$G$270,7,FALSE)))</f>
        <v>(+/-) Ajustes por el incremento (disminución) de cuentas por pagar de origen comercial</v>
      </c>
      <c r="V1448" s="190" t="str">
        <f>VLOOKUP(E1448,Valida!$A$2:$K$271,4,FALSE)</f>
        <v>Trade and other payables</v>
      </c>
      <c r="W1448" s="185" t="s">
        <v>1912</v>
      </c>
      <c r="X1448" s="185" t="s">
        <v>1913</v>
      </c>
      <c r="Y1448" s="185" t="s">
        <v>1789</v>
      </c>
      <c r="Z1448"/>
    </row>
    <row r="1449" spans="1:26">
      <c r="A1449" s="185" t="s">
        <v>2770</v>
      </c>
      <c r="B1449" s="185" t="s">
        <v>2773</v>
      </c>
      <c r="C1449" s="185" t="s">
        <v>1785</v>
      </c>
      <c r="D1449" s="185" t="s">
        <v>1917</v>
      </c>
      <c r="E1449" s="185">
        <v>237095</v>
      </c>
      <c r="F1449" s="185" t="s">
        <v>150</v>
      </c>
      <c r="G1449" s="185" t="s">
        <v>1989</v>
      </c>
      <c r="H1449" s="185" t="s">
        <v>1628</v>
      </c>
      <c r="I1449" s="258" t="str">
        <f t="shared" si="67"/>
        <v>2</v>
      </c>
      <c r="J1449" s="221">
        <f t="shared" si="68"/>
        <v>-224600</v>
      </c>
      <c r="K1449" s="258">
        <f t="shared" si="69"/>
        <v>5</v>
      </c>
      <c r="L1449" s="188">
        <v>0</v>
      </c>
      <c r="M1449" s="188">
        <v>224600</v>
      </c>
      <c r="N1449" s="189">
        <v>860066942</v>
      </c>
      <c r="O1449"/>
      <c r="P1449" s="187">
        <v>45075.365729166697</v>
      </c>
      <c r="Q1449" s="186">
        <v>11521</v>
      </c>
      <c r="R1449" s="185" t="s">
        <v>1814</v>
      </c>
      <c r="S1449" s="185" t="s">
        <v>1574</v>
      </c>
      <c r="T1449"/>
      <c r="U1449" t="str">
        <f>IF($L1449&gt;0,VLOOKUP($E1449,Valida!$A$1:$G$270,6,FALSE),IF($M1449&gt;=0,VLOOKUP($E1449,Valida!$A$1:$G$270,7,FALSE)))</f>
        <v>(+/-) Ajustes por el incremento (disminución) de cuentas por pagar de origen comercial</v>
      </c>
      <c r="V1449" s="190" t="str">
        <f>VLOOKUP(E1449,Valida!$A$2:$K$271,4,FALSE)</f>
        <v>Trade and other payables</v>
      </c>
      <c r="W1449" s="185" t="s">
        <v>1914</v>
      </c>
      <c r="X1449" s="185" t="s">
        <v>1915</v>
      </c>
      <c r="Y1449" s="185" t="s">
        <v>1789</v>
      </c>
      <c r="Z1449"/>
    </row>
    <row r="1450" spans="1:26">
      <c r="A1450" s="185" t="s">
        <v>2770</v>
      </c>
      <c r="B1450" s="185" t="s">
        <v>2773</v>
      </c>
      <c r="C1450" s="185" t="s">
        <v>1785</v>
      </c>
      <c r="D1450" s="185" t="s">
        <v>1917</v>
      </c>
      <c r="E1450" s="185">
        <v>53059510</v>
      </c>
      <c r="F1450" s="185" t="s">
        <v>1065</v>
      </c>
      <c r="G1450" s="185" t="s">
        <v>1989</v>
      </c>
      <c r="H1450" s="185" t="s">
        <v>1628</v>
      </c>
      <c r="I1450" s="258" t="str">
        <f t="shared" si="67"/>
        <v>5</v>
      </c>
      <c r="J1450" s="221">
        <f t="shared" si="68"/>
        <v>0</v>
      </c>
      <c r="K1450" s="258">
        <f t="shared" si="69"/>
        <v>5</v>
      </c>
      <c r="L1450" s="188">
        <v>0</v>
      </c>
      <c r="M1450" s="188">
        <v>0</v>
      </c>
      <c r="N1450" s="189">
        <v>860066942</v>
      </c>
      <c r="O1450"/>
      <c r="P1450" s="187">
        <v>45075.365729166697</v>
      </c>
      <c r="Q1450" s="186">
        <v>11522</v>
      </c>
      <c r="R1450" s="185" t="s">
        <v>1814</v>
      </c>
      <c r="S1450" s="185" t="s">
        <v>1574</v>
      </c>
      <c r="T1450"/>
      <c r="U1450" t="str">
        <f>IF($L1450&gt;0,VLOOKUP($E1450,Valida!$A$1:$G$270,6,FALSE),IF($M1450&gt;=0,VLOOKUP($E1450,Valida!$A$1:$G$270,7,FALSE)))</f>
        <v>(+/-) Ganancia (pérdida)</v>
      </c>
      <c r="V1450" s="190" t="str">
        <f>VLOOKUP(E1450,Valida!$A$2:$K$271,4,FALSE)</f>
        <v>P&amp;L</v>
      </c>
      <c r="W1450" s="185" t="s">
        <v>1914</v>
      </c>
      <c r="X1450" s="185" t="s">
        <v>1915</v>
      </c>
      <c r="Y1450" s="185" t="s">
        <v>1789</v>
      </c>
      <c r="Z1450"/>
    </row>
    <row r="1451" spans="1:26">
      <c r="A1451" s="185" t="s">
        <v>2672</v>
      </c>
      <c r="B1451" s="185" t="s">
        <v>2708</v>
      </c>
      <c r="C1451" s="185" t="s">
        <v>1890</v>
      </c>
      <c r="D1451" s="185" t="s">
        <v>2709</v>
      </c>
      <c r="E1451" s="185">
        <v>53059510</v>
      </c>
      <c r="F1451" s="185" t="s">
        <v>1065</v>
      </c>
      <c r="G1451" s="185" t="s">
        <v>1921</v>
      </c>
      <c r="H1451" s="185" t="s">
        <v>1515</v>
      </c>
      <c r="I1451" s="258" t="str">
        <f t="shared" si="67"/>
        <v>5</v>
      </c>
      <c r="J1451" s="221">
        <f t="shared" si="68"/>
        <v>0.83</v>
      </c>
      <c r="K1451" s="258">
        <f t="shared" si="69"/>
        <v>5</v>
      </c>
      <c r="L1451" s="188">
        <v>0.83</v>
      </c>
      <c r="M1451" s="188">
        <v>0</v>
      </c>
      <c r="N1451" s="189">
        <v>800153993</v>
      </c>
      <c r="O1451"/>
      <c r="P1451" s="187">
        <v>45075</v>
      </c>
      <c r="Q1451" s="186">
        <v>11523</v>
      </c>
      <c r="R1451" s="185" t="s">
        <v>1814</v>
      </c>
      <c r="S1451" s="185" t="s">
        <v>1556</v>
      </c>
      <c r="T1451"/>
      <c r="U1451" t="str">
        <f>IF($L1451&gt;0,VLOOKUP($E1451,Valida!$A$1:$G$270,6,FALSE),IF($M1451&gt;=0,VLOOKUP($E1451,Valida!$A$1:$G$270,7,FALSE)))</f>
        <v>(+/-) Ganancia (pérdida)</v>
      </c>
      <c r="V1451" s="190" t="str">
        <f>VLOOKUP(E1451,Valida!$A$2:$K$271,4,FALSE)</f>
        <v>P&amp;L</v>
      </c>
      <c r="W1451" s="185" t="s">
        <v>1815</v>
      </c>
      <c r="X1451" s="185"/>
      <c r="Y1451" s="185" t="s">
        <v>1789</v>
      </c>
      <c r="Z1451"/>
    </row>
    <row r="1452" spans="1:26">
      <c r="A1452" s="185" t="s">
        <v>2763</v>
      </c>
      <c r="B1452" s="185" t="s">
        <v>2774</v>
      </c>
      <c r="C1452" s="185" t="s">
        <v>1890</v>
      </c>
      <c r="D1452" s="185" t="s">
        <v>2775</v>
      </c>
      <c r="E1452" s="185">
        <v>23352503</v>
      </c>
      <c r="F1452" s="185" t="s">
        <v>470</v>
      </c>
      <c r="G1452" s="185" t="s">
        <v>2776</v>
      </c>
      <c r="H1452" s="185" t="s">
        <v>1515</v>
      </c>
      <c r="I1452" s="258" t="str">
        <f t="shared" si="67"/>
        <v>2</v>
      </c>
      <c r="J1452" s="221">
        <f t="shared" si="68"/>
        <v>58500</v>
      </c>
      <c r="K1452" s="258">
        <f t="shared" si="69"/>
        <v>5</v>
      </c>
      <c r="L1452" s="188">
        <v>58500</v>
      </c>
      <c r="M1452" s="188">
        <v>0</v>
      </c>
      <c r="N1452" s="189">
        <v>900170994</v>
      </c>
      <c r="O1452"/>
      <c r="P1452" s="187">
        <v>45075.3765277778</v>
      </c>
      <c r="Q1452" s="186">
        <v>11524</v>
      </c>
      <c r="R1452" s="185" t="s">
        <v>1841</v>
      </c>
      <c r="S1452" s="185" t="s">
        <v>1592</v>
      </c>
      <c r="T1452"/>
      <c r="U1452" t="str">
        <f>IF($L1452&gt;0,VLOOKUP($E1452,Valida!$A$1:$G$270,6,FALSE),IF($M1452&gt;=0,VLOOKUP($E1452,Valida!$A$1:$G$270,7,FALSE)))</f>
        <v>(+/-) Ajustes por el incremento (disminución) de cuentas por pagar de origen comercial</v>
      </c>
      <c r="V1452" s="190" t="str">
        <f>VLOOKUP(E1452,Valida!$A$2:$K$271,4,FALSE)</f>
        <v>Trade and other payables</v>
      </c>
      <c r="W1452" s="185" t="s">
        <v>2030</v>
      </c>
      <c r="X1452" s="185" t="s">
        <v>2031</v>
      </c>
      <c r="Y1452" s="185" t="s">
        <v>1789</v>
      </c>
      <c r="Z1452"/>
    </row>
    <row r="1453" spans="1:26">
      <c r="A1453" s="185" t="s">
        <v>2763</v>
      </c>
      <c r="B1453" s="185" t="s">
        <v>2774</v>
      </c>
      <c r="C1453" s="185" t="s">
        <v>1890</v>
      </c>
      <c r="D1453" s="185" t="s">
        <v>2775</v>
      </c>
      <c r="E1453" s="185">
        <v>112005</v>
      </c>
      <c r="F1453" s="185" t="s">
        <v>24</v>
      </c>
      <c r="G1453" s="185" t="s">
        <v>2776</v>
      </c>
      <c r="H1453" s="185" t="s">
        <v>1628</v>
      </c>
      <c r="I1453" s="258" t="str">
        <f t="shared" si="67"/>
        <v>1</v>
      </c>
      <c r="J1453" s="221">
        <f t="shared" si="68"/>
        <v>-58500</v>
      </c>
      <c r="K1453" s="258">
        <f t="shared" si="69"/>
        <v>5</v>
      </c>
      <c r="L1453" s="188">
        <v>0</v>
      </c>
      <c r="M1453" s="188">
        <v>58500</v>
      </c>
      <c r="N1453" s="189">
        <v>900170994</v>
      </c>
      <c r="O1453"/>
      <c r="P1453" s="187">
        <v>45075.3765277778</v>
      </c>
      <c r="Q1453" s="186">
        <v>11525</v>
      </c>
      <c r="R1453" s="185" t="s">
        <v>1841</v>
      </c>
      <c r="S1453" s="185" t="s">
        <v>1592</v>
      </c>
      <c r="T1453" t="s">
        <v>1894</v>
      </c>
      <c r="U1453" t="str">
        <f>IF($L1453&gt;0,VLOOKUP($E1453,Valida!$A$1:$G$270,6,FALSE),IF($M1453&gt;=0,VLOOKUP($E1453,Valida!$A$1:$G$270,7,FALSE)))</f>
        <v>Disponible</v>
      </c>
      <c r="V1453" s="190" t="str">
        <f>VLOOKUP(E1453,Valida!$A$2:$K$271,4,FALSE)</f>
        <v>Cash and equivalents</v>
      </c>
      <c r="W1453" s="185" t="s">
        <v>2030</v>
      </c>
      <c r="X1453" s="185" t="s">
        <v>2031</v>
      </c>
      <c r="Y1453" s="185" t="s">
        <v>1789</v>
      </c>
      <c r="Z1453"/>
    </row>
    <row r="1454" spans="1:26">
      <c r="A1454" s="185" t="s">
        <v>2547</v>
      </c>
      <c r="B1454" s="185" t="s">
        <v>2777</v>
      </c>
      <c r="C1454" s="185" t="s">
        <v>1991</v>
      </c>
      <c r="D1454" s="185" t="s">
        <v>2778</v>
      </c>
      <c r="E1454" s="185">
        <v>511505</v>
      </c>
      <c r="F1454" s="185" t="s">
        <v>1159</v>
      </c>
      <c r="G1454" s="185" t="s">
        <v>2611</v>
      </c>
      <c r="H1454" s="185" t="s">
        <v>1515</v>
      </c>
      <c r="I1454" s="258" t="str">
        <f t="shared" si="67"/>
        <v>5</v>
      </c>
      <c r="J1454" s="221">
        <f t="shared" si="68"/>
        <v>1000</v>
      </c>
      <c r="K1454" s="258">
        <f t="shared" si="69"/>
        <v>5</v>
      </c>
      <c r="L1454" s="188">
        <v>1000</v>
      </c>
      <c r="M1454" s="188">
        <v>0</v>
      </c>
      <c r="N1454" s="189">
        <v>899999061</v>
      </c>
      <c r="O1454"/>
      <c r="P1454" s="187">
        <v>45076.592766203699</v>
      </c>
      <c r="Q1454" s="186">
        <v>12003</v>
      </c>
      <c r="R1454" s="185"/>
      <c r="S1454" s="185" t="s">
        <v>1584</v>
      </c>
      <c r="T1454"/>
      <c r="U1454" t="str">
        <f>IF($L1454&gt;0,VLOOKUP($E1454,Valida!$A$1:$G$270,6,FALSE),IF($M1454&gt;=0,VLOOKUP($E1454,Valida!$A$1:$G$270,7,FALSE)))</f>
        <v>(+/-) Ganancia (pérdida)</v>
      </c>
      <c r="V1454" s="190" t="str">
        <f>VLOOKUP(E1454,Valida!$A$2:$K$271,4,FALSE)</f>
        <v>P&amp;L</v>
      </c>
      <c r="W1454" s="185" t="s">
        <v>1893</v>
      </c>
      <c r="X1454" s="185"/>
      <c r="Y1454" s="185" t="s">
        <v>1789</v>
      </c>
      <c r="Z1454"/>
    </row>
    <row r="1455" spans="1:26">
      <c r="A1455" s="185" t="s">
        <v>2547</v>
      </c>
      <c r="B1455" s="185" t="s">
        <v>2777</v>
      </c>
      <c r="C1455" s="185" t="s">
        <v>1991</v>
      </c>
      <c r="D1455" s="185" t="s">
        <v>2778</v>
      </c>
      <c r="E1455" s="185">
        <v>241205</v>
      </c>
      <c r="F1455" s="185" t="s">
        <v>732</v>
      </c>
      <c r="G1455" s="185" t="s">
        <v>2611</v>
      </c>
      <c r="H1455" s="185" t="s">
        <v>1628</v>
      </c>
      <c r="I1455" s="258" t="str">
        <f t="shared" si="67"/>
        <v>2</v>
      </c>
      <c r="J1455" s="221">
        <f t="shared" si="68"/>
        <v>-1000</v>
      </c>
      <c r="K1455" s="258">
        <f t="shared" si="69"/>
        <v>5</v>
      </c>
      <c r="L1455" s="188">
        <v>0</v>
      </c>
      <c r="M1455" s="188">
        <v>1000</v>
      </c>
      <c r="N1455" s="189">
        <v>899999061</v>
      </c>
      <c r="O1455"/>
      <c r="P1455" s="187">
        <v>45076.592766203699</v>
      </c>
      <c r="Q1455" s="186">
        <v>12004</v>
      </c>
      <c r="R1455" s="185"/>
      <c r="S1455" s="185" t="s">
        <v>1584</v>
      </c>
      <c r="T1455"/>
      <c r="U1455" t="str">
        <f>IF($L1455&gt;0,VLOOKUP($E1455,Valida!$A$1:$G$270,6,FALSE),IF($M1455&gt;=0,VLOOKUP($E1455,Valida!$A$1:$G$270,7,FALSE)))</f>
        <v>(+/-) Ajustes por el incremento (disminución) de cuentas por pagar de origen comercial</v>
      </c>
      <c r="V1455" s="190" t="str">
        <f>VLOOKUP(E1455,Valida!$A$2:$K$271,4,FALSE)</f>
        <v>Trade and other payables</v>
      </c>
      <c r="W1455" s="185" t="s">
        <v>1893</v>
      </c>
      <c r="X1455" s="185"/>
      <c r="Y1455" s="185" t="s">
        <v>1789</v>
      </c>
      <c r="Z1455"/>
    </row>
    <row r="1456" spans="1:26">
      <c r="A1456" s="185" t="s">
        <v>2725</v>
      </c>
      <c r="B1456" s="185" t="s">
        <v>2779</v>
      </c>
      <c r="C1456" s="185" t="s">
        <v>2045</v>
      </c>
      <c r="D1456" s="185" t="s">
        <v>423</v>
      </c>
      <c r="E1456" s="185">
        <v>23355002</v>
      </c>
      <c r="F1456" s="185" t="s">
        <v>506</v>
      </c>
      <c r="G1456" s="185" t="s">
        <v>2780</v>
      </c>
      <c r="H1456" s="185" t="s">
        <v>1628</v>
      </c>
      <c r="I1456" s="258" t="str">
        <f t="shared" si="67"/>
        <v>2</v>
      </c>
      <c r="J1456" s="221">
        <f t="shared" si="68"/>
        <v>-106905.9</v>
      </c>
      <c r="K1456" s="258">
        <f t="shared" si="69"/>
        <v>5</v>
      </c>
      <c r="L1456" s="188">
        <v>0</v>
      </c>
      <c r="M1456" s="188">
        <v>106905.9</v>
      </c>
      <c r="N1456" s="189">
        <v>440493581</v>
      </c>
      <c r="O1456" t="s">
        <v>2781</v>
      </c>
      <c r="P1456" s="187">
        <v>45082.522233796299</v>
      </c>
      <c r="Q1456" s="186">
        <v>12005</v>
      </c>
      <c r="R1456" s="185"/>
      <c r="S1456" s="185" t="s">
        <v>1546</v>
      </c>
      <c r="T1456"/>
      <c r="U1456" t="str">
        <f>IF($L1456&gt;0,VLOOKUP($E1456,Valida!$A$1:$G$270,6,FALSE),IF($M1456&gt;=0,VLOOKUP($E1456,Valida!$A$1:$G$270,7,FALSE)))</f>
        <v>(+/-) Ajustes por el incremento (disminución) de cuentas por pagar de origen comercial</v>
      </c>
      <c r="V1456" s="190" t="str">
        <f>VLOOKUP(E1456,Valida!$A$2:$K$271,4,FALSE)</f>
        <v>Trade and other payables</v>
      </c>
      <c r="W1456" s="185" t="s">
        <v>1808</v>
      </c>
      <c r="X1456" s="185"/>
      <c r="Y1456" s="185"/>
      <c r="Z1456"/>
    </row>
    <row r="1457" spans="1:26">
      <c r="A1457" s="185" t="s">
        <v>2725</v>
      </c>
      <c r="B1457" s="185" t="s">
        <v>2779</v>
      </c>
      <c r="C1457" s="185" t="s">
        <v>2045</v>
      </c>
      <c r="D1457" s="185" t="s">
        <v>423</v>
      </c>
      <c r="E1457" s="185">
        <v>51352001</v>
      </c>
      <c r="F1457" s="185" t="s">
        <v>1267</v>
      </c>
      <c r="G1457" s="185" t="s">
        <v>2782</v>
      </c>
      <c r="H1457" s="185" t="s">
        <v>1515</v>
      </c>
      <c r="I1457" s="258" t="str">
        <f t="shared" si="67"/>
        <v>5</v>
      </c>
      <c r="J1457" s="221">
        <f t="shared" si="68"/>
        <v>106905.9</v>
      </c>
      <c r="K1457" s="258">
        <f t="shared" si="69"/>
        <v>5</v>
      </c>
      <c r="L1457" s="188">
        <v>106905.9</v>
      </c>
      <c r="M1457" s="188">
        <v>0</v>
      </c>
      <c r="N1457" s="189">
        <v>440493581</v>
      </c>
      <c r="O1457" t="s">
        <v>2781</v>
      </c>
      <c r="P1457" s="187">
        <v>45082.522233796299</v>
      </c>
      <c r="Q1457" s="186">
        <v>12006</v>
      </c>
      <c r="R1457" s="185"/>
      <c r="S1457" s="185" t="s">
        <v>1546</v>
      </c>
      <c r="T1457"/>
      <c r="U1457" t="str">
        <f>IF($L1457&gt;0,VLOOKUP($E1457,Valida!$A$1:$G$270,6,FALSE),IF($M1457&gt;=0,VLOOKUP($E1457,Valida!$A$1:$G$270,7,FALSE)))</f>
        <v>(+/-) Ganancia (pérdida)</v>
      </c>
      <c r="V1457" s="190" t="str">
        <f>VLOOKUP(E1457,Valida!$A$2:$K$271,4,FALSE)</f>
        <v>P&amp;L</v>
      </c>
      <c r="W1457" s="185" t="s">
        <v>1808</v>
      </c>
      <c r="X1457" s="185"/>
      <c r="Y1457" s="185"/>
      <c r="Z1457"/>
    </row>
    <row r="1458" spans="1:26">
      <c r="A1458" s="185" t="s">
        <v>2783</v>
      </c>
      <c r="B1458" s="185" t="s">
        <v>2784</v>
      </c>
      <c r="C1458" s="185" t="s">
        <v>2045</v>
      </c>
      <c r="D1458" s="185" t="s">
        <v>2785</v>
      </c>
      <c r="E1458" s="185">
        <v>23354001</v>
      </c>
      <c r="F1458" s="185" t="s">
        <v>484</v>
      </c>
      <c r="G1458" s="185" t="s">
        <v>2786</v>
      </c>
      <c r="H1458" s="185" t="s">
        <v>1628</v>
      </c>
      <c r="I1458" s="258" t="str">
        <f t="shared" si="67"/>
        <v>2</v>
      </c>
      <c r="J1458" s="221">
        <f t="shared" si="68"/>
        <v>-3955088</v>
      </c>
      <c r="K1458" s="258">
        <f t="shared" si="69"/>
        <v>6</v>
      </c>
      <c r="L1458" s="188">
        <v>0</v>
      </c>
      <c r="M1458" s="188">
        <v>3955088</v>
      </c>
      <c r="N1458" s="189">
        <v>860044821</v>
      </c>
      <c r="O1458" t="s">
        <v>2787</v>
      </c>
      <c r="P1458" s="187">
        <v>45082.527337963002</v>
      </c>
      <c r="Q1458" s="186">
        <v>12007</v>
      </c>
      <c r="R1458" s="185" t="s">
        <v>6</v>
      </c>
      <c r="S1458" s="185" t="s">
        <v>1570</v>
      </c>
      <c r="T1458"/>
      <c r="U1458" t="str">
        <f>IF($L1458&gt;0,VLOOKUP($E1458,Valida!$A$1:$G$270,6,FALSE),IF($M1458&gt;=0,VLOOKUP($E1458,Valida!$A$1:$G$270,7,FALSE)))</f>
        <v>(+/-) Ajustes por el incremento (disminución) de cuentas por pagar de origen comercial</v>
      </c>
      <c r="V1458" s="190" t="str">
        <f>VLOOKUP(E1458,Valida!$A$2:$K$271,4,FALSE)</f>
        <v>Trade and other payables</v>
      </c>
      <c r="W1458" s="185" t="s">
        <v>2048</v>
      </c>
      <c r="X1458" s="185"/>
      <c r="Y1458" s="185" t="s">
        <v>1789</v>
      </c>
      <c r="Z1458"/>
    </row>
    <row r="1459" spans="1:26">
      <c r="A1459" s="185" t="s">
        <v>2783</v>
      </c>
      <c r="B1459" s="185" t="s">
        <v>2784</v>
      </c>
      <c r="C1459" s="185" t="s">
        <v>2045</v>
      </c>
      <c r="D1459" s="185" t="s">
        <v>2785</v>
      </c>
      <c r="E1459" s="185">
        <v>51359501</v>
      </c>
      <c r="F1459" s="185" t="s">
        <v>1290</v>
      </c>
      <c r="G1459" s="185" t="s">
        <v>2788</v>
      </c>
      <c r="H1459" s="185" t="s">
        <v>1515</v>
      </c>
      <c r="I1459" s="258" t="str">
        <f t="shared" si="67"/>
        <v>5</v>
      </c>
      <c r="J1459" s="221">
        <f t="shared" si="68"/>
        <v>3955088</v>
      </c>
      <c r="K1459" s="258">
        <f t="shared" si="69"/>
        <v>6</v>
      </c>
      <c r="L1459" s="188">
        <v>3955088</v>
      </c>
      <c r="M1459" s="188">
        <v>0</v>
      </c>
      <c r="N1459" s="189">
        <v>860044821</v>
      </c>
      <c r="O1459" t="s">
        <v>2787</v>
      </c>
      <c r="P1459" s="187">
        <v>45082.527337963002</v>
      </c>
      <c r="Q1459" s="186">
        <v>12008</v>
      </c>
      <c r="R1459" s="185" t="s">
        <v>6</v>
      </c>
      <c r="S1459" s="185" t="s">
        <v>1570</v>
      </c>
      <c r="T1459"/>
      <c r="U1459" t="str">
        <f>IF($L1459&gt;0,VLOOKUP($E1459,Valida!$A$1:$G$270,6,FALSE),IF($M1459&gt;=0,VLOOKUP($E1459,Valida!$A$1:$G$270,7,FALSE)))</f>
        <v>(+/-) Ganancia (pérdida)</v>
      </c>
      <c r="V1459" s="190" t="str">
        <f>VLOOKUP(E1459,Valida!$A$2:$K$271,4,FALSE)</f>
        <v>P&amp;L</v>
      </c>
      <c r="W1459" s="185" t="s">
        <v>2048</v>
      </c>
      <c r="X1459" s="185"/>
      <c r="Y1459" s="185" t="s">
        <v>1789</v>
      </c>
      <c r="Z1459"/>
    </row>
    <row r="1460" spans="1:26">
      <c r="A1460" s="185" t="s">
        <v>2725</v>
      </c>
      <c r="B1460" s="185" t="s">
        <v>2789</v>
      </c>
      <c r="C1460" s="185" t="s">
        <v>1785</v>
      </c>
      <c r="D1460" s="185" t="s">
        <v>2176</v>
      </c>
      <c r="E1460" s="185">
        <v>510568</v>
      </c>
      <c r="F1460" s="185" t="s">
        <v>680</v>
      </c>
      <c r="G1460" s="185" t="s">
        <v>2790</v>
      </c>
      <c r="H1460" s="185" t="s">
        <v>1515</v>
      </c>
      <c r="I1460" s="258" t="str">
        <f t="shared" si="67"/>
        <v>5</v>
      </c>
      <c r="J1460" s="221">
        <f t="shared" si="68"/>
        <v>1000</v>
      </c>
      <c r="K1460" s="258">
        <f t="shared" si="69"/>
        <v>5</v>
      </c>
      <c r="L1460" s="188">
        <v>1000</v>
      </c>
      <c r="M1460" s="188">
        <v>0</v>
      </c>
      <c r="N1460" s="189">
        <v>860002503</v>
      </c>
      <c r="O1460"/>
      <c r="P1460" s="187">
        <v>45083.586261574099</v>
      </c>
      <c r="Q1460" s="186">
        <v>12009</v>
      </c>
      <c r="R1460" s="185" t="s">
        <v>433</v>
      </c>
      <c r="S1460" s="185" t="s">
        <v>1656</v>
      </c>
      <c r="T1460"/>
      <c r="U1460" t="str">
        <f>IF($L1460&gt;0,VLOOKUP($E1460,Valida!$A$1:$G$270,6,FALSE),IF($M1460&gt;=0,VLOOKUP($E1460,Valida!$A$1:$G$270,7,FALSE)))</f>
        <v>(+/-) Ganancia (pérdida)</v>
      </c>
      <c r="V1460" s="190" t="str">
        <f>VLOOKUP(E1460,Valida!$A$2:$K$271,4,FALSE)</f>
        <v>P&amp;L</v>
      </c>
      <c r="W1460" s="185" t="s">
        <v>1912</v>
      </c>
      <c r="X1460" s="185" t="s">
        <v>1913</v>
      </c>
      <c r="Y1460" s="185" t="s">
        <v>1789</v>
      </c>
      <c r="Z1460"/>
    </row>
    <row r="1461" spans="1:26">
      <c r="A1461" s="185" t="s">
        <v>2725</v>
      </c>
      <c r="B1461" s="185" t="s">
        <v>2789</v>
      </c>
      <c r="C1461" s="185" t="s">
        <v>1785</v>
      </c>
      <c r="D1461" s="185" t="s">
        <v>2176</v>
      </c>
      <c r="E1461" s="185">
        <v>510569</v>
      </c>
      <c r="F1461" s="185" t="s">
        <v>1114</v>
      </c>
      <c r="G1461" s="185" t="s">
        <v>2790</v>
      </c>
      <c r="H1461" s="185" t="s">
        <v>1515</v>
      </c>
      <c r="I1461" s="258" t="str">
        <f t="shared" si="67"/>
        <v>5</v>
      </c>
      <c r="J1461" s="221">
        <f t="shared" si="68"/>
        <v>7300</v>
      </c>
      <c r="K1461" s="258">
        <f t="shared" si="69"/>
        <v>5</v>
      </c>
      <c r="L1461" s="188">
        <v>7300</v>
      </c>
      <c r="M1461" s="188">
        <v>0</v>
      </c>
      <c r="N1461" s="189">
        <v>800251440</v>
      </c>
      <c r="O1461"/>
      <c r="P1461" s="187">
        <v>45083.586261574099</v>
      </c>
      <c r="Q1461" s="186">
        <v>12010</v>
      </c>
      <c r="R1461" s="185" t="s">
        <v>1901</v>
      </c>
      <c r="S1461" s="185" t="s">
        <v>1560</v>
      </c>
      <c r="T1461"/>
      <c r="U1461" t="str">
        <f>IF($L1461&gt;0,VLOOKUP($E1461,Valida!$A$1:$G$270,6,FALSE),IF($M1461&gt;=0,VLOOKUP($E1461,Valida!$A$1:$G$270,7,FALSE)))</f>
        <v>(+/-) Ganancia (pérdida)</v>
      </c>
      <c r="V1461" s="190" t="str">
        <f>VLOOKUP(E1461,Valida!$A$2:$K$271,4,FALSE)</f>
        <v>P&amp;L</v>
      </c>
      <c r="W1461" s="185" t="s">
        <v>1902</v>
      </c>
      <c r="X1461" s="185" t="s">
        <v>1903</v>
      </c>
      <c r="Y1461" s="185" t="s">
        <v>1789</v>
      </c>
      <c r="Z1461"/>
    </row>
    <row r="1462" spans="1:26">
      <c r="A1462" s="185" t="s">
        <v>2725</v>
      </c>
      <c r="B1462" s="185" t="s">
        <v>2789</v>
      </c>
      <c r="C1462" s="185" t="s">
        <v>1785</v>
      </c>
      <c r="D1462" s="185" t="s">
        <v>2176</v>
      </c>
      <c r="E1462" s="185">
        <v>510570</v>
      </c>
      <c r="F1462" s="185" t="s">
        <v>1116</v>
      </c>
      <c r="G1462" s="185" t="s">
        <v>2790</v>
      </c>
      <c r="H1462" s="185" t="s">
        <v>1515</v>
      </c>
      <c r="I1462" s="258" t="str">
        <f t="shared" si="67"/>
        <v>5</v>
      </c>
      <c r="J1462" s="221">
        <f t="shared" si="68"/>
        <v>29300</v>
      </c>
      <c r="K1462" s="258">
        <f t="shared" si="69"/>
        <v>5</v>
      </c>
      <c r="L1462" s="188">
        <v>29300</v>
      </c>
      <c r="M1462" s="188">
        <v>0</v>
      </c>
      <c r="N1462" s="189">
        <v>800224808</v>
      </c>
      <c r="O1462"/>
      <c r="P1462" s="187">
        <v>45083.586261574099</v>
      </c>
      <c r="Q1462" s="186">
        <v>12011</v>
      </c>
      <c r="R1462" s="185" t="s">
        <v>1827</v>
      </c>
      <c r="S1462" s="185" t="s">
        <v>1662</v>
      </c>
      <c r="T1462"/>
      <c r="U1462" t="str">
        <f>IF($L1462&gt;0,VLOOKUP($E1462,Valida!$A$1:$G$270,6,FALSE),IF($M1462&gt;=0,VLOOKUP($E1462,Valida!$A$1:$G$270,7,FALSE)))</f>
        <v>(+/-) Ganancia (pérdida)</v>
      </c>
      <c r="V1462" s="190" t="str">
        <f>VLOOKUP(E1462,Valida!$A$2:$K$271,4,FALSE)</f>
        <v>P&amp;L</v>
      </c>
      <c r="W1462" s="185" t="s">
        <v>1911</v>
      </c>
      <c r="X1462" s="185"/>
      <c r="Y1462" s="185" t="s">
        <v>1789</v>
      </c>
      <c r="Z1462"/>
    </row>
    <row r="1463" spans="1:26">
      <c r="A1463" s="185" t="s">
        <v>2725</v>
      </c>
      <c r="B1463" s="185" t="s">
        <v>2789</v>
      </c>
      <c r="C1463" s="185" t="s">
        <v>1785</v>
      </c>
      <c r="D1463" s="185" t="s">
        <v>2176</v>
      </c>
      <c r="E1463" s="185">
        <v>510572</v>
      </c>
      <c r="F1463" s="185" t="s">
        <v>1118</v>
      </c>
      <c r="G1463" s="185" t="s">
        <v>2790</v>
      </c>
      <c r="H1463" s="185" t="s">
        <v>1515</v>
      </c>
      <c r="I1463" s="258" t="str">
        <f t="shared" si="67"/>
        <v>5</v>
      </c>
      <c r="J1463" s="221">
        <f t="shared" si="68"/>
        <v>6700</v>
      </c>
      <c r="K1463" s="258">
        <f t="shared" si="69"/>
        <v>5</v>
      </c>
      <c r="L1463" s="188">
        <v>6700</v>
      </c>
      <c r="M1463" s="188">
        <v>0</v>
      </c>
      <c r="N1463" s="189">
        <v>860066942</v>
      </c>
      <c r="O1463"/>
      <c r="P1463" s="187">
        <v>45083.586273148103</v>
      </c>
      <c r="Q1463" s="186">
        <v>12012</v>
      </c>
      <c r="R1463" s="185" t="s">
        <v>1814</v>
      </c>
      <c r="S1463" s="185" t="s">
        <v>1574</v>
      </c>
      <c r="T1463"/>
      <c r="U1463" t="str">
        <f>IF($L1463&gt;0,VLOOKUP($E1463,Valida!$A$1:$G$270,6,FALSE),IF($M1463&gt;=0,VLOOKUP($E1463,Valida!$A$1:$G$270,7,FALSE)))</f>
        <v>(+/-) Ganancia (pérdida)</v>
      </c>
      <c r="V1463" s="190" t="str">
        <f>VLOOKUP(E1463,Valida!$A$2:$K$271,4,FALSE)</f>
        <v>P&amp;L</v>
      </c>
      <c r="W1463" s="185" t="s">
        <v>1914</v>
      </c>
      <c r="X1463" s="185" t="s">
        <v>1915</v>
      </c>
      <c r="Y1463" s="185" t="s">
        <v>1789</v>
      </c>
      <c r="Z1463"/>
    </row>
    <row r="1464" spans="1:26">
      <c r="A1464" s="185" t="s">
        <v>2725</v>
      </c>
      <c r="B1464" s="185" t="s">
        <v>2789</v>
      </c>
      <c r="C1464" s="185" t="s">
        <v>1785</v>
      </c>
      <c r="D1464" s="185" t="s">
        <v>2176</v>
      </c>
      <c r="E1464" s="185">
        <v>237095</v>
      </c>
      <c r="F1464" s="185" t="s">
        <v>150</v>
      </c>
      <c r="G1464" s="185" t="s">
        <v>2790</v>
      </c>
      <c r="H1464" s="185" t="s">
        <v>1628</v>
      </c>
      <c r="I1464" s="258" t="str">
        <f t="shared" si="67"/>
        <v>2</v>
      </c>
      <c r="J1464" s="221">
        <f t="shared" si="68"/>
        <v>-44300</v>
      </c>
      <c r="K1464" s="258">
        <f t="shared" si="69"/>
        <v>5</v>
      </c>
      <c r="L1464" s="188">
        <v>0</v>
      </c>
      <c r="M1464" s="188">
        <v>44300</v>
      </c>
      <c r="N1464" s="189">
        <v>860066942</v>
      </c>
      <c r="O1464"/>
      <c r="P1464" s="187">
        <v>45083.586273148103</v>
      </c>
      <c r="Q1464" s="186">
        <v>12013</v>
      </c>
      <c r="R1464" s="185" t="s">
        <v>1814</v>
      </c>
      <c r="S1464" s="185" t="s">
        <v>1574</v>
      </c>
      <c r="T1464"/>
      <c r="U1464" t="str">
        <f>IF($L1464&gt;0,VLOOKUP($E1464,Valida!$A$1:$G$270,6,FALSE),IF($M1464&gt;=0,VLOOKUP($E1464,Valida!$A$1:$G$270,7,FALSE)))</f>
        <v>(+/-) Ajustes por el incremento (disminución) de cuentas por pagar de origen comercial</v>
      </c>
      <c r="V1464" s="190" t="str">
        <f>VLOOKUP(E1464,Valida!$A$2:$K$271,4,FALSE)</f>
        <v>Trade and other payables</v>
      </c>
      <c r="W1464" s="185" t="s">
        <v>1914</v>
      </c>
      <c r="X1464" s="185" t="s">
        <v>1915</v>
      </c>
      <c r="Y1464" s="185" t="s">
        <v>1789</v>
      </c>
      <c r="Z1464"/>
    </row>
    <row r="1465" spans="1:26">
      <c r="A1465" s="185" t="s">
        <v>2791</v>
      </c>
      <c r="B1465" s="185" t="s">
        <v>2792</v>
      </c>
      <c r="C1465" s="185" t="s">
        <v>1792</v>
      </c>
      <c r="D1465" s="185" t="s">
        <v>2159</v>
      </c>
      <c r="E1465" s="185">
        <v>51353001</v>
      </c>
      <c r="F1465" s="185" t="s">
        <v>516</v>
      </c>
      <c r="G1465" s="185" t="s">
        <v>1833</v>
      </c>
      <c r="H1465" s="185" t="s">
        <v>1515</v>
      </c>
      <c r="I1465" s="258" t="str">
        <f t="shared" si="67"/>
        <v>5</v>
      </c>
      <c r="J1465" s="221">
        <f t="shared" si="68"/>
        <v>5552260</v>
      </c>
      <c r="K1465" s="258">
        <f t="shared" si="69"/>
        <v>6</v>
      </c>
      <c r="L1465" s="188">
        <v>5552260</v>
      </c>
      <c r="M1465" s="188">
        <v>0</v>
      </c>
      <c r="N1465" s="189">
        <v>860063875</v>
      </c>
      <c r="O1465" t="s">
        <v>2793</v>
      </c>
      <c r="P1465" s="187">
        <v>45093.441180555601</v>
      </c>
      <c r="Q1465" s="186">
        <v>12022</v>
      </c>
      <c r="R1465" s="185" t="s">
        <v>1827</v>
      </c>
      <c r="S1465" s="185" t="s">
        <v>1572</v>
      </c>
      <c r="T1465"/>
      <c r="U1465" t="str">
        <f>IF($L1465&gt;0,VLOOKUP($E1465,Valida!$A$1:$G$270,6,FALSE),IF($M1465&gt;=0,VLOOKUP($E1465,Valida!$A$1:$G$270,7,FALSE)))</f>
        <v>(+/-) Ganancia (pérdida)</v>
      </c>
      <c r="V1465" s="190" t="str">
        <f>VLOOKUP(E1465,Valida!$A$2:$K$271,4,FALSE)</f>
        <v>P&amp;L</v>
      </c>
      <c r="W1465" s="185" t="s">
        <v>1835</v>
      </c>
      <c r="X1465" s="185"/>
      <c r="Y1465" s="185" t="s">
        <v>1789</v>
      </c>
      <c r="Z1465"/>
    </row>
    <row r="1466" spans="1:26">
      <c r="A1466" s="185" t="s">
        <v>2791</v>
      </c>
      <c r="B1466" s="185" t="s">
        <v>2792</v>
      </c>
      <c r="C1466" s="185" t="s">
        <v>1792</v>
      </c>
      <c r="D1466" s="185" t="s">
        <v>2159</v>
      </c>
      <c r="E1466" s="185">
        <v>51350502</v>
      </c>
      <c r="F1466" s="185" t="s">
        <v>1738</v>
      </c>
      <c r="G1466" s="185" t="s">
        <v>1833</v>
      </c>
      <c r="H1466" s="185" t="s">
        <v>1515</v>
      </c>
      <c r="I1466" s="258" t="str">
        <f t="shared" si="67"/>
        <v>5</v>
      </c>
      <c r="J1466" s="221">
        <f t="shared" si="68"/>
        <v>53180</v>
      </c>
      <c r="K1466" s="258">
        <f t="shared" si="69"/>
        <v>6</v>
      </c>
      <c r="L1466" s="188">
        <v>53180</v>
      </c>
      <c r="M1466" s="188">
        <v>0</v>
      </c>
      <c r="N1466" s="189">
        <v>901145808</v>
      </c>
      <c r="O1466" t="s">
        <v>2793</v>
      </c>
      <c r="P1466" s="187">
        <v>45093.441180555601</v>
      </c>
      <c r="Q1466" s="186">
        <v>12023</v>
      </c>
      <c r="R1466" s="185" t="s">
        <v>1067</v>
      </c>
      <c r="S1466" s="185" t="s">
        <v>1740</v>
      </c>
      <c r="T1466"/>
      <c r="U1466" t="str">
        <f>IF($L1466&gt;0,VLOOKUP($E1466,Valida!$A$1:$G$270,6,FALSE),IF($M1466&gt;=0,VLOOKUP($E1466,Valida!$A$1:$G$270,7,FALSE)))</f>
        <v>(+/-) Ganancia (pérdida)</v>
      </c>
      <c r="V1466" s="190" t="str">
        <f>VLOOKUP(E1466,Valida!$A$2:$K$271,4,FALSE)</f>
        <v>P&amp;L</v>
      </c>
      <c r="W1466" s="185" t="s">
        <v>1836</v>
      </c>
      <c r="X1466" s="185" t="s">
        <v>1837</v>
      </c>
      <c r="Y1466" s="185" t="s">
        <v>1789</v>
      </c>
      <c r="Z1466"/>
    </row>
    <row r="1467" spans="1:26">
      <c r="A1467" s="185" t="s">
        <v>2791</v>
      </c>
      <c r="B1467" s="185" t="s">
        <v>2792</v>
      </c>
      <c r="C1467" s="185" t="s">
        <v>1792</v>
      </c>
      <c r="D1467" s="185" t="s">
        <v>2159</v>
      </c>
      <c r="E1467" s="185">
        <v>23355005</v>
      </c>
      <c r="F1467" s="185" t="s">
        <v>516</v>
      </c>
      <c r="G1467" s="185" t="s">
        <v>1833</v>
      </c>
      <c r="H1467" s="185" t="s">
        <v>1628</v>
      </c>
      <c r="I1467" s="258" t="str">
        <f t="shared" si="67"/>
        <v>2</v>
      </c>
      <c r="J1467" s="221">
        <f t="shared" si="68"/>
        <v>-5605440</v>
      </c>
      <c r="K1467" s="258">
        <f t="shared" si="69"/>
        <v>6</v>
      </c>
      <c r="L1467" s="188">
        <v>0</v>
      </c>
      <c r="M1467" s="188">
        <v>5605440</v>
      </c>
      <c r="N1467" s="189">
        <v>860063875</v>
      </c>
      <c r="O1467" t="s">
        <v>2793</v>
      </c>
      <c r="P1467" s="187">
        <v>45093.441180555601</v>
      </c>
      <c r="Q1467" s="186">
        <v>12024</v>
      </c>
      <c r="R1467" s="185" t="s">
        <v>1827</v>
      </c>
      <c r="S1467" s="185" t="s">
        <v>1572</v>
      </c>
      <c r="T1467"/>
      <c r="U1467" t="str">
        <f>IF($L1467&gt;0,VLOOKUP($E1467,Valida!$A$1:$G$270,6,FALSE),IF($M1467&gt;=0,VLOOKUP($E1467,Valida!$A$1:$G$270,7,FALSE)))</f>
        <v>(+/-) Ajustes por el incremento (disminución) de cuentas por pagar de origen comercial</v>
      </c>
      <c r="V1467" s="190" t="str">
        <f>VLOOKUP(E1467,Valida!$A$2:$K$271,4,FALSE)</f>
        <v>Trade and other payables</v>
      </c>
      <c r="W1467" s="185" t="s">
        <v>1835</v>
      </c>
      <c r="X1467" s="185"/>
      <c r="Y1467" s="185" t="s">
        <v>1789</v>
      </c>
      <c r="Z1467"/>
    </row>
    <row r="1468" spans="1:26">
      <c r="A1468" s="185" t="s">
        <v>2794</v>
      </c>
      <c r="B1468" s="185" t="s">
        <v>2795</v>
      </c>
      <c r="C1468" s="185" t="s">
        <v>1792</v>
      </c>
      <c r="D1468" s="185" t="s">
        <v>2161</v>
      </c>
      <c r="E1468" s="185">
        <v>51201001</v>
      </c>
      <c r="F1468" s="185" t="s">
        <v>1189</v>
      </c>
      <c r="G1468" s="185" t="s">
        <v>2796</v>
      </c>
      <c r="H1468" s="185" t="s">
        <v>1515</v>
      </c>
      <c r="I1468" s="258" t="str">
        <f t="shared" si="67"/>
        <v>5</v>
      </c>
      <c r="J1468" s="221">
        <f t="shared" si="68"/>
        <v>12750000</v>
      </c>
      <c r="K1468" s="258">
        <f t="shared" si="69"/>
        <v>6</v>
      </c>
      <c r="L1468" s="188">
        <v>12750000</v>
      </c>
      <c r="M1468" s="188">
        <v>0</v>
      </c>
      <c r="N1468" s="189">
        <v>900471482</v>
      </c>
      <c r="O1468" t="s">
        <v>2797</v>
      </c>
      <c r="P1468" s="187">
        <v>45093.441689814797</v>
      </c>
      <c r="Q1468" s="186">
        <v>12025</v>
      </c>
      <c r="R1468" s="185" t="s">
        <v>6</v>
      </c>
      <c r="S1468" s="185" t="s">
        <v>1600</v>
      </c>
      <c r="T1468"/>
      <c r="U1468" t="str">
        <f>IF($L1468&gt;0,VLOOKUP($E1468,Valida!$A$1:$G$270,6,FALSE),IF($M1468&gt;=0,VLOOKUP($E1468,Valida!$A$1:$G$270,7,FALSE)))</f>
        <v>(+/-) Ganancia (pérdida)</v>
      </c>
      <c r="V1468" s="190" t="str">
        <f>VLOOKUP(E1468,Valida!$A$2:$K$271,4,FALSE)</f>
        <v>P&amp;L</v>
      </c>
      <c r="W1468" s="185" t="s">
        <v>1853</v>
      </c>
      <c r="X1468" s="185" t="s">
        <v>1854</v>
      </c>
      <c r="Y1468" s="185" t="s">
        <v>1789</v>
      </c>
      <c r="Z1468"/>
    </row>
    <row r="1469" spans="1:26">
      <c r="A1469" s="185" t="s">
        <v>2794</v>
      </c>
      <c r="B1469" s="185" t="s">
        <v>2795</v>
      </c>
      <c r="C1469" s="185" t="s">
        <v>1792</v>
      </c>
      <c r="D1469" s="185" t="s">
        <v>2161</v>
      </c>
      <c r="E1469" s="185">
        <v>24081002</v>
      </c>
      <c r="F1469" s="185" t="s">
        <v>1687</v>
      </c>
      <c r="G1469" s="185" t="s">
        <v>2796</v>
      </c>
      <c r="H1469" s="185" t="s">
        <v>1515</v>
      </c>
      <c r="I1469" s="258" t="str">
        <f t="shared" si="67"/>
        <v>2</v>
      </c>
      <c r="J1469" s="221">
        <f t="shared" si="68"/>
        <v>2422500</v>
      </c>
      <c r="K1469" s="258">
        <f t="shared" si="69"/>
        <v>6</v>
      </c>
      <c r="L1469" s="188">
        <v>2422500</v>
      </c>
      <c r="M1469" s="188">
        <v>0</v>
      </c>
      <c r="N1469" s="189">
        <v>900471482</v>
      </c>
      <c r="O1469" t="s">
        <v>2797</v>
      </c>
      <c r="P1469" s="187">
        <v>45093.441689814797</v>
      </c>
      <c r="Q1469" s="186">
        <v>12026</v>
      </c>
      <c r="R1469" s="185" t="s">
        <v>6</v>
      </c>
      <c r="S1469" s="185" t="s">
        <v>1600</v>
      </c>
      <c r="T1469"/>
      <c r="U1469" t="str">
        <f>IF($L1469&gt;0,VLOOKUP($E1469,Valida!$A$1:$G$270,6,FALSE),IF($M1469&gt;=0,VLOOKUP($E1469,Valida!$A$1:$G$270,7,FALSE)))</f>
        <v>(+/-) Ajustes por el incremento (disminución) de cuentas por pagar de origen comercial</v>
      </c>
      <c r="V1469" s="190" t="str">
        <f>VLOOKUP(E1469,Valida!$A$2:$K$271,4,FALSE)</f>
        <v>Trade and other payables</v>
      </c>
      <c r="W1469" s="185" t="s">
        <v>1853</v>
      </c>
      <c r="X1469" s="185" t="s">
        <v>1854</v>
      </c>
      <c r="Y1469" s="185" t="s">
        <v>1789</v>
      </c>
      <c r="Z1469"/>
    </row>
    <row r="1470" spans="1:26">
      <c r="A1470" s="185" t="s">
        <v>2794</v>
      </c>
      <c r="B1470" s="185" t="s">
        <v>2795</v>
      </c>
      <c r="C1470" s="185" t="s">
        <v>1792</v>
      </c>
      <c r="D1470" s="185" t="s">
        <v>2161</v>
      </c>
      <c r="E1470" s="185">
        <v>23653001</v>
      </c>
      <c r="F1470" s="185" t="s">
        <v>611</v>
      </c>
      <c r="G1470" s="185" t="s">
        <v>2796</v>
      </c>
      <c r="H1470" s="185" t="s">
        <v>1628</v>
      </c>
      <c r="I1470" s="258" t="str">
        <f t="shared" si="67"/>
        <v>2</v>
      </c>
      <c r="J1470" s="221">
        <f t="shared" si="68"/>
        <v>-446250</v>
      </c>
      <c r="K1470" s="258">
        <f t="shared" si="69"/>
        <v>6</v>
      </c>
      <c r="L1470" s="188">
        <v>0</v>
      </c>
      <c r="M1470" s="188">
        <v>446250</v>
      </c>
      <c r="N1470" s="189">
        <v>900471482</v>
      </c>
      <c r="O1470" t="s">
        <v>2797</v>
      </c>
      <c r="P1470" s="187">
        <v>45093.441689814797</v>
      </c>
      <c r="Q1470" s="186">
        <v>12027</v>
      </c>
      <c r="R1470" s="185" t="s">
        <v>6</v>
      </c>
      <c r="S1470" s="185" t="s">
        <v>1600</v>
      </c>
      <c r="T1470"/>
      <c r="U1470" t="str">
        <f>IF($L1470&gt;0,VLOOKUP($E1470,Valida!$A$1:$G$270,6,FALSE),IF($M1470&gt;=0,VLOOKUP($E1470,Valida!$A$1:$G$270,7,FALSE)))</f>
        <v>(+/-) Ajustes por el incremento (disminución) de cuentas por pagar de origen comercial</v>
      </c>
      <c r="V1470" s="190" t="str">
        <f>VLOOKUP(E1470,Valida!$A$2:$K$271,4,FALSE)</f>
        <v>Trade and other payables</v>
      </c>
      <c r="W1470" s="185" t="s">
        <v>1853</v>
      </c>
      <c r="X1470" s="185" t="s">
        <v>1854</v>
      </c>
      <c r="Y1470" s="185" t="s">
        <v>1789</v>
      </c>
      <c r="Z1470"/>
    </row>
    <row r="1471" spans="1:26">
      <c r="A1471" s="185" t="s">
        <v>2794</v>
      </c>
      <c r="B1471" s="185" t="s">
        <v>2795</v>
      </c>
      <c r="C1471" s="185" t="s">
        <v>1792</v>
      </c>
      <c r="D1471" s="185" t="s">
        <v>2161</v>
      </c>
      <c r="E1471" s="185">
        <v>23680503</v>
      </c>
      <c r="F1471" s="185" t="s">
        <v>665</v>
      </c>
      <c r="G1471" s="185" t="s">
        <v>2796</v>
      </c>
      <c r="H1471" s="185" t="s">
        <v>1628</v>
      </c>
      <c r="I1471" s="258" t="str">
        <f t="shared" si="67"/>
        <v>2</v>
      </c>
      <c r="J1471" s="221">
        <f t="shared" si="68"/>
        <v>-123165</v>
      </c>
      <c r="K1471" s="258">
        <f t="shared" si="69"/>
        <v>6</v>
      </c>
      <c r="L1471" s="188">
        <v>0</v>
      </c>
      <c r="M1471" s="188">
        <v>123165</v>
      </c>
      <c r="N1471" s="189">
        <v>900471482</v>
      </c>
      <c r="O1471" t="s">
        <v>2797</v>
      </c>
      <c r="P1471" s="187">
        <v>45093.441689814797</v>
      </c>
      <c r="Q1471" s="186">
        <v>12028</v>
      </c>
      <c r="R1471" s="185" t="s">
        <v>6</v>
      </c>
      <c r="S1471" s="185" t="s">
        <v>1600</v>
      </c>
      <c r="T1471"/>
      <c r="U1471" t="str">
        <f>IF($L1471&gt;0,VLOOKUP($E1471,Valida!$A$1:$G$270,6,FALSE),IF($M1471&gt;=0,VLOOKUP($E1471,Valida!$A$1:$G$270,7,FALSE)))</f>
        <v>(+/-) Ajustes por el incremento (disminución) de cuentas por pagar de origen comercial</v>
      </c>
      <c r="V1471" s="190" t="str">
        <f>VLOOKUP(E1471,Valida!$A$2:$K$271,4,FALSE)</f>
        <v>Trade and other payables</v>
      </c>
      <c r="W1471" s="185" t="s">
        <v>1853</v>
      </c>
      <c r="X1471" s="185" t="s">
        <v>1854</v>
      </c>
      <c r="Y1471" s="185" t="s">
        <v>1789</v>
      </c>
      <c r="Z1471"/>
    </row>
    <row r="1472" spans="1:26">
      <c r="A1472" s="185" t="s">
        <v>2794</v>
      </c>
      <c r="B1472" s="185" t="s">
        <v>2795</v>
      </c>
      <c r="C1472" s="185" t="s">
        <v>1792</v>
      </c>
      <c r="D1472" s="185" t="s">
        <v>2161</v>
      </c>
      <c r="E1472" s="185">
        <v>23354001</v>
      </c>
      <c r="F1472" s="185" t="s">
        <v>484</v>
      </c>
      <c r="G1472" s="185" t="s">
        <v>2796</v>
      </c>
      <c r="H1472" s="185" t="s">
        <v>1628</v>
      </c>
      <c r="I1472" s="258" t="str">
        <f t="shared" si="67"/>
        <v>2</v>
      </c>
      <c r="J1472" s="221">
        <f t="shared" si="68"/>
        <v>-14603085</v>
      </c>
      <c r="K1472" s="258">
        <f t="shared" si="69"/>
        <v>6</v>
      </c>
      <c r="L1472" s="188">
        <v>0</v>
      </c>
      <c r="M1472" s="188">
        <v>14603085</v>
      </c>
      <c r="N1472" s="189">
        <v>900471482</v>
      </c>
      <c r="O1472" t="s">
        <v>2797</v>
      </c>
      <c r="P1472" s="187">
        <v>45093.441689814797</v>
      </c>
      <c r="Q1472" s="186">
        <v>12029</v>
      </c>
      <c r="R1472" s="185" t="s">
        <v>6</v>
      </c>
      <c r="S1472" s="185" t="s">
        <v>1600</v>
      </c>
      <c r="T1472"/>
      <c r="U1472" t="str">
        <f>IF($L1472&gt;0,VLOOKUP($E1472,Valida!$A$1:$G$270,6,FALSE),IF($M1472&gt;=0,VLOOKUP($E1472,Valida!$A$1:$G$270,7,FALSE)))</f>
        <v>(+/-) Ajustes por el incremento (disminución) de cuentas por pagar de origen comercial</v>
      </c>
      <c r="V1472" s="190" t="str">
        <f>VLOOKUP(E1472,Valida!$A$2:$K$271,4,FALSE)</f>
        <v>Trade and other payables</v>
      </c>
      <c r="W1472" s="185" t="s">
        <v>1853</v>
      </c>
      <c r="X1472" s="185" t="s">
        <v>1854</v>
      </c>
      <c r="Y1472" s="185" t="s">
        <v>1789</v>
      </c>
      <c r="Z1472"/>
    </row>
    <row r="1473" spans="1:26">
      <c r="A1473" s="185" t="s">
        <v>2794</v>
      </c>
      <c r="B1473" s="185" t="s">
        <v>2798</v>
      </c>
      <c r="C1473" s="185" t="s">
        <v>1792</v>
      </c>
      <c r="D1473" s="185" t="s">
        <v>2164</v>
      </c>
      <c r="E1473" s="185">
        <v>51953001</v>
      </c>
      <c r="F1473" s="185" t="s">
        <v>1418</v>
      </c>
      <c r="G1473" s="185" t="s">
        <v>2052</v>
      </c>
      <c r="H1473" s="185" t="s">
        <v>1515</v>
      </c>
      <c r="I1473" s="258" t="str">
        <f t="shared" si="67"/>
        <v>5</v>
      </c>
      <c r="J1473" s="221">
        <f t="shared" si="68"/>
        <v>429100</v>
      </c>
      <c r="K1473" s="258">
        <f t="shared" si="69"/>
        <v>6</v>
      </c>
      <c r="L1473" s="188">
        <v>429100</v>
      </c>
      <c r="M1473" s="188">
        <v>0</v>
      </c>
      <c r="N1473" s="189">
        <v>901051438</v>
      </c>
      <c r="O1473" t="s">
        <v>2799</v>
      </c>
      <c r="P1473" s="187">
        <v>45093.4433333333</v>
      </c>
      <c r="Q1473" s="186">
        <v>12030</v>
      </c>
      <c r="R1473" s="185" t="s">
        <v>1841</v>
      </c>
      <c r="S1473" s="185" t="s">
        <v>1608</v>
      </c>
      <c r="T1473"/>
      <c r="U1473" t="str">
        <f>IF($L1473&gt;0,VLOOKUP($E1473,Valida!$A$1:$G$270,6,FALSE),IF($M1473&gt;=0,VLOOKUP($E1473,Valida!$A$1:$G$270,7,FALSE)))</f>
        <v>(+/-) Ganancia (pérdida)</v>
      </c>
      <c r="V1473" s="190" t="str">
        <f>VLOOKUP(E1473,Valida!$A$2:$K$271,4,FALSE)</f>
        <v>P&amp;L</v>
      </c>
      <c r="W1473" s="185" t="s">
        <v>1878</v>
      </c>
      <c r="X1473" s="185" t="s">
        <v>1879</v>
      </c>
      <c r="Y1473" s="185" t="s">
        <v>1789</v>
      </c>
      <c r="Z1473"/>
    </row>
    <row r="1474" spans="1:26">
      <c r="A1474" s="185" t="s">
        <v>2794</v>
      </c>
      <c r="B1474" s="185" t="s">
        <v>2798</v>
      </c>
      <c r="C1474" s="185" t="s">
        <v>1792</v>
      </c>
      <c r="D1474" s="185" t="s">
        <v>2164</v>
      </c>
      <c r="E1474" s="185">
        <v>23359505</v>
      </c>
      <c r="F1474" s="185" t="s">
        <v>557</v>
      </c>
      <c r="G1474" s="185" t="s">
        <v>2052</v>
      </c>
      <c r="H1474" s="185" t="s">
        <v>1628</v>
      </c>
      <c r="I1474" s="258" t="str">
        <f t="shared" si="67"/>
        <v>2</v>
      </c>
      <c r="J1474" s="221">
        <f t="shared" si="68"/>
        <v>-510629</v>
      </c>
      <c r="K1474" s="258">
        <f t="shared" si="69"/>
        <v>6</v>
      </c>
      <c r="L1474" s="188">
        <v>0</v>
      </c>
      <c r="M1474" s="188">
        <v>510629</v>
      </c>
      <c r="N1474" s="189">
        <v>901051438</v>
      </c>
      <c r="O1474" t="s">
        <v>2799</v>
      </c>
      <c r="P1474" s="187">
        <v>45093.4433333333</v>
      </c>
      <c r="Q1474" s="186">
        <v>12031</v>
      </c>
      <c r="R1474" s="185" t="s">
        <v>1841</v>
      </c>
      <c r="S1474" s="185" t="s">
        <v>1608</v>
      </c>
      <c r="T1474"/>
      <c r="U1474" t="str">
        <f>IF($L1474&gt;0,VLOOKUP($E1474,Valida!$A$1:$G$270,6,FALSE),IF($M1474&gt;=0,VLOOKUP($E1474,Valida!$A$1:$G$270,7,FALSE)))</f>
        <v>(+/-) Ajustes por el incremento (disminución) de cuentas por pagar de origen comercial</v>
      </c>
      <c r="V1474" s="190" t="str">
        <f>VLOOKUP(E1474,Valida!$A$2:$K$271,4,FALSE)</f>
        <v>Trade and other payables</v>
      </c>
      <c r="W1474" s="185" t="s">
        <v>1878</v>
      </c>
      <c r="X1474" s="185" t="s">
        <v>1879</v>
      </c>
      <c r="Y1474" s="185" t="s">
        <v>1789</v>
      </c>
      <c r="Z1474"/>
    </row>
    <row r="1475" spans="1:26">
      <c r="A1475" s="185" t="s">
        <v>2794</v>
      </c>
      <c r="B1475" s="185" t="s">
        <v>2798</v>
      </c>
      <c r="C1475" s="185" t="s">
        <v>1792</v>
      </c>
      <c r="D1475" s="185" t="s">
        <v>2164</v>
      </c>
      <c r="E1475" s="185">
        <v>24081001</v>
      </c>
      <c r="F1475" s="185" t="s">
        <v>1670</v>
      </c>
      <c r="G1475" s="185" t="s">
        <v>2052</v>
      </c>
      <c r="H1475" s="185" t="s">
        <v>1515</v>
      </c>
      <c r="I1475" s="258" t="str">
        <f t="shared" ref="I1475:I1538" si="70">LEFT(E1475,1)</f>
        <v>2</v>
      </c>
      <c r="J1475" s="221">
        <f t="shared" ref="J1475:J1538" si="71">L1475-M1475</f>
        <v>81529</v>
      </c>
      <c r="K1475" s="258">
        <f t="shared" ref="K1475:K1538" si="72">MONTH(A1475)</f>
        <v>6</v>
      </c>
      <c r="L1475" s="188">
        <v>81529</v>
      </c>
      <c r="M1475" s="188">
        <v>0</v>
      </c>
      <c r="N1475" s="189">
        <v>901051438</v>
      </c>
      <c r="O1475" t="s">
        <v>2799</v>
      </c>
      <c r="P1475" s="187">
        <v>45093.4433333333</v>
      </c>
      <c r="Q1475" s="186">
        <v>12032</v>
      </c>
      <c r="R1475" s="185" t="s">
        <v>1841</v>
      </c>
      <c r="S1475" s="185" t="s">
        <v>1608</v>
      </c>
      <c r="T1475"/>
      <c r="U1475" t="str">
        <f>IF($L1475&gt;0,VLOOKUP($E1475,Valida!$A$1:$G$270,6,FALSE),IF($M1475&gt;=0,VLOOKUP($E1475,Valida!$A$1:$G$270,7,FALSE)))</f>
        <v>(+/-) Ajustes por el incremento (disminución) de cuentas por pagar de origen comercial</v>
      </c>
      <c r="V1475" s="190" t="str">
        <f>VLOOKUP(E1475,Valida!$A$2:$K$271,4,FALSE)</f>
        <v>Trade and other payables</v>
      </c>
      <c r="W1475" s="185" t="s">
        <v>1878</v>
      </c>
      <c r="X1475" s="185" t="s">
        <v>1879</v>
      </c>
      <c r="Y1475" s="185" t="s">
        <v>1789</v>
      </c>
      <c r="Z1475"/>
    </row>
    <row r="1476" spans="1:26">
      <c r="A1476" s="185" t="s">
        <v>2800</v>
      </c>
      <c r="B1476" s="185" t="s">
        <v>2801</v>
      </c>
      <c r="C1476" s="185" t="s">
        <v>1792</v>
      </c>
      <c r="D1476" s="185" t="s">
        <v>2166</v>
      </c>
      <c r="E1476" s="185">
        <v>51952502</v>
      </c>
      <c r="F1476" s="185" t="s">
        <v>1414</v>
      </c>
      <c r="G1476" s="185" t="s">
        <v>1862</v>
      </c>
      <c r="H1476" s="185" t="s">
        <v>1515</v>
      </c>
      <c r="I1476" s="258" t="str">
        <f t="shared" si="70"/>
        <v>5</v>
      </c>
      <c r="J1476" s="221">
        <f t="shared" si="71"/>
        <v>107000</v>
      </c>
      <c r="K1476" s="258">
        <f t="shared" si="72"/>
        <v>6</v>
      </c>
      <c r="L1476" s="188">
        <v>107000</v>
      </c>
      <c r="M1476" s="188">
        <v>0</v>
      </c>
      <c r="N1476" s="189">
        <v>900424409</v>
      </c>
      <c r="O1476" t="s">
        <v>2802</v>
      </c>
      <c r="P1476" s="187">
        <v>45093.454837963</v>
      </c>
      <c r="Q1476" s="186">
        <v>12033</v>
      </c>
      <c r="R1476" s="185" t="s">
        <v>844</v>
      </c>
      <c r="S1476" s="185" t="s">
        <v>1598</v>
      </c>
      <c r="T1476"/>
      <c r="U1476" t="str">
        <f>IF($L1476&gt;0,VLOOKUP($E1476,Valida!$A$1:$G$270,6,FALSE),IF($M1476&gt;=0,VLOOKUP($E1476,Valida!$A$1:$G$270,7,FALSE)))</f>
        <v>(+/-) Ganancia (pérdida)</v>
      </c>
      <c r="V1476" s="190" t="str">
        <f>VLOOKUP(E1476,Valida!$A$2:$K$271,4,FALSE)</f>
        <v>P&amp;L</v>
      </c>
      <c r="W1476" s="185" t="s">
        <v>1864</v>
      </c>
      <c r="X1476" s="185" t="s">
        <v>1865</v>
      </c>
      <c r="Y1476" s="185" t="s">
        <v>1789</v>
      </c>
      <c r="Z1476"/>
    </row>
    <row r="1477" spans="1:26">
      <c r="A1477" s="185" t="s">
        <v>2800</v>
      </c>
      <c r="B1477" s="185" t="s">
        <v>2801</v>
      </c>
      <c r="C1477" s="185" t="s">
        <v>1792</v>
      </c>
      <c r="D1477" s="185" t="s">
        <v>2166</v>
      </c>
      <c r="E1477" s="185">
        <v>24081002</v>
      </c>
      <c r="F1477" s="185" t="s">
        <v>1687</v>
      </c>
      <c r="G1477" s="185" t="s">
        <v>1866</v>
      </c>
      <c r="H1477" s="185" t="s">
        <v>1515</v>
      </c>
      <c r="I1477" s="258" t="str">
        <f t="shared" si="70"/>
        <v>2</v>
      </c>
      <c r="J1477" s="221">
        <f t="shared" si="71"/>
        <v>20330</v>
      </c>
      <c r="K1477" s="258">
        <f t="shared" si="72"/>
        <v>6</v>
      </c>
      <c r="L1477" s="188">
        <v>20330</v>
      </c>
      <c r="M1477" s="188">
        <v>0</v>
      </c>
      <c r="N1477" s="189">
        <v>900424409</v>
      </c>
      <c r="O1477" t="s">
        <v>2802</v>
      </c>
      <c r="P1477" s="187">
        <v>45093.454837963</v>
      </c>
      <c r="Q1477" s="186">
        <v>12034</v>
      </c>
      <c r="R1477" s="185" t="s">
        <v>844</v>
      </c>
      <c r="S1477" s="185" t="s">
        <v>1598</v>
      </c>
      <c r="T1477"/>
      <c r="U1477" t="str">
        <f>IF($L1477&gt;0,VLOOKUP($E1477,Valida!$A$1:$G$270,6,FALSE),IF($M1477&gt;=0,VLOOKUP($E1477,Valida!$A$1:$G$270,7,FALSE)))</f>
        <v>(+/-) Ajustes por el incremento (disminución) de cuentas por pagar de origen comercial</v>
      </c>
      <c r="V1477" s="190" t="str">
        <f>VLOOKUP(E1477,Valida!$A$2:$K$271,4,FALSE)</f>
        <v>Trade and other payables</v>
      </c>
      <c r="W1477" s="185" t="s">
        <v>1864</v>
      </c>
      <c r="X1477" s="185" t="s">
        <v>1865</v>
      </c>
      <c r="Y1477" s="185" t="s">
        <v>1789</v>
      </c>
      <c r="Z1477"/>
    </row>
    <row r="1478" spans="1:26">
      <c r="A1478" s="185" t="s">
        <v>2800</v>
      </c>
      <c r="B1478" s="185" t="s">
        <v>2801</v>
      </c>
      <c r="C1478" s="185" t="s">
        <v>1792</v>
      </c>
      <c r="D1478" s="185" t="s">
        <v>2166</v>
      </c>
      <c r="E1478" s="185">
        <v>23359502</v>
      </c>
      <c r="F1478" s="185" t="s">
        <v>547</v>
      </c>
      <c r="G1478" s="185" t="s">
        <v>1862</v>
      </c>
      <c r="H1478" s="185" t="s">
        <v>1628</v>
      </c>
      <c r="I1478" s="258" t="str">
        <f t="shared" si="70"/>
        <v>2</v>
      </c>
      <c r="J1478" s="221">
        <f t="shared" si="71"/>
        <v>-122016</v>
      </c>
      <c r="K1478" s="258">
        <f t="shared" si="72"/>
        <v>6</v>
      </c>
      <c r="L1478" s="188">
        <v>0</v>
      </c>
      <c r="M1478" s="188">
        <v>122016</v>
      </c>
      <c r="N1478" s="189">
        <v>900424409</v>
      </c>
      <c r="O1478" t="s">
        <v>2802</v>
      </c>
      <c r="P1478" s="187">
        <v>45093.454837963</v>
      </c>
      <c r="Q1478" s="186">
        <v>12035</v>
      </c>
      <c r="R1478" s="185" t="s">
        <v>844</v>
      </c>
      <c r="S1478" s="185" t="s">
        <v>1598</v>
      </c>
      <c r="T1478"/>
      <c r="U1478" t="str">
        <f>IF($L1478&gt;0,VLOOKUP($E1478,Valida!$A$1:$G$270,6,FALSE),IF($M1478&gt;=0,VLOOKUP($E1478,Valida!$A$1:$G$270,7,FALSE)))</f>
        <v>(+/-) Ajustes por el incremento (disminución) de cuentas por pagar de origen comercial</v>
      </c>
      <c r="V1478" s="190" t="str">
        <f>VLOOKUP(E1478,Valida!$A$2:$K$271,4,FALSE)</f>
        <v>Trade and other payables</v>
      </c>
      <c r="W1478" s="185" t="s">
        <v>1864</v>
      </c>
      <c r="X1478" s="185" t="s">
        <v>1865</v>
      </c>
      <c r="Y1478" s="185" t="s">
        <v>1789</v>
      </c>
      <c r="Z1478"/>
    </row>
    <row r="1479" spans="1:26">
      <c r="A1479" s="185" t="s">
        <v>2800</v>
      </c>
      <c r="B1479" s="185" t="s">
        <v>2801</v>
      </c>
      <c r="C1479" s="185" t="s">
        <v>1792</v>
      </c>
      <c r="D1479" s="185" t="s">
        <v>2166</v>
      </c>
      <c r="E1479" s="185">
        <v>23653002</v>
      </c>
      <c r="F1479" s="185" t="s">
        <v>241</v>
      </c>
      <c r="G1479" s="185" t="s">
        <v>1867</v>
      </c>
      <c r="H1479" s="185" t="s">
        <v>1628</v>
      </c>
      <c r="I1479" s="258" t="str">
        <f t="shared" si="70"/>
        <v>2</v>
      </c>
      <c r="J1479" s="221">
        <f t="shared" si="71"/>
        <v>-4280</v>
      </c>
      <c r="K1479" s="258">
        <f t="shared" si="72"/>
        <v>6</v>
      </c>
      <c r="L1479" s="188">
        <v>0</v>
      </c>
      <c r="M1479" s="188">
        <v>4280</v>
      </c>
      <c r="N1479" s="189">
        <v>900424409</v>
      </c>
      <c r="O1479" t="s">
        <v>2802</v>
      </c>
      <c r="P1479" s="187">
        <v>45093.454837963</v>
      </c>
      <c r="Q1479" s="186">
        <v>12036</v>
      </c>
      <c r="R1479" s="185" t="s">
        <v>844</v>
      </c>
      <c r="S1479" s="185" t="s">
        <v>1598</v>
      </c>
      <c r="T1479"/>
      <c r="U1479" t="str">
        <f>IF($L1479&gt;0,VLOOKUP($E1479,Valida!$A$1:$G$270,6,FALSE),IF($M1479&gt;=0,VLOOKUP($E1479,Valida!$A$1:$G$270,7,FALSE)))</f>
        <v>(+/-) Ajustes por el incremento (disminución) de cuentas por pagar de origen comercial</v>
      </c>
      <c r="V1479" s="190" t="str">
        <f>VLOOKUP(E1479,Valida!$A$2:$K$271,4,FALSE)</f>
        <v>Trade and other payables</v>
      </c>
      <c r="W1479" s="185" t="s">
        <v>1864</v>
      </c>
      <c r="X1479" s="185" t="s">
        <v>1865</v>
      </c>
      <c r="Y1479" s="185" t="s">
        <v>1789</v>
      </c>
      <c r="Z1479"/>
    </row>
    <row r="1480" spans="1:26">
      <c r="A1480" s="185" t="s">
        <v>2800</v>
      </c>
      <c r="B1480" s="185" t="s">
        <v>2801</v>
      </c>
      <c r="C1480" s="185" t="s">
        <v>1792</v>
      </c>
      <c r="D1480" s="185" t="s">
        <v>2166</v>
      </c>
      <c r="E1480" s="185">
        <v>23680503</v>
      </c>
      <c r="F1480" s="185" t="s">
        <v>665</v>
      </c>
      <c r="G1480" s="185" t="s">
        <v>1868</v>
      </c>
      <c r="H1480" s="185" t="s">
        <v>1628</v>
      </c>
      <c r="I1480" s="258" t="str">
        <f t="shared" si="70"/>
        <v>2</v>
      </c>
      <c r="J1480" s="221">
        <f t="shared" si="71"/>
        <v>-1034</v>
      </c>
      <c r="K1480" s="258">
        <f t="shared" si="72"/>
        <v>6</v>
      </c>
      <c r="L1480" s="188">
        <v>0</v>
      </c>
      <c r="M1480" s="188">
        <v>1034</v>
      </c>
      <c r="N1480" s="189">
        <v>900424409</v>
      </c>
      <c r="O1480" t="s">
        <v>2802</v>
      </c>
      <c r="P1480" s="187">
        <v>45093.454837963</v>
      </c>
      <c r="Q1480" s="186">
        <v>12037</v>
      </c>
      <c r="R1480" s="185" t="s">
        <v>844</v>
      </c>
      <c r="S1480" s="185" t="s">
        <v>1598</v>
      </c>
      <c r="T1480"/>
      <c r="U1480" t="str">
        <f>IF($L1480&gt;0,VLOOKUP($E1480,Valida!$A$1:$G$270,6,FALSE),IF($M1480&gt;=0,VLOOKUP($E1480,Valida!$A$1:$G$270,7,FALSE)))</f>
        <v>(+/-) Ajustes por el incremento (disminución) de cuentas por pagar de origen comercial</v>
      </c>
      <c r="V1480" s="190" t="str">
        <f>VLOOKUP(E1480,Valida!$A$2:$K$271,4,FALSE)</f>
        <v>Trade and other payables</v>
      </c>
      <c r="W1480" s="185" t="s">
        <v>1864</v>
      </c>
      <c r="X1480" s="185" t="s">
        <v>1865</v>
      </c>
      <c r="Y1480" s="185" t="s">
        <v>1789</v>
      </c>
      <c r="Z1480"/>
    </row>
    <row r="1481" spans="1:26">
      <c r="A1481" s="185" t="s">
        <v>2800</v>
      </c>
      <c r="B1481" s="185" t="s">
        <v>2803</v>
      </c>
      <c r="C1481" s="185" t="s">
        <v>1792</v>
      </c>
      <c r="D1481" s="185" t="s">
        <v>2169</v>
      </c>
      <c r="E1481" s="185">
        <v>51700503</v>
      </c>
      <c r="F1481" s="185" t="s">
        <v>1397</v>
      </c>
      <c r="G1481" s="185" t="s">
        <v>1818</v>
      </c>
      <c r="H1481" s="185" t="s">
        <v>1515</v>
      </c>
      <c r="I1481" s="258" t="str">
        <f t="shared" si="70"/>
        <v>5</v>
      </c>
      <c r="J1481" s="221">
        <f t="shared" si="71"/>
        <v>330000</v>
      </c>
      <c r="K1481" s="258">
        <f t="shared" si="72"/>
        <v>6</v>
      </c>
      <c r="L1481" s="188">
        <v>330000</v>
      </c>
      <c r="M1481" s="188">
        <v>0</v>
      </c>
      <c r="N1481" s="189">
        <v>800042928</v>
      </c>
      <c r="O1481" t="s">
        <v>2804</v>
      </c>
      <c r="P1481" s="187">
        <v>45093.455671296302</v>
      </c>
      <c r="Q1481" s="186">
        <v>12038</v>
      </c>
      <c r="R1481" s="185" t="s">
        <v>6</v>
      </c>
      <c r="S1481" s="185" t="s">
        <v>1554</v>
      </c>
      <c r="T1481"/>
      <c r="U1481" t="str">
        <f>IF($L1481&gt;0,VLOOKUP($E1481,Valida!$A$1:$G$270,6,FALSE),IF($M1481&gt;=0,VLOOKUP($E1481,Valida!$A$1:$G$270,7,FALSE)))</f>
        <v>(+/-) Ganancia (pérdida)</v>
      </c>
      <c r="V1481" s="190" t="str">
        <f>VLOOKUP(E1481,Valida!$A$2:$K$271,4,FALSE)</f>
        <v>P&amp;L</v>
      </c>
      <c r="W1481" s="185" t="s">
        <v>1820</v>
      </c>
      <c r="X1481" s="185" t="s">
        <v>1821</v>
      </c>
      <c r="Y1481" s="185" t="s">
        <v>1789</v>
      </c>
      <c r="Z1481"/>
    </row>
    <row r="1482" spans="1:26">
      <c r="A1482" s="185" t="s">
        <v>2800</v>
      </c>
      <c r="B1482" s="185" t="s">
        <v>2803</v>
      </c>
      <c r="C1482" s="185" t="s">
        <v>1792</v>
      </c>
      <c r="D1482" s="185" t="s">
        <v>2169</v>
      </c>
      <c r="E1482" s="185">
        <v>23359504</v>
      </c>
      <c r="F1482" s="185" t="s">
        <v>553</v>
      </c>
      <c r="G1482" s="185" t="s">
        <v>1818</v>
      </c>
      <c r="H1482" s="185" t="s">
        <v>1628</v>
      </c>
      <c r="I1482" s="258" t="str">
        <f t="shared" si="70"/>
        <v>2</v>
      </c>
      <c r="J1482" s="221">
        <f t="shared" si="71"/>
        <v>-330000</v>
      </c>
      <c r="K1482" s="258">
        <f t="shared" si="72"/>
        <v>6</v>
      </c>
      <c r="L1482" s="188">
        <v>0</v>
      </c>
      <c r="M1482" s="188">
        <v>330000</v>
      </c>
      <c r="N1482" s="189">
        <v>800042928</v>
      </c>
      <c r="O1482" t="s">
        <v>2804</v>
      </c>
      <c r="P1482" s="187">
        <v>45093.455671296302</v>
      </c>
      <c r="Q1482" s="186">
        <v>12039</v>
      </c>
      <c r="R1482" s="185" t="s">
        <v>6</v>
      </c>
      <c r="S1482" s="185" t="s">
        <v>1554</v>
      </c>
      <c r="T1482"/>
      <c r="U1482" t="str">
        <f>IF($L1482&gt;0,VLOOKUP($E1482,Valida!$A$1:$G$270,6,FALSE),IF($M1482&gt;=0,VLOOKUP($E1482,Valida!$A$1:$G$270,7,FALSE)))</f>
        <v>(+/-) Ajustes por el incremento (disminución) de cuentas por pagar de origen comercial</v>
      </c>
      <c r="V1482" s="190" t="str">
        <f>VLOOKUP(E1482,Valida!$A$2:$K$271,4,FALSE)</f>
        <v>Trade and other payables</v>
      </c>
      <c r="W1482" s="185" t="s">
        <v>1820</v>
      </c>
      <c r="X1482" s="185" t="s">
        <v>1821</v>
      </c>
      <c r="Y1482" s="185" t="s">
        <v>1789</v>
      </c>
      <c r="Z1482"/>
    </row>
    <row r="1483" spans="1:26">
      <c r="A1483" s="185" t="s">
        <v>2805</v>
      </c>
      <c r="B1483" s="185" t="s">
        <v>2806</v>
      </c>
      <c r="C1483" s="185" t="s">
        <v>1792</v>
      </c>
      <c r="D1483" s="185" t="s">
        <v>2171</v>
      </c>
      <c r="E1483" s="185">
        <v>51401002</v>
      </c>
      <c r="F1483" s="185" t="s">
        <v>1303</v>
      </c>
      <c r="G1483" s="185" t="s">
        <v>2487</v>
      </c>
      <c r="H1483" s="185" t="s">
        <v>1515</v>
      </c>
      <c r="I1483" s="258" t="str">
        <f t="shared" si="70"/>
        <v>5</v>
      </c>
      <c r="J1483" s="221">
        <f t="shared" si="71"/>
        <v>7200</v>
      </c>
      <c r="K1483" s="258">
        <f t="shared" si="72"/>
        <v>6</v>
      </c>
      <c r="L1483" s="188">
        <v>7200</v>
      </c>
      <c r="M1483" s="188">
        <v>0</v>
      </c>
      <c r="N1483" s="189">
        <v>860007322</v>
      </c>
      <c r="O1483" t="s">
        <v>2807</v>
      </c>
      <c r="P1483" s="187">
        <v>45093.456817129598</v>
      </c>
      <c r="Q1483" s="186">
        <v>12040</v>
      </c>
      <c r="R1483" s="185" t="s">
        <v>1841</v>
      </c>
      <c r="S1483" s="185" t="s">
        <v>1566</v>
      </c>
      <c r="T1483"/>
      <c r="U1483" t="str">
        <f>IF($L1483&gt;0,VLOOKUP($E1483,Valida!$A$1:$G$270,6,FALSE),IF($M1483&gt;=0,VLOOKUP($E1483,Valida!$A$1:$G$270,7,FALSE)))</f>
        <v>(+/-) Ganancia (pérdida)</v>
      </c>
      <c r="V1483" s="190" t="str">
        <f>VLOOKUP(E1483,Valida!$A$2:$K$271,4,FALSE)</f>
        <v>P&amp;L</v>
      </c>
      <c r="W1483" s="185" t="s">
        <v>2306</v>
      </c>
      <c r="X1483" s="185"/>
      <c r="Y1483" s="185" t="s">
        <v>1789</v>
      </c>
      <c r="Z1483"/>
    </row>
    <row r="1484" spans="1:26">
      <c r="A1484" s="185" t="s">
        <v>2805</v>
      </c>
      <c r="B1484" s="185" t="s">
        <v>2806</v>
      </c>
      <c r="C1484" s="185" t="s">
        <v>1792</v>
      </c>
      <c r="D1484" s="185" t="s">
        <v>2171</v>
      </c>
      <c r="E1484" s="185">
        <v>23351001</v>
      </c>
      <c r="F1484" s="185" t="s">
        <v>453</v>
      </c>
      <c r="G1484" s="185" t="s">
        <v>2487</v>
      </c>
      <c r="H1484" s="185" t="s">
        <v>1628</v>
      </c>
      <c r="I1484" s="258" t="str">
        <f t="shared" si="70"/>
        <v>2</v>
      </c>
      <c r="J1484" s="221">
        <f t="shared" si="71"/>
        <v>-7200</v>
      </c>
      <c r="K1484" s="258">
        <f t="shared" si="72"/>
        <v>6</v>
      </c>
      <c r="L1484" s="188">
        <v>0</v>
      </c>
      <c r="M1484" s="188">
        <v>7200</v>
      </c>
      <c r="N1484" s="189">
        <v>860007322</v>
      </c>
      <c r="O1484" t="s">
        <v>2807</v>
      </c>
      <c r="P1484" s="187">
        <v>45093.456817129598</v>
      </c>
      <c r="Q1484" s="186">
        <v>12041</v>
      </c>
      <c r="R1484" s="185" t="s">
        <v>1841</v>
      </c>
      <c r="S1484" s="185" t="s">
        <v>1566</v>
      </c>
      <c r="T1484"/>
      <c r="U1484" t="str">
        <f>IF($L1484&gt;0,VLOOKUP($E1484,Valida!$A$1:$G$270,6,FALSE),IF($M1484&gt;=0,VLOOKUP($E1484,Valida!$A$1:$G$270,7,FALSE)))</f>
        <v>(+/-) Ajustes por el incremento (disminución) de cuentas por pagar de origen comercial</v>
      </c>
      <c r="V1484" s="190" t="str">
        <f>VLOOKUP(E1484,Valida!$A$2:$K$271,4,FALSE)</f>
        <v>Trade and other payables</v>
      </c>
      <c r="W1484" s="185" t="s">
        <v>2306</v>
      </c>
      <c r="X1484" s="185"/>
      <c r="Y1484" s="185" t="s">
        <v>1789</v>
      </c>
      <c r="Z1484"/>
    </row>
    <row r="1485" spans="1:26">
      <c r="A1485" s="185" t="s">
        <v>2808</v>
      </c>
      <c r="B1485" s="185" t="s">
        <v>2809</v>
      </c>
      <c r="C1485" s="185" t="s">
        <v>1792</v>
      </c>
      <c r="D1485" s="185" t="s">
        <v>2173</v>
      </c>
      <c r="E1485" s="185">
        <v>51352002</v>
      </c>
      <c r="F1485" s="185" t="s">
        <v>1270</v>
      </c>
      <c r="G1485" s="185" t="s">
        <v>1825</v>
      </c>
      <c r="H1485" s="185" t="s">
        <v>1515</v>
      </c>
      <c r="I1485" s="258" t="str">
        <f t="shared" si="70"/>
        <v>5</v>
      </c>
      <c r="J1485" s="221">
        <f t="shared" si="71"/>
        <v>3567540</v>
      </c>
      <c r="K1485" s="258">
        <f t="shared" si="72"/>
        <v>6</v>
      </c>
      <c r="L1485" s="188">
        <v>3567540</v>
      </c>
      <c r="M1485" s="188">
        <v>0</v>
      </c>
      <c r="N1485" s="189">
        <v>800153993</v>
      </c>
      <c r="O1485" t="s">
        <v>2810</v>
      </c>
      <c r="P1485" s="187">
        <v>45093.458495370403</v>
      </c>
      <c r="Q1485" s="186">
        <v>12042</v>
      </c>
      <c r="R1485" s="185" t="s">
        <v>1814</v>
      </c>
      <c r="S1485" s="185" t="s">
        <v>1556</v>
      </c>
      <c r="T1485"/>
      <c r="U1485" t="str">
        <f>IF($L1485&gt;0,VLOOKUP($E1485,Valida!$A$1:$G$270,6,FALSE),IF($M1485&gt;=0,VLOOKUP($E1485,Valida!$A$1:$G$270,7,FALSE)))</f>
        <v>(+/-) Ganancia (pérdida)</v>
      </c>
      <c r="V1485" s="190" t="str">
        <f>VLOOKUP(E1485,Valida!$A$2:$K$271,4,FALSE)</f>
        <v>P&amp;L</v>
      </c>
      <c r="W1485" s="185" t="s">
        <v>1815</v>
      </c>
      <c r="X1485" s="185"/>
      <c r="Y1485" s="185" t="s">
        <v>1789</v>
      </c>
      <c r="Z1485"/>
    </row>
    <row r="1486" spans="1:26">
      <c r="A1486" s="185" t="s">
        <v>2808</v>
      </c>
      <c r="B1486" s="185" t="s">
        <v>2809</v>
      </c>
      <c r="C1486" s="185" t="s">
        <v>1792</v>
      </c>
      <c r="D1486" s="185" t="s">
        <v>2173</v>
      </c>
      <c r="E1486" s="185">
        <v>24081002</v>
      </c>
      <c r="F1486" s="185" t="s">
        <v>1687</v>
      </c>
      <c r="G1486" s="185" t="s">
        <v>1830</v>
      </c>
      <c r="H1486" s="185" t="s">
        <v>1515</v>
      </c>
      <c r="I1486" s="258" t="str">
        <f t="shared" si="70"/>
        <v>2</v>
      </c>
      <c r="J1486" s="221">
        <f t="shared" si="71"/>
        <v>677832.6</v>
      </c>
      <c r="K1486" s="258">
        <f t="shared" si="72"/>
        <v>6</v>
      </c>
      <c r="L1486" s="188">
        <v>677832.6</v>
      </c>
      <c r="M1486" s="188">
        <v>0</v>
      </c>
      <c r="N1486" s="189">
        <v>800153993</v>
      </c>
      <c r="O1486" t="s">
        <v>2810</v>
      </c>
      <c r="P1486" s="187">
        <v>45093.458495370403</v>
      </c>
      <c r="Q1486" s="186">
        <v>12043</v>
      </c>
      <c r="R1486" s="185" t="s">
        <v>1814</v>
      </c>
      <c r="S1486" s="185" t="s">
        <v>1556</v>
      </c>
      <c r="T1486"/>
      <c r="U1486" t="str">
        <f>IF($L1486&gt;0,VLOOKUP($E1486,Valida!$A$1:$G$270,6,FALSE),IF($M1486&gt;=0,VLOOKUP($E1486,Valida!$A$1:$G$270,7,FALSE)))</f>
        <v>(+/-) Ajustes por el incremento (disminución) de cuentas por pagar de origen comercial</v>
      </c>
      <c r="V1486" s="190" t="str">
        <f>VLOOKUP(E1486,Valida!$A$2:$K$271,4,FALSE)</f>
        <v>Trade and other payables</v>
      </c>
      <c r="W1486" s="185" t="s">
        <v>1815</v>
      </c>
      <c r="X1486" s="185"/>
      <c r="Y1486" s="185" t="s">
        <v>1789</v>
      </c>
      <c r="Z1486"/>
    </row>
    <row r="1487" spans="1:26">
      <c r="A1487" s="185" t="s">
        <v>2808</v>
      </c>
      <c r="B1487" s="185" t="s">
        <v>2809</v>
      </c>
      <c r="C1487" s="185" t="s">
        <v>1792</v>
      </c>
      <c r="D1487" s="185" t="s">
        <v>2173</v>
      </c>
      <c r="E1487" s="185">
        <v>23355006</v>
      </c>
      <c r="F1487" s="185" t="s">
        <v>519</v>
      </c>
      <c r="G1487" s="185" t="s">
        <v>1825</v>
      </c>
      <c r="H1487" s="185" t="s">
        <v>1628</v>
      </c>
      <c r="I1487" s="258" t="str">
        <f t="shared" si="70"/>
        <v>2</v>
      </c>
      <c r="J1487" s="221">
        <f t="shared" si="71"/>
        <v>-4245373</v>
      </c>
      <c r="K1487" s="258">
        <f t="shared" si="72"/>
        <v>6</v>
      </c>
      <c r="L1487" s="188">
        <v>0</v>
      </c>
      <c r="M1487" s="188">
        <v>4245373</v>
      </c>
      <c r="N1487" s="189">
        <v>800153993</v>
      </c>
      <c r="O1487" t="s">
        <v>2810</v>
      </c>
      <c r="P1487" s="187">
        <v>45093.458495370403</v>
      </c>
      <c r="Q1487" s="186">
        <v>12044</v>
      </c>
      <c r="R1487" s="185" t="s">
        <v>1814</v>
      </c>
      <c r="S1487" s="185" t="s">
        <v>1556</v>
      </c>
      <c r="T1487"/>
      <c r="U1487" t="str">
        <f>IF($L1487&gt;0,VLOOKUP($E1487,Valida!$A$1:$G$270,6,FALSE),IF($M1487&gt;=0,VLOOKUP($E1487,Valida!$A$1:$G$270,7,FALSE)))</f>
        <v>(+/-) Ajustes por el incremento (disminución) de cuentas por pagar de origen comercial</v>
      </c>
      <c r="V1487" s="190" t="str">
        <f>VLOOKUP(E1487,Valida!$A$2:$K$271,4,FALSE)</f>
        <v>Trade and other payables</v>
      </c>
      <c r="W1487" s="185" t="s">
        <v>1815</v>
      </c>
      <c r="X1487" s="185"/>
      <c r="Y1487" s="185" t="s">
        <v>1789</v>
      </c>
      <c r="Z1487"/>
    </row>
    <row r="1488" spans="1:26">
      <c r="A1488" s="185" t="s">
        <v>2808</v>
      </c>
      <c r="B1488" s="185" t="s">
        <v>2809</v>
      </c>
      <c r="C1488" s="185" t="s">
        <v>1792</v>
      </c>
      <c r="D1488" s="185" t="s">
        <v>2173</v>
      </c>
      <c r="E1488" s="185">
        <v>53059510</v>
      </c>
      <c r="F1488" s="185" t="s">
        <v>1065</v>
      </c>
      <c r="G1488" s="185" t="s">
        <v>1825</v>
      </c>
      <c r="H1488" s="185" t="s">
        <v>1515</v>
      </c>
      <c r="I1488" s="258" t="str">
        <f t="shared" si="70"/>
        <v>5</v>
      </c>
      <c r="J1488" s="221">
        <f t="shared" si="71"/>
        <v>0.4</v>
      </c>
      <c r="K1488" s="258">
        <f t="shared" si="72"/>
        <v>6</v>
      </c>
      <c r="L1488" s="188">
        <v>0.4</v>
      </c>
      <c r="M1488" s="188">
        <v>0</v>
      </c>
      <c r="N1488" s="189">
        <v>800153993</v>
      </c>
      <c r="O1488" t="s">
        <v>2810</v>
      </c>
      <c r="P1488" s="187">
        <v>45093.458495370403</v>
      </c>
      <c r="Q1488" s="186">
        <v>12045</v>
      </c>
      <c r="R1488" s="185" t="s">
        <v>1814</v>
      </c>
      <c r="S1488" s="185" t="s">
        <v>1556</v>
      </c>
      <c r="T1488"/>
      <c r="U1488" t="str">
        <f>IF($L1488&gt;0,VLOOKUP($E1488,Valida!$A$1:$G$270,6,FALSE),IF($M1488&gt;=0,VLOOKUP($E1488,Valida!$A$1:$G$270,7,FALSE)))</f>
        <v>(+/-) Ganancia (pérdida)</v>
      </c>
      <c r="V1488" s="190" t="str">
        <f>VLOOKUP(E1488,Valida!$A$2:$K$271,4,FALSE)</f>
        <v>P&amp;L</v>
      </c>
      <c r="W1488" s="185" t="s">
        <v>1815</v>
      </c>
      <c r="X1488" s="185"/>
      <c r="Y1488" s="185" t="s">
        <v>1789</v>
      </c>
      <c r="Z1488"/>
    </row>
    <row r="1489" spans="1:26">
      <c r="A1489" s="185" t="s">
        <v>2808</v>
      </c>
      <c r="B1489" s="185" t="s">
        <v>2811</v>
      </c>
      <c r="C1489" s="185" t="s">
        <v>1792</v>
      </c>
      <c r="D1489" s="185" t="s">
        <v>1996</v>
      </c>
      <c r="E1489" s="185">
        <v>51353501</v>
      </c>
      <c r="F1489" s="185" t="s">
        <v>502</v>
      </c>
      <c r="G1489" s="185" t="s">
        <v>2812</v>
      </c>
      <c r="H1489" s="185" t="s">
        <v>1515</v>
      </c>
      <c r="I1489" s="258" t="str">
        <f t="shared" si="70"/>
        <v>5</v>
      </c>
      <c r="J1489" s="221">
        <f t="shared" si="71"/>
        <v>33749.39</v>
      </c>
      <c r="K1489" s="258">
        <f t="shared" si="72"/>
        <v>6</v>
      </c>
      <c r="L1489" s="188">
        <v>33749.39</v>
      </c>
      <c r="M1489" s="188">
        <v>0</v>
      </c>
      <c r="N1489" s="189">
        <v>800153993</v>
      </c>
      <c r="O1489" t="s">
        <v>2813</v>
      </c>
      <c r="P1489" s="187">
        <v>45093.465416666702</v>
      </c>
      <c r="Q1489" s="186">
        <v>12046</v>
      </c>
      <c r="R1489" s="185" t="s">
        <v>1814</v>
      </c>
      <c r="S1489" s="185" t="s">
        <v>1556</v>
      </c>
      <c r="T1489"/>
      <c r="U1489" t="str">
        <f>IF($L1489&gt;0,VLOOKUP($E1489,Valida!$A$1:$G$270,6,FALSE),IF($M1489&gt;=0,VLOOKUP($E1489,Valida!$A$1:$G$270,7,FALSE)))</f>
        <v>(+/-) Ganancia (pérdida)</v>
      </c>
      <c r="V1489" s="190" t="str">
        <f>VLOOKUP(E1489,Valida!$A$2:$K$271,4,FALSE)</f>
        <v>P&amp;L</v>
      </c>
      <c r="W1489" s="185" t="s">
        <v>1815</v>
      </c>
      <c r="X1489" s="185"/>
      <c r="Y1489" s="185" t="s">
        <v>1789</v>
      </c>
      <c r="Z1489"/>
    </row>
    <row r="1490" spans="1:26">
      <c r="A1490" s="185" t="s">
        <v>2808</v>
      </c>
      <c r="B1490" s="185" t="s">
        <v>2811</v>
      </c>
      <c r="C1490" s="185" t="s">
        <v>1792</v>
      </c>
      <c r="D1490" s="185" t="s">
        <v>1996</v>
      </c>
      <c r="E1490" s="185">
        <v>23355001</v>
      </c>
      <c r="F1490" s="185" t="s">
        <v>502</v>
      </c>
      <c r="G1490" s="185" t="s">
        <v>2814</v>
      </c>
      <c r="H1490" s="185" t="s">
        <v>1628</v>
      </c>
      <c r="I1490" s="258" t="str">
        <f t="shared" si="70"/>
        <v>2</v>
      </c>
      <c r="J1490" s="221">
        <f t="shared" si="71"/>
        <v>-48664.34</v>
      </c>
      <c r="K1490" s="258">
        <f t="shared" si="72"/>
        <v>6</v>
      </c>
      <c r="L1490" s="188">
        <v>0</v>
      </c>
      <c r="M1490" s="188">
        <v>48664.34</v>
      </c>
      <c r="N1490" s="189">
        <v>800153993</v>
      </c>
      <c r="O1490" t="s">
        <v>2813</v>
      </c>
      <c r="P1490" s="187">
        <v>45093.465416666702</v>
      </c>
      <c r="Q1490" s="186">
        <v>12047</v>
      </c>
      <c r="R1490" s="185" t="s">
        <v>1814</v>
      </c>
      <c r="S1490" s="185" t="s">
        <v>1556</v>
      </c>
      <c r="T1490"/>
      <c r="U1490" t="str">
        <f>IF($L1490&gt;0,VLOOKUP($E1490,Valida!$A$1:$G$270,6,FALSE),IF($M1490&gt;=0,VLOOKUP($E1490,Valida!$A$1:$G$270,7,FALSE)))</f>
        <v>(+/-) Ajustes por el incremento (disminución) de cuentas por pagar de origen comercial</v>
      </c>
      <c r="V1490" s="190" t="str">
        <f>VLOOKUP(E1490,Valida!$A$2:$K$271,4,FALSE)</f>
        <v>Trade and other payables</v>
      </c>
      <c r="W1490" s="185" t="s">
        <v>1815</v>
      </c>
      <c r="X1490" s="185"/>
      <c r="Y1490" s="185" t="s">
        <v>1789</v>
      </c>
      <c r="Z1490"/>
    </row>
    <row r="1491" spans="1:26">
      <c r="A1491" s="185" t="s">
        <v>2808</v>
      </c>
      <c r="B1491" s="185" t="s">
        <v>2811</v>
      </c>
      <c r="C1491" s="185" t="s">
        <v>1792</v>
      </c>
      <c r="D1491" s="185" t="s">
        <v>1996</v>
      </c>
      <c r="E1491" s="185">
        <v>51353501</v>
      </c>
      <c r="F1491" s="185" t="s">
        <v>502</v>
      </c>
      <c r="G1491" s="185" t="s">
        <v>2815</v>
      </c>
      <c r="H1491" s="185" t="s">
        <v>1515</v>
      </c>
      <c r="I1491" s="258" t="str">
        <f t="shared" si="70"/>
        <v>5</v>
      </c>
      <c r="J1491" s="221">
        <f t="shared" si="71"/>
        <v>6912.52</v>
      </c>
      <c r="K1491" s="258">
        <f t="shared" si="72"/>
        <v>6</v>
      </c>
      <c r="L1491" s="188">
        <v>6912.52</v>
      </c>
      <c r="M1491" s="188">
        <v>0</v>
      </c>
      <c r="N1491" s="189">
        <v>800153993</v>
      </c>
      <c r="O1491" t="s">
        <v>2813</v>
      </c>
      <c r="P1491" s="187">
        <v>45093.465416666702</v>
      </c>
      <c r="Q1491" s="186">
        <v>12048</v>
      </c>
      <c r="R1491" s="185" t="s">
        <v>1814</v>
      </c>
      <c r="S1491" s="185" t="s">
        <v>1556</v>
      </c>
      <c r="T1491"/>
      <c r="U1491" t="str">
        <f>IF($L1491&gt;0,VLOOKUP($E1491,Valida!$A$1:$G$270,6,FALSE),IF($M1491&gt;=0,VLOOKUP($E1491,Valida!$A$1:$G$270,7,FALSE)))</f>
        <v>(+/-) Ganancia (pérdida)</v>
      </c>
      <c r="V1491" s="190" t="str">
        <f>VLOOKUP(E1491,Valida!$A$2:$K$271,4,FALSE)</f>
        <v>P&amp;L</v>
      </c>
      <c r="W1491" s="185" t="s">
        <v>1815</v>
      </c>
      <c r="X1491" s="185"/>
      <c r="Y1491" s="185" t="s">
        <v>1789</v>
      </c>
      <c r="Z1491"/>
    </row>
    <row r="1492" spans="1:26">
      <c r="A1492" s="185" t="s">
        <v>2808</v>
      </c>
      <c r="B1492" s="185" t="s">
        <v>2811</v>
      </c>
      <c r="C1492" s="185" t="s">
        <v>1792</v>
      </c>
      <c r="D1492" s="185" t="s">
        <v>1996</v>
      </c>
      <c r="E1492" s="185">
        <v>24081002</v>
      </c>
      <c r="F1492" s="185" t="s">
        <v>1687</v>
      </c>
      <c r="G1492" s="185" t="s">
        <v>2814</v>
      </c>
      <c r="H1492" s="185" t="s">
        <v>1515</v>
      </c>
      <c r="I1492" s="258" t="str">
        <f t="shared" si="70"/>
        <v>2</v>
      </c>
      <c r="J1492" s="221">
        <f t="shared" si="71"/>
        <v>7725.76</v>
      </c>
      <c r="K1492" s="258">
        <f t="shared" si="72"/>
        <v>6</v>
      </c>
      <c r="L1492" s="188">
        <v>7725.76</v>
      </c>
      <c r="M1492" s="188">
        <v>0</v>
      </c>
      <c r="N1492" s="189">
        <v>800153993</v>
      </c>
      <c r="O1492" t="s">
        <v>2813</v>
      </c>
      <c r="P1492" s="187">
        <v>45093.465416666702</v>
      </c>
      <c r="Q1492" s="186">
        <v>12049</v>
      </c>
      <c r="R1492" s="185" t="s">
        <v>1814</v>
      </c>
      <c r="S1492" s="185" t="s">
        <v>1556</v>
      </c>
      <c r="T1492"/>
      <c r="U1492" t="str">
        <f>IF($L1492&gt;0,VLOOKUP($E1492,Valida!$A$1:$G$270,6,FALSE),IF($M1492&gt;=0,VLOOKUP($E1492,Valida!$A$1:$G$270,7,FALSE)))</f>
        <v>(+/-) Ajustes por el incremento (disminución) de cuentas por pagar de origen comercial</v>
      </c>
      <c r="V1492" s="190" t="str">
        <f>VLOOKUP(E1492,Valida!$A$2:$K$271,4,FALSE)</f>
        <v>Trade and other payables</v>
      </c>
      <c r="W1492" s="185" t="s">
        <v>1815</v>
      </c>
      <c r="X1492" s="185"/>
      <c r="Y1492" s="185" t="s">
        <v>1789</v>
      </c>
      <c r="Z1492"/>
    </row>
    <row r="1493" spans="1:26">
      <c r="A1493" s="185" t="s">
        <v>2808</v>
      </c>
      <c r="B1493" s="185" t="s">
        <v>2811</v>
      </c>
      <c r="C1493" s="185" t="s">
        <v>1792</v>
      </c>
      <c r="D1493" s="185" t="s">
        <v>1996</v>
      </c>
      <c r="E1493" s="185">
        <v>51353501</v>
      </c>
      <c r="F1493" s="185" t="s">
        <v>502</v>
      </c>
      <c r="G1493" s="185" t="s">
        <v>2814</v>
      </c>
      <c r="H1493" s="185" t="s">
        <v>1515</v>
      </c>
      <c r="I1493" s="258" t="str">
        <f t="shared" si="70"/>
        <v>5</v>
      </c>
      <c r="J1493" s="221">
        <f t="shared" si="71"/>
        <v>0.17</v>
      </c>
      <c r="K1493" s="258">
        <f t="shared" si="72"/>
        <v>6</v>
      </c>
      <c r="L1493" s="188">
        <v>0.17</v>
      </c>
      <c r="M1493" s="188">
        <v>0</v>
      </c>
      <c r="N1493" s="189">
        <v>800153993</v>
      </c>
      <c r="O1493" t="s">
        <v>2813</v>
      </c>
      <c r="P1493" s="187">
        <v>45093.465416666702</v>
      </c>
      <c r="Q1493" s="186">
        <v>12050</v>
      </c>
      <c r="R1493" s="185" t="s">
        <v>1814</v>
      </c>
      <c r="S1493" s="185" t="s">
        <v>1556</v>
      </c>
      <c r="T1493"/>
      <c r="U1493" t="str">
        <f>IF($L1493&gt;0,VLOOKUP($E1493,Valida!$A$1:$G$270,6,FALSE),IF($M1493&gt;=0,VLOOKUP($E1493,Valida!$A$1:$G$270,7,FALSE)))</f>
        <v>(+/-) Ganancia (pérdida)</v>
      </c>
      <c r="V1493" s="190" t="str">
        <f>VLOOKUP(E1493,Valida!$A$2:$K$271,4,FALSE)</f>
        <v>P&amp;L</v>
      </c>
      <c r="W1493" s="185" t="s">
        <v>1815</v>
      </c>
      <c r="X1493" s="185"/>
      <c r="Y1493" s="185" t="s">
        <v>1789</v>
      </c>
      <c r="Z1493"/>
    </row>
    <row r="1494" spans="1:26">
      <c r="A1494" s="185" t="s">
        <v>2808</v>
      </c>
      <c r="B1494" s="185" t="s">
        <v>2811</v>
      </c>
      <c r="C1494" s="185" t="s">
        <v>1792</v>
      </c>
      <c r="D1494" s="185" t="s">
        <v>1996</v>
      </c>
      <c r="E1494" s="185">
        <v>51159502</v>
      </c>
      <c r="F1494" s="185" t="s">
        <v>1736</v>
      </c>
      <c r="G1494" s="185" t="s">
        <v>2814</v>
      </c>
      <c r="H1494" s="185" t="s">
        <v>1515</v>
      </c>
      <c r="I1494" s="258" t="str">
        <f t="shared" si="70"/>
        <v>5</v>
      </c>
      <c r="J1494" s="221">
        <f t="shared" si="71"/>
        <v>276.5</v>
      </c>
      <c r="K1494" s="258">
        <f t="shared" si="72"/>
        <v>6</v>
      </c>
      <c r="L1494" s="188">
        <v>276.5</v>
      </c>
      <c r="M1494" s="188">
        <v>0</v>
      </c>
      <c r="N1494" s="189">
        <v>800153993</v>
      </c>
      <c r="O1494" t="s">
        <v>2813</v>
      </c>
      <c r="P1494" s="187">
        <v>45093.465416666702</v>
      </c>
      <c r="Q1494" s="186">
        <v>12051</v>
      </c>
      <c r="R1494" s="185" t="s">
        <v>1814</v>
      </c>
      <c r="S1494" s="185" t="s">
        <v>1556</v>
      </c>
      <c r="T1494"/>
      <c r="U1494" t="str">
        <f>IF($L1494&gt;0,VLOOKUP($E1494,Valida!$A$1:$G$270,6,FALSE),IF($M1494&gt;=0,VLOOKUP($E1494,Valida!$A$1:$G$270,7,FALSE)))</f>
        <v>(+/-) Ganancia (pérdida)</v>
      </c>
      <c r="V1494" s="190" t="str">
        <f>VLOOKUP(E1494,Valida!$A$2:$K$271,4,FALSE)</f>
        <v>P&amp;L</v>
      </c>
      <c r="W1494" s="185" t="s">
        <v>1815</v>
      </c>
      <c r="X1494" s="185"/>
      <c r="Y1494" s="185" t="s">
        <v>1789</v>
      </c>
      <c r="Z1494"/>
    </row>
    <row r="1495" spans="1:26">
      <c r="A1495" s="185" t="s">
        <v>2816</v>
      </c>
      <c r="B1495" s="185" t="s">
        <v>2817</v>
      </c>
      <c r="C1495" s="185" t="s">
        <v>1792</v>
      </c>
      <c r="D1495" s="185" t="s">
        <v>2000</v>
      </c>
      <c r="E1495" s="185">
        <v>51352002</v>
      </c>
      <c r="F1495" s="185" t="s">
        <v>1270</v>
      </c>
      <c r="G1495" s="185" t="s">
        <v>1825</v>
      </c>
      <c r="H1495" s="185" t="s">
        <v>1515</v>
      </c>
      <c r="I1495" s="258" t="str">
        <f t="shared" si="70"/>
        <v>5</v>
      </c>
      <c r="J1495" s="221">
        <f t="shared" si="71"/>
        <v>1224400</v>
      </c>
      <c r="K1495" s="258">
        <f t="shared" si="72"/>
        <v>6</v>
      </c>
      <c r="L1495" s="188">
        <v>1224400</v>
      </c>
      <c r="M1495" s="188">
        <v>0</v>
      </c>
      <c r="N1495" s="189">
        <v>899999115</v>
      </c>
      <c r="O1495" t="s">
        <v>2818</v>
      </c>
      <c r="P1495" s="187">
        <v>45093.466851851903</v>
      </c>
      <c r="Q1495" s="186">
        <v>12052</v>
      </c>
      <c r="R1495" s="185" t="s">
        <v>1827</v>
      </c>
      <c r="S1495" s="185" t="s">
        <v>1586</v>
      </c>
      <c r="T1495"/>
      <c r="U1495" t="str">
        <f>IF($L1495&gt;0,VLOOKUP($E1495,Valida!$A$1:$G$270,6,FALSE),IF($M1495&gt;=0,VLOOKUP($E1495,Valida!$A$1:$G$270,7,FALSE)))</f>
        <v>(+/-) Ganancia (pérdida)</v>
      </c>
      <c r="V1495" s="190" t="str">
        <f>VLOOKUP(E1495,Valida!$A$2:$K$271,4,FALSE)</f>
        <v>P&amp;L</v>
      </c>
      <c r="W1495" s="185" t="s">
        <v>1828</v>
      </c>
      <c r="X1495" s="185" t="s">
        <v>1829</v>
      </c>
      <c r="Y1495" s="185" t="s">
        <v>1789</v>
      </c>
      <c r="Z1495"/>
    </row>
    <row r="1496" spans="1:26">
      <c r="A1496" s="185" t="s">
        <v>2816</v>
      </c>
      <c r="B1496" s="185" t="s">
        <v>2817</v>
      </c>
      <c r="C1496" s="185" t="s">
        <v>1792</v>
      </c>
      <c r="D1496" s="185" t="s">
        <v>2000</v>
      </c>
      <c r="E1496" s="185">
        <v>24081002</v>
      </c>
      <c r="F1496" s="185" t="s">
        <v>1687</v>
      </c>
      <c r="G1496" s="185" t="s">
        <v>1830</v>
      </c>
      <c r="H1496" s="185" t="s">
        <v>1515</v>
      </c>
      <c r="I1496" s="258" t="str">
        <f t="shared" si="70"/>
        <v>2</v>
      </c>
      <c r="J1496" s="221">
        <f t="shared" si="71"/>
        <v>232636</v>
      </c>
      <c r="K1496" s="258">
        <f t="shared" si="72"/>
        <v>6</v>
      </c>
      <c r="L1496" s="188">
        <v>232636</v>
      </c>
      <c r="M1496" s="188">
        <v>0</v>
      </c>
      <c r="N1496" s="189">
        <v>899999115</v>
      </c>
      <c r="O1496" t="s">
        <v>2818</v>
      </c>
      <c r="P1496" s="187">
        <v>45093.466851851903</v>
      </c>
      <c r="Q1496" s="186">
        <v>12053</v>
      </c>
      <c r="R1496" s="185" t="s">
        <v>1827</v>
      </c>
      <c r="S1496" s="185" t="s">
        <v>1586</v>
      </c>
      <c r="T1496"/>
      <c r="U1496" t="str">
        <f>IF($L1496&gt;0,VLOOKUP($E1496,Valida!$A$1:$G$270,6,FALSE),IF($M1496&gt;=0,VLOOKUP($E1496,Valida!$A$1:$G$270,7,FALSE)))</f>
        <v>(+/-) Ajustes por el incremento (disminución) de cuentas por pagar de origen comercial</v>
      </c>
      <c r="V1496" s="190" t="str">
        <f>VLOOKUP(E1496,Valida!$A$2:$K$271,4,FALSE)</f>
        <v>Trade and other payables</v>
      </c>
      <c r="W1496" s="185" t="s">
        <v>1828</v>
      </c>
      <c r="X1496" s="185" t="s">
        <v>1829</v>
      </c>
      <c r="Y1496" s="185" t="s">
        <v>1789</v>
      </c>
      <c r="Z1496"/>
    </row>
    <row r="1497" spans="1:26">
      <c r="A1497" s="185" t="s">
        <v>2816</v>
      </c>
      <c r="B1497" s="185" t="s">
        <v>2817</v>
      </c>
      <c r="C1497" s="185" t="s">
        <v>1792</v>
      </c>
      <c r="D1497" s="185" t="s">
        <v>2000</v>
      </c>
      <c r="E1497" s="185">
        <v>23355006</v>
      </c>
      <c r="F1497" s="185" t="s">
        <v>519</v>
      </c>
      <c r="G1497" s="185" t="s">
        <v>1825</v>
      </c>
      <c r="H1497" s="185" t="s">
        <v>1628</v>
      </c>
      <c r="I1497" s="258" t="str">
        <f t="shared" si="70"/>
        <v>2</v>
      </c>
      <c r="J1497" s="221">
        <f t="shared" si="71"/>
        <v>-1457040</v>
      </c>
      <c r="K1497" s="258">
        <f t="shared" si="72"/>
        <v>6</v>
      </c>
      <c r="L1497" s="188">
        <v>0</v>
      </c>
      <c r="M1497" s="188">
        <v>1457040</v>
      </c>
      <c r="N1497" s="189">
        <v>899999115</v>
      </c>
      <c r="O1497" t="s">
        <v>2818</v>
      </c>
      <c r="P1497" s="187">
        <v>45093.466851851903</v>
      </c>
      <c r="Q1497" s="186">
        <v>12054</v>
      </c>
      <c r="R1497" s="185" t="s">
        <v>1827</v>
      </c>
      <c r="S1497" s="185" t="s">
        <v>1586</v>
      </c>
      <c r="T1497"/>
      <c r="U1497" t="str">
        <f>IF($L1497&gt;0,VLOOKUP($E1497,Valida!$A$1:$G$270,6,FALSE),IF($M1497&gt;=0,VLOOKUP($E1497,Valida!$A$1:$G$270,7,FALSE)))</f>
        <v>(+/-) Ajustes por el incremento (disminución) de cuentas por pagar de origen comercial</v>
      </c>
      <c r="V1497" s="190" t="str">
        <f>VLOOKUP(E1497,Valida!$A$2:$K$271,4,FALSE)</f>
        <v>Trade and other payables</v>
      </c>
      <c r="W1497" s="185" t="s">
        <v>1828</v>
      </c>
      <c r="X1497" s="185" t="s">
        <v>1829</v>
      </c>
      <c r="Y1497" s="185" t="s">
        <v>1789</v>
      </c>
      <c r="Z1497"/>
    </row>
    <row r="1498" spans="1:26">
      <c r="A1498" s="185" t="s">
        <v>2816</v>
      </c>
      <c r="B1498" s="185" t="s">
        <v>2817</v>
      </c>
      <c r="C1498" s="185" t="s">
        <v>1792</v>
      </c>
      <c r="D1498" s="185" t="s">
        <v>2000</v>
      </c>
      <c r="E1498" s="185">
        <v>53059510</v>
      </c>
      <c r="F1498" s="185" t="s">
        <v>1065</v>
      </c>
      <c r="G1498" s="185" t="s">
        <v>1825</v>
      </c>
      <c r="H1498" s="185" t="s">
        <v>1515</v>
      </c>
      <c r="I1498" s="258" t="str">
        <f t="shared" si="70"/>
        <v>5</v>
      </c>
      <c r="J1498" s="221">
        <f t="shared" si="71"/>
        <v>4</v>
      </c>
      <c r="K1498" s="258">
        <f t="shared" si="72"/>
        <v>6</v>
      </c>
      <c r="L1498" s="188">
        <v>4</v>
      </c>
      <c r="M1498" s="188">
        <v>0</v>
      </c>
      <c r="N1498" s="189">
        <v>899999115</v>
      </c>
      <c r="O1498" t="s">
        <v>2818</v>
      </c>
      <c r="P1498" s="187">
        <v>45093.466851851903</v>
      </c>
      <c r="Q1498" s="186">
        <v>12055</v>
      </c>
      <c r="R1498" s="185" t="s">
        <v>1827</v>
      </c>
      <c r="S1498" s="185" t="s">
        <v>1586</v>
      </c>
      <c r="T1498"/>
      <c r="U1498" t="str">
        <f>IF($L1498&gt;0,VLOOKUP($E1498,Valida!$A$1:$G$270,6,FALSE),IF($M1498&gt;=0,VLOOKUP($E1498,Valida!$A$1:$G$270,7,FALSE)))</f>
        <v>(+/-) Ganancia (pérdida)</v>
      </c>
      <c r="V1498" s="190" t="str">
        <f>VLOOKUP(E1498,Valida!$A$2:$K$271,4,FALSE)</f>
        <v>P&amp;L</v>
      </c>
      <c r="W1498" s="185" t="s">
        <v>1828</v>
      </c>
      <c r="X1498" s="185" t="s">
        <v>1829</v>
      </c>
      <c r="Y1498" s="185" t="s">
        <v>1789</v>
      </c>
      <c r="Z1498"/>
    </row>
    <row r="1499" spans="1:26">
      <c r="A1499" s="185" t="s">
        <v>2783</v>
      </c>
      <c r="B1499" s="185" t="s">
        <v>2819</v>
      </c>
      <c r="C1499" s="185" t="s">
        <v>1890</v>
      </c>
      <c r="D1499" s="185" t="s">
        <v>2820</v>
      </c>
      <c r="E1499" s="185">
        <v>23355002</v>
      </c>
      <c r="F1499" s="185" t="s">
        <v>506</v>
      </c>
      <c r="G1499" s="185" t="s">
        <v>1921</v>
      </c>
      <c r="H1499" s="185" t="s">
        <v>1515</v>
      </c>
      <c r="I1499" s="258" t="str">
        <f t="shared" si="70"/>
        <v>2</v>
      </c>
      <c r="J1499" s="221">
        <f t="shared" si="71"/>
        <v>106905.9</v>
      </c>
      <c r="K1499" s="258">
        <f t="shared" si="72"/>
        <v>6</v>
      </c>
      <c r="L1499" s="188">
        <v>106905.9</v>
      </c>
      <c r="M1499" s="188">
        <v>0</v>
      </c>
      <c r="N1499" s="189">
        <v>440493581</v>
      </c>
      <c r="O1499" t="s">
        <v>2819</v>
      </c>
      <c r="P1499" s="187">
        <v>45093.580393518503</v>
      </c>
      <c r="Q1499" s="186">
        <v>12058</v>
      </c>
      <c r="R1499" s="185"/>
      <c r="S1499" s="185" t="s">
        <v>1546</v>
      </c>
      <c r="T1499"/>
      <c r="U1499" t="str">
        <f>IF($L1499&gt;0,VLOOKUP($E1499,Valida!$A$1:$G$270,6,FALSE),IF($M1499&gt;=0,VLOOKUP($E1499,Valida!$A$1:$G$270,7,FALSE)))</f>
        <v>(+/-) Ajustes por el incremento (disminución) de cuentas por pagar de origen comercial</v>
      </c>
      <c r="V1499" s="190" t="str">
        <f>VLOOKUP(E1499,Valida!$A$2:$K$271,4,FALSE)</f>
        <v>Trade and other payables</v>
      </c>
      <c r="W1499" s="185" t="s">
        <v>1808</v>
      </c>
      <c r="X1499" s="185"/>
      <c r="Y1499" s="185"/>
      <c r="Z1499"/>
    </row>
    <row r="1500" spans="1:26">
      <c r="A1500" s="185" t="s">
        <v>2821</v>
      </c>
      <c r="B1500" s="185" t="s">
        <v>2822</v>
      </c>
      <c r="C1500" s="185" t="s">
        <v>2045</v>
      </c>
      <c r="D1500" s="185" t="s">
        <v>2823</v>
      </c>
      <c r="E1500" s="185">
        <v>23355007</v>
      </c>
      <c r="F1500" s="185" t="s">
        <v>1638</v>
      </c>
      <c r="G1500" s="185" t="s">
        <v>2824</v>
      </c>
      <c r="H1500" s="185" t="s">
        <v>1628</v>
      </c>
      <c r="I1500" s="258" t="str">
        <f t="shared" si="70"/>
        <v>2</v>
      </c>
      <c r="J1500" s="221">
        <f t="shared" si="71"/>
        <v>-50444.91</v>
      </c>
      <c r="K1500" s="258">
        <f t="shared" si="72"/>
        <v>6</v>
      </c>
      <c r="L1500" s="188">
        <v>0</v>
      </c>
      <c r="M1500" s="188">
        <v>50444.91</v>
      </c>
      <c r="N1500" s="189">
        <v>444444001</v>
      </c>
      <c r="O1500" t="s">
        <v>2825</v>
      </c>
      <c r="P1500" s="187">
        <v>45093.5786226852</v>
      </c>
      <c r="Q1500" s="186">
        <v>12056</v>
      </c>
      <c r="R1500" s="185"/>
      <c r="S1500" s="185" t="s">
        <v>1548</v>
      </c>
      <c r="T1500"/>
      <c r="U1500" t="str">
        <f>IF($L1500&gt;0,VLOOKUP($E1500,Valida!$A$1:$G$270,6,FALSE),IF($M1500&gt;=0,VLOOKUP($E1500,Valida!$A$1:$G$270,7,FALSE)))</f>
        <v>(+/-) Ajustes por el incremento (disminución) de cuentas por pagar de origen comercial</v>
      </c>
      <c r="V1500" s="190" t="str">
        <f>VLOOKUP(E1500,Valida!$A$2:$K$271,4,FALSE)</f>
        <v>Trade and other payables</v>
      </c>
      <c r="W1500" s="185"/>
      <c r="X1500" s="185"/>
      <c r="Y1500" s="185"/>
      <c r="Z1500"/>
    </row>
    <row r="1501" spans="1:26">
      <c r="A1501" s="185" t="s">
        <v>2821</v>
      </c>
      <c r="B1501" s="185" t="s">
        <v>2822</v>
      </c>
      <c r="C1501" s="185" t="s">
        <v>2045</v>
      </c>
      <c r="D1501" s="185" t="s">
        <v>2823</v>
      </c>
      <c r="E1501" s="185">
        <v>51350504</v>
      </c>
      <c r="F1501" s="185" t="s">
        <v>1638</v>
      </c>
      <c r="G1501" s="185" t="s">
        <v>2826</v>
      </c>
      <c r="H1501" s="185" t="s">
        <v>1515</v>
      </c>
      <c r="I1501" s="258" t="str">
        <f t="shared" si="70"/>
        <v>5</v>
      </c>
      <c r="J1501" s="221">
        <f t="shared" si="71"/>
        <v>50444.91</v>
      </c>
      <c r="K1501" s="258">
        <f t="shared" si="72"/>
        <v>6</v>
      </c>
      <c r="L1501" s="188">
        <v>50444.91</v>
      </c>
      <c r="M1501" s="188">
        <v>0</v>
      </c>
      <c r="N1501" s="189">
        <v>444444001</v>
      </c>
      <c r="O1501" t="s">
        <v>2825</v>
      </c>
      <c r="P1501" s="187">
        <v>45093.5786226852</v>
      </c>
      <c r="Q1501" s="186">
        <v>12057</v>
      </c>
      <c r="R1501" s="185"/>
      <c r="S1501" s="185" t="s">
        <v>1548</v>
      </c>
      <c r="T1501"/>
      <c r="U1501" t="str">
        <f>IF($L1501&gt;0,VLOOKUP($E1501,Valida!$A$1:$G$270,6,FALSE),IF($M1501&gt;=0,VLOOKUP($E1501,Valida!$A$1:$G$270,7,FALSE)))</f>
        <v>(+/-) Ganancia (pérdida)</v>
      </c>
      <c r="V1501" s="190" t="str">
        <f>VLOOKUP(E1501,Valida!$A$2:$K$271,4,FALSE)</f>
        <v>P&amp;L</v>
      </c>
      <c r="W1501" s="185"/>
      <c r="X1501" s="185"/>
      <c r="Y1501" s="185"/>
      <c r="Z1501"/>
    </row>
    <row r="1502" spans="1:26">
      <c r="A1502" s="185" t="s">
        <v>2783</v>
      </c>
      <c r="B1502" s="185" t="s">
        <v>2819</v>
      </c>
      <c r="C1502" s="185" t="s">
        <v>1890</v>
      </c>
      <c r="D1502" s="185" t="s">
        <v>2820</v>
      </c>
      <c r="E1502" s="185">
        <v>112005</v>
      </c>
      <c r="F1502" s="185" t="s">
        <v>24</v>
      </c>
      <c r="G1502" s="185" t="s">
        <v>1921</v>
      </c>
      <c r="H1502" s="185" t="s">
        <v>1628</v>
      </c>
      <c r="I1502" s="258" t="str">
        <f t="shared" si="70"/>
        <v>1</v>
      </c>
      <c r="J1502" s="221">
        <f t="shared" si="71"/>
        <v>-106905.9</v>
      </c>
      <c r="K1502" s="258">
        <f t="shared" si="72"/>
        <v>6</v>
      </c>
      <c r="L1502" s="188">
        <v>0</v>
      </c>
      <c r="M1502" s="188">
        <v>106905.9</v>
      </c>
      <c r="N1502" s="189">
        <v>440493581</v>
      </c>
      <c r="O1502" t="s">
        <v>2819</v>
      </c>
      <c r="P1502" s="187">
        <v>45093.580393518503</v>
      </c>
      <c r="Q1502" s="186">
        <v>12059</v>
      </c>
      <c r="R1502" s="185"/>
      <c r="S1502" s="185" t="s">
        <v>1546</v>
      </c>
      <c r="T1502" t="s">
        <v>1894</v>
      </c>
      <c r="U1502" t="str">
        <f>IF($L1502&gt;0,VLOOKUP($E1502,Valida!$A$1:$G$270,6,FALSE),IF($M1502&gt;=0,VLOOKUP($E1502,Valida!$A$1:$G$270,7,FALSE)))</f>
        <v>Disponible</v>
      </c>
      <c r="V1502" s="190" t="str">
        <f>VLOOKUP(E1502,Valida!$A$2:$K$271,4,FALSE)</f>
        <v>Cash and equivalents</v>
      </c>
      <c r="W1502" s="185" t="s">
        <v>1808</v>
      </c>
      <c r="X1502" s="185"/>
      <c r="Y1502" s="185"/>
      <c r="Z1502"/>
    </row>
    <row r="1503" spans="1:26">
      <c r="A1503" s="185" t="s">
        <v>2794</v>
      </c>
      <c r="B1503" s="185" t="s">
        <v>2827</v>
      </c>
      <c r="C1503" s="185" t="s">
        <v>1890</v>
      </c>
      <c r="D1503" s="185" t="s">
        <v>2828</v>
      </c>
      <c r="E1503" s="185">
        <v>23359505</v>
      </c>
      <c r="F1503" s="185" t="s">
        <v>557</v>
      </c>
      <c r="G1503" s="185" t="s">
        <v>1921</v>
      </c>
      <c r="H1503" s="185" t="s">
        <v>1515</v>
      </c>
      <c r="I1503" s="258" t="str">
        <f t="shared" si="70"/>
        <v>2</v>
      </c>
      <c r="J1503" s="221">
        <f t="shared" si="71"/>
        <v>510629</v>
      </c>
      <c r="K1503" s="258">
        <f t="shared" si="72"/>
        <v>6</v>
      </c>
      <c r="L1503" s="188">
        <v>510629</v>
      </c>
      <c r="M1503" s="188">
        <v>0</v>
      </c>
      <c r="N1503" s="189">
        <v>901051438</v>
      </c>
      <c r="O1503" t="s">
        <v>2827</v>
      </c>
      <c r="P1503" s="187">
        <v>45093.581168981502</v>
      </c>
      <c r="Q1503" s="186">
        <v>12060</v>
      </c>
      <c r="R1503" s="185" t="s">
        <v>1841</v>
      </c>
      <c r="S1503" s="185" t="s">
        <v>1608</v>
      </c>
      <c r="T1503"/>
      <c r="U1503" t="str">
        <f>IF($L1503&gt;0,VLOOKUP($E1503,Valida!$A$1:$G$270,6,FALSE),IF($M1503&gt;=0,VLOOKUP($E1503,Valida!$A$1:$G$270,7,FALSE)))</f>
        <v>(+/-) Ajustes por el incremento (disminución) de cuentas por pagar de origen comercial</v>
      </c>
      <c r="V1503" s="190" t="str">
        <f>VLOOKUP(E1503,Valida!$A$2:$K$271,4,FALSE)</f>
        <v>Trade and other payables</v>
      </c>
      <c r="W1503" s="185" t="s">
        <v>1878</v>
      </c>
      <c r="X1503" s="185" t="s">
        <v>1879</v>
      </c>
      <c r="Y1503" s="185" t="s">
        <v>1789</v>
      </c>
      <c r="Z1503"/>
    </row>
    <row r="1504" spans="1:26">
      <c r="A1504" s="185" t="s">
        <v>2794</v>
      </c>
      <c r="B1504" s="185" t="s">
        <v>2827</v>
      </c>
      <c r="C1504" s="185" t="s">
        <v>1890</v>
      </c>
      <c r="D1504" s="185" t="s">
        <v>2828</v>
      </c>
      <c r="E1504" s="185">
        <v>112005</v>
      </c>
      <c r="F1504" s="185" t="s">
        <v>24</v>
      </c>
      <c r="G1504" s="185" t="s">
        <v>1921</v>
      </c>
      <c r="H1504" s="185" t="s">
        <v>1628</v>
      </c>
      <c r="I1504" s="258" t="str">
        <f t="shared" si="70"/>
        <v>1</v>
      </c>
      <c r="J1504" s="221">
        <f t="shared" si="71"/>
        <v>-510629</v>
      </c>
      <c r="K1504" s="258">
        <f t="shared" si="72"/>
        <v>6</v>
      </c>
      <c r="L1504" s="188">
        <v>0</v>
      </c>
      <c r="M1504" s="188">
        <v>510629</v>
      </c>
      <c r="N1504" s="189">
        <v>901051438</v>
      </c>
      <c r="O1504" t="s">
        <v>2827</v>
      </c>
      <c r="P1504" s="187">
        <v>45093.5811805556</v>
      </c>
      <c r="Q1504" s="186">
        <v>12061</v>
      </c>
      <c r="R1504" s="185" t="s">
        <v>1841</v>
      </c>
      <c r="S1504" s="185" t="s">
        <v>1608</v>
      </c>
      <c r="T1504" t="s">
        <v>1894</v>
      </c>
      <c r="U1504" t="str">
        <f>IF($L1504&gt;0,VLOOKUP($E1504,Valida!$A$1:$G$270,6,FALSE),IF($M1504&gt;=0,VLOOKUP($E1504,Valida!$A$1:$G$270,7,FALSE)))</f>
        <v>Disponible</v>
      </c>
      <c r="V1504" s="190" t="str">
        <f>VLOOKUP(E1504,Valida!$A$2:$K$271,4,FALSE)</f>
        <v>Cash and equivalents</v>
      </c>
      <c r="W1504" s="185" t="s">
        <v>1878</v>
      </c>
      <c r="X1504" s="185" t="s">
        <v>1879</v>
      </c>
      <c r="Y1504" s="185" t="s">
        <v>1789</v>
      </c>
      <c r="Z1504"/>
    </row>
    <row r="1505" spans="1:26">
      <c r="A1505" s="185" t="s">
        <v>2794</v>
      </c>
      <c r="B1505" s="185" t="s">
        <v>2829</v>
      </c>
      <c r="C1505" s="185" t="s">
        <v>1890</v>
      </c>
      <c r="D1505" s="185" t="s">
        <v>2830</v>
      </c>
      <c r="E1505" s="185">
        <v>237095</v>
      </c>
      <c r="F1505" s="185" t="s">
        <v>150</v>
      </c>
      <c r="G1505" s="185" t="s">
        <v>2831</v>
      </c>
      <c r="H1505" s="185" t="s">
        <v>1515</v>
      </c>
      <c r="I1505" s="258" t="str">
        <f t="shared" si="70"/>
        <v>2</v>
      </c>
      <c r="J1505" s="221">
        <f t="shared" si="71"/>
        <v>2074100</v>
      </c>
      <c r="K1505" s="258">
        <f t="shared" si="72"/>
        <v>6</v>
      </c>
      <c r="L1505" s="188">
        <v>2074100</v>
      </c>
      <c r="M1505" s="188">
        <v>0</v>
      </c>
      <c r="N1505" s="189">
        <v>860066942</v>
      </c>
      <c r="O1505" t="s">
        <v>2829</v>
      </c>
      <c r="P1505" s="187">
        <v>45093.582013888903</v>
      </c>
      <c r="Q1505" s="186">
        <v>12062</v>
      </c>
      <c r="R1505" s="185" t="s">
        <v>1814</v>
      </c>
      <c r="S1505" s="185" t="s">
        <v>1574</v>
      </c>
      <c r="T1505"/>
      <c r="U1505" t="str">
        <f>IF($L1505&gt;0,VLOOKUP($E1505,Valida!$A$1:$G$270,6,FALSE),IF($M1505&gt;=0,VLOOKUP($E1505,Valida!$A$1:$G$270,7,FALSE)))</f>
        <v>(+/-) Ajustes por el incremento (disminución) de cuentas por pagar de origen comercial</v>
      </c>
      <c r="V1505" s="190" t="str">
        <f>VLOOKUP(E1505,Valida!$A$2:$K$271,4,FALSE)</f>
        <v>Trade and other payables</v>
      </c>
      <c r="W1505" s="185" t="s">
        <v>1914</v>
      </c>
      <c r="X1505" s="185" t="s">
        <v>1915</v>
      </c>
      <c r="Y1505" s="185" t="s">
        <v>1789</v>
      </c>
      <c r="Z1505"/>
    </row>
    <row r="1506" spans="1:26">
      <c r="A1506" s="185" t="s">
        <v>2794</v>
      </c>
      <c r="B1506" s="185" t="s">
        <v>2829</v>
      </c>
      <c r="C1506" s="185" t="s">
        <v>1890</v>
      </c>
      <c r="D1506" s="185" t="s">
        <v>2830</v>
      </c>
      <c r="E1506" s="185">
        <v>112005</v>
      </c>
      <c r="F1506" s="185" t="s">
        <v>24</v>
      </c>
      <c r="G1506" s="185" t="s">
        <v>2831</v>
      </c>
      <c r="H1506" s="185" t="s">
        <v>1628</v>
      </c>
      <c r="I1506" s="258" t="str">
        <f t="shared" si="70"/>
        <v>1</v>
      </c>
      <c r="J1506" s="221">
        <f t="shared" si="71"/>
        <v>-2074100</v>
      </c>
      <c r="K1506" s="258">
        <f t="shared" si="72"/>
        <v>6</v>
      </c>
      <c r="L1506" s="188">
        <v>0</v>
      </c>
      <c r="M1506" s="188">
        <v>2074100</v>
      </c>
      <c r="N1506" s="189">
        <v>860066942</v>
      </c>
      <c r="O1506" t="s">
        <v>2829</v>
      </c>
      <c r="P1506" s="187">
        <v>45093.582025463002</v>
      </c>
      <c r="Q1506" s="186">
        <v>12063</v>
      </c>
      <c r="R1506" s="185" t="s">
        <v>1814</v>
      </c>
      <c r="S1506" s="185" t="s">
        <v>1574</v>
      </c>
      <c r="T1506" t="s">
        <v>1894</v>
      </c>
      <c r="U1506" t="str">
        <f>IF($L1506&gt;0,VLOOKUP($E1506,Valida!$A$1:$G$270,6,FALSE),IF($M1506&gt;=0,VLOOKUP($E1506,Valida!$A$1:$G$270,7,FALSE)))</f>
        <v>Disponible</v>
      </c>
      <c r="V1506" s="190" t="str">
        <f>VLOOKUP(E1506,Valida!$A$2:$K$271,4,FALSE)</f>
        <v>Cash and equivalents</v>
      </c>
      <c r="W1506" s="185" t="s">
        <v>1914</v>
      </c>
      <c r="X1506" s="185" t="s">
        <v>1915</v>
      </c>
      <c r="Y1506" s="185" t="s">
        <v>1789</v>
      </c>
      <c r="Z1506"/>
    </row>
    <row r="1507" spans="1:26">
      <c r="A1507" s="185" t="s">
        <v>2805</v>
      </c>
      <c r="B1507" s="185" t="s">
        <v>2832</v>
      </c>
      <c r="C1507" s="185" t="s">
        <v>1890</v>
      </c>
      <c r="D1507" s="185" t="s">
        <v>2833</v>
      </c>
      <c r="E1507" s="185">
        <v>23351001</v>
      </c>
      <c r="F1507" s="185" t="s">
        <v>453</v>
      </c>
      <c r="G1507" s="185" t="s">
        <v>1921</v>
      </c>
      <c r="H1507" s="185" t="s">
        <v>1515</v>
      </c>
      <c r="I1507" s="258" t="str">
        <f t="shared" si="70"/>
        <v>2</v>
      </c>
      <c r="J1507" s="221">
        <f t="shared" si="71"/>
        <v>7200</v>
      </c>
      <c r="K1507" s="258">
        <f t="shared" si="72"/>
        <v>6</v>
      </c>
      <c r="L1507" s="188">
        <v>7200</v>
      </c>
      <c r="M1507" s="188">
        <v>0</v>
      </c>
      <c r="N1507" s="189">
        <v>860007322</v>
      </c>
      <c r="O1507" t="s">
        <v>2832</v>
      </c>
      <c r="P1507" s="187">
        <v>45093.583009259302</v>
      </c>
      <c r="Q1507" s="186">
        <v>12064</v>
      </c>
      <c r="R1507" s="185" t="s">
        <v>1841</v>
      </c>
      <c r="S1507" s="185" t="s">
        <v>1566</v>
      </c>
      <c r="T1507"/>
      <c r="U1507" t="str">
        <f>IF($L1507&gt;0,VLOOKUP($E1507,Valida!$A$1:$G$270,6,FALSE),IF($M1507&gt;=0,VLOOKUP($E1507,Valida!$A$1:$G$270,7,FALSE)))</f>
        <v>(+/-) Ajustes por el incremento (disminución) de cuentas por pagar de origen comercial</v>
      </c>
      <c r="V1507" s="190" t="str">
        <f>VLOOKUP(E1507,Valida!$A$2:$K$271,4,FALSE)</f>
        <v>Trade and other payables</v>
      </c>
      <c r="W1507" s="185" t="s">
        <v>2306</v>
      </c>
      <c r="X1507" s="185"/>
      <c r="Y1507" s="185" t="s">
        <v>1789</v>
      </c>
      <c r="Z1507"/>
    </row>
    <row r="1508" spans="1:26">
      <c r="A1508" s="185" t="s">
        <v>2805</v>
      </c>
      <c r="B1508" s="185" t="s">
        <v>2832</v>
      </c>
      <c r="C1508" s="185" t="s">
        <v>1890</v>
      </c>
      <c r="D1508" s="185" t="s">
        <v>2833</v>
      </c>
      <c r="E1508" s="185">
        <v>112005</v>
      </c>
      <c r="F1508" s="185" t="s">
        <v>24</v>
      </c>
      <c r="G1508" s="185" t="s">
        <v>1921</v>
      </c>
      <c r="H1508" s="185" t="s">
        <v>1628</v>
      </c>
      <c r="I1508" s="258" t="str">
        <f t="shared" si="70"/>
        <v>1</v>
      </c>
      <c r="J1508" s="221">
        <f t="shared" si="71"/>
        <v>-7200</v>
      </c>
      <c r="K1508" s="258">
        <f t="shared" si="72"/>
        <v>6</v>
      </c>
      <c r="L1508" s="188">
        <v>0</v>
      </c>
      <c r="M1508" s="188">
        <v>7200</v>
      </c>
      <c r="N1508" s="189">
        <v>860007322</v>
      </c>
      <c r="O1508" t="s">
        <v>2832</v>
      </c>
      <c r="P1508" s="187">
        <v>45093.583009259302</v>
      </c>
      <c r="Q1508" s="186">
        <v>12065</v>
      </c>
      <c r="R1508" s="185" t="s">
        <v>1841</v>
      </c>
      <c r="S1508" s="185" t="s">
        <v>1566</v>
      </c>
      <c r="T1508" t="s">
        <v>1894</v>
      </c>
      <c r="U1508" t="str">
        <f>IF($L1508&gt;0,VLOOKUP($E1508,Valida!$A$1:$G$270,6,FALSE),IF($M1508&gt;=0,VLOOKUP($E1508,Valida!$A$1:$G$270,7,FALSE)))</f>
        <v>Disponible</v>
      </c>
      <c r="V1508" s="190" t="str">
        <f>VLOOKUP(E1508,Valida!$A$2:$K$271,4,FALSE)</f>
        <v>Cash and equivalents</v>
      </c>
      <c r="W1508" s="185" t="s">
        <v>2306</v>
      </c>
      <c r="X1508" s="185"/>
      <c r="Y1508" s="185" t="s">
        <v>1789</v>
      </c>
      <c r="Z1508"/>
    </row>
    <row r="1509" spans="1:26">
      <c r="A1509" s="185" t="s">
        <v>2834</v>
      </c>
      <c r="B1509" s="185" t="s">
        <v>2835</v>
      </c>
      <c r="C1509" s="185" t="s">
        <v>1890</v>
      </c>
      <c r="D1509" s="185" t="s">
        <v>2836</v>
      </c>
      <c r="E1509" s="185">
        <v>23359502</v>
      </c>
      <c r="F1509" s="185" t="s">
        <v>547</v>
      </c>
      <c r="G1509" s="185" t="s">
        <v>2837</v>
      </c>
      <c r="H1509" s="185" t="s">
        <v>1515</v>
      </c>
      <c r="I1509" s="258" t="str">
        <f t="shared" si="70"/>
        <v>2</v>
      </c>
      <c r="J1509" s="221">
        <f t="shared" si="71"/>
        <v>5274090</v>
      </c>
      <c r="K1509" s="258">
        <f t="shared" si="72"/>
        <v>6</v>
      </c>
      <c r="L1509" s="188">
        <v>5274090</v>
      </c>
      <c r="M1509" s="188">
        <v>0</v>
      </c>
      <c r="N1509" s="189">
        <v>830062853</v>
      </c>
      <c r="O1509" t="s">
        <v>2835</v>
      </c>
      <c r="P1509" s="187">
        <v>45093.586921296301</v>
      </c>
      <c r="Q1509" s="186">
        <v>12066</v>
      </c>
      <c r="R1509" s="185" t="s">
        <v>433</v>
      </c>
      <c r="S1509" s="185" t="s">
        <v>1564</v>
      </c>
      <c r="T1509"/>
      <c r="U1509" t="str">
        <f>IF($L1509&gt;0,VLOOKUP($E1509,Valida!$A$1:$G$270,6,FALSE),IF($M1509&gt;=0,VLOOKUP($E1509,Valida!$A$1:$G$270,7,FALSE)))</f>
        <v>(+/-) Ajustes por el incremento (disminución) de cuentas por pagar de origen comercial</v>
      </c>
      <c r="V1509" s="190" t="str">
        <f>VLOOKUP(E1509,Valida!$A$2:$K$271,4,FALSE)</f>
        <v>Trade and other payables</v>
      </c>
      <c r="W1509" s="185" t="s">
        <v>2024</v>
      </c>
      <c r="X1509" s="185" t="s">
        <v>2025</v>
      </c>
      <c r="Y1509" s="185" t="s">
        <v>1789</v>
      </c>
      <c r="Z1509"/>
    </row>
    <row r="1510" spans="1:26">
      <c r="A1510" s="185" t="s">
        <v>2834</v>
      </c>
      <c r="B1510" s="185" t="s">
        <v>2835</v>
      </c>
      <c r="C1510" s="185" t="s">
        <v>1890</v>
      </c>
      <c r="D1510" s="185" t="s">
        <v>2836</v>
      </c>
      <c r="E1510" s="185">
        <v>112005</v>
      </c>
      <c r="F1510" s="185" t="s">
        <v>24</v>
      </c>
      <c r="G1510" s="185" t="s">
        <v>2837</v>
      </c>
      <c r="H1510" s="185" t="s">
        <v>1628</v>
      </c>
      <c r="I1510" s="258" t="str">
        <f t="shared" si="70"/>
        <v>1</v>
      </c>
      <c r="J1510" s="221">
        <f t="shared" si="71"/>
        <v>-5274090</v>
      </c>
      <c r="K1510" s="258">
        <f t="shared" si="72"/>
        <v>6</v>
      </c>
      <c r="L1510" s="188">
        <v>0</v>
      </c>
      <c r="M1510" s="188">
        <v>5274090</v>
      </c>
      <c r="N1510" s="189">
        <v>830062853</v>
      </c>
      <c r="O1510" t="s">
        <v>2835</v>
      </c>
      <c r="P1510" s="187">
        <v>45093.586921296301</v>
      </c>
      <c r="Q1510" s="186">
        <v>12067</v>
      </c>
      <c r="R1510" s="185" t="s">
        <v>433</v>
      </c>
      <c r="S1510" s="185" t="s">
        <v>1564</v>
      </c>
      <c r="T1510" t="s">
        <v>1894</v>
      </c>
      <c r="U1510" t="str">
        <f>IF($L1510&gt;0,VLOOKUP($E1510,Valida!$A$1:$G$270,6,FALSE),IF($M1510&gt;=0,VLOOKUP($E1510,Valida!$A$1:$G$270,7,FALSE)))</f>
        <v>Disponible</v>
      </c>
      <c r="V1510" s="190" t="str">
        <f>VLOOKUP(E1510,Valida!$A$2:$K$271,4,FALSE)</f>
        <v>Cash and equivalents</v>
      </c>
      <c r="W1510" s="185" t="s">
        <v>2024</v>
      </c>
      <c r="X1510" s="185" t="s">
        <v>2025</v>
      </c>
      <c r="Y1510" s="185" t="s">
        <v>1789</v>
      </c>
      <c r="Z1510"/>
    </row>
    <row r="1511" spans="1:26">
      <c r="A1511" s="185" t="s">
        <v>2816</v>
      </c>
      <c r="B1511" s="185" t="s">
        <v>2838</v>
      </c>
      <c r="C1511" s="185" t="s">
        <v>1890</v>
      </c>
      <c r="D1511" s="185" t="s">
        <v>2839</v>
      </c>
      <c r="E1511" s="185">
        <v>23355007</v>
      </c>
      <c r="F1511" s="185" t="s">
        <v>1638</v>
      </c>
      <c r="G1511" s="185" t="s">
        <v>1921</v>
      </c>
      <c r="H1511" s="185" t="s">
        <v>1515</v>
      </c>
      <c r="I1511" s="258" t="str">
        <f t="shared" si="70"/>
        <v>2</v>
      </c>
      <c r="J1511" s="221">
        <f t="shared" si="71"/>
        <v>50444.91</v>
      </c>
      <c r="K1511" s="258">
        <f t="shared" si="72"/>
        <v>6</v>
      </c>
      <c r="L1511" s="188">
        <v>50444.91</v>
      </c>
      <c r="M1511" s="188">
        <v>0</v>
      </c>
      <c r="N1511" s="189">
        <v>444444001</v>
      </c>
      <c r="O1511" t="s">
        <v>2838</v>
      </c>
      <c r="P1511" s="187">
        <v>45093.588125000002</v>
      </c>
      <c r="Q1511" s="186">
        <v>12068</v>
      </c>
      <c r="R1511" s="185"/>
      <c r="S1511" s="185" t="s">
        <v>1548</v>
      </c>
      <c r="T1511"/>
      <c r="U1511" t="str">
        <f>IF($L1511&gt;0,VLOOKUP($E1511,Valida!$A$1:$G$270,6,FALSE),IF($M1511&gt;=0,VLOOKUP($E1511,Valida!$A$1:$G$270,7,FALSE)))</f>
        <v>(+/-) Ajustes por el incremento (disminución) de cuentas por pagar de origen comercial</v>
      </c>
      <c r="V1511" s="190" t="str">
        <f>VLOOKUP(E1511,Valida!$A$2:$K$271,4,FALSE)</f>
        <v>Trade and other payables</v>
      </c>
      <c r="W1511" s="185"/>
      <c r="X1511" s="185"/>
      <c r="Y1511" s="185"/>
      <c r="Z1511"/>
    </row>
    <row r="1512" spans="1:26">
      <c r="A1512" s="185" t="s">
        <v>2816</v>
      </c>
      <c r="B1512" s="185" t="s">
        <v>2838</v>
      </c>
      <c r="C1512" s="185" t="s">
        <v>1890</v>
      </c>
      <c r="D1512" s="185" t="s">
        <v>2839</v>
      </c>
      <c r="E1512" s="185">
        <v>112005</v>
      </c>
      <c r="F1512" s="185" t="s">
        <v>24</v>
      </c>
      <c r="G1512" s="185" t="s">
        <v>1921</v>
      </c>
      <c r="H1512" s="185" t="s">
        <v>1628</v>
      </c>
      <c r="I1512" s="258" t="str">
        <f t="shared" si="70"/>
        <v>1</v>
      </c>
      <c r="J1512" s="221">
        <f t="shared" si="71"/>
        <v>-50444.91</v>
      </c>
      <c r="K1512" s="258">
        <f t="shared" si="72"/>
        <v>6</v>
      </c>
      <c r="L1512" s="188">
        <v>0</v>
      </c>
      <c r="M1512" s="188">
        <v>50444.91</v>
      </c>
      <c r="N1512" s="189">
        <v>444444001</v>
      </c>
      <c r="O1512" t="s">
        <v>2838</v>
      </c>
      <c r="P1512" s="187">
        <v>45093.588125000002</v>
      </c>
      <c r="Q1512" s="186">
        <v>12069</v>
      </c>
      <c r="R1512" s="185"/>
      <c r="S1512" s="185" t="s">
        <v>1548</v>
      </c>
      <c r="T1512" t="s">
        <v>1894</v>
      </c>
      <c r="U1512" t="str">
        <f>IF($L1512&gt;0,VLOOKUP($E1512,Valida!$A$1:$G$270,6,FALSE),IF($M1512&gt;=0,VLOOKUP($E1512,Valida!$A$1:$G$270,7,FALSE)))</f>
        <v>Disponible</v>
      </c>
      <c r="V1512" s="190" t="str">
        <f>VLOOKUP(E1512,Valida!$A$2:$K$271,4,FALSE)</f>
        <v>Cash and equivalents</v>
      </c>
      <c r="W1512" s="185"/>
      <c r="X1512" s="185"/>
      <c r="Y1512" s="185"/>
      <c r="Z1512"/>
    </row>
    <row r="1513" spans="1:26">
      <c r="A1513" s="185" t="s">
        <v>2840</v>
      </c>
      <c r="B1513" s="185" t="s">
        <v>2841</v>
      </c>
      <c r="C1513" s="185" t="s">
        <v>1890</v>
      </c>
      <c r="D1513" s="185" t="s">
        <v>2842</v>
      </c>
      <c r="E1513" s="185">
        <v>23355001</v>
      </c>
      <c r="F1513" s="185" t="s">
        <v>502</v>
      </c>
      <c r="G1513" s="185" t="s">
        <v>1921</v>
      </c>
      <c r="H1513" s="185" t="s">
        <v>1515</v>
      </c>
      <c r="I1513" s="258" t="str">
        <f t="shared" si="70"/>
        <v>2</v>
      </c>
      <c r="J1513" s="221">
        <f t="shared" si="71"/>
        <v>48664.34</v>
      </c>
      <c r="K1513" s="258">
        <f t="shared" si="72"/>
        <v>6</v>
      </c>
      <c r="L1513" s="188">
        <v>48664.34</v>
      </c>
      <c r="M1513" s="188">
        <v>0</v>
      </c>
      <c r="N1513" s="189">
        <v>800153993</v>
      </c>
      <c r="O1513" t="s">
        <v>2841</v>
      </c>
      <c r="P1513" s="187">
        <v>45093.589849536998</v>
      </c>
      <c r="Q1513" s="186">
        <v>12070</v>
      </c>
      <c r="R1513" s="185" t="s">
        <v>1814</v>
      </c>
      <c r="S1513" s="185" t="s">
        <v>1556</v>
      </c>
      <c r="T1513"/>
      <c r="U1513" t="str">
        <f>IF($L1513&gt;0,VLOOKUP($E1513,Valida!$A$1:$G$270,6,FALSE),IF($M1513&gt;=0,VLOOKUP($E1513,Valida!$A$1:$G$270,7,FALSE)))</f>
        <v>(+/-) Ajustes por el incremento (disminución) de cuentas por pagar de origen comercial</v>
      </c>
      <c r="V1513" s="190" t="str">
        <f>VLOOKUP(E1513,Valida!$A$2:$K$271,4,FALSE)</f>
        <v>Trade and other payables</v>
      </c>
      <c r="W1513" s="185" t="s">
        <v>1815</v>
      </c>
      <c r="X1513" s="185"/>
      <c r="Y1513" s="185" t="s">
        <v>1789</v>
      </c>
      <c r="Z1513"/>
    </row>
    <row r="1514" spans="1:26">
      <c r="A1514" s="185" t="s">
        <v>2840</v>
      </c>
      <c r="B1514" s="185" t="s">
        <v>2841</v>
      </c>
      <c r="C1514" s="185" t="s">
        <v>1890</v>
      </c>
      <c r="D1514" s="185" t="s">
        <v>2842</v>
      </c>
      <c r="E1514" s="185">
        <v>112005</v>
      </c>
      <c r="F1514" s="185" t="s">
        <v>24</v>
      </c>
      <c r="G1514" s="185" t="s">
        <v>1921</v>
      </c>
      <c r="H1514" s="185" t="s">
        <v>1628</v>
      </c>
      <c r="I1514" s="258" t="str">
        <f t="shared" si="70"/>
        <v>1</v>
      </c>
      <c r="J1514" s="221">
        <f t="shared" si="71"/>
        <v>-48664</v>
      </c>
      <c r="K1514" s="258">
        <f t="shared" si="72"/>
        <v>6</v>
      </c>
      <c r="L1514" s="188">
        <v>0</v>
      </c>
      <c r="M1514" s="188">
        <v>48664</v>
      </c>
      <c r="N1514" s="189">
        <v>800153993</v>
      </c>
      <c r="O1514" t="s">
        <v>2841</v>
      </c>
      <c r="P1514" s="187">
        <v>45093.589849536998</v>
      </c>
      <c r="Q1514" s="186">
        <v>12071</v>
      </c>
      <c r="R1514" s="185" t="s">
        <v>1814</v>
      </c>
      <c r="S1514" s="185" t="s">
        <v>1556</v>
      </c>
      <c r="T1514" t="s">
        <v>1894</v>
      </c>
      <c r="U1514" t="str">
        <f>IF($L1514&gt;0,VLOOKUP($E1514,Valida!$A$1:$G$270,6,FALSE),IF($M1514&gt;=0,VLOOKUP($E1514,Valida!$A$1:$G$270,7,FALSE)))</f>
        <v>Disponible</v>
      </c>
      <c r="V1514" s="190" t="str">
        <f>VLOOKUP(E1514,Valida!$A$2:$K$271,4,FALSE)</f>
        <v>Cash and equivalents</v>
      </c>
      <c r="W1514" s="185" t="s">
        <v>1815</v>
      </c>
      <c r="X1514" s="185"/>
      <c r="Y1514" s="185" t="s">
        <v>1789</v>
      </c>
      <c r="Z1514"/>
    </row>
    <row r="1515" spans="1:26">
      <c r="A1515" s="185" t="s">
        <v>2840</v>
      </c>
      <c r="B1515" s="185" t="s">
        <v>2841</v>
      </c>
      <c r="C1515" s="185" t="s">
        <v>1890</v>
      </c>
      <c r="D1515" s="185" t="s">
        <v>2842</v>
      </c>
      <c r="E1515" s="185">
        <v>53059510</v>
      </c>
      <c r="F1515" s="185" t="s">
        <v>1065</v>
      </c>
      <c r="G1515" s="185" t="s">
        <v>1921</v>
      </c>
      <c r="H1515" s="185" t="s">
        <v>1628</v>
      </c>
      <c r="I1515" s="258" t="str">
        <f t="shared" si="70"/>
        <v>5</v>
      </c>
      <c r="J1515" s="221">
        <f t="shared" si="71"/>
        <v>-0.34</v>
      </c>
      <c r="K1515" s="258">
        <f t="shared" si="72"/>
        <v>6</v>
      </c>
      <c r="L1515" s="188">
        <v>0</v>
      </c>
      <c r="M1515" s="188">
        <v>0.34</v>
      </c>
      <c r="N1515" s="189">
        <v>800153993</v>
      </c>
      <c r="O1515" t="s">
        <v>2841</v>
      </c>
      <c r="P1515" s="187">
        <v>45093.589849536998</v>
      </c>
      <c r="Q1515" s="186">
        <v>12072</v>
      </c>
      <c r="R1515" s="185" t="s">
        <v>1814</v>
      </c>
      <c r="S1515" s="185" t="s">
        <v>1556</v>
      </c>
      <c r="T1515"/>
      <c r="U1515" t="str">
        <f>IF($L1515&gt;0,VLOOKUP($E1515,Valida!$A$1:$G$270,6,FALSE),IF($M1515&gt;=0,VLOOKUP($E1515,Valida!$A$1:$G$270,7,FALSE)))</f>
        <v>(+/-) Ganancia (pérdida)</v>
      </c>
      <c r="V1515" s="190" t="str">
        <f>VLOOKUP(E1515,Valida!$A$2:$K$271,4,FALSE)</f>
        <v>P&amp;L</v>
      </c>
      <c r="W1515" s="185" t="s">
        <v>1815</v>
      </c>
      <c r="X1515" s="185"/>
      <c r="Y1515" s="185" t="s">
        <v>1789</v>
      </c>
      <c r="Z1515"/>
    </row>
    <row r="1516" spans="1:26">
      <c r="A1516" s="185" t="s">
        <v>2840</v>
      </c>
      <c r="B1516" s="185" t="s">
        <v>2843</v>
      </c>
      <c r="C1516" s="185" t="s">
        <v>1890</v>
      </c>
      <c r="D1516" s="185" t="s">
        <v>2844</v>
      </c>
      <c r="E1516" s="185">
        <v>23355005</v>
      </c>
      <c r="F1516" s="185" t="s">
        <v>516</v>
      </c>
      <c r="G1516" s="185" t="s">
        <v>1921</v>
      </c>
      <c r="H1516" s="185" t="s">
        <v>1515</v>
      </c>
      <c r="I1516" s="258" t="str">
        <f t="shared" si="70"/>
        <v>2</v>
      </c>
      <c r="J1516" s="221">
        <f t="shared" si="71"/>
        <v>5605440</v>
      </c>
      <c r="K1516" s="258">
        <f t="shared" si="72"/>
        <v>6</v>
      </c>
      <c r="L1516" s="188">
        <v>5605440</v>
      </c>
      <c r="M1516" s="188">
        <v>0</v>
      </c>
      <c r="N1516" s="189">
        <v>860063875</v>
      </c>
      <c r="O1516" t="s">
        <v>2843</v>
      </c>
      <c r="P1516" s="187">
        <v>45093.590462963002</v>
      </c>
      <c r="Q1516" s="186">
        <v>12073</v>
      </c>
      <c r="R1516" s="185" t="s">
        <v>1827</v>
      </c>
      <c r="S1516" s="185" t="s">
        <v>1572</v>
      </c>
      <c r="T1516"/>
      <c r="U1516" t="str">
        <f>IF($L1516&gt;0,VLOOKUP($E1516,Valida!$A$1:$G$270,6,FALSE),IF($M1516&gt;=0,VLOOKUP($E1516,Valida!$A$1:$G$270,7,FALSE)))</f>
        <v>(+/-) Ajustes por el incremento (disminución) de cuentas por pagar de origen comercial</v>
      </c>
      <c r="V1516" s="190" t="str">
        <f>VLOOKUP(E1516,Valida!$A$2:$K$271,4,FALSE)</f>
        <v>Trade and other payables</v>
      </c>
      <c r="W1516" s="185" t="s">
        <v>1835</v>
      </c>
      <c r="X1516" s="185"/>
      <c r="Y1516" s="185" t="s">
        <v>1789</v>
      </c>
      <c r="Z1516"/>
    </row>
    <row r="1517" spans="1:26">
      <c r="A1517" s="185" t="s">
        <v>2840</v>
      </c>
      <c r="B1517" s="185" t="s">
        <v>2843</v>
      </c>
      <c r="C1517" s="185" t="s">
        <v>1890</v>
      </c>
      <c r="D1517" s="185" t="s">
        <v>2844</v>
      </c>
      <c r="E1517" s="185">
        <v>112005</v>
      </c>
      <c r="F1517" s="185" t="s">
        <v>24</v>
      </c>
      <c r="G1517" s="185" t="s">
        <v>1921</v>
      </c>
      <c r="H1517" s="185" t="s">
        <v>1628</v>
      </c>
      <c r="I1517" s="258" t="str">
        <f t="shared" si="70"/>
        <v>1</v>
      </c>
      <c r="J1517" s="221">
        <f t="shared" si="71"/>
        <v>-5605440</v>
      </c>
      <c r="K1517" s="258">
        <f t="shared" si="72"/>
        <v>6</v>
      </c>
      <c r="L1517" s="188">
        <v>0</v>
      </c>
      <c r="M1517" s="188">
        <v>5605440</v>
      </c>
      <c r="N1517" s="189">
        <v>860063875</v>
      </c>
      <c r="O1517" t="s">
        <v>2843</v>
      </c>
      <c r="P1517" s="187">
        <v>45093.590462963002</v>
      </c>
      <c r="Q1517" s="186">
        <v>12074</v>
      </c>
      <c r="R1517" s="185" t="s">
        <v>1827</v>
      </c>
      <c r="S1517" s="185" t="s">
        <v>1572</v>
      </c>
      <c r="T1517" t="s">
        <v>1894</v>
      </c>
      <c r="U1517" t="str">
        <f>IF($L1517&gt;0,VLOOKUP($E1517,Valida!$A$1:$G$270,6,FALSE),IF($M1517&gt;=0,VLOOKUP($E1517,Valida!$A$1:$G$270,7,FALSE)))</f>
        <v>Disponible</v>
      </c>
      <c r="V1517" s="190" t="str">
        <f>VLOOKUP(E1517,Valida!$A$2:$K$271,4,FALSE)</f>
        <v>Cash and equivalents</v>
      </c>
      <c r="W1517" s="185" t="s">
        <v>1835</v>
      </c>
      <c r="X1517" s="185"/>
      <c r="Y1517" s="185" t="s">
        <v>1789</v>
      </c>
      <c r="Z1517"/>
    </row>
    <row r="1518" spans="1:26">
      <c r="A1518" s="185" t="s">
        <v>2840</v>
      </c>
      <c r="B1518" s="185" t="s">
        <v>2845</v>
      </c>
      <c r="C1518" s="185" t="s">
        <v>1890</v>
      </c>
      <c r="D1518" s="185" t="s">
        <v>2846</v>
      </c>
      <c r="E1518" s="185">
        <v>23359502</v>
      </c>
      <c r="F1518" s="185" t="s">
        <v>547</v>
      </c>
      <c r="G1518" s="185" t="s">
        <v>1921</v>
      </c>
      <c r="H1518" s="185" t="s">
        <v>1515</v>
      </c>
      <c r="I1518" s="258" t="str">
        <f t="shared" si="70"/>
        <v>2</v>
      </c>
      <c r="J1518" s="221">
        <f t="shared" si="71"/>
        <v>122016</v>
      </c>
      <c r="K1518" s="258">
        <f t="shared" si="72"/>
        <v>6</v>
      </c>
      <c r="L1518" s="188">
        <v>122016</v>
      </c>
      <c r="M1518" s="188">
        <v>0</v>
      </c>
      <c r="N1518" s="189">
        <v>900424409</v>
      </c>
      <c r="O1518" t="s">
        <v>2845</v>
      </c>
      <c r="P1518" s="187">
        <v>45093.590972222199</v>
      </c>
      <c r="Q1518" s="186">
        <v>12075</v>
      </c>
      <c r="R1518" s="185" t="s">
        <v>844</v>
      </c>
      <c r="S1518" s="185" t="s">
        <v>1598</v>
      </c>
      <c r="T1518"/>
      <c r="U1518" t="str">
        <f>IF($L1518&gt;0,VLOOKUP($E1518,Valida!$A$1:$G$270,6,FALSE),IF($M1518&gt;=0,VLOOKUP($E1518,Valida!$A$1:$G$270,7,FALSE)))</f>
        <v>(+/-) Ajustes por el incremento (disminución) de cuentas por pagar de origen comercial</v>
      </c>
      <c r="V1518" s="190" t="str">
        <f>VLOOKUP(E1518,Valida!$A$2:$K$271,4,FALSE)</f>
        <v>Trade and other payables</v>
      </c>
      <c r="W1518" s="185" t="s">
        <v>1864</v>
      </c>
      <c r="X1518" s="185" t="s">
        <v>1865</v>
      </c>
      <c r="Y1518" s="185" t="s">
        <v>1789</v>
      </c>
      <c r="Z1518"/>
    </row>
    <row r="1519" spans="1:26">
      <c r="A1519" s="185" t="s">
        <v>2840</v>
      </c>
      <c r="B1519" s="185" t="s">
        <v>2845</v>
      </c>
      <c r="C1519" s="185" t="s">
        <v>1890</v>
      </c>
      <c r="D1519" s="185" t="s">
        <v>2846</v>
      </c>
      <c r="E1519" s="185">
        <v>112005</v>
      </c>
      <c r="F1519" s="185" t="s">
        <v>24</v>
      </c>
      <c r="G1519" s="185" t="s">
        <v>1921</v>
      </c>
      <c r="H1519" s="185" t="s">
        <v>1628</v>
      </c>
      <c r="I1519" s="258" t="str">
        <f t="shared" si="70"/>
        <v>1</v>
      </c>
      <c r="J1519" s="221">
        <f t="shared" si="71"/>
        <v>-122016</v>
      </c>
      <c r="K1519" s="258">
        <f t="shared" si="72"/>
        <v>6</v>
      </c>
      <c r="L1519" s="188">
        <v>0</v>
      </c>
      <c r="M1519" s="188">
        <v>122016</v>
      </c>
      <c r="N1519" s="189">
        <v>900424409</v>
      </c>
      <c r="O1519" t="s">
        <v>2845</v>
      </c>
      <c r="P1519" s="187">
        <v>45093.590972222199</v>
      </c>
      <c r="Q1519" s="186">
        <v>12076</v>
      </c>
      <c r="R1519" s="185" t="s">
        <v>844</v>
      </c>
      <c r="S1519" s="185" t="s">
        <v>1598</v>
      </c>
      <c r="T1519" t="s">
        <v>1894</v>
      </c>
      <c r="U1519" t="str">
        <f>IF($L1519&gt;0,VLOOKUP($E1519,Valida!$A$1:$G$270,6,FALSE),IF($M1519&gt;=0,VLOOKUP($E1519,Valida!$A$1:$G$270,7,FALSE)))</f>
        <v>Disponible</v>
      </c>
      <c r="V1519" s="190" t="str">
        <f>VLOOKUP(E1519,Valida!$A$2:$K$271,4,FALSE)</f>
        <v>Cash and equivalents</v>
      </c>
      <c r="W1519" s="185" t="s">
        <v>1864</v>
      </c>
      <c r="X1519" s="185" t="s">
        <v>1865</v>
      </c>
      <c r="Y1519" s="185" t="s">
        <v>1789</v>
      </c>
      <c r="Z1519"/>
    </row>
    <row r="1520" spans="1:26">
      <c r="A1520" s="185" t="s">
        <v>2840</v>
      </c>
      <c r="B1520" s="185" t="s">
        <v>2847</v>
      </c>
      <c r="C1520" s="185" t="s">
        <v>1890</v>
      </c>
      <c r="D1520" s="185" t="s">
        <v>2848</v>
      </c>
      <c r="E1520" s="185">
        <v>23359504</v>
      </c>
      <c r="F1520" s="185" t="s">
        <v>553</v>
      </c>
      <c r="G1520" s="185" t="s">
        <v>1921</v>
      </c>
      <c r="H1520" s="185" t="s">
        <v>1515</v>
      </c>
      <c r="I1520" s="258" t="str">
        <f t="shared" si="70"/>
        <v>2</v>
      </c>
      <c r="J1520" s="221">
        <f t="shared" si="71"/>
        <v>330000</v>
      </c>
      <c r="K1520" s="258">
        <f t="shared" si="72"/>
        <v>6</v>
      </c>
      <c r="L1520" s="188">
        <v>330000</v>
      </c>
      <c r="M1520" s="188">
        <v>0</v>
      </c>
      <c r="N1520" s="189">
        <v>800042928</v>
      </c>
      <c r="O1520" t="s">
        <v>2847</v>
      </c>
      <c r="P1520" s="187">
        <v>45093.591539351903</v>
      </c>
      <c r="Q1520" s="186">
        <v>12077</v>
      </c>
      <c r="R1520" s="185" t="s">
        <v>6</v>
      </c>
      <c r="S1520" s="185" t="s">
        <v>1554</v>
      </c>
      <c r="T1520"/>
      <c r="U1520" t="str">
        <f>IF($L1520&gt;0,VLOOKUP($E1520,Valida!$A$1:$G$270,6,FALSE),IF($M1520&gt;=0,VLOOKUP($E1520,Valida!$A$1:$G$270,7,FALSE)))</f>
        <v>(+/-) Ajustes por el incremento (disminución) de cuentas por pagar de origen comercial</v>
      </c>
      <c r="V1520" s="190" t="str">
        <f>VLOOKUP(E1520,Valida!$A$2:$K$271,4,FALSE)</f>
        <v>Trade and other payables</v>
      </c>
      <c r="W1520" s="185" t="s">
        <v>1820</v>
      </c>
      <c r="X1520" s="185" t="s">
        <v>1821</v>
      </c>
      <c r="Y1520" s="185" t="s">
        <v>1789</v>
      </c>
      <c r="Z1520"/>
    </row>
    <row r="1521" spans="1:26">
      <c r="A1521" s="185" t="s">
        <v>2840</v>
      </c>
      <c r="B1521" s="185" t="s">
        <v>2847</v>
      </c>
      <c r="C1521" s="185" t="s">
        <v>1890</v>
      </c>
      <c r="D1521" s="185" t="s">
        <v>2848</v>
      </c>
      <c r="E1521" s="185">
        <v>112005</v>
      </c>
      <c r="F1521" s="185" t="s">
        <v>24</v>
      </c>
      <c r="G1521" s="185" t="s">
        <v>1921</v>
      </c>
      <c r="H1521" s="185" t="s">
        <v>1628</v>
      </c>
      <c r="I1521" s="258" t="str">
        <f t="shared" si="70"/>
        <v>1</v>
      </c>
      <c r="J1521" s="221">
        <f t="shared" si="71"/>
        <v>-330000</v>
      </c>
      <c r="K1521" s="258">
        <f t="shared" si="72"/>
        <v>6</v>
      </c>
      <c r="L1521" s="188">
        <v>0</v>
      </c>
      <c r="M1521" s="188">
        <v>330000</v>
      </c>
      <c r="N1521" s="189">
        <v>800042928</v>
      </c>
      <c r="O1521" t="s">
        <v>2847</v>
      </c>
      <c r="P1521" s="187">
        <v>45093.591539351903</v>
      </c>
      <c r="Q1521" s="186">
        <v>12078</v>
      </c>
      <c r="R1521" s="185" t="s">
        <v>6</v>
      </c>
      <c r="S1521" s="185" t="s">
        <v>1554</v>
      </c>
      <c r="T1521" t="s">
        <v>1894</v>
      </c>
      <c r="U1521" t="str">
        <f>IF($L1521&gt;0,VLOOKUP($E1521,Valida!$A$1:$G$270,6,FALSE),IF($M1521&gt;=0,VLOOKUP($E1521,Valida!$A$1:$G$270,7,FALSE)))</f>
        <v>Disponible</v>
      </c>
      <c r="V1521" s="190" t="str">
        <f>VLOOKUP(E1521,Valida!$A$2:$K$271,4,FALSE)</f>
        <v>Cash and equivalents</v>
      </c>
      <c r="W1521" s="185" t="s">
        <v>1820</v>
      </c>
      <c r="X1521" s="185" t="s">
        <v>1821</v>
      </c>
      <c r="Y1521" s="185" t="s">
        <v>1789</v>
      </c>
      <c r="Z1521"/>
    </row>
    <row r="1522" spans="1:26">
      <c r="A1522" s="185" t="s">
        <v>2840</v>
      </c>
      <c r="B1522" s="185" t="s">
        <v>2849</v>
      </c>
      <c r="C1522" s="185" t="s">
        <v>1890</v>
      </c>
      <c r="D1522" s="185" t="s">
        <v>2850</v>
      </c>
      <c r="E1522" s="185">
        <v>23355006</v>
      </c>
      <c r="F1522" s="185" t="s">
        <v>519</v>
      </c>
      <c r="G1522" s="185" t="s">
        <v>1921</v>
      </c>
      <c r="H1522" s="185" t="s">
        <v>1515</v>
      </c>
      <c r="I1522" s="258" t="str">
        <f t="shared" si="70"/>
        <v>2</v>
      </c>
      <c r="J1522" s="221">
        <f t="shared" si="71"/>
        <v>4245373</v>
      </c>
      <c r="K1522" s="258">
        <f t="shared" si="72"/>
        <v>6</v>
      </c>
      <c r="L1522" s="188">
        <v>4245373</v>
      </c>
      <c r="M1522" s="188">
        <v>0</v>
      </c>
      <c r="N1522" s="189">
        <v>800153993</v>
      </c>
      <c r="O1522" t="s">
        <v>2849</v>
      </c>
      <c r="P1522" s="187">
        <v>45093.592106481497</v>
      </c>
      <c r="Q1522" s="186">
        <v>12079</v>
      </c>
      <c r="R1522" s="185" t="s">
        <v>1814</v>
      </c>
      <c r="S1522" s="185" t="s">
        <v>1556</v>
      </c>
      <c r="T1522"/>
      <c r="U1522" t="str">
        <f>IF($L1522&gt;0,VLOOKUP($E1522,Valida!$A$1:$G$270,6,FALSE),IF($M1522&gt;=0,VLOOKUP($E1522,Valida!$A$1:$G$270,7,FALSE)))</f>
        <v>(+/-) Ajustes por el incremento (disminución) de cuentas por pagar de origen comercial</v>
      </c>
      <c r="V1522" s="190" t="str">
        <f>VLOOKUP(E1522,Valida!$A$2:$K$271,4,FALSE)</f>
        <v>Trade and other payables</v>
      </c>
      <c r="W1522" s="185" t="s">
        <v>1815</v>
      </c>
      <c r="X1522" s="185"/>
      <c r="Y1522" s="185" t="s">
        <v>1789</v>
      </c>
      <c r="Z1522"/>
    </row>
    <row r="1523" spans="1:26">
      <c r="A1523" s="185" t="s">
        <v>2840</v>
      </c>
      <c r="B1523" s="185" t="s">
        <v>2849</v>
      </c>
      <c r="C1523" s="185" t="s">
        <v>1890</v>
      </c>
      <c r="D1523" s="185" t="s">
        <v>2850</v>
      </c>
      <c r="E1523" s="185">
        <v>112005</v>
      </c>
      <c r="F1523" s="185" t="s">
        <v>24</v>
      </c>
      <c r="G1523" s="185" t="s">
        <v>1921</v>
      </c>
      <c r="H1523" s="185" t="s">
        <v>1628</v>
      </c>
      <c r="I1523" s="258" t="str">
        <f t="shared" si="70"/>
        <v>1</v>
      </c>
      <c r="J1523" s="221">
        <f t="shared" si="71"/>
        <v>-4245373</v>
      </c>
      <c r="K1523" s="258">
        <f t="shared" si="72"/>
        <v>6</v>
      </c>
      <c r="L1523" s="188">
        <v>0</v>
      </c>
      <c r="M1523" s="188">
        <v>4245373</v>
      </c>
      <c r="N1523" s="189">
        <v>800153993</v>
      </c>
      <c r="O1523" t="s">
        <v>2849</v>
      </c>
      <c r="P1523" s="187">
        <v>45093.592106481497</v>
      </c>
      <c r="Q1523" s="186">
        <v>12080</v>
      </c>
      <c r="R1523" s="185" t="s">
        <v>1814</v>
      </c>
      <c r="S1523" s="185" t="s">
        <v>1556</v>
      </c>
      <c r="T1523" t="s">
        <v>1894</v>
      </c>
      <c r="U1523" t="str">
        <f>IF($L1523&gt;0,VLOOKUP($E1523,Valida!$A$1:$G$270,6,FALSE),IF($M1523&gt;=0,VLOOKUP($E1523,Valida!$A$1:$G$270,7,FALSE)))</f>
        <v>Disponible</v>
      </c>
      <c r="V1523" s="190" t="str">
        <f>VLOOKUP(E1523,Valida!$A$2:$K$271,4,FALSE)</f>
        <v>Cash and equivalents</v>
      </c>
      <c r="W1523" s="185" t="s">
        <v>1815</v>
      </c>
      <c r="X1523" s="185"/>
      <c r="Y1523" s="185" t="s">
        <v>1789</v>
      </c>
      <c r="Z1523"/>
    </row>
    <row r="1524" spans="1:26">
      <c r="A1524" s="185" t="s">
        <v>2840</v>
      </c>
      <c r="B1524" s="185" t="s">
        <v>2851</v>
      </c>
      <c r="C1524" s="185" t="s">
        <v>1890</v>
      </c>
      <c r="D1524" s="185" t="s">
        <v>2852</v>
      </c>
      <c r="E1524" s="185">
        <v>23355006</v>
      </c>
      <c r="F1524" s="185" t="s">
        <v>519</v>
      </c>
      <c r="G1524" s="185" t="s">
        <v>1921</v>
      </c>
      <c r="H1524" s="185" t="s">
        <v>1515</v>
      </c>
      <c r="I1524" s="258" t="str">
        <f t="shared" si="70"/>
        <v>2</v>
      </c>
      <c r="J1524" s="221">
        <f t="shared" si="71"/>
        <v>1457040</v>
      </c>
      <c r="K1524" s="258">
        <f t="shared" si="72"/>
        <v>6</v>
      </c>
      <c r="L1524" s="188">
        <v>1457040</v>
      </c>
      <c r="M1524" s="188">
        <v>0</v>
      </c>
      <c r="N1524" s="189">
        <v>899999115</v>
      </c>
      <c r="O1524" t="s">
        <v>2851</v>
      </c>
      <c r="P1524" s="187">
        <v>45093.592777777798</v>
      </c>
      <c r="Q1524" s="186">
        <v>12081</v>
      </c>
      <c r="R1524" s="185" t="s">
        <v>1827</v>
      </c>
      <c r="S1524" s="185" t="s">
        <v>1586</v>
      </c>
      <c r="T1524"/>
      <c r="U1524" t="str">
        <f>IF($L1524&gt;0,VLOOKUP($E1524,Valida!$A$1:$G$270,6,FALSE),IF($M1524&gt;=0,VLOOKUP($E1524,Valida!$A$1:$G$270,7,FALSE)))</f>
        <v>(+/-) Ajustes por el incremento (disminución) de cuentas por pagar de origen comercial</v>
      </c>
      <c r="V1524" s="190" t="str">
        <f>VLOOKUP(E1524,Valida!$A$2:$K$271,4,FALSE)</f>
        <v>Trade and other payables</v>
      </c>
      <c r="W1524" s="185" t="s">
        <v>1828</v>
      </c>
      <c r="X1524" s="185" t="s">
        <v>1829</v>
      </c>
      <c r="Y1524" s="185" t="s">
        <v>1789</v>
      </c>
      <c r="Z1524"/>
    </row>
    <row r="1525" spans="1:26">
      <c r="A1525" s="185" t="s">
        <v>2840</v>
      </c>
      <c r="B1525" s="185" t="s">
        <v>2851</v>
      </c>
      <c r="C1525" s="185" t="s">
        <v>1890</v>
      </c>
      <c r="D1525" s="185" t="s">
        <v>2852</v>
      </c>
      <c r="E1525" s="185">
        <v>112005</v>
      </c>
      <c r="F1525" s="185" t="s">
        <v>24</v>
      </c>
      <c r="G1525" s="185" t="s">
        <v>1921</v>
      </c>
      <c r="H1525" s="185" t="s">
        <v>1628</v>
      </c>
      <c r="I1525" s="258" t="str">
        <f t="shared" si="70"/>
        <v>1</v>
      </c>
      <c r="J1525" s="221">
        <f t="shared" si="71"/>
        <v>-1457040</v>
      </c>
      <c r="K1525" s="258">
        <f t="shared" si="72"/>
        <v>6</v>
      </c>
      <c r="L1525" s="188">
        <v>0</v>
      </c>
      <c r="M1525" s="188">
        <v>1457040</v>
      </c>
      <c r="N1525" s="189">
        <v>899999115</v>
      </c>
      <c r="O1525" t="s">
        <v>2851</v>
      </c>
      <c r="P1525" s="187">
        <v>45093.592789351896</v>
      </c>
      <c r="Q1525" s="186">
        <v>12082</v>
      </c>
      <c r="R1525" s="185" t="s">
        <v>1827</v>
      </c>
      <c r="S1525" s="185" t="s">
        <v>1586</v>
      </c>
      <c r="T1525" t="s">
        <v>1894</v>
      </c>
      <c r="U1525" t="str">
        <f>IF($L1525&gt;0,VLOOKUP($E1525,Valida!$A$1:$G$270,6,FALSE),IF($M1525&gt;=0,VLOOKUP($E1525,Valida!$A$1:$G$270,7,FALSE)))</f>
        <v>Disponible</v>
      </c>
      <c r="V1525" s="190" t="str">
        <f>VLOOKUP(E1525,Valida!$A$2:$K$271,4,FALSE)</f>
        <v>Cash and equivalents</v>
      </c>
      <c r="W1525" s="185" t="s">
        <v>1828</v>
      </c>
      <c r="X1525" s="185" t="s">
        <v>1829</v>
      </c>
      <c r="Y1525" s="185" t="s">
        <v>1789</v>
      </c>
      <c r="Z1525"/>
    </row>
    <row r="1526" spans="1:26">
      <c r="A1526" s="185" t="s">
        <v>2840</v>
      </c>
      <c r="B1526" s="185" t="s">
        <v>2853</v>
      </c>
      <c r="C1526" s="185" t="s">
        <v>1949</v>
      </c>
      <c r="D1526" s="185" t="s">
        <v>2616</v>
      </c>
      <c r="E1526" s="185">
        <v>130510</v>
      </c>
      <c r="F1526" s="185" t="s">
        <v>64</v>
      </c>
      <c r="G1526" s="185" t="s">
        <v>1921</v>
      </c>
      <c r="H1526" s="185" t="s">
        <v>1628</v>
      </c>
      <c r="I1526" s="258" t="str">
        <f t="shared" si="70"/>
        <v>1</v>
      </c>
      <c r="J1526" s="221">
        <f t="shared" si="71"/>
        <v>-53703180</v>
      </c>
      <c r="K1526" s="258">
        <f t="shared" si="72"/>
        <v>6</v>
      </c>
      <c r="L1526" s="188">
        <v>0</v>
      </c>
      <c r="M1526" s="188">
        <v>53703180</v>
      </c>
      <c r="N1526" s="189">
        <v>374795</v>
      </c>
      <c r="O1526" t="s">
        <v>2853</v>
      </c>
      <c r="P1526" s="187">
        <v>45097.409849536998</v>
      </c>
      <c r="Q1526" s="186">
        <v>12092</v>
      </c>
      <c r="R1526" s="185"/>
      <c r="S1526" s="185" t="s">
        <v>1544</v>
      </c>
      <c r="T1526"/>
      <c r="U1526" t="str">
        <f>IF($L1526&gt;0,VLOOKUP($E1526,Valida!$A$1:$G$270,6,FALSE),IF($M1526&gt;=0,VLOOKUP($E1526,Valida!$A$1:$G$270,7,FALSE)))</f>
        <v>(+/-) Ajustes por la disminución (incremento) de cuentas por cobrar de origen comercial</v>
      </c>
      <c r="V1526" s="190" t="str">
        <f>VLOOKUP(E1526,Valida!$A$2:$K$271,4,FALSE)</f>
        <v>Trade and other receivables</v>
      </c>
      <c r="W1526" s="185" t="s">
        <v>1803</v>
      </c>
      <c r="X1526" s="185"/>
      <c r="Y1526" s="185"/>
      <c r="Z1526"/>
    </row>
    <row r="1527" spans="1:26">
      <c r="A1527" s="185" t="s">
        <v>2840</v>
      </c>
      <c r="B1527" s="185" t="s">
        <v>2853</v>
      </c>
      <c r="C1527" s="185" t="s">
        <v>1949</v>
      </c>
      <c r="D1527" s="185" t="s">
        <v>2616</v>
      </c>
      <c r="E1527" s="185">
        <v>112005</v>
      </c>
      <c r="F1527" s="185" t="s">
        <v>24</v>
      </c>
      <c r="G1527" s="185" t="s">
        <v>1921</v>
      </c>
      <c r="H1527" s="185" t="s">
        <v>1515</v>
      </c>
      <c r="I1527" s="258" t="str">
        <f t="shared" si="70"/>
        <v>1</v>
      </c>
      <c r="J1527" s="221">
        <f t="shared" si="71"/>
        <v>53713564</v>
      </c>
      <c r="K1527" s="258">
        <f t="shared" si="72"/>
        <v>6</v>
      </c>
      <c r="L1527" s="188">
        <v>53713564</v>
      </c>
      <c r="M1527" s="188">
        <v>0</v>
      </c>
      <c r="N1527" s="189">
        <v>374795</v>
      </c>
      <c r="O1527" t="s">
        <v>2853</v>
      </c>
      <c r="P1527" s="187">
        <v>45097.409849536998</v>
      </c>
      <c r="Q1527" s="186">
        <v>12093</v>
      </c>
      <c r="R1527" s="185"/>
      <c r="S1527" s="185" t="s">
        <v>1544</v>
      </c>
      <c r="T1527" t="s">
        <v>1894</v>
      </c>
      <c r="U1527" t="str">
        <f>IF($L1527&gt;0,VLOOKUP($E1527,Valida!$A$1:$G$270,6,FALSE),IF($M1527&gt;=0,VLOOKUP($E1527,Valida!$A$1:$G$270,7,FALSE)))</f>
        <v>Disponible</v>
      </c>
      <c r="V1527" s="190" t="str">
        <f>VLOOKUP(E1527,Valida!$A$2:$K$271,4,FALSE)</f>
        <v>Cash and equivalents</v>
      </c>
      <c r="W1527" s="185" t="s">
        <v>1803</v>
      </c>
      <c r="X1527" s="185"/>
      <c r="Y1527" s="185"/>
      <c r="Z1527"/>
    </row>
    <row r="1528" spans="1:26">
      <c r="A1528" s="185" t="s">
        <v>2840</v>
      </c>
      <c r="B1528" s="185" t="s">
        <v>2854</v>
      </c>
      <c r="C1528" s="185" t="s">
        <v>1801</v>
      </c>
      <c r="D1528" s="185" t="s">
        <v>423</v>
      </c>
      <c r="E1528" s="185">
        <v>130510</v>
      </c>
      <c r="F1528" s="185" t="s">
        <v>64</v>
      </c>
      <c r="G1528" s="185" t="s">
        <v>2855</v>
      </c>
      <c r="H1528" s="185" t="s">
        <v>1515</v>
      </c>
      <c r="I1528" s="258" t="str">
        <f t="shared" si="70"/>
        <v>1</v>
      </c>
      <c r="J1528" s="221">
        <f t="shared" si="71"/>
        <v>53703180</v>
      </c>
      <c r="K1528" s="258">
        <f t="shared" si="72"/>
        <v>6</v>
      </c>
      <c r="L1528" s="188">
        <v>53703180</v>
      </c>
      <c r="M1528" s="188">
        <v>0</v>
      </c>
      <c r="N1528" s="189">
        <v>374795</v>
      </c>
      <c r="O1528" t="s">
        <v>2854</v>
      </c>
      <c r="P1528" s="187">
        <v>45094.426539351902</v>
      </c>
      <c r="Q1528" s="186">
        <v>12087</v>
      </c>
      <c r="R1528" s="185"/>
      <c r="S1528" s="185" t="s">
        <v>1544</v>
      </c>
      <c r="T1528"/>
      <c r="U1528" t="str">
        <f>IF($L1528&gt;0,VLOOKUP($E1528,Valida!$A$1:$G$270,6,FALSE),IF($M1528&gt;=0,VLOOKUP($E1528,Valida!$A$1:$G$270,7,FALSE)))</f>
        <v>(+/-) Ajustes por la disminución (incremento) de cuentas por cobrar de origen comercial</v>
      </c>
      <c r="V1528" s="190" t="str">
        <f>VLOOKUP(E1528,Valida!$A$2:$K$271,4,FALSE)</f>
        <v>Trade and other receivables</v>
      </c>
      <c r="W1528" s="185" t="s">
        <v>1803</v>
      </c>
      <c r="X1528" s="185"/>
      <c r="Y1528" s="185"/>
      <c r="Z1528"/>
    </row>
    <row r="1529" spans="1:26">
      <c r="A1529" s="185" t="s">
        <v>2840</v>
      </c>
      <c r="B1529" s="185" t="s">
        <v>2854</v>
      </c>
      <c r="C1529" s="185" t="s">
        <v>1801</v>
      </c>
      <c r="D1529" s="185" t="s">
        <v>423</v>
      </c>
      <c r="E1529" s="185">
        <v>41559505</v>
      </c>
      <c r="F1529" s="185" t="s">
        <v>1708</v>
      </c>
      <c r="G1529" s="185" t="s">
        <v>2856</v>
      </c>
      <c r="H1529" s="185" t="s">
        <v>1628</v>
      </c>
      <c r="I1529" s="258" t="str">
        <f t="shared" si="70"/>
        <v>4</v>
      </c>
      <c r="J1529" s="221">
        <f t="shared" si="71"/>
        <v>-53703180</v>
      </c>
      <c r="K1529" s="258">
        <f t="shared" si="72"/>
        <v>6</v>
      </c>
      <c r="L1529" s="188">
        <v>0</v>
      </c>
      <c r="M1529" s="188">
        <v>53703180</v>
      </c>
      <c r="N1529" s="189">
        <v>374795</v>
      </c>
      <c r="O1529" t="s">
        <v>2854</v>
      </c>
      <c r="P1529" s="187">
        <v>45094.426539351902</v>
      </c>
      <c r="Q1529" s="186">
        <v>12088</v>
      </c>
      <c r="R1529" s="185"/>
      <c r="S1529" s="185" t="s">
        <v>1544</v>
      </c>
      <c r="T1529"/>
      <c r="U1529" t="str">
        <f>IF($L1529&gt;0,VLOOKUP($E1529,Valida!$A$1:$G$270,6,FALSE),IF($M1529&gt;=0,VLOOKUP($E1529,Valida!$A$1:$G$270,7,FALSE)))</f>
        <v>(+/-) Ganancia (pérdida)</v>
      </c>
      <c r="V1529" s="190" t="str">
        <f>VLOOKUP(E1529,Valida!$A$2:$K$271,4,FALSE)</f>
        <v>P&amp;L</v>
      </c>
      <c r="W1529" s="185" t="s">
        <v>1803</v>
      </c>
      <c r="X1529" s="185"/>
      <c r="Y1529" s="185"/>
      <c r="Z1529"/>
    </row>
    <row r="1530" spans="1:26">
      <c r="A1530" s="185" t="s">
        <v>2840</v>
      </c>
      <c r="B1530" s="185" t="s">
        <v>2853</v>
      </c>
      <c r="C1530" s="185" t="s">
        <v>1949</v>
      </c>
      <c r="D1530" s="185" t="s">
        <v>2616</v>
      </c>
      <c r="E1530" s="185">
        <v>42102001</v>
      </c>
      <c r="F1530" s="185" t="s">
        <v>1712</v>
      </c>
      <c r="G1530" s="185" t="s">
        <v>1921</v>
      </c>
      <c r="H1530" s="185" t="s">
        <v>1628</v>
      </c>
      <c r="I1530" s="258" t="str">
        <f t="shared" si="70"/>
        <v>4</v>
      </c>
      <c r="J1530" s="221">
        <f t="shared" si="71"/>
        <v>-10384</v>
      </c>
      <c r="K1530" s="258">
        <f t="shared" si="72"/>
        <v>6</v>
      </c>
      <c r="L1530" s="188">
        <v>0</v>
      </c>
      <c r="M1530" s="188">
        <v>10384</v>
      </c>
      <c r="N1530" s="189">
        <v>374795</v>
      </c>
      <c r="O1530" t="s">
        <v>2853</v>
      </c>
      <c r="P1530" s="187">
        <v>45097.409849536998</v>
      </c>
      <c r="Q1530" s="186">
        <v>12094</v>
      </c>
      <c r="R1530" s="185"/>
      <c r="S1530" s="185" t="s">
        <v>1544</v>
      </c>
      <c r="T1530"/>
      <c r="U1530" t="str">
        <f>IF($L1530&gt;0,VLOOKUP($E1530,Valida!$A$1:$G$270,6,FALSE),IF($M1530&gt;=0,VLOOKUP($E1530,Valida!$A$1:$G$270,7,FALSE)))</f>
        <v>(+/-) Ganancia (pérdida)</v>
      </c>
      <c r="V1530" s="190" t="str">
        <f>VLOOKUP(E1530,Valida!$A$2:$K$271,4,FALSE)</f>
        <v>P&amp;L</v>
      </c>
      <c r="W1530" s="185" t="s">
        <v>1803</v>
      </c>
      <c r="X1530" s="185"/>
      <c r="Y1530" s="185"/>
      <c r="Z1530"/>
    </row>
    <row r="1531" spans="1:26">
      <c r="A1531" s="185" t="s">
        <v>2857</v>
      </c>
      <c r="B1531" s="185" t="s">
        <v>2858</v>
      </c>
      <c r="C1531" s="185" t="s">
        <v>1792</v>
      </c>
      <c r="D1531" s="185" t="s">
        <v>2004</v>
      </c>
      <c r="E1531" s="185">
        <v>51350501</v>
      </c>
      <c r="F1531" s="185" t="s">
        <v>1256</v>
      </c>
      <c r="G1531" s="185" t="s">
        <v>1794</v>
      </c>
      <c r="H1531" s="185" t="s">
        <v>1515</v>
      </c>
      <c r="I1531" s="258" t="str">
        <f t="shared" si="70"/>
        <v>5</v>
      </c>
      <c r="J1531" s="221">
        <f t="shared" si="71"/>
        <v>2280608</v>
      </c>
      <c r="K1531" s="258">
        <f t="shared" si="72"/>
        <v>6</v>
      </c>
      <c r="L1531" s="188">
        <v>2280608</v>
      </c>
      <c r="M1531" s="188">
        <v>0</v>
      </c>
      <c r="N1531" s="189">
        <v>900994552</v>
      </c>
      <c r="O1531" t="s">
        <v>2859</v>
      </c>
      <c r="P1531" s="187">
        <v>45099.365578703699</v>
      </c>
      <c r="Q1531" s="186">
        <v>12095</v>
      </c>
      <c r="R1531" s="185" t="s">
        <v>844</v>
      </c>
      <c r="S1531" s="185" t="s">
        <v>1606</v>
      </c>
      <c r="T1531"/>
      <c r="U1531" t="str">
        <f>IF($L1531&gt;0,VLOOKUP($E1531,Valida!$A$1:$G$270,6,FALSE),IF($M1531&gt;=0,VLOOKUP($E1531,Valida!$A$1:$G$270,7,FALSE)))</f>
        <v>(+/-) Ganancia (pérdida)</v>
      </c>
      <c r="V1531" s="190" t="str">
        <f>VLOOKUP(E1531,Valida!$A$2:$K$271,4,FALSE)</f>
        <v>P&amp;L</v>
      </c>
      <c r="W1531" s="185" t="s">
        <v>1796</v>
      </c>
      <c r="X1531" s="185" t="s">
        <v>1797</v>
      </c>
      <c r="Y1531" s="185" t="s">
        <v>1789</v>
      </c>
      <c r="Z1531"/>
    </row>
    <row r="1532" spans="1:26">
      <c r="A1532" s="185" t="s">
        <v>2857</v>
      </c>
      <c r="B1532" s="185" t="s">
        <v>2858</v>
      </c>
      <c r="C1532" s="185" t="s">
        <v>1792</v>
      </c>
      <c r="D1532" s="185" t="s">
        <v>2004</v>
      </c>
      <c r="E1532" s="185">
        <v>51350501</v>
      </c>
      <c r="F1532" s="185" t="s">
        <v>1256</v>
      </c>
      <c r="G1532" s="185" t="s">
        <v>1794</v>
      </c>
      <c r="H1532" s="185" t="s">
        <v>1515</v>
      </c>
      <c r="I1532" s="258" t="str">
        <f t="shared" si="70"/>
        <v>5</v>
      </c>
      <c r="J1532" s="221">
        <f t="shared" si="71"/>
        <v>228060.79999999999</v>
      </c>
      <c r="K1532" s="258">
        <f t="shared" si="72"/>
        <v>6</v>
      </c>
      <c r="L1532" s="188">
        <v>228060.79999999999</v>
      </c>
      <c r="M1532" s="188">
        <v>0</v>
      </c>
      <c r="N1532" s="189">
        <v>900994552</v>
      </c>
      <c r="O1532" t="s">
        <v>2859</v>
      </c>
      <c r="P1532" s="187">
        <v>45099.365578703699</v>
      </c>
      <c r="Q1532" s="186">
        <v>12096</v>
      </c>
      <c r="R1532" s="185" t="s">
        <v>844</v>
      </c>
      <c r="S1532" s="185" t="s">
        <v>1606</v>
      </c>
      <c r="T1532"/>
      <c r="U1532" t="str">
        <f>IF($L1532&gt;0,VLOOKUP($E1532,Valida!$A$1:$G$270,6,FALSE),IF($M1532&gt;=0,VLOOKUP($E1532,Valida!$A$1:$G$270,7,FALSE)))</f>
        <v>(+/-) Ganancia (pérdida)</v>
      </c>
      <c r="V1532" s="190" t="str">
        <f>VLOOKUP(E1532,Valida!$A$2:$K$271,4,FALSE)</f>
        <v>P&amp;L</v>
      </c>
      <c r="W1532" s="185" t="s">
        <v>1796</v>
      </c>
      <c r="X1532" s="185" t="s">
        <v>1797</v>
      </c>
      <c r="Y1532" s="185" t="s">
        <v>1789</v>
      </c>
      <c r="Z1532"/>
    </row>
    <row r="1533" spans="1:26">
      <c r="A1533" s="185" t="s">
        <v>2857</v>
      </c>
      <c r="B1533" s="185" t="s">
        <v>2858</v>
      </c>
      <c r="C1533" s="185" t="s">
        <v>1792</v>
      </c>
      <c r="D1533" s="185" t="s">
        <v>2004</v>
      </c>
      <c r="E1533" s="185">
        <v>24081002</v>
      </c>
      <c r="F1533" s="185" t="s">
        <v>1687</v>
      </c>
      <c r="G1533" s="185" t="s">
        <v>1794</v>
      </c>
      <c r="H1533" s="185" t="s">
        <v>1515</v>
      </c>
      <c r="I1533" s="258" t="str">
        <f t="shared" si="70"/>
        <v>2</v>
      </c>
      <c r="J1533" s="221">
        <f t="shared" si="71"/>
        <v>43331.55</v>
      </c>
      <c r="K1533" s="258">
        <f t="shared" si="72"/>
        <v>6</v>
      </c>
      <c r="L1533" s="188">
        <v>43331.55</v>
      </c>
      <c r="M1533" s="188">
        <v>0</v>
      </c>
      <c r="N1533" s="189">
        <v>900994552</v>
      </c>
      <c r="O1533" t="s">
        <v>2859</v>
      </c>
      <c r="P1533" s="187">
        <v>45099.365578703699</v>
      </c>
      <c r="Q1533" s="186">
        <v>12097</v>
      </c>
      <c r="R1533" s="185" t="s">
        <v>844</v>
      </c>
      <c r="S1533" s="185" t="s">
        <v>1606</v>
      </c>
      <c r="T1533"/>
      <c r="U1533" t="str">
        <f>IF($L1533&gt;0,VLOOKUP($E1533,Valida!$A$1:$G$270,6,FALSE),IF($M1533&gt;=0,VLOOKUP($E1533,Valida!$A$1:$G$270,7,FALSE)))</f>
        <v>(+/-) Ajustes por el incremento (disminución) de cuentas por pagar de origen comercial</v>
      </c>
      <c r="V1533" s="190" t="str">
        <f>VLOOKUP(E1533,Valida!$A$2:$K$271,4,FALSE)</f>
        <v>Trade and other payables</v>
      </c>
      <c r="W1533" s="185" t="s">
        <v>1796</v>
      </c>
      <c r="X1533" s="185" t="s">
        <v>1797</v>
      </c>
      <c r="Y1533" s="185" t="s">
        <v>1789</v>
      </c>
      <c r="Z1533"/>
    </row>
    <row r="1534" spans="1:26">
      <c r="A1534" s="185" t="s">
        <v>2857</v>
      </c>
      <c r="B1534" s="185" t="s">
        <v>2858</v>
      </c>
      <c r="C1534" s="185" t="s">
        <v>1792</v>
      </c>
      <c r="D1534" s="185" t="s">
        <v>2004</v>
      </c>
      <c r="E1534" s="185">
        <v>23355004</v>
      </c>
      <c r="F1534" s="185" t="s">
        <v>513</v>
      </c>
      <c r="G1534" s="185" t="s">
        <v>1794</v>
      </c>
      <c r="H1534" s="185" t="s">
        <v>1628</v>
      </c>
      <c r="I1534" s="258" t="str">
        <f t="shared" si="70"/>
        <v>2</v>
      </c>
      <c r="J1534" s="221">
        <f t="shared" si="71"/>
        <v>-2552000.35</v>
      </c>
      <c r="K1534" s="258">
        <f t="shared" si="72"/>
        <v>6</v>
      </c>
      <c r="L1534" s="188">
        <v>0</v>
      </c>
      <c r="M1534" s="188">
        <v>2552000.35</v>
      </c>
      <c r="N1534" s="189">
        <v>900994552</v>
      </c>
      <c r="O1534" t="s">
        <v>2859</v>
      </c>
      <c r="P1534" s="187">
        <v>45099.365578703699</v>
      </c>
      <c r="Q1534" s="186">
        <v>12098</v>
      </c>
      <c r="R1534" s="185" t="s">
        <v>844</v>
      </c>
      <c r="S1534" s="185" t="s">
        <v>1606</v>
      </c>
      <c r="T1534"/>
      <c r="U1534" t="str">
        <f>IF($L1534&gt;0,VLOOKUP($E1534,Valida!$A$1:$G$270,6,FALSE),IF($M1534&gt;=0,VLOOKUP($E1534,Valida!$A$1:$G$270,7,FALSE)))</f>
        <v>(+/-) Ajustes por el incremento (disminución) de cuentas por pagar de origen comercial</v>
      </c>
      <c r="V1534" s="190" t="str">
        <f>VLOOKUP(E1534,Valida!$A$2:$K$271,4,FALSE)</f>
        <v>Trade and other payables</v>
      </c>
      <c r="W1534" s="185" t="s">
        <v>1796</v>
      </c>
      <c r="X1534" s="185" t="s">
        <v>1797</v>
      </c>
      <c r="Y1534" s="185" t="s">
        <v>1789</v>
      </c>
      <c r="Z1534"/>
    </row>
    <row r="1535" spans="1:26">
      <c r="A1535" s="185" t="s">
        <v>2857</v>
      </c>
      <c r="B1535" s="185" t="s">
        <v>2860</v>
      </c>
      <c r="C1535" s="185" t="s">
        <v>1792</v>
      </c>
      <c r="D1535" s="185" t="s">
        <v>2006</v>
      </c>
      <c r="E1535" s="185">
        <v>51952501</v>
      </c>
      <c r="F1535" s="185" t="s">
        <v>1412</v>
      </c>
      <c r="G1535" s="185" t="s">
        <v>1412</v>
      </c>
      <c r="H1535" s="185" t="s">
        <v>1515</v>
      </c>
      <c r="I1535" s="258" t="str">
        <f t="shared" si="70"/>
        <v>5</v>
      </c>
      <c r="J1535" s="221">
        <f t="shared" si="71"/>
        <v>1579453</v>
      </c>
      <c r="K1535" s="258">
        <f t="shared" si="72"/>
        <v>6</v>
      </c>
      <c r="L1535" s="188">
        <v>1579453</v>
      </c>
      <c r="M1535" s="188">
        <v>0</v>
      </c>
      <c r="N1535" s="189">
        <v>830062853</v>
      </c>
      <c r="O1535" t="s">
        <v>2861</v>
      </c>
      <c r="P1535" s="187">
        <v>45099.376377314802</v>
      </c>
      <c r="Q1535" s="186">
        <v>12099</v>
      </c>
      <c r="R1535" s="185" t="s">
        <v>433</v>
      </c>
      <c r="S1535" s="185" t="s">
        <v>1564</v>
      </c>
      <c r="T1535"/>
      <c r="U1535" t="str">
        <f>IF($L1535&gt;0,VLOOKUP($E1535,Valida!$A$1:$G$270,6,FALSE),IF($M1535&gt;=0,VLOOKUP($E1535,Valida!$A$1:$G$270,7,FALSE)))</f>
        <v>(+/-) Ganancia (pérdida)</v>
      </c>
      <c r="V1535" s="190" t="str">
        <f>VLOOKUP(E1535,Valida!$A$2:$K$271,4,FALSE)</f>
        <v>P&amp;L</v>
      </c>
      <c r="W1535" s="185" t="s">
        <v>2024</v>
      </c>
      <c r="X1535" s="185" t="s">
        <v>2025</v>
      </c>
      <c r="Y1535" s="185" t="s">
        <v>1789</v>
      </c>
      <c r="Z1535"/>
    </row>
    <row r="1536" spans="1:26">
      <c r="A1536" s="185" t="s">
        <v>2857</v>
      </c>
      <c r="B1536" s="185" t="s">
        <v>2860</v>
      </c>
      <c r="C1536" s="185" t="s">
        <v>1792</v>
      </c>
      <c r="D1536" s="185" t="s">
        <v>2006</v>
      </c>
      <c r="E1536" s="185">
        <v>24081002</v>
      </c>
      <c r="F1536" s="185" t="s">
        <v>1687</v>
      </c>
      <c r="G1536" s="185" t="s">
        <v>1412</v>
      </c>
      <c r="H1536" s="185" t="s">
        <v>1515</v>
      </c>
      <c r="I1536" s="258" t="str">
        <f t="shared" si="70"/>
        <v>2</v>
      </c>
      <c r="J1536" s="221">
        <f t="shared" si="71"/>
        <v>300096</v>
      </c>
      <c r="K1536" s="258">
        <f t="shared" si="72"/>
        <v>6</v>
      </c>
      <c r="L1536" s="188">
        <v>300096</v>
      </c>
      <c r="M1536" s="188">
        <v>0</v>
      </c>
      <c r="N1536" s="189">
        <v>830062853</v>
      </c>
      <c r="O1536" t="s">
        <v>2861</v>
      </c>
      <c r="P1536" s="187">
        <v>45099.376377314802</v>
      </c>
      <c r="Q1536" s="186">
        <v>12100</v>
      </c>
      <c r="R1536" s="185" t="s">
        <v>433</v>
      </c>
      <c r="S1536" s="185" t="s">
        <v>1564</v>
      </c>
      <c r="T1536"/>
      <c r="U1536" t="str">
        <f>IF($L1536&gt;0,VLOOKUP($E1536,Valida!$A$1:$G$270,6,FALSE),IF($M1536&gt;=0,VLOOKUP($E1536,Valida!$A$1:$G$270,7,FALSE)))</f>
        <v>(+/-) Ajustes por el incremento (disminución) de cuentas por pagar de origen comercial</v>
      </c>
      <c r="V1536" s="190" t="str">
        <f>VLOOKUP(E1536,Valida!$A$2:$K$271,4,FALSE)</f>
        <v>Trade and other payables</v>
      </c>
      <c r="W1536" s="185" t="s">
        <v>2024</v>
      </c>
      <c r="X1536" s="185" t="s">
        <v>2025</v>
      </c>
      <c r="Y1536" s="185" t="s">
        <v>1789</v>
      </c>
      <c r="Z1536"/>
    </row>
    <row r="1537" spans="1:26">
      <c r="A1537" s="185" t="s">
        <v>2857</v>
      </c>
      <c r="B1537" s="185" t="s">
        <v>2860</v>
      </c>
      <c r="C1537" s="185" t="s">
        <v>1792</v>
      </c>
      <c r="D1537" s="185" t="s">
        <v>2006</v>
      </c>
      <c r="E1537" s="185">
        <v>51952502</v>
      </c>
      <c r="F1537" s="185" t="s">
        <v>1414</v>
      </c>
      <c r="G1537" s="185" t="s">
        <v>1414</v>
      </c>
      <c r="H1537" s="185" t="s">
        <v>1515</v>
      </c>
      <c r="I1537" s="258" t="str">
        <f t="shared" si="70"/>
        <v>5</v>
      </c>
      <c r="J1537" s="221">
        <f t="shared" si="71"/>
        <v>3001010</v>
      </c>
      <c r="K1537" s="258">
        <f t="shared" si="72"/>
        <v>6</v>
      </c>
      <c r="L1537" s="188">
        <v>3001010</v>
      </c>
      <c r="M1537" s="188">
        <v>0</v>
      </c>
      <c r="N1537" s="189">
        <v>830062853</v>
      </c>
      <c r="O1537" t="s">
        <v>2861</v>
      </c>
      <c r="P1537" s="187">
        <v>45099.376377314802</v>
      </c>
      <c r="Q1537" s="186">
        <v>12101</v>
      </c>
      <c r="R1537" s="185" t="s">
        <v>433</v>
      </c>
      <c r="S1537" s="185" t="s">
        <v>1564</v>
      </c>
      <c r="T1537"/>
      <c r="U1537" t="str">
        <f>IF($L1537&gt;0,VLOOKUP($E1537,Valida!$A$1:$G$270,6,FALSE),IF($M1537&gt;=0,VLOOKUP($E1537,Valida!$A$1:$G$270,7,FALSE)))</f>
        <v>(+/-) Ganancia (pérdida)</v>
      </c>
      <c r="V1537" s="190" t="str">
        <f>VLOOKUP(E1537,Valida!$A$2:$K$271,4,FALSE)</f>
        <v>P&amp;L</v>
      </c>
      <c r="W1537" s="185" t="s">
        <v>2024</v>
      </c>
      <c r="X1537" s="185" t="s">
        <v>2025</v>
      </c>
      <c r="Y1537" s="185" t="s">
        <v>1789</v>
      </c>
      <c r="Z1537"/>
    </row>
    <row r="1538" spans="1:26">
      <c r="A1538" s="185" t="s">
        <v>2857</v>
      </c>
      <c r="B1538" s="185" t="s">
        <v>2860</v>
      </c>
      <c r="C1538" s="185" t="s">
        <v>1792</v>
      </c>
      <c r="D1538" s="185" t="s">
        <v>2006</v>
      </c>
      <c r="E1538" s="185">
        <v>24081005</v>
      </c>
      <c r="F1538" s="185" t="s">
        <v>1688</v>
      </c>
      <c r="G1538" s="185" t="s">
        <v>1414</v>
      </c>
      <c r="H1538" s="185" t="s">
        <v>1515</v>
      </c>
      <c r="I1538" s="258" t="str">
        <f t="shared" si="70"/>
        <v>2</v>
      </c>
      <c r="J1538" s="221">
        <f t="shared" si="71"/>
        <v>150051</v>
      </c>
      <c r="K1538" s="258">
        <f t="shared" si="72"/>
        <v>6</v>
      </c>
      <c r="L1538" s="188">
        <v>150051</v>
      </c>
      <c r="M1538" s="188">
        <v>0</v>
      </c>
      <c r="N1538" s="189">
        <v>830062853</v>
      </c>
      <c r="O1538" t="s">
        <v>2861</v>
      </c>
      <c r="P1538" s="187">
        <v>45099.376377314802</v>
      </c>
      <c r="Q1538" s="186">
        <v>12102</v>
      </c>
      <c r="R1538" s="185" t="s">
        <v>433</v>
      </c>
      <c r="S1538" s="185" t="s">
        <v>1564</v>
      </c>
      <c r="T1538"/>
      <c r="U1538" t="str">
        <f>IF($L1538&gt;0,VLOOKUP($E1538,Valida!$A$1:$G$270,6,FALSE),IF($M1538&gt;=0,VLOOKUP($E1538,Valida!$A$1:$G$270,7,FALSE)))</f>
        <v>(+/-) Ajustes por el incremento (disminución) de cuentas por pagar de origen comercial</v>
      </c>
      <c r="V1538" s="190" t="str">
        <f>VLOOKUP(E1538,Valida!$A$2:$K$271,4,FALSE)</f>
        <v>Trade and other payables</v>
      </c>
      <c r="W1538" s="185" t="s">
        <v>2024</v>
      </c>
      <c r="X1538" s="185" t="s">
        <v>2025</v>
      </c>
      <c r="Y1538" s="185" t="s">
        <v>1789</v>
      </c>
      <c r="Z1538"/>
    </row>
    <row r="1539" spans="1:26">
      <c r="A1539" s="185" t="s">
        <v>2857</v>
      </c>
      <c r="B1539" s="185" t="s">
        <v>2860</v>
      </c>
      <c r="C1539" s="185" t="s">
        <v>1792</v>
      </c>
      <c r="D1539" s="185" t="s">
        <v>2006</v>
      </c>
      <c r="E1539" s="185">
        <v>51952502</v>
      </c>
      <c r="F1539" s="185" t="s">
        <v>1414</v>
      </c>
      <c r="G1539" s="185" t="s">
        <v>1414</v>
      </c>
      <c r="H1539" s="185" t="s">
        <v>1515</v>
      </c>
      <c r="I1539" s="258" t="str">
        <f t="shared" ref="I1539:I1602" si="73">LEFT(E1539,1)</f>
        <v>5</v>
      </c>
      <c r="J1539" s="221">
        <f t="shared" ref="J1539:J1602" si="74">L1539-M1539</f>
        <v>354050</v>
      </c>
      <c r="K1539" s="258">
        <f t="shared" ref="K1539:K1602" si="75">MONTH(A1539)</f>
        <v>6</v>
      </c>
      <c r="L1539" s="188">
        <v>354050</v>
      </c>
      <c r="M1539" s="188">
        <v>0</v>
      </c>
      <c r="N1539" s="189">
        <v>830062853</v>
      </c>
      <c r="O1539" t="s">
        <v>2861</v>
      </c>
      <c r="P1539" s="187">
        <v>45099.376377314802</v>
      </c>
      <c r="Q1539" s="186">
        <v>12103</v>
      </c>
      <c r="R1539" s="185" t="s">
        <v>433</v>
      </c>
      <c r="S1539" s="185" t="s">
        <v>1564</v>
      </c>
      <c r="T1539"/>
      <c r="U1539" t="str">
        <f>IF($L1539&gt;0,VLOOKUP($E1539,Valida!$A$1:$G$270,6,FALSE),IF($M1539&gt;=0,VLOOKUP($E1539,Valida!$A$1:$G$270,7,FALSE)))</f>
        <v>(+/-) Ganancia (pérdida)</v>
      </c>
      <c r="V1539" s="190" t="str">
        <f>VLOOKUP(E1539,Valida!$A$2:$K$271,4,FALSE)</f>
        <v>P&amp;L</v>
      </c>
      <c r="W1539" s="185" t="s">
        <v>2024</v>
      </c>
      <c r="X1539" s="185" t="s">
        <v>2025</v>
      </c>
      <c r="Y1539" s="185" t="s">
        <v>1789</v>
      </c>
      <c r="Z1539"/>
    </row>
    <row r="1540" spans="1:26">
      <c r="A1540" s="185" t="s">
        <v>2857</v>
      </c>
      <c r="B1540" s="185" t="s">
        <v>2860</v>
      </c>
      <c r="C1540" s="185" t="s">
        <v>1792</v>
      </c>
      <c r="D1540" s="185" t="s">
        <v>2006</v>
      </c>
      <c r="E1540" s="185">
        <v>24081002</v>
      </c>
      <c r="F1540" s="185" t="s">
        <v>1687</v>
      </c>
      <c r="G1540" s="185" t="s">
        <v>1414</v>
      </c>
      <c r="H1540" s="185" t="s">
        <v>1515</v>
      </c>
      <c r="I1540" s="258" t="str">
        <f t="shared" si="73"/>
        <v>2</v>
      </c>
      <c r="J1540" s="221">
        <f t="shared" si="74"/>
        <v>67270</v>
      </c>
      <c r="K1540" s="258">
        <f t="shared" si="75"/>
        <v>6</v>
      </c>
      <c r="L1540" s="188">
        <v>67270</v>
      </c>
      <c r="M1540" s="188">
        <v>0</v>
      </c>
      <c r="N1540" s="189">
        <v>830062853</v>
      </c>
      <c r="O1540" t="s">
        <v>2861</v>
      </c>
      <c r="P1540" s="187">
        <v>45099.376377314802</v>
      </c>
      <c r="Q1540" s="186">
        <v>12104</v>
      </c>
      <c r="R1540" s="185" t="s">
        <v>433</v>
      </c>
      <c r="S1540" s="185" t="s">
        <v>1564</v>
      </c>
      <c r="T1540"/>
      <c r="U1540" t="str">
        <f>IF($L1540&gt;0,VLOOKUP($E1540,Valida!$A$1:$G$270,6,FALSE),IF($M1540&gt;=0,VLOOKUP($E1540,Valida!$A$1:$G$270,7,FALSE)))</f>
        <v>(+/-) Ajustes por el incremento (disminución) de cuentas por pagar de origen comercial</v>
      </c>
      <c r="V1540" s="190" t="str">
        <f>VLOOKUP(E1540,Valida!$A$2:$K$271,4,FALSE)</f>
        <v>Trade and other payables</v>
      </c>
      <c r="W1540" s="185" t="s">
        <v>2024</v>
      </c>
      <c r="X1540" s="185" t="s">
        <v>2025</v>
      </c>
      <c r="Y1540" s="185" t="s">
        <v>1789</v>
      </c>
      <c r="Z1540"/>
    </row>
    <row r="1541" spans="1:26">
      <c r="A1541" s="185" t="s">
        <v>2857</v>
      </c>
      <c r="B1541" s="185" t="s">
        <v>2860</v>
      </c>
      <c r="C1541" s="185" t="s">
        <v>1792</v>
      </c>
      <c r="D1541" s="185" t="s">
        <v>2006</v>
      </c>
      <c r="E1541" s="185">
        <v>23654001</v>
      </c>
      <c r="F1541" s="185" t="s">
        <v>622</v>
      </c>
      <c r="G1541" s="185" t="s">
        <v>547</v>
      </c>
      <c r="H1541" s="185" t="s">
        <v>1628</v>
      </c>
      <c r="I1541" s="258" t="str">
        <f t="shared" si="73"/>
        <v>2</v>
      </c>
      <c r="J1541" s="221">
        <f t="shared" si="74"/>
        <v>-123363</v>
      </c>
      <c r="K1541" s="258">
        <f t="shared" si="75"/>
        <v>6</v>
      </c>
      <c r="L1541" s="188">
        <v>0</v>
      </c>
      <c r="M1541" s="188">
        <v>123363</v>
      </c>
      <c r="N1541" s="189">
        <v>830062853</v>
      </c>
      <c r="O1541" t="s">
        <v>2861</v>
      </c>
      <c r="P1541" s="187">
        <v>45099.376377314802</v>
      </c>
      <c r="Q1541" s="186">
        <v>12105</v>
      </c>
      <c r="R1541" s="185" t="s">
        <v>433</v>
      </c>
      <c r="S1541" s="185" t="s">
        <v>1564</v>
      </c>
      <c r="T1541"/>
      <c r="U1541" t="str">
        <f>IF($L1541&gt;0,VLOOKUP($E1541,Valida!$A$1:$G$270,6,FALSE),IF($M1541&gt;=0,VLOOKUP($E1541,Valida!$A$1:$G$270,7,FALSE)))</f>
        <v>(+/-) Ajustes por el incremento (disminución) de cuentas por pagar de origen comercial</v>
      </c>
      <c r="V1541" s="190" t="str">
        <f>VLOOKUP(E1541,Valida!$A$2:$K$271,4,FALSE)</f>
        <v>Trade and other payables</v>
      </c>
      <c r="W1541" s="185" t="s">
        <v>2024</v>
      </c>
      <c r="X1541" s="185" t="s">
        <v>2025</v>
      </c>
      <c r="Y1541" s="185" t="s">
        <v>1789</v>
      </c>
      <c r="Z1541"/>
    </row>
    <row r="1542" spans="1:26">
      <c r="A1542" s="185" t="s">
        <v>2857</v>
      </c>
      <c r="B1542" s="185" t="s">
        <v>2860</v>
      </c>
      <c r="C1542" s="185" t="s">
        <v>1792</v>
      </c>
      <c r="D1542" s="185" t="s">
        <v>2006</v>
      </c>
      <c r="E1542" s="185">
        <v>23680504</v>
      </c>
      <c r="F1542" s="185" t="s">
        <v>668</v>
      </c>
      <c r="G1542" s="185" t="s">
        <v>547</v>
      </c>
      <c r="H1542" s="185" t="s">
        <v>1628</v>
      </c>
      <c r="I1542" s="258" t="str">
        <f t="shared" si="73"/>
        <v>2</v>
      </c>
      <c r="J1542" s="221">
        <f t="shared" si="74"/>
        <v>-54477</v>
      </c>
      <c r="K1542" s="258">
        <f t="shared" si="75"/>
        <v>6</v>
      </c>
      <c r="L1542" s="188">
        <v>0</v>
      </c>
      <c r="M1542" s="188">
        <v>54477</v>
      </c>
      <c r="N1542" s="189">
        <v>830062853</v>
      </c>
      <c r="O1542" t="s">
        <v>2861</v>
      </c>
      <c r="P1542" s="187">
        <v>45099.376377314802</v>
      </c>
      <c r="Q1542" s="186">
        <v>12106</v>
      </c>
      <c r="R1542" s="185" t="s">
        <v>433</v>
      </c>
      <c r="S1542" s="185" t="s">
        <v>1564</v>
      </c>
      <c r="T1542"/>
      <c r="U1542" t="str">
        <f>IF($L1542&gt;0,VLOOKUP($E1542,Valida!$A$1:$G$270,6,FALSE),IF($M1542&gt;=0,VLOOKUP($E1542,Valida!$A$1:$G$270,7,FALSE)))</f>
        <v>(+/-) Ajustes por el incremento (disminución) de cuentas por pagar de origen comercial</v>
      </c>
      <c r="V1542" s="190" t="str">
        <f>VLOOKUP(E1542,Valida!$A$2:$K$271,4,FALSE)</f>
        <v>Trade and other payables</v>
      </c>
      <c r="W1542" s="185" t="s">
        <v>2024</v>
      </c>
      <c r="X1542" s="185" t="s">
        <v>2025</v>
      </c>
      <c r="Y1542" s="185" t="s">
        <v>1789</v>
      </c>
      <c r="Z1542"/>
    </row>
    <row r="1543" spans="1:26">
      <c r="A1543" s="185" t="s">
        <v>2857</v>
      </c>
      <c r="B1543" s="185" t="s">
        <v>2860</v>
      </c>
      <c r="C1543" s="185" t="s">
        <v>1792</v>
      </c>
      <c r="D1543" s="185" t="s">
        <v>2006</v>
      </c>
      <c r="E1543" s="185">
        <v>23359502</v>
      </c>
      <c r="F1543" s="185" t="s">
        <v>547</v>
      </c>
      <c r="G1543" s="185" t="s">
        <v>547</v>
      </c>
      <c r="H1543" s="185" t="s">
        <v>1628</v>
      </c>
      <c r="I1543" s="258" t="str">
        <f t="shared" si="73"/>
        <v>2</v>
      </c>
      <c r="J1543" s="221">
        <f t="shared" si="74"/>
        <v>-5274090</v>
      </c>
      <c r="K1543" s="258">
        <f t="shared" si="75"/>
        <v>6</v>
      </c>
      <c r="L1543" s="188">
        <v>0</v>
      </c>
      <c r="M1543" s="188">
        <v>5274090</v>
      </c>
      <c r="N1543" s="189">
        <v>830062853</v>
      </c>
      <c r="O1543" t="s">
        <v>2861</v>
      </c>
      <c r="P1543" s="187">
        <v>45099.376377314802</v>
      </c>
      <c r="Q1543" s="186">
        <v>12107</v>
      </c>
      <c r="R1543" s="185" t="s">
        <v>433</v>
      </c>
      <c r="S1543" s="185" t="s">
        <v>1564</v>
      </c>
      <c r="T1543"/>
      <c r="U1543" t="str">
        <f>IF($L1543&gt;0,VLOOKUP($E1543,Valida!$A$1:$G$270,6,FALSE),IF($M1543&gt;=0,VLOOKUP($E1543,Valida!$A$1:$G$270,7,FALSE)))</f>
        <v>(+/-) Ajustes por el incremento (disminución) de cuentas por pagar de origen comercial</v>
      </c>
      <c r="V1543" s="190" t="str">
        <f>VLOOKUP(E1543,Valida!$A$2:$K$271,4,FALSE)</f>
        <v>Trade and other payables</v>
      </c>
      <c r="W1543" s="185" t="s">
        <v>2024</v>
      </c>
      <c r="X1543" s="185" t="s">
        <v>2025</v>
      </c>
      <c r="Y1543" s="185" t="s">
        <v>1789</v>
      </c>
      <c r="Z1543"/>
    </row>
    <row r="1544" spans="1:26">
      <c r="A1544" s="185" t="s">
        <v>2840</v>
      </c>
      <c r="B1544" s="185" t="s">
        <v>2862</v>
      </c>
      <c r="C1544" s="185" t="s">
        <v>1890</v>
      </c>
      <c r="D1544" s="185" t="s">
        <v>2863</v>
      </c>
      <c r="E1544" s="185">
        <v>23354001</v>
      </c>
      <c r="F1544" s="185" t="s">
        <v>484</v>
      </c>
      <c r="G1544" s="185" t="s">
        <v>1921</v>
      </c>
      <c r="H1544" s="185" t="s">
        <v>1515</v>
      </c>
      <c r="I1544" s="258" t="str">
        <f t="shared" si="73"/>
        <v>2</v>
      </c>
      <c r="J1544" s="221">
        <f t="shared" si="74"/>
        <v>14603085</v>
      </c>
      <c r="K1544" s="258">
        <f t="shared" si="75"/>
        <v>6</v>
      </c>
      <c r="L1544" s="188">
        <v>14603085</v>
      </c>
      <c r="M1544" s="188">
        <v>0</v>
      </c>
      <c r="N1544" s="189">
        <v>900471482</v>
      </c>
      <c r="O1544" t="s">
        <v>2862</v>
      </c>
      <c r="P1544" s="187">
        <v>45099.3804282407</v>
      </c>
      <c r="Q1544" s="186">
        <v>12108</v>
      </c>
      <c r="R1544" s="185" t="s">
        <v>6</v>
      </c>
      <c r="S1544" s="185" t="s">
        <v>1600</v>
      </c>
      <c r="T1544"/>
      <c r="U1544" t="str">
        <f>IF($L1544&gt;0,VLOOKUP($E1544,Valida!$A$1:$G$270,6,FALSE),IF($M1544&gt;=0,VLOOKUP($E1544,Valida!$A$1:$G$270,7,FALSE)))</f>
        <v>(+/-) Ajustes por el incremento (disminución) de cuentas por pagar de origen comercial</v>
      </c>
      <c r="V1544" s="190" t="str">
        <f>VLOOKUP(E1544,Valida!$A$2:$K$271,4,FALSE)</f>
        <v>Trade and other payables</v>
      </c>
      <c r="W1544" s="185" t="s">
        <v>1853</v>
      </c>
      <c r="X1544" s="185" t="s">
        <v>1854</v>
      </c>
      <c r="Y1544" s="185" t="s">
        <v>1789</v>
      </c>
      <c r="Z1544"/>
    </row>
    <row r="1545" spans="1:26">
      <c r="A1545" s="185" t="s">
        <v>2840</v>
      </c>
      <c r="B1545" s="185" t="s">
        <v>2862</v>
      </c>
      <c r="C1545" s="185" t="s">
        <v>1890</v>
      </c>
      <c r="D1545" s="185" t="s">
        <v>2863</v>
      </c>
      <c r="E1545" s="185">
        <v>112005</v>
      </c>
      <c r="F1545" s="185" t="s">
        <v>24</v>
      </c>
      <c r="G1545" s="185" t="s">
        <v>1921</v>
      </c>
      <c r="H1545" s="185" t="s">
        <v>1628</v>
      </c>
      <c r="I1545" s="258" t="str">
        <f t="shared" si="73"/>
        <v>1</v>
      </c>
      <c r="J1545" s="221">
        <f t="shared" si="74"/>
        <v>-14603085</v>
      </c>
      <c r="K1545" s="258">
        <f t="shared" si="75"/>
        <v>6</v>
      </c>
      <c r="L1545" s="188">
        <v>0</v>
      </c>
      <c r="M1545" s="188">
        <v>14603085</v>
      </c>
      <c r="N1545" s="189">
        <v>900471482</v>
      </c>
      <c r="O1545" t="s">
        <v>2862</v>
      </c>
      <c r="P1545" s="187">
        <v>45099.3804282407</v>
      </c>
      <c r="Q1545" s="186">
        <v>12109</v>
      </c>
      <c r="R1545" s="185" t="s">
        <v>6</v>
      </c>
      <c r="S1545" s="185" t="s">
        <v>1600</v>
      </c>
      <c r="T1545" t="s">
        <v>1894</v>
      </c>
      <c r="U1545" t="str">
        <f>IF($L1545&gt;0,VLOOKUP($E1545,Valida!$A$1:$G$270,6,FALSE),IF($M1545&gt;=0,VLOOKUP($E1545,Valida!$A$1:$G$270,7,FALSE)))</f>
        <v>Disponible</v>
      </c>
      <c r="V1545" s="190" t="str">
        <f>VLOOKUP(E1545,Valida!$A$2:$K$271,4,FALSE)</f>
        <v>Cash and equivalents</v>
      </c>
      <c r="W1545" s="185" t="s">
        <v>1853</v>
      </c>
      <c r="X1545" s="185" t="s">
        <v>1854</v>
      </c>
      <c r="Y1545" s="185" t="s">
        <v>1789</v>
      </c>
      <c r="Z1545"/>
    </row>
    <row r="1546" spans="1:26">
      <c r="A1546" s="185" t="s">
        <v>2864</v>
      </c>
      <c r="B1546" s="185" t="s">
        <v>2865</v>
      </c>
      <c r="C1546" s="185" t="s">
        <v>1890</v>
      </c>
      <c r="D1546" s="185" t="s">
        <v>2866</v>
      </c>
      <c r="E1546" s="185">
        <v>23354001</v>
      </c>
      <c r="F1546" s="185" t="s">
        <v>484</v>
      </c>
      <c r="G1546" s="185" t="s">
        <v>1921</v>
      </c>
      <c r="H1546" s="185" t="s">
        <v>1515</v>
      </c>
      <c r="I1546" s="258" t="str">
        <f t="shared" si="73"/>
        <v>2</v>
      </c>
      <c r="J1546" s="221">
        <f t="shared" si="74"/>
        <v>3955088</v>
      </c>
      <c r="K1546" s="258">
        <f t="shared" si="75"/>
        <v>6</v>
      </c>
      <c r="L1546" s="188">
        <v>3955088</v>
      </c>
      <c r="M1546" s="188">
        <v>0</v>
      </c>
      <c r="N1546" s="189">
        <v>860044821</v>
      </c>
      <c r="O1546" t="s">
        <v>2865</v>
      </c>
      <c r="P1546" s="187">
        <v>45099.381087962996</v>
      </c>
      <c r="Q1546" s="186">
        <v>12110</v>
      </c>
      <c r="R1546" s="185" t="s">
        <v>6</v>
      </c>
      <c r="S1546" s="185" t="s">
        <v>1570</v>
      </c>
      <c r="T1546"/>
      <c r="U1546" t="str">
        <f>IF($L1546&gt;0,VLOOKUP($E1546,Valida!$A$1:$G$270,6,FALSE),IF($M1546&gt;=0,VLOOKUP($E1546,Valida!$A$1:$G$270,7,FALSE)))</f>
        <v>(+/-) Ajustes por el incremento (disminución) de cuentas por pagar de origen comercial</v>
      </c>
      <c r="V1546" s="190" t="str">
        <f>VLOOKUP(E1546,Valida!$A$2:$K$271,4,FALSE)</f>
        <v>Trade and other payables</v>
      </c>
      <c r="W1546" s="185" t="s">
        <v>2048</v>
      </c>
      <c r="X1546" s="185"/>
      <c r="Y1546" s="185" t="s">
        <v>1789</v>
      </c>
      <c r="Z1546"/>
    </row>
    <row r="1547" spans="1:26">
      <c r="A1547" s="185" t="s">
        <v>2864</v>
      </c>
      <c r="B1547" s="185" t="s">
        <v>2865</v>
      </c>
      <c r="C1547" s="185" t="s">
        <v>1890</v>
      </c>
      <c r="D1547" s="185" t="s">
        <v>2866</v>
      </c>
      <c r="E1547" s="185">
        <v>112005</v>
      </c>
      <c r="F1547" s="185" t="s">
        <v>24</v>
      </c>
      <c r="G1547" s="185" t="s">
        <v>1921</v>
      </c>
      <c r="H1547" s="185" t="s">
        <v>1628</v>
      </c>
      <c r="I1547" s="258" t="str">
        <f t="shared" si="73"/>
        <v>1</v>
      </c>
      <c r="J1547" s="221">
        <f t="shared" si="74"/>
        <v>-3955088</v>
      </c>
      <c r="K1547" s="258">
        <f t="shared" si="75"/>
        <v>6</v>
      </c>
      <c r="L1547" s="188">
        <v>0</v>
      </c>
      <c r="M1547" s="188">
        <v>3955088</v>
      </c>
      <c r="N1547" s="189">
        <v>860044821</v>
      </c>
      <c r="O1547" t="s">
        <v>2865</v>
      </c>
      <c r="P1547" s="187">
        <v>45099.381087962996</v>
      </c>
      <c r="Q1547" s="186">
        <v>12111</v>
      </c>
      <c r="R1547" s="185" t="s">
        <v>6</v>
      </c>
      <c r="S1547" s="185" t="s">
        <v>1570</v>
      </c>
      <c r="T1547" t="s">
        <v>1894</v>
      </c>
      <c r="U1547" t="str">
        <f>IF($L1547&gt;0,VLOOKUP($E1547,Valida!$A$1:$G$270,6,FALSE),IF($M1547&gt;=0,VLOOKUP($E1547,Valida!$A$1:$G$270,7,FALSE)))</f>
        <v>Disponible</v>
      </c>
      <c r="V1547" s="190" t="str">
        <f>VLOOKUP(E1547,Valida!$A$2:$K$271,4,FALSE)</f>
        <v>Cash and equivalents</v>
      </c>
      <c r="W1547" s="185" t="s">
        <v>2048</v>
      </c>
      <c r="X1547" s="185"/>
      <c r="Y1547" s="185" t="s">
        <v>1789</v>
      </c>
      <c r="Z1547"/>
    </row>
    <row r="1548" spans="1:26">
      <c r="A1548" s="185" t="s">
        <v>2864</v>
      </c>
      <c r="B1548" s="185" t="s">
        <v>2867</v>
      </c>
      <c r="C1548" s="185" t="s">
        <v>1890</v>
      </c>
      <c r="D1548" s="185" t="s">
        <v>2868</v>
      </c>
      <c r="E1548" s="185">
        <v>23355004</v>
      </c>
      <c r="F1548" s="185" t="s">
        <v>513</v>
      </c>
      <c r="G1548" s="185" t="s">
        <v>1921</v>
      </c>
      <c r="H1548" s="185" t="s">
        <v>1515</v>
      </c>
      <c r="I1548" s="258" t="str">
        <f t="shared" si="73"/>
        <v>2</v>
      </c>
      <c r="J1548" s="221">
        <f t="shared" si="74"/>
        <v>2554281.35</v>
      </c>
      <c r="K1548" s="258">
        <f t="shared" si="75"/>
        <v>6</v>
      </c>
      <c r="L1548" s="188">
        <v>2554281.35</v>
      </c>
      <c r="M1548" s="188">
        <v>0</v>
      </c>
      <c r="N1548" s="189">
        <v>900994552</v>
      </c>
      <c r="O1548" t="s">
        <v>2867</v>
      </c>
      <c r="P1548" s="187">
        <v>45099.381782407399</v>
      </c>
      <c r="Q1548" s="186">
        <v>12112</v>
      </c>
      <c r="R1548" s="185" t="s">
        <v>844</v>
      </c>
      <c r="S1548" s="185" t="s">
        <v>1606</v>
      </c>
      <c r="T1548"/>
      <c r="U1548" t="str">
        <f>IF($L1548&gt;0,VLOOKUP($E1548,Valida!$A$1:$G$270,6,FALSE),IF($M1548&gt;=0,VLOOKUP($E1548,Valida!$A$1:$G$270,7,FALSE)))</f>
        <v>(+/-) Ajustes por el incremento (disminución) de cuentas por pagar de origen comercial</v>
      </c>
      <c r="V1548" s="190" t="str">
        <f>VLOOKUP(E1548,Valida!$A$2:$K$271,4,FALSE)</f>
        <v>Trade and other payables</v>
      </c>
      <c r="W1548" s="185" t="s">
        <v>1796</v>
      </c>
      <c r="X1548" s="185" t="s">
        <v>1797</v>
      </c>
      <c r="Y1548" s="185" t="s">
        <v>1789</v>
      </c>
      <c r="Z1548"/>
    </row>
    <row r="1549" spans="1:26">
      <c r="A1549" s="185" t="s">
        <v>2864</v>
      </c>
      <c r="B1549" s="185" t="s">
        <v>2867</v>
      </c>
      <c r="C1549" s="185" t="s">
        <v>1890</v>
      </c>
      <c r="D1549" s="185" t="s">
        <v>2868</v>
      </c>
      <c r="E1549" s="185">
        <v>112005</v>
      </c>
      <c r="F1549" s="185" t="s">
        <v>24</v>
      </c>
      <c r="G1549" s="185" t="s">
        <v>1921</v>
      </c>
      <c r="H1549" s="185" t="s">
        <v>1628</v>
      </c>
      <c r="I1549" s="258" t="str">
        <f t="shared" si="73"/>
        <v>1</v>
      </c>
      <c r="J1549" s="221">
        <f t="shared" si="74"/>
        <v>-2554281.35</v>
      </c>
      <c r="K1549" s="258">
        <f t="shared" si="75"/>
        <v>6</v>
      </c>
      <c r="L1549" s="188">
        <v>0</v>
      </c>
      <c r="M1549" s="188">
        <v>2554281.35</v>
      </c>
      <c r="N1549" s="189">
        <v>900994552</v>
      </c>
      <c r="O1549" t="s">
        <v>2867</v>
      </c>
      <c r="P1549" s="187">
        <v>45099.381782407399</v>
      </c>
      <c r="Q1549" s="186">
        <v>12113</v>
      </c>
      <c r="R1549" s="185" t="s">
        <v>844</v>
      </c>
      <c r="S1549" s="185" t="s">
        <v>1606</v>
      </c>
      <c r="T1549" t="s">
        <v>1894</v>
      </c>
      <c r="U1549" t="str">
        <f>IF($L1549&gt;0,VLOOKUP($E1549,Valida!$A$1:$G$270,6,FALSE),IF($M1549&gt;=0,VLOOKUP($E1549,Valida!$A$1:$G$270,7,FALSE)))</f>
        <v>Disponible</v>
      </c>
      <c r="V1549" s="190" t="str">
        <f>VLOOKUP(E1549,Valida!$A$2:$K$271,4,FALSE)</f>
        <v>Cash and equivalents</v>
      </c>
      <c r="W1549" s="185" t="s">
        <v>1796</v>
      </c>
      <c r="X1549" s="185" t="s">
        <v>1797</v>
      </c>
      <c r="Y1549" s="185" t="s">
        <v>1789</v>
      </c>
      <c r="Z1549"/>
    </row>
    <row r="1550" spans="1:26">
      <c r="A1550" s="185" t="s">
        <v>2725</v>
      </c>
      <c r="B1550" s="185" t="s">
        <v>2869</v>
      </c>
      <c r="C1550" s="185" t="s">
        <v>1960</v>
      </c>
      <c r="D1550" s="185" t="s">
        <v>2870</v>
      </c>
      <c r="E1550" s="185">
        <v>112005</v>
      </c>
      <c r="F1550" s="185" t="s">
        <v>24</v>
      </c>
      <c r="G1550" s="185" t="s">
        <v>1961</v>
      </c>
      <c r="H1550" s="185" t="s">
        <v>1515</v>
      </c>
      <c r="I1550" s="258" t="str">
        <f t="shared" si="73"/>
        <v>1</v>
      </c>
      <c r="J1550" s="221">
        <f t="shared" si="74"/>
        <v>2864.21</v>
      </c>
      <c r="K1550" s="258">
        <f t="shared" si="75"/>
        <v>5</v>
      </c>
      <c r="L1550" s="188">
        <v>2864.21</v>
      </c>
      <c r="M1550" s="188">
        <v>0</v>
      </c>
      <c r="N1550" s="189">
        <v>890903938</v>
      </c>
      <c r="O1550"/>
      <c r="P1550" s="187">
        <v>45099.384131944404</v>
      </c>
      <c r="Q1550" s="186">
        <v>12114</v>
      </c>
      <c r="R1550" s="185" t="s">
        <v>1827</v>
      </c>
      <c r="S1550" s="185" t="s">
        <v>1580</v>
      </c>
      <c r="T1550" t="s">
        <v>1894</v>
      </c>
      <c r="U1550" t="str">
        <f>IF($L1550&gt;0,VLOOKUP($E1550,Valida!$A$1:$G$270,6,FALSE),IF($M1550&gt;=0,VLOOKUP($E1550,Valida!$A$1:$G$270,7,FALSE)))</f>
        <v>Disponible</v>
      </c>
      <c r="V1550" s="190" t="str">
        <f>VLOOKUP(E1550,Valida!$A$2:$K$271,4,FALSE)</f>
        <v>Cash and equivalents</v>
      </c>
      <c r="W1550" s="185" t="s">
        <v>1955</v>
      </c>
      <c r="X1550" s="185"/>
      <c r="Y1550" s="185" t="s">
        <v>1844</v>
      </c>
      <c r="Z1550"/>
    </row>
    <row r="1551" spans="1:26">
      <c r="A1551" s="185" t="s">
        <v>2725</v>
      </c>
      <c r="B1551" s="185" t="s">
        <v>2869</v>
      </c>
      <c r="C1551" s="185" t="s">
        <v>1960</v>
      </c>
      <c r="D1551" s="185" t="s">
        <v>2870</v>
      </c>
      <c r="E1551" s="185">
        <v>42100501</v>
      </c>
      <c r="F1551" s="185" t="s">
        <v>1039</v>
      </c>
      <c r="G1551" s="185" t="s">
        <v>1961</v>
      </c>
      <c r="H1551" s="185" t="s">
        <v>1628</v>
      </c>
      <c r="I1551" s="258" t="str">
        <f t="shared" si="73"/>
        <v>4</v>
      </c>
      <c r="J1551" s="221">
        <f t="shared" si="74"/>
        <v>-2864.21</v>
      </c>
      <c r="K1551" s="258">
        <f t="shared" si="75"/>
        <v>5</v>
      </c>
      <c r="L1551" s="188">
        <v>0</v>
      </c>
      <c r="M1551" s="188">
        <v>2864.21</v>
      </c>
      <c r="N1551" s="189">
        <v>890903938</v>
      </c>
      <c r="O1551"/>
      <c r="P1551" s="187">
        <v>45099.384131944404</v>
      </c>
      <c r="Q1551" s="186">
        <v>12115</v>
      </c>
      <c r="R1551" s="185" t="s">
        <v>1827</v>
      </c>
      <c r="S1551" s="185" t="s">
        <v>1580</v>
      </c>
      <c r="T1551"/>
      <c r="U1551" t="str">
        <f>IF($L1551&gt;0,VLOOKUP($E1551,Valida!$A$1:$G$270,6,FALSE),IF($M1551&gt;=0,VLOOKUP($E1551,Valida!$A$1:$G$270,7,FALSE)))</f>
        <v>(+/-) Ganancia (pérdida)</v>
      </c>
      <c r="V1551" s="190" t="str">
        <f>VLOOKUP(E1551,Valida!$A$2:$K$271,4,FALSE)</f>
        <v>P&amp;L</v>
      </c>
      <c r="W1551" s="185" t="s">
        <v>1955</v>
      </c>
      <c r="X1551" s="185"/>
      <c r="Y1551" s="185" t="s">
        <v>1844</v>
      </c>
      <c r="Z1551"/>
    </row>
    <row r="1552" spans="1:26">
      <c r="A1552" s="185" t="s">
        <v>2725</v>
      </c>
      <c r="B1552" s="185" t="s">
        <v>2871</v>
      </c>
      <c r="C1552" s="185" t="s">
        <v>1952</v>
      </c>
      <c r="D1552" s="185" t="s">
        <v>2596</v>
      </c>
      <c r="E1552" s="185">
        <v>53050501</v>
      </c>
      <c r="F1552" s="185" t="s">
        <v>1462</v>
      </c>
      <c r="G1552" s="185" t="s">
        <v>1954</v>
      </c>
      <c r="H1552" s="185" t="s">
        <v>1515</v>
      </c>
      <c r="I1552" s="258" t="str">
        <f t="shared" si="73"/>
        <v>5</v>
      </c>
      <c r="J1552" s="221">
        <f t="shared" si="74"/>
        <v>69200</v>
      </c>
      <c r="K1552" s="258">
        <f t="shared" si="75"/>
        <v>5</v>
      </c>
      <c r="L1552" s="188">
        <v>69200</v>
      </c>
      <c r="M1552" s="188">
        <v>0</v>
      </c>
      <c r="N1552" s="189">
        <v>890903938</v>
      </c>
      <c r="O1552"/>
      <c r="P1552" s="187">
        <v>45099.387002314797</v>
      </c>
      <c r="Q1552" s="186">
        <v>12116</v>
      </c>
      <c r="R1552" s="185" t="s">
        <v>1827</v>
      </c>
      <c r="S1552" s="185" t="s">
        <v>1580</v>
      </c>
      <c r="T1552"/>
      <c r="U1552" t="str">
        <f>IF($L1552&gt;0,VLOOKUP($E1552,Valida!$A$1:$G$270,6,FALSE),IF($M1552&gt;=0,VLOOKUP($E1552,Valida!$A$1:$G$270,7,FALSE)))</f>
        <v>(+/-) Ganancia (pérdida)</v>
      </c>
      <c r="V1552" s="190" t="str">
        <f>VLOOKUP(E1552,Valida!$A$2:$K$271,4,FALSE)</f>
        <v>P&amp;L</v>
      </c>
      <c r="W1552" s="185" t="s">
        <v>1955</v>
      </c>
      <c r="X1552" s="185"/>
      <c r="Y1552" s="185" t="s">
        <v>1844</v>
      </c>
      <c r="Z1552"/>
    </row>
    <row r="1553" spans="1:26">
      <c r="A1553" s="185" t="s">
        <v>2725</v>
      </c>
      <c r="B1553" s="185" t="s">
        <v>2871</v>
      </c>
      <c r="C1553" s="185" t="s">
        <v>1952</v>
      </c>
      <c r="D1553" s="185" t="s">
        <v>2596</v>
      </c>
      <c r="E1553" s="185">
        <v>24081002</v>
      </c>
      <c r="F1553" s="185" t="s">
        <v>1687</v>
      </c>
      <c r="G1553" s="185" t="s">
        <v>1954</v>
      </c>
      <c r="H1553" s="185" t="s">
        <v>1515</v>
      </c>
      <c r="I1553" s="258" t="str">
        <f t="shared" si="73"/>
        <v>2</v>
      </c>
      <c r="J1553" s="221">
        <f t="shared" si="74"/>
        <v>13148</v>
      </c>
      <c r="K1553" s="258">
        <f t="shared" si="75"/>
        <v>5</v>
      </c>
      <c r="L1553" s="188">
        <v>13148</v>
      </c>
      <c r="M1553" s="188">
        <v>0</v>
      </c>
      <c r="N1553" s="189">
        <v>890903938</v>
      </c>
      <c r="O1553"/>
      <c r="P1553" s="187">
        <v>45099.387002314797</v>
      </c>
      <c r="Q1553" s="186">
        <v>12117</v>
      </c>
      <c r="R1553" s="185" t="s">
        <v>1827</v>
      </c>
      <c r="S1553" s="185" t="s">
        <v>1580</v>
      </c>
      <c r="T1553"/>
      <c r="U1553" t="str">
        <f>IF($L1553&gt;0,VLOOKUP($E1553,Valida!$A$1:$G$270,6,FALSE),IF($M1553&gt;=0,VLOOKUP($E1553,Valida!$A$1:$G$270,7,FALSE)))</f>
        <v>(+/-) Ajustes por el incremento (disminución) de cuentas por pagar de origen comercial</v>
      </c>
      <c r="V1553" s="190" t="str">
        <f>VLOOKUP(E1553,Valida!$A$2:$K$271,4,FALSE)</f>
        <v>Trade and other payables</v>
      </c>
      <c r="W1553" s="185" t="s">
        <v>1955</v>
      </c>
      <c r="X1553" s="185"/>
      <c r="Y1553" s="185" t="s">
        <v>1844</v>
      </c>
      <c r="Z1553"/>
    </row>
    <row r="1554" spans="1:26">
      <c r="A1554" s="185" t="s">
        <v>2725</v>
      </c>
      <c r="B1554" s="185" t="s">
        <v>2871</v>
      </c>
      <c r="C1554" s="185" t="s">
        <v>1952</v>
      </c>
      <c r="D1554" s="185" t="s">
        <v>2596</v>
      </c>
      <c r="E1554" s="185">
        <v>112005</v>
      </c>
      <c r="F1554" s="185" t="s">
        <v>24</v>
      </c>
      <c r="G1554" s="185" t="s">
        <v>1954</v>
      </c>
      <c r="H1554" s="185" t="s">
        <v>1628</v>
      </c>
      <c r="I1554" s="258" t="str">
        <f t="shared" si="73"/>
        <v>1</v>
      </c>
      <c r="J1554" s="221">
        <f t="shared" si="74"/>
        <v>-69200</v>
      </c>
      <c r="K1554" s="258">
        <f t="shared" si="75"/>
        <v>5</v>
      </c>
      <c r="L1554" s="188">
        <v>0</v>
      </c>
      <c r="M1554" s="188">
        <v>69200</v>
      </c>
      <c r="N1554" s="189">
        <v>890903938</v>
      </c>
      <c r="O1554"/>
      <c r="P1554" s="187">
        <v>45099.387013888903</v>
      </c>
      <c r="Q1554" s="186">
        <v>12118</v>
      </c>
      <c r="R1554" s="185" t="s">
        <v>1827</v>
      </c>
      <c r="S1554" s="185" t="s">
        <v>1580</v>
      </c>
      <c r="T1554" t="s">
        <v>1894</v>
      </c>
      <c r="U1554" t="str">
        <f>IF($L1554&gt;0,VLOOKUP($E1554,Valida!$A$1:$G$270,6,FALSE),IF($M1554&gt;=0,VLOOKUP($E1554,Valida!$A$1:$G$270,7,FALSE)))</f>
        <v>Disponible</v>
      </c>
      <c r="V1554" s="190" t="str">
        <f>VLOOKUP(E1554,Valida!$A$2:$K$271,4,FALSE)</f>
        <v>Cash and equivalents</v>
      </c>
      <c r="W1554" s="185" t="s">
        <v>1955</v>
      </c>
      <c r="X1554" s="185"/>
      <c r="Y1554" s="185" t="s">
        <v>1844</v>
      </c>
      <c r="Z1554"/>
    </row>
    <row r="1555" spans="1:26">
      <c r="A1555" s="185" t="s">
        <v>2725</v>
      </c>
      <c r="B1555" s="185" t="s">
        <v>2871</v>
      </c>
      <c r="C1555" s="185" t="s">
        <v>1952</v>
      </c>
      <c r="D1555" s="185" t="s">
        <v>2596</v>
      </c>
      <c r="E1555" s="185">
        <v>112005</v>
      </c>
      <c r="F1555" s="185" t="s">
        <v>24</v>
      </c>
      <c r="G1555" s="185" t="s">
        <v>1956</v>
      </c>
      <c r="H1555" s="185" t="s">
        <v>1628</v>
      </c>
      <c r="I1555" s="258" t="str">
        <f t="shared" si="73"/>
        <v>1</v>
      </c>
      <c r="J1555" s="221">
        <f t="shared" si="74"/>
        <v>-13148</v>
      </c>
      <c r="K1555" s="258">
        <f t="shared" si="75"/>
        <v>5</v>
      </c>
      <c r="L1555" s="188">
        <v>0</v>
      </c>
      <c r="M1555" s="188">
        <v>13148</v>
      </c>
      <c r="N1555" s="189">
        <v>890903938</v>
      </c>
      <c r="O1555"/>
      <c r="P1555" s="187">
        <v>45099.387013888903</v>
      </c>
      <c r="Q1555" s="186">
        <v>12119</v>
      </c>
      <c r="R1555" s="185" t="s">
        <v>1827</v>
      </c>
      <c r="S1555" s="185" t="s">
        <v>1580</v>
      </c>
      <c r="T1555" t="s">
        <v>1894</v>
      </c>
      <c r="U1555" t="str">
        <f>IF($L1555&gt;0,VLOOKUP($E1555,Valida!$A$1:$G$270,6,FALSE),IF($M1555&gt;=0,VLOOKUP($E1555,Valida!$A$1:$G$270,7,FALSE)))</f>
        <v>Disponible</v>
      </c>
      <c r="V1555" s="190" t="str">
        <f>VLOOKUP(E1555,Valida!$A$2:$K$271,4,FALSE)</f>
        <v>Cash and equivalents</v>
      </c>
      <c r="W1555" s="185" t="s">
        <v>1955</v>
      </c>
      <c r="X1555" s="185"/>
      <c r="Y1555" s="185" t="s">
        <v>1844</v>
      </c>
      <c r="Z1555"/>
    </row>
    <row r="1556" spans="1:26">
      <c r="A1556" s="185" t="s">
        <v>2725</v>
      </c>
      <c r="B1556" s="185" t="s">
        <v>2871</v>
      </c>
      <c r="C1556" s="185" t="s">
        <v>1952</v>
      </c>
      <c r="D1556" s="185" t="s">
        <v>2596</v>
      </c>
      <c r="E1556" s="185">
        <v>53050503</v>
      </c>
      <c r="F1556" s="185" t="s">
        <v>1468</v>
      </c>
      <c r="G1556" s="185" t="s">
        <v>1957</v>
      </c>
      <c r="H1556" s="185" t="s">
        <v>1515</v>
      </c>
      <c r="I1556" s="258" t="str">
        <f t="shared" si="73"/>
        <v>5</v>
      </c>
      <c r="J1556" s="221">
        <f t="shared" si="74"/>
        <v>74058.740000000005</v>
      </c>
      <c r="K1556" s="258">
        <f t="shared" si="75"/>
        <v>5</v>
      </c>
      <c r="L1556" s="188">
        <v>74058.740000000005</v>
      </c>
      <c r="M1556" s="188">
        <v>0</v>
      </c>
      <c r="N1556" s="189">
        <v>890903938</v>
      </c>
      <c r="O1556"/>
      <c r="P1556" s="187">
        <v>45099.387013888903</v>
      </c>
      <c r="Q1556" s="186">
        <v>12120</v>
      </c>
      <c r="R1556" s="185" t="s">
        <v>1827</v>
      </c>
      <c r="S1556" s="185" t="s">
        <v>1580</v>
      </c>
      <c r="T1556"/>
      <c r="U1556" t="str">
        <f>IF($L1556&gt;0,VLOOKUP($E1556,Valida!$A$1:$G$270,6,FALSE),IF($M1556&gt;=0,VLOOKUP($E1556,Valida!$A$1:$G$270,7,FALSE)))</f>
        <v>(+/-) Ganancia (pérdida)</v>
      </c>
      <c r="V1556" s="190" t="str">
        <f>VLOOKUP(E1556,Valida!$A$2:$K$271,4,FALSE)</f>
        <v>P&amp;L</v>
      </c>
      <c r="W1556" s="185" t="s">
        <v>1955</v>
      </c>
      <c r="X1556" s="185"/>
      <c r="Y1556" s="185" t="s">
        <v>1844</v>
      </c>
      <c r="Z1556"/>
    </row>
    <row r="1557" spans="1:26">
      <c r="A1557" s="185" t="s">
        <v>2725</v>
      </c>
      <c r="B1557" s="185" t="s">
        <v>2871</v>
      </c>
      <c r="C1557" s="185" t="s">
        <v>1952</v>
      </c>
      <c r="D1557" s="185" t="s">
        <v>2596</v>
      </c>
      <c r="E1557" s="185">
        <v>24081002</v>
      </c>
      <c r="F1557" s="185" t="s">
        <v>1687</v>
      </c>
      <c r="G1557" s="185" t="s">
        <v>1957</v>
      </c>
      <c r="H1557" s="185" t="s">
        <v>1515</v>
      </c>
      <c r="I1557" s="258" t="str">
        <f t="shared" si="73"/>
        <v>2</v>
      </c>
      <c r="J1557" s="221">
        <f t="shared" si="74"/>
        <v>14071.26</v>
      </c>
      <c r="K1557" s="258">
        <f t="shared" si="75"/>
        <v>5</v>
      </c>
      <c r="L1557" s="188">
        <v>14071.26</v>
      </c>
      <c r="M1557" s="188">
        <v>0</v>
      </c>
      <c r="N1557" s="189">
        <v>890903938</v>
      </c>
      <c r="O1557"/>
      <c r="P1557" s="187">
        <v>45099.387013888903</v>
      </c>
      <c r="Q1557" s="186">
        <v>12121</v>
      </c>
      <c r="R1557" s="185" t="s">
        <v>1827</v>
      </c>
      <c r="S1557" s="185" t="s">
        <v>1580</v>
      </c>
      <c r="T1557"/>
      <c r="U1557" t="str">
        <f>IF($L1557&gt;0,VLOOKUP($E1557,Valida!$A$1:$G$270,6,FALSE),IF($M1557&gt;=0,VLOOKUP($E1557,Valida!$A$1:$G$270,7,FALSE)))</f>
        <v>(+/-) Ajustes por el incremento (disminución) de cuentas por pagar de origen comercial</v>
      </c>
      <c r="V1557" s="190" t="str">
        <f>VLOOKUP(E1557,Valida!$A$2:$K$271,4,FALSE)</f>
        <v>Trade and other payables</v>
      </c>
      <c r="W1557" s="185" t="s">
        <v>1955</v>
      </c>
      <c r="X1557" s="185"/>
      <c r="Y1557" s="185" t="s">
        <v>1844</v>
      </c>
      <c r="Z1557"/>
    </row>
    <row r="1558" spans="1:26">
      <c r="A1558" s="185" t="s">
        <v>2725</v>
      </c>
      <c r="B1558" s="185" t="s">
        <v>2871</v>
      </c>
      <c r="C1558" s="185" t="s">
        <v>1952</v>
      </c>
      <c r="D1558" s="185" t="s">
        <v>2596</v>
      </c>
      <c r="E1558" s="185">
        <v>112005</v>
      </c>
      <c r="F1558" s="185" t="s">
        <v>24</v>
      </c>
      <c r="G1558" s="185" t="s">
        <v>1957</v>
      </c>
      <c r="H1558" s="185" t="s">
        <v>1628</v>
      </c>
      <c r="I1558" s="258" t="str">
        <f t="shared" si="73"/>
        <v>1</v>
      </c>
      <c r="J1558" s="221">
        <f t="shared" si="74"/>
        <v>-74058.740000000005</v>
      </c>
      <c r="K1558" s="258">
        <f t="shared" si="75"/>
        <v>5</v>
      </c>
      <c r="L1558" s="188">
        <v>0</v>
      </c>
      <c r="M1558" s="188">
        <v>74058.740000000005</v>
      </c>
      <c r="N1558" s="189">
        <v>890903938</v>
      </c>
      <c r="O1558"/>
      <c r="P1558" s="187">
        <v>45099.387013888903</v>
      </c>
      <c r="Q1558" s="186">
        <v>12122</v>
      </c>
      <c r="R1558" s="185" t="s">
        <v>1827</v>
      </c>
      <c r="S1558" s="185" t="s">
        <v>1580</v>
      </c>
      <c r="T1558" t="s">
        <v>1894</v>
      </c>
      <c r="U1558" t="str">
        <f>IF($L1558&gt;0,VLOOKUP($E1558,Valida!$A$1:$G$270,6,FALSE),IF($M1558&gt;=0,VLOOKUP($E1558,Valida!$A$1:$G$270,7,FALSE)))</f>
        <v>Disponible</v>
      </c>
      <c r="V1558" s="190" t="str">
        <f>VLOOKUP(E1558,Valida!$A$2:$K$271,4,FALSE)</f>
        <v>Cash and equivalents</v>
      </c>
      <c r="W1558" s="185" t="s">
        <v>1955</v>
      </c>
      <c r="X1558" s="185"/>
      <c r="Y1558" s="185" t="s">
        <v>1844</v>
      </c>
      <c r="Z1558"/>
    </row>
    <row r="1559" spans="1:26">
      <c r="A1559" s="185" t="s">
        <v>2725</v>
      </c>
      <c r="B1559" s="185" t="s">
        <v>2871</v>
      </c>
      <c r="C1559" s="185" t="s">
        <v>1952</v>
      </c>
      <c r="D1559" s="185" t="s">
        <v>2596</v>
      </c>
      <c r="E1559" s="185">
        <v>112005</v>
      </c>
      <c r="F1559" s="185" t="s">
        <v>24</v>
      </c>
      <c r="G1559" s="185" t="s">
        <v>1957</v>
      </c>
      <c r="H1559" s="185" t="s">
        <v>1628</v>
      </c>
      <c r="I1559" s="258" t="str">
        <f t="shared" si="73"/>
        <v>1</v>
      </c>
      <c r="J1559" s="221">
        <f t="shared" si="74"/>
        <v>-14071.26</v>
      </c>
      <c r="K1559" s="258">
        <f t="shared" si="75"/>
        <v>5</v>
      </c>
      <c r="L1559" s="188">
        <v>0</v>
      </c>
      <c r="M1559" s="188">
        <v>14071.26</v>
      </c>
      <c r="N1559" s="189">
        <v>890903938</v>
      </c>
      <c r="O1559"/>
      <c r="P1559" s="187">
        <v>45099.387013888903</v>
      </c>
      <c r="Q1559" s="186">
        <v>12123</v>
      </c>
      <c r="R1559" s="185" t="s">
        <v>1827</v>
      </c>
      <c r="S1559" s="185" t="s">
        <v>1580</v>
      </c>
      <c r="T1559" t="s">
        <v>1894</v>
      </c>
      <c r="U1559" t="str">
        <f>IF($L1559&gt;0,VLOOKUP($E1559,Valida!$A$1:$G$270,6,FALSE),IF($M1559&gt;=0,VLOOKUP($E1559,Valida!$A$1:$G$270,7,FALSE)))</f>
        <v>Disponible</v>
      </c>
      <c r="V1559" s="190" t="str">
        <f>VLOOKUP(E1559,Valida!$A$2:$K$271,4,FALSE)</f>
        <v>Cash and equivalents</v>
      </c>
      <c r="W1559" s="185" t="s">
        <v>1955</v>
      </c>
      <c r="X1559" s="185"/>
      <c r="Y1559" s="185" t="s">
        <v>1844</v>
      </c>
      <c r="Z1559"/>
    </row>
    <row r="1560" spans="1:26">
      <c r="A1560" s="185" t="s">
        <v>2725</v>
      </c>
      <c r="B1560" s="185" t="s">
        <v>2871</v>
      </c>
      <c r="C1560" s="185" t="s">
        <v>1952</v>
      </c>
      <c r="D1560" s="185" t="s">
        <v>2596</v>
      </c>
      <c r="E1560" s="185">
        <v>53050502</v>
      </c>
      <c r="F1560" s="185" t="s">
        <v>1465</v>
      </c>
      <c r="G1560" s="185" t="s">
        <v>1466</v>
      </c>
      <c r="H1560" s="185" t="s">
        <v>1515</v>
      </c>
      <c r="I1560" s="258" t="str">
        <f t="shared" si="73"/>
        <v>5</v>
      </c>
      <c r="J1560" s="221">
        <f t="shared" si="74"/>
        <v>12990</v>
      </c>
      <c r="K1560" s="258">
        <f t="shared" si="75"/>
        <v>5</v>
      </c>
      <c r="L1560" s="188">
        <v>12990</v>
      </c>
      <c r="M1560" s="188">
        <v>0</v>
      </c>
      <c r="N1560" s="189">
        <v>890903938</v>
      </c>
      <c r="O1560"/>
      <c r="P1560" s="187">
        <v>45099.387013888903</v>
      </c>
      <c r="Q1560" s="186">
        <v>12124</v>
      </c>
      <c r="R1560" s="185" t="s">
        <v>1827</v>
      </c>
      <c r="S1560" s="185" t="s">
        <v>1580</v>
      </c>
      <c r="T1560"/>
      <c r="U1560" t="str">
        <f>IF($L1560&gt;0,VLOOKUP($E1560,Valida!$A$1:$G$270,6,FALSE),IF($M1560&gt;=0,VLOOKUP($E1560,Valida!$A$1:$G$270,7,FALSE)))</f>
        <v>(+/-) Ganancia (pérdida)</v>
      </c>
      <c r="V1560" s="190" t="str">
        <f>VLOOKUP(E1560,Valida!$A$2:$K$271,4,FALSE)</f>
        <v>P&amp;L</v>
      </c>
      <c r="W1560" s="185" t="s">
        <v>1955</v>
      </c>
      <c r="X1560" s="185"/>
      <c r="Y1560" s="185" t="s">
        <v>1844</v>
      </c>
      <c r="Z1560"/>
    </row>
    <row r="1561" spans="1:26">
      <c r="A1561" s="185" t="s">
        <v>2725</v>
      </c>
      <c r="B1561" s="185" t="s">
        <v>2871</v>
      </c>
      <c r="C1561" s="185" t="s">
        <v>1952</v>
      </c>
      <c r="D1561" s="185" t="s">
        <v>2596</v>
      </c>
      <c r="E1561" s="185">
        <v>112005</v>
      </c>
      <c r="F1561" s="185" t="s">
        <v>24</v>
      </c>
      <c r="G1561" s="185" t="s">
        <v>1466</v>
      </c>
      <c r="H1561" s="185" t="s">
        <v>1628</v>
      </c>
      <c r="I1561" s="258" t="str">
        <f t="shared" si="73"/>
        <v>1</v>
      </c>
      <c r="J1561" s="221">
        <f t="shared" si="74"/>
        <v>-12990</v>
      </c>
      <c r="K1561" s="258">
        <f t="shared" si="75"/>
        <v>5</v>
      </c>
      <c r="L1561" s="188">
        <v>0</v>
      </c>
      <c r="M1561" s="188">
        <v>12990</v>
      </c>
      <c r="N1561" s="189">
        <v>890903938</v>
      </c>
      <c r="O1561"/>
      <c r="P1561" s="187">
        <v>45099.387013888903</v>
      </c>
      <c r="Q1561" s="186">
        <v>12125</v>
      </c>
      <c r="R1561" s="185" t="s">
        <v>1827</v>
      </c>
      <c r="S1561" s="185" t="s">
        <v>1580</v>
      </c>
      <c r="T1561" t="s">
        <v>1894</v>
      </c>
      <c r="U1561" t="str">
        <f>IF($L1561&gt;0,VLOOKUP($E1561,Valida!$A$1:$G$270,6,FALSE),IF($M1561&gt;=0,VLOOKUP($E1561,Valida!$A$1:$G$270,7,FALSE)))</f>
        <v>Disponible</v>
      </c>
      <c r="V1561" s="190" t="str">
        <f>VLOOKUP(E1561,Valida!$A$2:$K$271,4,FALSE)</f>
        <v>Cash and equivalents</v>
      </c>
      <c r="W1561" s="185" t="s">
        <v>1955</v>
      </c>
      <c r="X1561" s="185"/>
      <c r="Y1561" s="185" t="s">
        <v>1844</v>
      </c>
      <c r="Z1561"/>
    </row>
    <row r="1562" spans="1:26">
      <c r="A1562" s="185" t="s">
        <v>2725</v>
      </c>
      <c r="B1562" s="185" t="s">
        <v>2871</v>
      </c>
      <c r="C1562" s="185" t="s">
        <v>1952</v>
      </c>
      <c r="D1562" s="185" t="s">
        <v>2596</v>
      </c>
      <c r="E1562" s="185">
        <v>51159501</v>
      </c>
      <c r="F1562" s="185" t="s">
        <v>1181</v>
      </c>
      <c r="G1562" s="185" t="s">
        <v>1958</v>
      </c>
      <c r="H1562" s="185" t="s">
        <v>1515</v>
      </c>
      <c r="I1562" s="258" t="str">
        <f t="shared" si="73"/>
        <v>5</v>
      </c>
      <c r="J1562" s="221">
        <f t="shared" si="74"/>
        <v>213709.48</v>
      </c>
      <c r="K1562" s="258">
        <f t="shared" si="75"/>
        <v>5</v>
      </c>
      <c r="L1562" s="188">
        <v>213709.48</v>
      </c>
      <c r="M1562" s="188">
        <v>0</v>
      </c>
      <c r="N1562" s="189">
        <v>890903938</v>
      </c>
      <c r="O1562"/>
      <c r="P1562" s="187">
        <v>45099.387013888903</v>
      </c>
      <c r="Q1562" s="186">
        <v>12126</v>
      </c>
      <c r="R1562" s="185" t="s">
        <v>1827</v>
      </c>
      <c r="S1562" s="185" t="s">
        <v>1580</v>
      </c>
      <c r="T1562"/>
      <c r="U1562" t="str">
        <f>IF($L1562&gt;0,VLOOKUP($E1562,Valida!$A$1:$G$270,6,FALSE),IF($M1562&gt;=0,VLOOKUP($E1562,Valida!$A$1:$G$270,7,FALSE)))</f>
        <v>(+/-) Ganancia (pérdida)</v>
      </c>
      <c r="V1562" s="190" t="str">
        <f>VLOOKUP(E1562,Valida!$A$2:$K$271,4,FALSE)</f>
        <v>P&amp;L</v>
      </c>
      <c r="W1562" s="185" t="s">
        <v>1955</v>
      </c>
      <c r="X1562" s="185"/>
      <c r="Y1562" s="185" t="s">
        <v>1844</v>
      </c>
      <c r="Z1562"/>
    </row>
    <row r="1563" spans="1:26">
      <c r="A1563" s="185" t="s">
        <v>2725</v>
      </c>
      <c r="B1563" s="185" t="s">
        <v>2871</v>
      </c>
      <c r="C1563" s="185" t="s">
        <v>1952</v>
      </c>
      <c r="D1563" s="185" t="s">
        <v>2596</v>
      </c>
      <c r="E1563" s="185">
        <v>112005</v>
      </c>
      <c r="F1563" s="185" t="s">
        <v>24</v>
      </c>
      <c r="G1563" s="185" t="s">
        <v>1958</v>
      </c>
      <c r="H1563" s="185" t="s">
        <v>1628</v>
      </c>
      <c r="I1563" s="258" t="str">
        <f t="shared" si="73"/>
        <v>1</v>
      </c>
      <c r="J1563" s="221">
        <f t="shared" si="74"/>
        <v>-213709.48</v>
      </c>
      <c r="K1563" s="258">
        <f t="shared" si="75"/>
        <v>5</v>
      </c>
      <c r="L1563" s="188">
        <v>0</v>
      </c>
      <c r="M1563" s="188">
        <v>213709.48</v>
      </c>
      <c r="N1563" s="189">
        <v>890903938</v>
      </c>
      <c r="O1563"/>
      <c r="P1563" s="187">
        <v>45099.387013888903</v>
      </c>
      <c r="Q1563" s="186">
        <v>12127</v>
      </c>
      <c r="R1563" s="185" t="s">
        <v>1827</v>
      </c>
      <c r="S1563" s="185" t="s">
        <v>1580</v>
      </c>
      <c r="T1563" t="s">
        <v>1894</v>
      </c>
      <c r="U1563" t="str">
        <f>IF($L1563&gt;0,VLOOKUP($E1563,Valida!$A$1:$G$270,6,FALSE),IF($M1563&gt;=0,VLOOKUP($E1563,Valida!$A$1:$G$270,7,FALSE)))</f>
        <v>Disponible</v>
      </c>
      <c r="V1563" s="190" t="str">
        <f>VLOOKUP(E1563,Valida!$A$2:$K$271,4,FALSE)</f>
        <v>Cash and equivalents</v>
      </c>
      <c r="W1563" s="185" t="s">
        <v>1955</v>
      </c>
      <c r="X1563" s="185"/>
      <c r="Y1563" s="185" t="s">
        <v>1844</v>
      </c>
      <c r="Z1563"/>
    </row>
    <row r="1564" spans="1:26">
      <c r="A1564" s="185" t="s">
        <v>2840</v>
      </c>
      <c r="B1564" s="185" t="s">
        <v>2872</v>
      </c>
      <c r="C1564" s="185" t="s">
        <v>2045</v>
      </c>
      <c r="D1564" s="185" t="s">
        <v>2873</v>
      </c>
      <c r="E1564" s="185">
        <v>23355007</v>
      </c>
      <c r="F1564" s="185" t="s">
        <v>1638</v>
      </c>
      <c r="G1564" s="185" t="s">
        <v>2874</v>
      </c>
      <c r="H1564" s="185" t="s">
        <v>1628</v>
      </c>
      <c r="I1564" s="258" t="str">
        <f t="shared" si="73"/>
        <v>2</v>
      </c>
      <c r="J1564" s="221">
        <f t="shared" si="74"/>
        <v>-53873.5</v>
      </c>
      <c r="K1564" s="258">
        <f t="shared" si="75"/>
        <v>6</v>
      </c>
      <c r="L1564" s="188">
        <v>0</v>
      </c>
      <c r="M1564" s="188">
        <v>53873.5</v>
      </c>
      <c r="N1564" s="189">
        <v>444444001</v>
      </c>
      <c r="O1564" t="s">
        <v>2872</v>
      </c>
      <c r="P1564" s="187">
        <v>45099.410254629598</v>
      </c>
      <c r="Q1564" s="186">
        <v>12128</v>
      </c>
      <c r="R1564" s="185"/>
      <c r="S1564" s="185" t="s">
        <v>1548</v>
      </c>
      <c r="T1564"/>
      <c r="U1564" t="str">
        <f>IF($L1564&gt;0,VLOOKUP($E1564,Valida!$A$1:$G$270,6,FALSE),IF($M1564&gt;=0,VLOOKUP($E1564,Valida!$A$1:$G$270,7,FALSE)))</f>
        <v>(+/-) Ajustes por el incremento (disminución) de cuentas por pagar de origen comercial</v>
      </c>
      <c r="V1564" s="190" t="str">
        <f>VLOOKUP(E1564,Valida!$A$2:$K$271,4,FALSE)</f>
        <v>Trade and other payables</v>
      </c>
      <c r="W1564" s="185"/>
      <c r="X1564" s="185"/>
      <c r="Y1564" s="185"/>
      <c r="Z1564"/>
    </row>
    <row r="1565" spans="1:26">
      <c r="A1565" s="185" t="s">
        <v>2840</v>
      </c>
      <c r="B1565" s="185" t="s">
        <v>2872</v>
      </c>
      <c r="C1565" s="185" t="s">
        <v>2045</v>
      </c>
      <c r="D1565" s="185" t="s">
        <v>2873</v>
      </c>
      <c r="E1565" s="185">
        <v>51350504</v>
      </c>
      <c r="F1565" s="185" t="s">
        <v>1638</v>
      </c>
      <c r="G1565" s="185" t="s">
        <v>2875</v>
      </c>
      <c r="H1565" s="185" t="s">
        <v>1515</v>
      </c>
      <c r="I1565" s="258" t="str">
        <f t="shared" si="73"/>
        <v>5</v>
      </c>
      <c r="J1565" s="221">
        <f t="shared" si="74"/>
        <v>53873.5</v>
      </c>
      <c r="K1565" s="258">
        <f t="shared" si="75"/>
        <v>6</v>
      </c>
      <c r="L1565" s="188">
        <v>53873.5</v>
      </c>
      <c r="M1565" s="188">
        <v>0</v>
      </c>
      <c r="N1565" s="189">
        <v>444444001</v>
      </c>
      <c r="O1565" t="s">
        <v>2872</v>
      </c>
      <c r="P1565" s="187">
        <v>45099.410254629598</v>
      </c>
      <c r="Q1565" s="186">
        <v>12129</v>
      </c>
      <c r="R1565" s="185"/>
      <c r="S1565" s="185" t="s">
        <v>1548</v>
      </c>
      <c r="T1565"/>
      <c r="U1565" t="str">
        <f>IF($L1565&gt;0,VLOOKUP($E1565,Valida!$A$1:$G$270,6,FALSE),IF($M1565&gt;=0,VLOOKUP($E1565,Valida!$A$1:$G$270,7,FALSE)))</f>
        <v>(+/-) Ganancia (pérdida)</v>
      </c>
      <c r="V1565" s="190" t="str">
        <f>VLOOKUP(E1565,Valida!$A$2:$K$271,4,FALSE)</f>
        <v>P&amp;L</v>
      </c>
      <c r="W1565" s="185"/>
      <c r="X1565" s="185"/>
      <c r="Y1565" s="185"/>
      <c r="Z1565"/>
    </row>
    <row r="1566" spans="1:26">
      <c r="A1566" s="185" t="s">
        <v>2864</v>
      </c>
      <c r="B1566" s="185" t="s">
        <v>2876</v>
      </c>
      <c r="C1566" s="185" t="s">
        <v>1890</v>
      </c>
      <c r="D1566" s="185" t="s">
        <v>2877</v>
      </c>
      <c r="E1566" s="185">
        <v>23355007</v>
      </c>
      <c r="F1566" s="185" t="s">
        <v>1638</v>
      </c>
      <c r="G1566" s="185" t="s">
        <v>2878</v>
      </c>
      <c r="H1566" s="185" t="s">
        <v>1515</v>
      </c>
      <c r="I1566" s="258" t="str">
        <f t="shared" si="73"/>
        <v>2</v>
      </c>
      <c r="J1566" s="221">
        <f t="shared" si="74"/>
        <v>53873.5</v>
      </c>
      <c r="K1566" s="258">
        <f t="shared" si="75"/>
        <v>6</v>
      </c>
      <c r="L1566" s="188">
        <v>53873.5</v>
      </c>
      <c r="M1566" s="188">
        <v>0</v>
      </c>
      <c r="N1566" s="189">
        <v>444444001</v>
      </c>
      <c r="O1566" t="s">
        <v>2876</v>
      </c>
      <c r="P1566" s="187">
        <v>45099.413275462997</v>
      </c>
      <c r="Q1566" s="186">
        <v>12130</v>
      </c>
      <c r="R1566" s="185"/>
      <c r="S1566" s="185" t="s">
        <v>1548</v>
      </c>
      <c r="T1566"/>
      <c r="U1566" t="str">
        <f>IF($L1566&gt;0,VLOOKUP($E1566,Valida!$A$1:$G$270,6,FALSE),IF($M1566&gt;=0,VLOOKUP($E1566,Valida!$A$1:$G$270,7,FALSE)))</f>
        <v>(+/-) Ajustes por el incremento (disminución) de cuentas por pagar de origen comercial</v>
      </c>
      <c r="V1566" s="190" t="str">
        <f>VLOOKUP(E1566,Valida!$A$2:$K$271,4,FALSE)</f>
        <v>Trade and other payables</v>
      </c>
      <c r="W1566" s="185"/>
      <c r="X1566" s="185"/>
      <c r="Y1566" s="185"/>
      <c r="Z1566"/>
    </row>
    <row r="1567" spans="1:26">
      <c r="A1567" s="185" t="s">
        <v>2864</v>
      </c>
      <c r="B1567" s="185" t="s">
        <v>2876</v>
      </c>
      <c r="C1567" s="185" t="s">
        <v>1890</v>
      </c>
      <c r="D1567" s="185" t="s">
        <v>2877</v>
      </c>
      <c r="E1567" s="185">
        <v>112005</v>
      </c>
      <c r="F1567" s="185" t="s">
        <v>24</v>
      </c>
      <c r="G1567" s="185" t="s">
        <v>2878</v>
      </c>
      <c r="H1567" s="185" t="s">
        <v>1628</v>
      </c>
      <c r="I1567" s="258" t="str">
        <f t="shared" si="73"/>
        <v>1</v>
      </c>
      <c r="J1567" s="221">
        <f t="shared" si="74"/>
        <v>-53873.5</v>
      </c>
      <c r="K1567" s="258">
        <f t="shared" si="75"/>
        <v>6</v>
      </c>
      <c r="L1567" s="188">
        <v>0</v>
      </c>
      <c r="M1567" s="188">
        <v>53873.5</v>
      </c>
      <c r="N1567" s="189">
        <v>444444001</v>
      </c>
      <c r="O1567" t="s">
        <v>2876</v>
      </c>
      <c r="P1567" s="187">
        <v>45099.413275462997</v>
      </c>
      <c r="Q1567" s="186">
        <v>12131</v>
      </c>
      <c r="R1567" s="185"/>
      <c r="S1567" s="185" t="s">
        <v>1548</v>
      </c>
      <c r="T1567" t="s">
        <v>1894</v>
      </c>
      <c r="U1567" t="str">
        <f>IF($L1567&gt;0,VLOOKUP($E1567,Valida!$A$1:$G$270,6,FALSE),IF($M1567&gt;=0,VLOOKUP($E1567,Valida!$A$1:$G$270,7,FALSE)))</f>
        <v>Disponible</v>
      </c>
      <c r="V1567" s="190" t="str">
        <f>VLOOKUP(E1567,Valida!$A$2:$K$271,4,FALSE)</f>
        <v>Cash and equivalents</v>
      </c>
      <c r="W1567" s="185"/>
      <c r="X1567" s="185"/>
      <c r="Y1567" s="185"/>
      <c r="Z1567"/>
    </row>
    <row r="1568" spans="1:26">
      <c r="A1568" s="185" t="s">
        <v>2879</v>
      </c>
      <c r="B1568" s="185" t="s">
        <v>2880</v>
      </c>
      <c r="C1568" s="185" t="s">
        <v>1801</v>
      </c>
      <c r="D1568" s="185" t="s">
        <v>2785</v>
      </c>
      <c r="E1568" s="185">
        <v>130510</v>
      </c>
      <c r="F1568" s="185" t="s">
        <v>64</v>
      </c>
      <c r="G1568" s="185" t="s">
        <v>2881</v>
      </c>
      <c r="H1568" s="185" t="s">
        <v>1515</v>
      </c>
      <c r="I1568" s="258" t="str">
        <f t="shared" si="73"/>
        <v>1</v>
      </c>
      <c r="J1568" s="221">
        <f t="shared" si="74"/>
        <v>66542880</v>
      </c>
      <c r="K1568" s="258">
        <f t="shared" si="75"/>
        <v>6</v>
      </c>
      <c r="L1568" s="188">
        <v>66542880</v>
      </c>
      <c r="M1568" s="188">
        <v>0</v>
      </c>
      <c r="N1568" s="189">
        <v>374795</v>
      </c>
      <c r="O1568" t="s">
        <v>2880</v>
      </c>
      <c r="P1568" s="187">
        <v>45108.4777314815</v>
      </c>
      <c r="Q1568" s="186">
        <v>12132</v>
      </c>
      <c r="R1568" s="185"/>
      <c r="S1568" s="185" t="s">
        <v>1544</v>
      </c>
      <c r="T1568"/>
      <c r="U1568" t="str">
        <f>IF($L1568&gt;0,VLOOKUP($E1568,Valida!$A$1:$G$270,6,FALSE),IF($M1568&gt;=0,VLOOKUP($E1568,Valida!$A$1:$G$270,7,FALSE)))</f>
        <v>(+/-) Ajustes por la disminución (incremento) de cuentas por cobrar de origen comercial</v>
      </c>
      <c r="V1568" s="190" t="str">
        <f>VLOOKUP(E1568,Valida!$A$2:$K$271,4,FALSE)</f>
        <v>Trade and other receivables</v>
      </c>
      <c r="W1568" s="185" t="s">
        <v>1803</v>
      </c>
      <c r="X1568" s="185"/>
      <c r="Y1568" s="185"/>
      <c r="Z1568"/>
    </row>
    <row r="1569" spans="1:26">
      <c r="A1569" s="185" t="s">
        <v>2879</v>
      </c>
      <c r="B1569" s="185" t="s">
        <v>2880</v>
      </c>
      <c r="C1569" s="185" t="s">
        <v>1801</v>
      </c>
      <c r="D1569" s="185" t="s">
        <v>2785</v>
      </c>
      <c r="E1569" s="185">
        <v>41559505</v>
      </c>
      <c r="F1569" s="185" t="s">
        <v>1708</v>
      </c>
      <c r="G1569" s="185" t="s">
        <v>2882</v>
      </c>
      <c r="H1569" s="185" t="s">
        <v>1628</v>
      </c>
      <c r="I1569" s="258" t="str">
        <f t="shared" si="73"/>
        <v>4</v>
      </c>
      <c r="J1569" s="221">
        <f t="shared" si="74"/>
        <v>-66542880</v>
      </c>
      <c r="K1569" s="258">
        <f t="shared" si="75"/>
        <v>6</v>
      </c>
      <c r="L1569" s="188">
        <v>0</v>
      </c>
      <c r="M1569" s="188">
        <v>66542880</v>
      </c>
      <c r="N1569" s="189">
        <v>374795</v>
      </c>
      <c r="O1569" t="s">
        <v>2880</v>
      </c>
      <c r="P1569" s="187">
        <v>45108.4777314815</v>
      </c>
      <c r="Q1569" s="186">
        <v>12133</v>
      </c>
      <c r="R1569" s="185"/>
      <c r="S1569" s="185" t="s">
        <v>1544</v>
      </c>
      <c r="T1569"/>
      <c r="U1569" t="str">
        <f>IF($L1569&gt;0,VLOOKUP($E1569,Valida!$A$1:$G$270,6,FALSE),IF($M1569&gt;=0,VLOOKUP($E1569,Valida!$A$1:$G$270,7,FALSE)))</f>
        <v>(+/-) Ganancia (pérdida)</v>
      </c>
      <c r="V1569" s="190" t="str">
        <f>VLOOKUP(E1569,Valida!$A$2:$K$271,4,FALSE)</f>
        <v>P&amp;L</v>
      </c>
      <c r="W1569" s="185" t="s">
        <v>1803</v>
      </c>
      <c r="X1569" s="185"/>
      <c r="Y1569" s="185"/>
      <c r="Z1569"/>
    </row>
    <row r="1570" spans="1:26">
      <c r="A1570" s="185" t="s">
        <v>2879</v>
      </c>
      <c r="B1570" s="185" t="s">
        <v>2883</v>
      </c>
      <c r="C1570" s="185" t="s">
        <v>1897</v>
      </c>
      <c r="D1570" s="185" t="s">
        <v>2884</v>
      </c>
      <c r="E1570" s="185">
        <v>510506</v>
      </c>
      <c r="F1570" s="185" t="s">
        <v>1076</v>
      </c>
      <c r="G1570" s="185" t="s">
        <v>2885</v>
      </c>
      <c r="H1570" s="185" t="s">
        <v>1515</v>
      </c>
      <c r="I1570" s="258" t="str">
        <f t="shared" si="73"/>
        <v>5</v>
      </c>
      <c r="J1570" s="221">
        <f t="shared" si="74"/>
        <v>1160000</v>
      </c>
      <c r="K1570" s="258">
        <f t="shared" si="75"/>
        <v>6</v>
      </c>
      <c r="L1570" s="188">
        <v>1160000</v>
      </c>
      <c r="M1570" s="188">
        <v>0</v>
      </c>
      <c r="N1570" s="189">
        <v>1130744136</v>
      </c>
      <c r="O1570" t="s">
        <v>2883</v>
      </c>
      <c r="P1570" s="187">
        <v>45112</v>
      </c>
      <c r="Q1570" s="186">
        <v>12134</v>
      </c>
      <c r="R1570" s="185"/>
      <c r="S1570" s="185" t="s">
        <v>1538</v>
      </c>
      <c r="T1570"/>
      <c r="U1570" t="str">
        <f>IF($L1570&gt;0,VLOOKUP($E1570,Valida!$A$1:$G$270,6,FALSE),IF($M1570&gt;=0,VLOOKUP($E1570,Valida!$A$1:$G$270,7,FALSE)))</f>
        <v>(+/-) Ganancia (pérdida)</v>
      </c>
      <c r="V1570" s="190" t="str">
        <f>VLOOKUP(E1570,Valida!$A$2:$K$271,4,FALSE)</f>
        <v>P&amp;L</v>
      </c>
      <c r="W1570" s="185" t="s">
        <v>1909</v>
      </c>
      <c r="X1570" s="185" t="s">
        <v>1910</v>
      </c>
      <c r="Y1570" s="185" t="s">
        <v>1789</v>
      </c>
      <c r="Z1570"/>
    </row>
    <row r="1571" spans="1:26">
      <c r="A1571" s="185" t="s">
        <v>2879</v>
      </c>
      <c r="B1571" s="185" t="s">
        <v>2883</v>
      </c>
      <c r="C1571" s="185" t="s">
        <v>1897</v>
      </c>
      <c r="D1571" s="185" t="s">
        <v>2884</v>
      </c>
      <c r="E1571" s="185">
        <v>252005</v>
      </c>
      <c r="F1571" s="185" t="s">
        <v>783</v>
      </c>
      <c r="G1571" s="185" t="s">
        <v>2885</v>
      </c>
      <c r="H1571" s="185" t="s">
        <v>1515</v>
      </c>
      <c r="I1571" s="258" t="str">
        <f t="shared" si="73"/>
        <v>2</v>
      </c>
      <c r="J1571" s="221">
        <f t="shared" si="74"/>
        <v>650303</v>
      </c>
      <c r="K1571" s="258">
        <f t="shared" si="75"/>
        <v>6</v>
      </c>
      <c r="L1571" s="188">
        <v>650303</v>
      </c>
      <c r="M1571" s="188">
        <v>0</v>
      </c>
      <c r="N1571" s="189">
        <v>1130744136</v>
      </c>
      <c r="O1571" t="s">
        <v>2883</v>
      </c>
      <c r="P1571" s="187">
        <v>45112</v>
      </c>
      <c r="Q1571" s="186">
        <v>12135</v>
      </c>
      <c r="R1571" s="185"/>
      <c r="S1571" s="185" t="s">
        <v>1538</v>
      </c>
      <c r="T1571"/>
      <c r="U1571" t="str">
        <f>IF($L1571&gt;0,VLOOKUP($E1571,Valida!$A$1:$G$270,6,FALSE),IF($M1571&gt;=0,VLOOKUP($E1571,Valida!$A$1:$G$270,7,FALSE)))</f>
        <v>(+/-) Ajustes por el incremento (disminución) de cuentas por pagar de origen comercial</v>
      </c>
      <c r="V1571" s="190" t="str">
        <f>VLOOKUP(E1571,Valida!$A$2:$K$271,4,FALSE)</f>
        <v>Trade and other payables</v>
      </c>
      <c r="W1571" s="185" t="s">
        <v>1909</v>
      </c>
      <c r="X1571" s="185" t="s">
        <v>1910</v>
      </c>
      <c r="Y1571" s="185" t="s">
        <v>1789</v>
      </c>
      <c r="Z1571"/>
    </row>
    <row r="1572" spans="1:26">
      <c r="A1572" s="185" t="s">
        <v>2879</v>
      </c>
      <c r="B1572" s="185" t="s">
        <v>2883</v>
      </c>
      <c r="C1572" s="185" t="s">
        <v>1897</v>
      </c>
      <c r="D1572" s="185" t="s">
        <v>2884</v>
      </c>
      <c r="E1572" s="185">
        <v>510527</v>
      </c>
      <c r="F1572" s="185" t="s">
        <v>1089</v>
      </c>
      <c r="G1572" s="185" t="s">
        <v>2885</v>
      </c>
      <c r="H1572" s="185" t="s">
        <v>1515</v>
      </c>
      <c r="I1572" s="258" t="str">
        <f t="shared" si="73"/>
        <v>5</v>
      </c>
      <c r="J1572" s="221">
        <f t="shared" si="74"/>
        <v>140606</v>
      </c>
      <c r="K1572" s="258">
        <f t="shared" si="75"/>
        <v>6</v>
      </c>
      <c r="L1572" s="188">
        <v>140606</v>
      </c>
      <c r="M1572" s="188">
        <v>0</v>
      </c>
      <c r="N1572" s="189">
        <v>1130744136</v>
      </c>
      <c r="O1572" t="s">
        <v>2883</v>
      </c>
      <c r="P1572" s="187">
        <v>45112</v>
      </c>
      <c r="Q1572" s="186">
        <v>12136</v>
      </c>
      <c r="R1572" s="185"/>
      <c r="S1572" s="185" t="s">
        <v>1538</v>
      </c>
      <c r="T1572"/>
      <c r="U1572" t="str">
        <f>IF($L1572&gt;0,VLOOKUP($E1572,Valida!$A$1:$G$270,6,FALSE),IF($M1572&gt;=0,VLOOKUP($E1572,Valida!$A$1:$G$270,7,FALSE)))</f>
        <v>(+/-) Ganancia (pérdida)</v>
      </c>
      <c r="V1572" s="190" t="str">
        <f>VLOOKUP(E1572,Valida!$A$2:$K$271,4,FALSE)</f>
        <v>P&amp;L</v>
      </c>
      <c r="W1572" s="185" t="s">
        <v>1909</v>
      </c>
      <c r="X1572" s="185" t="s">
        <v>1910</v>
      </c>
      <c r="Y1572" s="185" t="s">
        <v>1789</v>
      </c>
      <c r="Z1572"/>
    </row>
    <row r="1573" spans="1:26">
      <c r="A1573" s="185" t="s">
        <v>2879</v>
      </c>
      <c r="B1573" s="185" t="s">
        <v>2883</v>
      </c>
      <c r="C1573" s="185" t="s">
        <v>1897</v>
      </c>
      <c r="D1573" s="185" t="s">
        <v>2884</v>
      </c>
      <c r="E1573" s="185">
        <v>237005</v>
      </c>
      <c r="F1573" s="185" t="s">
        <v>676</v>
      </c>
      <c r="G1573" s="185" t="s">
        <v>2885</v>
      </c>
      <c r="H1573" s="185" t="s">
        <v>1628</v>
      </c>
      <c r="I1573" s="258" t="str">
        <f t="shared" si="73"/>
        <v>2</v>
      </c>
      <c r="J1573" s="221">
        <f t="shared" si="74"/>
        <v>-46400</v>
      </c>
      <c r="K1573" s="258">
        <f t="shared" si="75"/>
        <v>6</v>
      </c>
      <c r="L1573" s="188">
        <v>0</v>
      </c>
      <c r="M1573" s="188">
        <v>46400</v>
      </c>
      <c r="N1573" s="189">
        <v>800251440</v>
      </c>
      <c r="O1573" t="s">
        <v>2883</v>
      </c>
      <c r="P1573" s="187">
        <v>45112</v>
      </c>
      <c r="Q1573" s="186">
        <v>12137</v>
      </c>
      <c r="R1573" s="185" t="s">
        <v>1901</v>
      </c>
      <c r="S1573" s="185" t="s">
        <v>1560</v>
      </c>
      <c r="T1573"/>
      <c r="U1573" t="str">
        <f>IF($L1573&gt;0,VLOOKUP($E1573,Valida!$A$1:$G$270,6,FALSE),IF($M1573&gt;=0,VLOOKUP($E1573,Valida!$A$1:$G$270,7,FALSE)))</f>
        <v>(+/-) Ajustes por el incremento (disminución) de cuentas por pagar de origen comercial</v>
      </c>
      <c r="V1573" s="190" t="str">
        <f>VLOOKUP(E1573,Valida!$A$2:$K$271,4,FALSE)</f>
        <v>Trade and other payables</v>
      </c>
      <c r="W1573" s="185" t="s">
        <v>1902</v>
      </c>
      <c r="X1573" s="185" t="s">
        <v>1903</v>
      </c>
      <c r="Y1573" s="185" t="s">
        <v>1789</v>
      </c>
      <c r="Z1573"/>
    </row>
    <row r="1574" spans="1:26">
      <c r="A1574" s="185" t="s">
        <v>2879</v>
      </c>
      <c r="B1574" s="185" t="s">
        <v>2883</v>
      </c>
      <c r="C1574" s="185" t="s">
        <v>1897</v>
      </c>
      <c r="D1574" s="185" t="s">
        <v>2884</v>
      </c>
      <c r="E1574" s="185">
        <v>238030</v>
      </c>
      <c r="F1574" s="185" t="s">
        <v>721</v>
      </c>
      <c r="G1574" s="185" t="s">
        <v>2885</v>
      </c>
      <c r="H1574" s="185" t="s">
        <v>1628</v>
      </c>
      <c r="I1574" s="258" t="str">
        <f t="shared" si="73"/>
        <v>2</v>
      </c>
      <c r="J1574" s="221">
        <f t="shared" si="74"/>
        <v>-46400</v>
      </c>
      <c r="K1574" s="258">
        <f t="shared" si="75"/>
        <v>6</v>
      </c>
      <c r="L1574" s="188">
        <v>0</v>
      </c>
      <c r="M1574" s="188">
        <v>46400</v>
      </c>
      <c r="N1574" s="189">
        <v>800224808</v>
      </c>
      <c r="O1574" t="s">
        <v>2883</v>
      </c>
      <c r="P1574" s="187">
        <v>45112</v>
      </c>
      <c r="Q1574" s="186">
        <v>12138</v>
      </c>
      <c r="R1574" s="185" t="s">
        <v>1827</v>
      </c>
      <c r="S1574" s="185" t="s">
        <v>1662</v>
      </c>
      <c r="T1574"/>
      <c r="U1574" t="str">
        <f>IF($L1574&gt;0,VLOOKUP($E1574,Valida!$A$1:$G$270,6,FALSE),IF($M1574&gt;=0,VLOOKUP($E1574,Valida!$A$1:$G$270,7,FALSE)))</f>
        <v>(+/-) Ajustes por el incremento (disminución) de cuentas por pagar de origen comercial</v>
      </c>
      <c r="V1574" s="190" t="str">
        <f>VLOOKUP(E1574,Valida!$A$2:$K$271,4,FALSE)</f>
        <v>Trade and other payables</v>
      </c>
      <c r="W1574" s="185" t="s">
        <v>1911</v>
      </c>
      <c r="X1574" s="185"/>
      <c r="Y1574" s="185" t="s">
        <v>1789</v>
      </c>
      <c r="Z1574"/>
    </row>
    <row r="1575" spans="1:26">
      <c r="A1575" s="185" t="s">
        <v>2879</v>
      </c>
      <c r="B1575" s="185" t="s">
        <v>2883</v>
      </c>
      <c r="C1575" s="185" t="s">
        <v>1897</v>
      </c>
      <c r="D1575" s="185" t="s">
        <v>2884</v>
      </c>
      <c r="E1575" s="185">
        <v>510506</v>
      </c>
      <c r="F1575" s="185" t="s">
        <v>1076</v>
      </c>
      <c r="G1575" s="185" t="s">
        <v>2885</v>
      </c>
      <c r="H1575" s="185" t="s">
        <v>1515</v>
      </c>
      <c r="I1575" s="258" t="str">
        <f t="shared" si="73"/>
        <v>5</v>
      </c>
      <c r="J1575" s="221">
        <f t="shared" si="74"/>
        <v>1500000</v>
      </c>
      <c r="K1575" s="258">
        <f t="shared" si="75"/>
        <v>6</v>
      </c>
      <c r="L1575" s="188">
        <v>1500000</v>
      </c>
      <c r="M1575" s="188">
        <v>0</v>
      </c>
      <c r="N1575" s="189">
        <v>1010101811</v>
      </c>
      <c r="O1575" t="s">
        <v>2883</v>
      </c>
      <c r="P1575" s="187">
        <v>45112</v>
      </c>
      <c r="Q1575" s="186">
        <v>12139</v>
      </c>
      <c r="R1575" s="185"/>
      <c r="S1575" s="185" t="s">
        <v>1528</v>
      </c>
      <c r="T1575"/>
      <c r="U1575" t="str">
        <f>IF($L1575&gt;0,VLOOKUP($E1575,Valida!$A$1:$G$270,6,FALSE),IF($M1575&gt;=0,VLOOKUP($E1575,Valida!$A$1:$G$270,7,FALSE)))</f>
        <v>(+/-) Ganancia (pérdida)</v>
      </c>
      <c r="V1575" s="190" t="str">
        <f>VLOOKUP(E1575,Valida!$A$2:$K$271,4,FALSE)</f>
        <v>P&amp;L</v>
      </c>
      <c r="W1575" s="185" t="s">
        <v>1967</v>
      </c>
      <c r="X1575" s="185"/>
      <c r="Y1575" s="185" t="s">
        <v>1789</v>
      </c>
      <c r="Z1575"/>
    </row>
    <row r="1576" spans="1:26">
      <c r="A1576" s="185" t="s">
        <v>2879</v>
      </c>
      <c r="B1576" s="185" t="s">
        <v>2883</v>
      </c>
      <c r="C1576" s="185" t="s">
        <v>1897</v>
      </c>
      <c r="D1576" s="185" t="s">
        <v>2884</v>
      </c>
      <c r="E1576" s="185">
        <v>252005</v>
      </c>
      <c r="F1576" s="185" t="s">
        <v>783</v>
      </c>
      <c r="G1576" s="185" t="s">
        <v>2885</v>
      </c>
      <c r="H1576" s="185" t="s">
        <v>1515</v>
      </c>
      <c r="I1576" s="258" t="str">
        <f t="shared" si="73"/>
        <v>2</v>
      </c>
      <c r="J1576" s="221">
        <f t="shared" si="74"/>
        <v>831592</v>
      </c>
      <c r="K1576" s="258">
        <f t="shared" si="75"/>
        <v>6</v>
      </c>
      <c r="L1576" s="188">
        <v>831592</v>
      </c>
      <c r="M1576" s="188">
        <v>0</v>
      </c>
      <c r="N1576" s="189">
        <v>1010101811</v>
      </c>
      <c r="O1576" t="s">
        <v>2883</v>
      </c>
      <c r="P1576" s="187">
        <v>45112</v>
      </c>
      <c r="Q1576" s="186">
        <v>12140</v>
      </c>
      <c r="R1576" s="185"/>
      <c r="S1576" s="185" t="s">
        <v>1528</v>
      </c>
      <c r="T1576"/>
      <c r="U1576" t="str">
        <f>IF($L1576&gt;0,VLOOKUP($E1576,Valida!$A$1:$G$270,6,FALSE),IF($M1576&gt;=0,VLOOKUP($E1576,Valida!$A$1:$G$270,7,FALSE)))</f>
        <v>(+/-) Ajustes por el incremento (disminución) de cuentas por pagar de origen comercial</v>
      </c>
      <c r="V1576" s="190" t="str">
        <f>VLOOKUP(E1576,Valida!$A$2:$K$271,4,FALSE)</f>
        <v>Trade and other payables</v>
      </c>
      <c r="W1576" s="185" t="s">
        <v>1967</v>
      </c>
      <c r="X1576" s="185"/>
      <c r="Y1576" s="185" t="s">
        <v>1789</v>
      </c>
      <c r="Z1576"/>
    </row>
    <row r="1577" spans="1:26">
      <c r="A1577" s="185" t="s">
        <v>2879</v>
      </c>
      <c r="B1577" s="185" t="s">
        <v>2883</v>
      </c>
      <c r="C1577" s="185" t="s">
        <v>1897</v>
      </c>
      <c r="D1577" s="185" t="s">
        <v>2884</v>
      </c>
      <c r="E1577" s="185">
        <v>510527</v>
      </c>
      <c r="F1577" s="185" t="s">
        <v>1089</v>
      </c>
      <c r="G1577" s="185" t="s">
        <v>2885</v>
      </c>
      <c r="H1577" s="185" t="s">
        <v>1515</v>
      </c>
      <c r="I1577" s="258" t="str">
        <f t="shared" si="73"/>
        <v>5</v>
      </c>
      <c r="J1577" s="221">
        <f t="shared" si="74"/>
        <v>140606</v>
      </c>
      <c r="K1577" s="258">
        <f t="shared" si="75"/>
        <v>6</v>
      </c>
      <c r="L1577" s="188">
        <v>140606</v>
      </c>
      <c r="M1577" s="188">
        <v>0</v>
      </c>
      <c r="N1577" s="189">
        <v>1010101811</v>
      </c>
      <c r="O1577" t="s">
        <v>2883</v>
      </c>
      <c r="P1577" s="187">
        <v>45112</v>
      </c>
      <c r="Q1577" s="186">
        <v>12141</v>
      </c>
      <c r="R1577" s="185"/>
      <c r="S1577" s="185" t="s">
        <v>1528</v>
      </c>
      <c r="T1577"/>
      <c r="U1577" t="str">
        <f>IF($L1577&gt;0,VLOOKUP($E1577,Valida!$A$1:$G$270,6,FALSE),IF($M1577&gt;=0,VLOOKUP($E1577,Valida!$A$1:$G$270,7,FALSE)))</f>
        <v>(+/-) Ganancia (pérdida)</v>
      </c>
      <c r="V1577" s="190" t="str">
        <f>VLOOKUP(E1577,Valida!$A$2:$K$271,4,FALSE)</f>
        <v>P&amp;L</v>
      </c>
      <c r="W1577" s="185" t="s">
        <v>1967</v>
      </c>
      <c r="X1577" s="185"/>
      <c r="Y1577" s="185" t="s">
        <v>1789</v>
      </c>
      <c r="Z1577"/>
    </row>
    <row r="1578" spans="1:26">
      <c r="A1578" s="185" t="s">
        <v>2879</v>
      </c>
      <c r="B1578" s="185" t="s">
        <v>2883</v>
      </c>
      <c r="C1578" s="185" t="s">
        <v>1897</v>
      </c>
      <c r="D1578" s="185" t="s">
        <v>2884</v>
      </c>
      <c r="E1578" s="185">
        <v>237005</v>
      </c>
      <c r="F1578" s="185" t="s">
        <v>676</v>
      </c>
      <c r="G1578" s="185" t="s">
        <v>2885</v>
      </c>
      <c r="H1578" s="185" t="s">
        <v>1628</v>
      </c>
      <c r="I1578" s="258" t="str">
        <f t="shared" si="73"/>
        <v>2</v>
      </c>
      <c r="J1578" s="221">
        <f t="shared" si="74"/>
        <v>-60000</v>
      </c>
      <c r="K1578" s="258">
        <f t="shared" si="75"/>
        <v>6</v>
      </c>
      <c r="L1578" s="188">
        <v>0</v>
      </c>
      <c r="M1578" s="188">
        <v>60000</v>
      </c>
      <c r="N1578" s="189">
        <v>860066942</v>
      </c>
      <c r="O1578" t="s">
        <v>2883</v>
      </c>
      <c r="P1578" s="187">
        <v>45112</v>
      </c>
      <c r="Q1578" s="186">
        <v>12142</v>
      </c>
      <c r="R1578" s="185" t="s">
        <v>1814</v>
      </c>
      <c r="S1578" s="185" t="s">
        <v>1574</v>
      </c>
      <c r="T1578"/>
      <c r="U1578" t="str">
        <f>IF($L1578&gt;0,VLOOKUP($E1578,Valida!$A$1:$G$270,6,FALSE),IF($M1578&gt;=0,VLOOKUP($E1578,Valida!$A$1:$G$270,7,FALSE)))</f>
        <v>(+/-) Ajustes por el incremento (disminución) de cuentas por pagar de origen comercial</v>
      </c>
      <c r="V1578" s="190" t="str">
        <f>VLOOKUP(E1578,Valida!$A$2:$K$271,4,FALSE)</f>
        <v>Trade and other payables</v>
      </c>
      <c r="W1578" s="185" t="s">
        <v>1914</v>
      </c>
      <c r="X1578" s="185" t="s">
        <v>1915</v>
      </c>
      <c r="Y1578" s="185" t="s">
        <v>1789</v>
      </c>
      <c r="Z1578"/>
    </row>
    <row r="1579" spans="1:26">
      <c r="A1579" s="185" t="s">
        <v>2879</v>
      </c>
      <c r="B1579" s="185" t="s">
        <v>2883</v>
      </c>
      <c r="C1579" s="185" t="s">
        <v>1897</v>
      </c>
      <c r="D1579" s="185" t="s">
        <v>2884</v>
      </c>
      <c r="E1579" s="185">
        <v>238030</v>
      </c>
      <c r="F1579" s="185" t="s">
        <v>721</v>
      </c>
      <c r="G1579" s="185" t="s">
        <v>2885</v>
      </c>
      <c r="H1579" s="185" t="s">
        <v>1628</v>
      </c>
      <c r="I1579" s="258" t="str">
        <f t="shared" si="73"/>
        <v>2</v>
      </c>
      <c r="J1579" s="221">
        <f t="shared" si="74"/>
        <v>-60000</v>
      </c>
      <c r="K1579" s="258">
        <f t="shared" si="75"/>
        <v>6</v>
      </c>
      <c r="L1579" s="188">
        <v>0</v>
      </c>
      <c r="M1579" s="188">
        <v>60000</v>
      </c>
      <c r="N1579" s="189">
        <v>800224808</v>
      </c>
      <c r="O1579" t="s">
        <v>2883</v>
      </c>
      <c r="P1579" s="187">
        <v>45112</v>
      </c>
      <c r="Q1579" s="186">
        <v>12143</v>
      </c>
      <c r="R1579" s="185" t="s">
        <v>1827</v>
      </c>
      <c r="S1579" s="185" t="s">
        <v>1662</v>
      </c>
      <c r="T1579"/>
      <c r="U1579" t="str">
        <f>IF($L1579&gt;0,VLOOKUP($E1579,Valida!$A$1:$G$270,6,FALSE),IF($M1579&gt;=0,VLOOKUP($E1579,Valida!$A$1:$G$270,7,FALSE)))</f>
        <v>(+/-) Ajustes por el incremento (disminución) de cuentas por pagar de origen comercial</v>
      </c>
      <c r="V1579" s="190" t="str">
        <f>VLOOKUP(E1579,Valida!$A$2:$K$271,4,FALSE)</f>
        <v>Trade and other payables</v>
      </c>
      <c r="W1579" s="185" t="s">
        <v>1911</v>
      </c>
      <c r="X1579" s="185"/>
      <c r="Y1579" s="185" t="s">
        <v>1789</v>
      </c>
      <c r="Z1579"/>
    </row>
    <row r="1580" spans="1:26">
      <c r="A1580" s="185" t="s">
        <v>2879</v>
      </c>
      <c r="B1580" s="185" t="s">
        <v>2883</v>
      </c>
      <c r="C1580" s="185" t="s">
        <v>1897</v>
      </c>
      <c r="D1580" s="185" t="s">
        <v>2884</v>
      </c>
      <c r="E1580" s="185">
        <v>252005</v>
      </c>
      <c r="F1580" s="185" t="s">
        <v>783</v>
      </c>
      <c r="G1580" s="185" t="s">
        <v>2885</v>
      </c>
      <c r="H1580" s="185" t="s">
        <v>1515</v>
      </c>
      <c r="I1580" s="258" t="str">
        <f t="shared" si="73"/>
        <v>2</v>
      </c>
      <c r="J1580" s="221">
        <f t="shared" si="74"/>
        <v>568338</v>
      </c>
      <c r="K1580" s="258">
        <f t="shared" si="75"/>
        <v>6</v>
      </c>
      <c r="L1580" s="188">
        <v>568338</v>
      </c>
      <c r="M1580" s="188">
        <v>0</v>
      </c>
      <c r="N1580" s="189">
        <v>1020842223</v>
      </c>
      <c r="O1580" t="s">
        <v>2883</v>
      </c>
      <c r="P1580" s="187">
        <v>45112</v>
      </c>
      <c r="Q1580" s="186">
        <v>12144</v>
      </c>
      <c r="R1580" s="185"/>
      <c r="S1580" s="185" t="s">
        <v>1532</v>
      </c>
      <c r="T1580"/>
      <c r="U1580" t="str">
        <f>IF($L1580&gt;0,VLOOKUP($E1580,Valida!$A$1:$G$270,6,FALSE),IF($M1580&gt;=0,VLOOKUP($E1580,Valida!$A$1:$G$270,7,FALSE)))</f>
        <v>(+/-) Ajustes por el incremento (disminución) de cuentas por pagar de origen comercial</v>
      </c>
      <c r="V1580" s="190" t="str">
        <f>VLOOKUP(E1580,Valida!$A$2:$K$271,4,FALSE)</f>
        <v>Trade and other payables</v>
      </c>
      <c r="W1580" s="185" t="s">
        <v>1900</v>
      </c>
      <c r="X1580" s="185"/>
      <c r="Y1580" s="185" t="s">
        <v>1789</v>
      </c>
      <c r="Z1580"/>
    </row>
    <row r="1581" spans="1:26">
      <c r="A1581" s="185" t="s">
        <v>2879</v>
      </c>
      <c r="B1581" s="185" t="s">
        <v>2883</v>
      </c>
      <c r="C1581" s="185" t="s">
        <v>1897</v>
      </c>
      <c r="D1581" s="185" t="s">
        <v>2884</v>
      </c>
      <c r="E1581" s="185">
        <v>51052403</v>
      </c>
      <c r="F1581" s="185" t="s">
        <v>1720</v>
      </c>
      <c r="G1581" s="185" t="s">
        <v>2885</v>
      </c>
      <c r="H1581" s="185" t="s">
        <v>1515</v>
      </c>
      <c r="I1581" s="258" t="str">
        <f t="shared" si="73"/>
        <v>5</v>
      </c>
      <c r="J1581" s="221">
        <f t="shared" si="74"/>
        <v>618667</v>
      </c>
      <c r="K1581" s="258">
        <f t="shared" si="75"/>
        <v>6</v>
      </c>
      <c r="L1581" s="188">
        <v>618667</v>
      </c>
      <c r="M1581" s="188">
        <v>0</v>
      </c>
      <c r="N1581" s="189">
        <v>1020842223</v>
      </c>
      <c r="O1581" t="s">
        <v>2883</v>
      </c>
      <c r="P1581" s="187">
        <v>45112</v>
      </c>
      <c r="Q1581" s="186">
        <v>12145</v>
      </c>
      <c r="R1581" s="185"/>
      <c r="S1581" s="185" t="s">
        <v>1532</v>
      </c>
      <c r="T1581"/>
      <c r="U1581" t="str">
        <f>IF($L1581&gt;0,VLOOKUP($E1581,Valida!$A$1:$G$270,6,FALSE),IF($M1581&gt;=0,VLOOKUP($E1581,Valida!$A$1:$G$270,7,FALSE)))</f>
        <v>(+/-) Ganancia (pérdida)</v>
      </c>
      <c r="V1581" s="190" t="str">
        <f>VLOOKUP(E1581,Valida!$A$2:$K$271,4,FALSE)</f>
        <v>P&amp;L</v>
      </c>
      <c r="W1581" s="185" t="s">
        <v>1900</v>
      </c>
      <c r="X1581" s="185"/>
      <c r="Y1581" s="185" t="s">
        <v>1789</v>
      </c>
      <c r="Z1581"/>
    </row>
    <row r="1582" spans="1:26">
      <c r="A1582" s="185" t="s">
        <v>2879</v>
      </c>
      <c r="B1582" s="185" t="s">
        <v>2883</v>
      </c>
      <c r="C1582" s="185" t="s">
        <v>1897</v>
      </c>
      <c r="D1582" s="185" t="s">
        <v>2884</v>
      </c>
      <c r="E1582" s="185">
        <v>51052403</v>
      </c>
      <c r="F1582" s="185" t="s">
        <v>1720</v>
      </c>
      <c r="G1582" s="185" t="s">
        <v>2885</v>
      </c>
      <c r="H1582" s="185" t="s">
        <v>1515</v>
      </c>
      <c r="I1582" s="258" t="str">
        <f t="shared" si="73"/>
        <v>5</v>
      </c>
      <c r="J1582" s="221">
        <f t="shared" si="74"/>
        <v>654500</v>
      </c>
      <c r="K1582" s="258">
        <f t="shared" si="75"/>
        <v>6</v>
      </c>
      <c r="L1582" s="188">
        <v>654500</v>
      </c>
      <c r="M1582" s="188">
        <v>0</v>
      </c>
      <c r="N1582" s="189">
        <v>1020842223</v>
      </c>
      <c r="O1582" t="s">
        <v>2883</v>
      </c>
      <c r="P1582" s="187">
        <v>45112</v>
      </c>
      <c r="Q1582" s="186">
        <v>12146</v>
      </c>
      <c r="R1582" s="185"/>
      <c r="S1582" s="185" t="s">
        <v>1532</v>
      </c>
      <c r="T1582"/>
      <c r="U1582" t="str">
        <f>IF($L1582&gt;0,VLOOKUP($E1582,Valida!$A$1:$G$270,6,FALSE),IF($M1582&gt;=0,VLOOKUP($E1582,Valida!$A$1:$G$270,7,FALSE)))</f>
        <v>(+/-) Ganancia (pérdida)</v>
      </c>
      <c r="V1582" s="190" t="str">
        <f>VLOOKUP(E1582,Valida!$A$2:$K$271,4,FALSE)</f>
        <v>P&amp;L</v>
      </c>
      <c r="W1582" s="185" t="s">
        <v>1900</v>
      </c>
      <c r="X1582" s="185"/>
      <c r="Y1582" s="185" t="s">
        <v>1789</v>
      </c>
      <c r="Z1582"/>
    </row>
    <row r="1583" spans="1:26">
      <c r="A1583" s="185" t="s">
        <v>2879</v>
      </c>
      <c r="B1583" s="185" t="s">
        <v>2883</v>
      </c>
      <c r="C1583" s="185" t="s">
        <v>1897</v>
      </c>
      <c r="D1583" s="185" t="s">
        <v>2884</v>
      </c>
      <c r="E1583" s="185">
        <v>237005</v>
      </c>
      <c r="F1583" s="185" t="s">
        <v>676</v>
      </c>
      <c r="G1583" s="185" t="s">
        <v>2885</v>
      </c>
      <c r="H1583" s="185" t="s">
        <v>1628</v>
      </c>
      <c r="I1583" s="258" t="str">
        <f t="shared" si="73"/>
        <v>2</v>
      </c>
      <c r="J1583" s="221">
        <f t="shared" si="74"/>
        <v>-50927</v>
      </c>
      <c r="K1583" s="258">
        <f t="shared" si="75"/>
        <v>6</v>
      </c>
      <c r="L1583" s="188">
        <v>0</v>
      </c>
      <c r="M1583" s="188">
        <v>50927</v>
      </c>
      <c r="N1583" s="189">
        <v>800251440</v>
      </c>
      <c r="O1583" t="s">
        <v>2883</v>
      </c>
      <c r="P1583" s="187">
        <v>45112</v>
      </c>
      <c r="Q1583" s="186">
        <v>12147</v>
      </c>
      <c r="R1583" s="185" t="s">
        <v>1901</v>
      </c>
      <c r="S1583" s="185" t="s">
        <v>1560</v>
      </c>
      <c r="T1583"/>
      <c r="U1583" t="str">
        <f>IF($L1583&gt;0,VLOOKUP($E1583,Valida!$A$1:$G$270,6,FALSE),IF($M1583&gt;=0,VLOOKUP($E1583,Valida!$A$1:$G$270,7,FALSE)))</f>
        <v>(+/-) Ajustes por el incremento (disminución) de cuentas por pagar de origen comercial</v>
      </c>
      <c r="V1583" s="190" t="str">
        <f>VLOOKUP(E1583,Valida!$A$2:$K$271,4,FALSE)</f>
        <v>Trade and other payables</v>
      </c>
      <c r="W1583" s="185" t="s">
        <v>1902</v>
      </c>
      <c r="X1583" s="185" t="s">
        <v>1903</v>
      </c>
      <c r="Y1583" s="185" t="s">
        <v>1789</v>
      </c>
      <c r="Z1583"/>
    </row>
    <row r="1584" spans="1:26">
      <c r="A1584" s="185" t="s">
        <v>2879</v>
      </c>
      <c r="B1584" s="185" t="s">
        <v>2883</v>
      </c>
      <c r="C1584" s="185" t="s">
        <v>1897</v>
      </c>
      <c r="D1584" s="185" t="s">
        <v>2884</v>
      </c>
      <c r="E1584" s="185">
        <v>238030</v>
      </c>
      <c r="F1584" s="185" t="s">
        <v>721</v>
      </c>
      <c r="G1584" s="185" t="s">
        <v>2885</v>
      </c>
      <c r="H1584" s="185" t="s">
        <v>1628</v>
      </c>
      <c r="I1584" s="258" t="str">
        <f t="shared" si="73"/>
        <v>2</v>
      </c>
      <c r="J1584" s="221">
        <f t="shared" si="74"/>
        <v>-50927</v>
      </c>
      <c r="K1584" s="258">
        <f t="shared" si="75"/>
        <v>6</v>
      </c>
      <c r="L1584" s="188">
        <v>0</v>
      </c>
      <c r="M1584" s="188">
        <v>50927</v>
      </c>
      <c r="N1584" s="189">
        <v>800224808</v>
      </c>
      <c r="O1584" t="s">
        <v>2883</v>
      </c>
      <c r="P1584" s="187">
        <v>45112</v>
      </c>
      <c r="Q1584" s="186">
        <v>12148</v>
      </c>
      <c r="R1584" s="185" t="s">
        <v>1827</v>
      </c>
      <c r="S1584" s="185" t="s">
        <v>1662</v>
      </c>
      <c r="T1584"/>
      <c r="U1584" t="str">
        <f>IF($L1584&gt;0,VLOOKUP($E1584,Valida!$A$1:$G$270,6,FALSE),IF($M1584&gt;=0,VLOOKUP($E1584,Valida!$A$1:$G$270,7,FALSE)))</f>
        <v>(+/-) Ajustes por el incremento (disminución) de cuentas por pagar de origen comercial</v>
      </c>
      <c r="V1584" s="190" t="str">
        <f>VLOOKUP(E1584,Valida!$A$2:$K$271,4,FALSE)</f>
        <v>Trade and other payables</v>
      </c>
      <c r="W1584" s="185" t="s">
        <v>1911</v>
      </c>
      <c r="X1584" s="185"/>
      <c r="Y1584" s="185" t="s">
        <v>1789</v>
      </c>
      <c r="Z1584"/>
    </row>
    <row r="1585" spans="1:26">
      <c r="A1585" s="185" t="s">
        <v>2879</v>
      </c>
      <c r="B1585" s="185" t="s">
        <v>2883</v>
      </c>
      <c r="C1585" s="185" t="s">
        <v>1897</v>
      </c>
      <c r="D1585" s="185" t="s">
        <v>2884</v>
      </c>
      <c r="E1585" s="185">
        <v>510506</v>
      </c>
      <c r="F1585" s="185" t="s">
        <v>1076</v>
      </c>
      <c r="G1585" s="185" t="s">
        <v>2885</v>
      </c>
      <c r="H1585" s="185" t="s">
        <v>1515</v>
      </c>
      <c r="I1585" s="258" t="str">
        <f t="shared" si="73"/>
        <v>5</v>
      </c>
      <c r="J1585" s="221">
        <f t="shared" si="74"/>
        <v>1276000</v>
      </c>
      <c r="K1585" s="258">
        <f t="shared" si="75"/>
        <v>6</v>
      </c>
      <c r="L1585" s="188">
        <v>1276000</v>
      </c>
      <c r="M1585" s="188">
        <v>0</v>
      </c>
      <c r="N1585" s="189">
        <v>1000018061</v>
      </c>
      <c r="O1585" t="s">
        <v>2883</v>
      </c>
      <c r="P1585" s="187">
        <v>45112</v>
      </c>
      <c r="Q1585" s="186">
        <v>12149</v>
      </c>
      <c r="R1585" s="185"/>
      <c r="S1585" s="185" t="s">
        <v>1522</v>
      </c>
      <c r="T1585"/>
      <c r="U1585" t="str">
        <f>IF($L1585&gt;0,VLOOKUP($E1585,Valida!$A$1:$G$270,6,FALSE),IF($M1585&gt;=0,VLOOKUP($E1585,Valida!$A$1:$G$270,7,FALSE)))</f>
        <v>(+/-) Ganancia (pérdida)</v>
      </c>
      <c r="V1585" s="190" t="str">
        <f>VLOOKUP(E1585,Valida!$A$2:$K$271,4,FALSE)</f>
        <v>P&amp;L</v>
      </c>
      <c r="W1585" s="185" t="s">
        <v>1978</v>
      </c>
      <c r="X1585" s="185"/>
      <c r="Y1585" s="185" t="s">
        <v>1789</v>
      </c>
      <c r="Z1585"/>
    </row>
    <row r="1586" spans="1:26">
      <c r="A1586" s="185" t="s">
        <v>2879</v>
      </c>
      <c r="B1586" s="185" t="s">
        <v>2883</v>
      </c>
      <c r="C1586" s="185" t="s">
        <v>1897</v>
      </c>
      <c r="D1586" s="185" t="s">
        <v>2884</v>
      </c>
      <c r="E1586" s="185">
        <v>252005</v>
      </c>
      <c r="F1586" s="185" t="s">
        <v>783</v>
      </c>
      <c r="G1586" s="185" t="s">
        <v>2885</v>
      </c>
      <c r="H1586" s="185" t="s">
        <v>1515</v>
      </c>
      <c r="I1586" s="258" t="str">
        <f t="shared" si="73"/>
        <v>2</v>
      </c>
      <c r="J1586" s="221">
        <f t="shared" si="74"/>
        <v>540897</v>
      </c>
      <c r="K1586" s="258">
        <f t="shared" si="75"/>
        <v>6</v>
      </c>
      <c r="L1586" s="188">
        <v>540897</v>
      </c>
      <c r="M1586" s="188">
        <v>0</v>
      </c>
      <c r="N1586" s="189">
        <v>1000018061</v>
      </c>
      <c r="O1586" t="s">
        <v>2883</v>
      </c>
      <c r="P1586" s="187">
        <v>45112</v>
      </c>
      <c r="Q1586" s="186">
        <v>12150</v>
      </c>
      <c r="R1586" s="185"/>
      <c r="S1586" s="185" t="s">
        <v>1522</v>
      </c>
      <c r="T1586"/>
      <c r="U1586" t="str">
        <f>IF($L1586&gt;0,VLOOKUP($E1586,Valida!$A$1:$G$270,6,FALSE),IF($M1586&gt;=0,VLOOKUP($E1586,Valida!$A$1:$G$270,7,FALSE)))</f>
        <v>(+/-) Ajustes por el incremento (disminución) de cuentas por pagar de origen comercial</v>
      </c>
      <c r="V1586" s="190" t="str">
        <f>VLOOKUP(E1586,Valida!$A$2:$K$271,4,FALSE)</f>
        <v>Trade and other payables</v>
      </c>
      <c r="W1586" s="185" t="s">
        <v>1978</v>
      </c>
      <c r="X1586" s="185"/>
      <c r="Y1586" s="185" t="s">
        <v>1789</v>
      </c>
      <c r="Z1586"/>
    </row>
    <row r="1587" spans="1:26">
      <c r="A1587" s="185" t="s">
        <v>2879</v>
      </c>
      <c r="B1587" s="185" t="s">
        <v>2883</v>
      </c>
      <c r="C1587" s="185" t="s">
        <v>1897</v>
      </c>
      <c r="D1587" s="185" t="s">
        <v>2884</v>
      </c>
      <c r="E1587" s="185">
        <v>510527</v>
      </c>
      <c r="F1587" s="185" t="s">
        <v>1089</v>
      </c>
      <c r="G1587" s="185" t="s">
        <v>2885</v>
      </c>
      <c r="H1587" s="185" t="s">
        <v>1515</v>
      </c>
      <c r="I1587" s="258" t="str">
        <f t="shared" si="73"/>
        <v>5</v>
      </c>
      <c r="J1587" s="221">
        <f t="shared" si="74"/>
        <v>140606</v>
      </c>
      <c r="K1587" s="258">
        <f t="shared" si="75"/>
        <v>6</v>
      </c>
      <c r="L1587" s="188">
        <v>140606</v>
      </c>
      <c r="M1587" s="188">
        <v>0</v>
      </c>
      <c r="N1587" s="189">
        <v>1000018061</v>
      </c>
      <c r="O1587" t="s">
        <v>2883</v>
      </c>
      <c r="P1587" s="187">
        <v>45112</v>
      </c>
      <c r="Q1587" s="186">
        <v>12151</v>
      </c>
      <c r="R1587" s="185"/>
      <c r="S1587" s="185" t="s">
        <v>1522</v>
      </c>
      <c r="T1587"/>
      <c r="U1587" t="str">
        <f>IF($L1587&gt;0,VLOOKUP($E1587,Valida!$A$1:$G$270,6,FALSE),IF($M1587&gt;=0,VLOOKUP($E1587,Valida!$A$1:$G$270,7,FALSE)))</f>
        <v>(+/-) Ganancia (pérdida)</v>
      </c>
      <c r="V1587" s="190" t="str">
        <f>VLOOKUP(E1587,Valida!$A$2:$K$271,4,FALSE)</f>
        <v>P&amp;L</v>
      </c>
      <c r="W1587" s="185" t="s">
        <v>1978</v>
      </c>
      <c r="X1587" s="185"/>
      <c r="Y1587" s="185" t="s">
        <v>1789</v>
      </c>
      <c r="Z1587"/>
    </row>
    <row r="1588" spans="1:26">
      <c r="A1588" s="185" t="s">
        <v>2879</v>
      </c>
      <c r="B1588" s="185" t="s">
        <v>2883</v>
      </c>
      <c r="C1588" s="185" t="s">
        <v>1897</v>
      </c>
      <c r="D1588" s="185" t="s">
        <v>2884</v>
      </c>
      <c r="E1588" s="185">
        <v>237005</v>
      </c>
      <c r="F1588" s="185" t="s">
        <v>676</v>
      </c>
      <c r="G1588" s="185" t="s">
        <v>2885</v>
      </c>
      <c r="H1588" s="185" t="s">
        <v>1628</v>
      </c>
      <c r="I1588" s="258" t="str">
        <f t="shared" si="73"/>
        <v>2</v>
      </c>
      <c r="J1588" s="221">
        <f t="shared" si="74"/>
        <v>-51040</v>
      </c>
      <c r="K1588" s="258">
        <f t="shared" si="75"/>
        <v>6</v>
      </c>
      <c r="L1588" s="188">
        <v>0</v>
      </c>
      <c r="M1588" s="188">
        <v>51040</v>
      </c>
      <c r="N1588" s="189">
        <v>830003564</v>
      </c>
      <c r="O1588" t="s">
        <v>2883</v>
      </c>
      <c r="P1588" s="187">
        <v>45112</v>
      </c>
      <c r="Q1588" s="186">
        <v>12152</v>
      </c>
      <c r="R1588" s="185" t="s">
        <v>1814</v>
      </c>
      <c r="S1588" s="185" t="s">
        <v>1652</v>
      </c>
      <c r="T1588"/>
      <c r="U1588" t="str">
        <f>IF($L1588&gt;0,VLOOKUP($E1588,Valida!$A$1:$G$270,6,FALSE),IF($M1588&gt;=0,VLOOKUP($E1588,Valida!$A$1:$G$270,7,FALSE)))</f>
        <v>(+/-) Ajustes por el incremento (disminución) de cuentas por pagar de origen comercial</v>
      </c>
      <c r="V1588" s="190" t="str">
        <f>VLOOKUP(E1588,Valida!$A$2:$K$271,4,FALSE)</f>
        <v>Trade and other payables</v>
      </c>
      <c r="W1588" s="185" t="s">
        <v>1973</v>
      </c>
      <c r="X1588" s="185" t="s">
        <v>1974</v>
      </c>
      <c r="Y1588" s="185" t="s">
        <v>1789</v>
      </c>
      <c r="Z1588"/>
    </row>
    <row r="1589" spans="1:26">
      <c r="A1589" s="185" t="s">
        <v>2879</v>
      </c>
      <c r="B1589" s="185" t="s">
        <v>2883</v>
      </c>
      <c r="C1589" s="185" t="s">
        <v>1897</v>
      </c>
      <c r="D1589" s="185" t="s">
        <v>2884</v>
      </c>
      <c r="E1589" s="185">
        <v>238030</v>
      </c>
      <c r="F1589" s="185" t="s">
        <v>721</v>
      </c>
      <c r="G1589" s="185" t="s">
        <v>2885</v>
      </c>
      <c r="H1589" s="185" t="s">
        <v>1628</v>
      </c>
      <c r="I1589" s="258" t="str">
        <f t="shared" si="73"/>
        <v>2</v>
      </c>
      <c r="J1589" s="221">
        <f t="shared" si="74"/>
        <v>-51040</v>
      </c>
      <c r="K1589" s="258">
        <f t="shared" si="75"/>
        <v>6</v>
      </c>
      <c r="L1589" s="188">
        <v>0</v>
      </c>
      <c r="M1589" s="188">
        <v>51040</v>
      </c>
      <c r="N1589" s="189">
        <v>800227940</v>
      </c>
      <c r="O1589" t="s">
        <v>2883</v>
      </c>
      <c r="P1589" s="187">
        <v>45112</v>
      </c>
      <c r="Q1589" s="186">
        <v>12153</v>
      </c>
      <c r="R1589" s="185"/>
      <c r="S1589" s="185" t="s">
        <v>1664</v>
      </c>
      <c r="T1589"/>
      <c r="U1589" t="str">
        <f>IF($L1589&gt;0,VLOOKUP($E1589,Valida!$A$1:$G$270,6,FALSE),IF($M1589&gt;=0,VLOOKUP($E1589,Valida!$A$1:$G$270,7,FALSE)))</f>
        <v>(+/-) Ajustes por el incremento (disminución) de cuentas por pagar de origen comercial</v>
      </c>
      <c r="V1589" s="190" t="str">
        <f>VLOOKUP(E1589,Valida!$A$2:$K$271,4,FALSE)</f>
        <v>Trade and other payables</v>
      </c>
      <c r="W1589" s="185"/>
      <c r="X1589" s="185"/>
      <c r="Y1589" s="185"/>
      <c r="Z1589"/>
    </row>
    <row r="1590" spans="1:26">
      <c r="A1590" s="185" t="s">
        <v>2879</v>
      </c>
      <c r="B1590" s="185" t="s">
        <v>2883</v>
      </c>
      <c r="C1590" s="185" t="s">
        <v>1897</v>
      </c>
      <c r="D1590" s="185" t="s">
        <v>2884</v>
      </c>
      <c r="E1590" s="185">
        <v>510506</v>
      </c>
      <c r="F1590" s="185" t="s">
        <v>1076</v>
      </c>
      <c r="G1590" s="185" t="s">
        <v>2885</v>
      </c>
      <c r="H1590" s="185" t="s">
        <v>1628</v>
      </c>
      <c r="I1590" s="258" t="str">
        <f t="shared" si="73"/>
        <v>5</v>
      </c>
      <c r="J1590" s="221">
        <f t="shared" si="74"/>
        <v>-21267</v>
      </c>
      <c r="K1590" s="258">
        <f t="shared" si="75"/>
        <v>6</v>
      </c>
      <c r="L1590" s="188">
        <v>0</v>
      </c>
      <c r="M1590" s="188">
        <v>21267</v>
      </c>
      <c r="N1590" s="189">
        <v>1000018061</v>
      </c>
      <c r="O1590" t="s">
        <v>2883</v>
      </c>
      <c r="P1590" s="187">
        <v>45112</v>
      </c>
      <c r="Q1590" s="186">
        <v>12154</v>
      </c>
      <c r="R1590" s="185"/>
      <c r="S1590" s="185" t="s">
        <v>1522</v>
      </c>
      <c r="T1590"/>
      <c r="U1590" t="str">
        <f>IF($L1590&gt;0,VLOOKUP($E1590,Valida!$A$1:$G$270,6,FALSE),IF($M1590&gt;=0,VLOOKUP($E1590,Valida!$A$1:$G$270,7,FALSE)))</f>
        <v>(+/-) Ganancia (pérdida)</v>
      </c>
      <c r="V1590" s="190" t="str">
        <f>VLOOKUP(E1590,Valida!$A$2:$K$271,4,FALSE)</f>
        <v>P&amp;L</v>
      </c>
      <c r="W1590" s="185" t="s">
        <v>1978</v>
      </c>
      <c r="X1590" s="185"/>
      <c r="Y1590" s="185" t="s">
        <v>1789</v>
      </c>
      <c r="Z1590"/>
    </row>
    <row r="1591" spans="1:26">
      <c r="A1591" s="185" t="s">
        <v>2879</v>
      </c>
      <c r="B1591" s="185" t="s">
        <v>2883</v>
      </c>
      <c r="C1591" s="185" t="s">
        <v>1897</v>
      </c>
      <c r="D1591" s="185" t="s">
        <v>2884</v>
      </c>
      <c r="E1591" s="185">
        <v>510506</v>
      </c>
      <c r="F1591" s="185" t="s">
        <v>1076</v>
      </c>
      <c r="G1591" s="185" t="s">
        <v>2885</v>
      </c>
      <c r="H1591" s="185" t="s">
        <v>1515</v>
      </c>
      <c r="I1591" s="258" t="str">
        <f t="shared" si="73"/>
        <v>5</v>
      </c>
      <c r="J1591" s="221">
        <f t="shared" si="74"/>
        <v>1500000</v>
      </c>
      <c r="K1591" s="258">
        <f t="shared" si="75"/>
        <v>6</v>
      </c>
      <c r="L1591" s="188">
        <v>1500000</v>
      </c>
      <c r="M1591" s="188">
        <v>0</v>
      </c>
      <c r="N1591" s="189">
        <v>1000036375</v>
      </c>
      <c r="O1591" t="s">
        <v>2883</v>
      </c>
      <c r="P1591" s="187">
        <v>45112</v>
      </c>
      <c r="Q1591" s="186">
        <v>12155</v>
      </c>
      <c r="R1591" s="185"/>
      <c r="S1591" s="185" t="s">
        <v>1524</v>
      </c>
      <c r="T1591"/>
      <c r="U1591" t="str">
        <f>IF($L1591&gt;0,VLOOKUP($E1591,Valida!$A$1:$G$270,6,FALSE),IF($M1591&gt;=0,VLOOKUP($E1591,Valida!$A$1:$G$270,7,FALSE)))</f>
        <v>(+/-) Ganancia (pérdida)</v>
      </c>
      <c r="V1591" s="190" t="str">
        <f>VLOOKUP(E1591,Valida!$A$2:$K$271,4,FALSE)</f>
        <v>P&amp;L</v>
      </c>
      <c r="W1591" s="185" t="s">
        <v>1983</v>
      </c>
      <c r="X1591" s="185"/>
      <c r="Y1591" s="185" t="s">
        <v>1789</v>
      </c>
      <c r="Z1591"/>
    </row>
    <row r="1592" spans="1:26">
      <c r="A1592" s="185" t="s">
        <v>2879</v>
      </c>
      <c r="B1592" s="185" t="s">
        <v>2883</v>
      </c>
      <c r="C1592" s="185" t="s">
        <v>1897</v>
      </c>
      <c r="D1592" s="185" t="s">
        <v>2884</v>
      </c>
      <c r="E1592" s="185">
        <v>51054801</v>
      </c>
      <c r="F1592" s="185" t="s">
        <v>1726</v>
      </c>
      <c r="G1592" s="185" t="s">
        <v>2885</v>
      </c>
      <c r="H1592" s="185" t="s">
        <v>1515</v>
      </c>
      <c r="I1592" s="258" t="str">
        <f t="shared" si="73"/>
        <v>5</v>
      </c>
      <c r="J1592" s="221">
        <f t="shared" si="74"/>
        <v>100000</v>
      </c>
      <c r="K1592" s="258">
        <f t="shared" si="75"/>
        <v>6</v>
      </c>
      <c r="L1592" s="188">
        <v>100000</v>
      </c>
      <c r="M1592" s="188">
        <v>0</v>
      </c>
      <c r="N1592" s="189">
        <v>1000036375</v>
      </c>
      <c r="O1592" t="s">
        <v>2883</v>
      </c>
      <c r="P1592" s="187">
        <v>45112</v>
      </c>
      <c r="Q1592" s="186">
        <v>12156</v>
      </c>
      <c r="R1592" s="185"/>
      <c r="S1592" s="185" t="s">
        <v>1524</v>
      </c>
      <c r="T1592"/>
      <c r="U1592" t="str">
        <f>IF($L1592&gt;0,VLOOKUP($E1592,Valida!$A$1:$G$270,6,FALSE),IF($M1592&gt;=0,VLOOKUP($E1592,Valida!$A$1:$G$270,7,FALSE)))</f>
        <v>(+/-) Ganancia (pérdida)</v>
      </c>
      <c r="V1592" s="190" t="str">
        <f>VLOOKUP(E1592,Valida!$A$2:$K$271,4,FALSE)</f>
        <v>P&amp;L</v>
      </c>
      <c r="W1592" s="185" t="s">
        <v>1983</v>
      </c>
      <c r="X1592" s="185"/>
      <c r="Y1592" s="185" t="s">
        <v>1789</v>
      </c>
      <c r="Z1592"/>
    </row>
    <row r="1593" spans="1:26">
      <c r="A1593" s="185" t="s">
        <v>2879</v>
      </c>
      <c r="B1593" s="185" t="s">
        <v>2883</v>
      </c>
      <c r="C1593" s="185" t="s">
        <v>1897</v>
      </c>
      <c r="D1593" s="185" t="s">
        <v>2884</v>
      </c>
      <c r="E1593" s="185">
        <v>252005</v>
      </c>
      <c r="F1593" s="185" t="s">
        <v>783</v>
      </c>
      <c r="G1593" s="185" t="s">
        <v>2885</v>
      </c>
      <c r="H1593" s="185" t="s">
        <v>1515</v>
      </c>
      <c r="I1593" s="258" t="str">
        <f t="shared" si="73"/>
        <v>2</v>
      </c>
      <c r="J1593" s="221">
        <f t="shared" si="74"/>
        <v>682644</v>
      </c>
      <c r="K1593" s="258">
        <f t="shared" si="75"/>
        <v>6</v>
      </c>
      <c r="L1593" s="188">
        <v>682644</v>
      </c>
      <c r="M1593" s="188">
        <v>0</v>
      </c>
      <c r="N1593" s="189">
        <v>1000036375</v>
      </c>
      <c r="O1593" t="s">
        <v>2883</v>
      </c>
      <c r="P1593" s="187">
        <v>45112</v>
      </c>
      <c r="Q1593" s="186">
        <v>12157</v>
      </c>
      <c r="R1593" s="185"/>
      <c r="S1593" s="185" t="s">
        <v>1524</v>
      </c>
      <c r="T1593"/>
      <c r="U1593" t="str">
        <f>IF($L1593&gt;0,VLOOKUP($E1593,Valida!$A$1:$G$270,6,FALSE),IF($M1593&gt;=0,VLOOKUP($E1593,Valida!$A$1:$G$270,7,FALSE)))</f>
        <v>(+/-) Ajustes por el incremento (disminución) de cuentas por pagar de origen comercial</v>
      </c>
      <c r="V1593" s="190" t="str">
        <f>VLOOKUP(E1593,Valida!$A$2:$K$271,4,FALSE)</f>
        <v>Trade and other payables</v>
      </c>
      <c r="W1593" s="185" t="s">
        <v>1983</v>
      </c>
      <c r="X1593" s="185"/>
      <c r="Y1593" s="185" t="s">
        <v>1789</v>
      </c>
      <c r="Z1593"/>
    </row>
    <row r="1594" spans="1:26">
      <c r="A1594" s="185" t="s">
        <v>2879</v>
      </c>
      <c r="B1594" s="185" t="s">
        <v>2883</v>
      </c>
      <c r="C1594" s="185" t="s">
        <v>1897</v>
      </c>
      <c r="D1594" s="185" t="s">
        <v>2884</v>
      </c>
      <c r="E1594" s="185">
        <v>510527</v>
      </c>
      <c r="F1594" s="185" t="s">
        <v>1089</v>
      </c>
      <c r="G1594" s="185" t="s">
        <v>2885</v>
      </c>
      <c r="H1594" s="185" t="s">
        <v>1515</v>
      </c>
      <c r="I1594" s="258" t="str">
        <f t="shared" si="73"/>
        <v>5</v>
      </c>
      <c r="J1594" s="221">
        <f t="shared" si="74"/>
        <v>140606</v>
      </c>
      <c r="K1594" s="258">
        <f t="shared" si="75"/>
        <v>6</v>
      </c>
      <c r="L1594" s="188">
        <v>140606</v>
      </c>
      <c r="M1594" s="188">
        <v>0</v>
      </c>
      <c r="N1594" s="189">
        <v>1000036375</v>
      </c>
      <c r="O1594" t="s">
        <v>2883</v>
      </c>
      <c r="P1594" s="187">
        <v>45112</v>
      </c>
      <c r="Q1594" s="186">
        <v>12158</v>
      </c>
      <c r="R1594" s="185"/>
      <c r="S1594" s="185" t="s">
        <v>1524</v>
      </c>
      <c r="T1594"/>
      <c r="U1594" t="str">
        <f>IF($L1594&gt;0,VLOOKUP($E1594,Valida!$A$1:$G$270,6,FALSE),IF($M1594&gt;=0,VLOOKUP($E1594,Valida!$A$1:$G$270,7,FALSE)))</f>
        <v>(+/-) Ganancia (pérdida)</v>
      </c>
      <c r="V1594" s="190" t="str">
        <f>VLOOKUP(E1594,Valida!$A$2:$K$271,4,FALSE)</f>
        <v>P&amp;L</v>
      </c>
      <c r="W1594" s="185" t="s">
        <v>1983</v>
      </c>
      <c r="X1594" s="185"/>
      <c r="Y1594" s="185" t="s">
        <v>1789</v>
      </c>
      <c r="Z1594"/>
    </row>
    <row r="1595" spans="1:26">
      <c r="A1595" s="185" t="s">
        <v>2879</v>
      </c>
      <c r="B1595" s="185" t="s">
        <v>2883</v>
      </c>
      <c r="C1595" s="185" t="s">
        <v>1897</v>
      </c>
      <c r="D1595" s="185" t="s">
        <v>2884</v>
      </c>
      <c r="E1595" s="185">
        <v>510515</v>
      </c>
      <c r="F1595" s="185" t="s">
        <v>1080</v>
      </c>
      <c r="G1595" s="185" t="s">
        <v>2885</v>
      </c>
      <c r="H1595" s="185" t="s">
        <v>1515</v>
      </c>
      <c r="I1595" s="258" t="str">
        <f t="shared" si="73"/>
        <v>5</v>
      </c>
      <c r="J1595" s="221">
        <f t="shared" si="74"/>
        <v>408984</v>
      </c>
      <c r="K1595" s="258">
        <f t="shared" si="75"/>
        <v>6</v>
      </c>
      <c r="L1595" s="188">
        <v>408984</v>
      </c>
      <c r="M1595" s="188">
        <v>0</v>
      </c>
      <c r="N1595" s="189">
        <v>1000036375</v>
      </c>
      <c r="O1595" t="s">
        <v>2883</v>
      </c>
      <c r="P1595" s="187">
        <v>45112</v>
      </c>
      <c r="Q1595" s="186">
        <v>12159</v>
      </c>
      <c r="R1595" s="185"/>
      <c r="S1595" s="185" t="s">
        <v>1524</v>
      </c>
      <c r="T1595"/>
      <c r="U1595" t="str">
        <f>IF($L1595&gt;0,VLOOKUP($E1595,Valida!$A$1:$G$270,6,FALSE),IF($M1595&gt;=0,VLOOKUP($E1595,Valida!$A$1:$G$270,7,FALSE)))</f>
        <v>(+/-) Ganancia (pérdida)</v>
      </c>
      <c r="V1595" s="190" t="str">
        <f>VLOOKUP(E1595,Valida!$A$2:$K$271,4,FALSE)</f>
        <v>P&amp;L</v>
      </c>
      <c r="W1595" s="185" t="s">
        <v>1983</v>
      </c>
      <c r="X1595" s="185"/>
      <c r="Y1595" s="185" t="s">
        <v>1789</v>
      </c>
      <c r="Z1595"/>
    </row>
    <row r="1596" spans="1:26">
      <c r="A1596" s="185" t="s">
        <v>2879</v>
      </c>
      <c r="B1596" s="185" t="s">
        <v>2883</v>
      </c>
      <c r="C1596" s="185" t="s">
        <v>1897</v>
      </c>
      <c r="D1596" s="185" t="s">
        <v>2884</v>
      </c>
      <c r="E1596" s="185">
        <v>510515</v>
      </c>
      <c r="F1596" s="185" t="s">
        <v>1080</v>
      </c>
      <c r="G1596" s="185" t="s">
        <v>2885</v>
      </c>
      <c r="H1596" s="185" t="s">
        <v>1515</v>
      </c>
      <c r="I1596" s="258" t="str">
        <f t="shared" si="73"/>
        <v>5</v>
      </c>
      <c r="J1596" s="221">
        <f t="shared" si="74"/>
        <v>171875</v>
      </c>
      <c r="K1596" s="258">
        <f t="shared" si="75"/>
        <v>6</v>
      </c>
      <c r="L1596" s="188">
        <v>171875</v>
      </c>
      <c r="M1596" s="188">
        <v>0</v>
      </c>
      <c r="N1596" s="189">
        <v>1000036375</v>
      </c>
      <c r="O1596" t="s">
        <v>2883</v>
      </c>
      <c r="P1596" s="187">
        <v>45112</v>
      </c>
      <c r="Q1596" s="186">
        <v>12160</v>
      </c>
      <c r="R1596" s="185"/>
      <c r="S1596" s="185" t="s">
        <v>1524</v>
      </c>
      <c r="T1596"/>
      <c r="U1596" t="str">
        <f>IF($L1596&gt;0,VLOOKUP($E1596,Valida!$A$1:$G$270,6,FALSE),IF($M1596&gt;=0,VLOOKUP($E1596,Valida!$A$1:$G$270,7,FALSE)))</f>
        <v>(+/-) Ganancia (pérdida)</v>
      </c>
      <c r="V1596" s="190" t="str">
        <f>VLOOKUP(E1596,Valida!$A$2:$K$271,4,FALSE)</f>
        <v>P&amp;L</v>
      </c>
      <c r="W1596" s="185" t="s">
        <v>1983</v>
      </c>
      <c r="X1596" s="185"/>
      <c r="Y1596" s="185" t="s">
        <v>1789</v>
      </c>
      <c r="Z1596"/>
    </row>
    <row r="1597" spans="1:26">
      <c r="A1597" s="185" t="s">
        <v>2879</v>
      </c>
      <c r="B1597" s="185" t="s">
        <v>2883</v>
      </c>
      <c r="C1597" s="185" t="s">
        <v>1897</v>
      </c>
      <c r="D1597" s="185" t="s">
        <v>2884</v>
      </c>
      <c r="E1597" s="185">
        <v>510515</v>
      </c>
      <c r="F1597" s="185" t="s">
        <v>1080</v>
      </c>
      <c r="G1597" s="185" t="s">
        <v>2885</v>
      </c>
      <c r="H1597" s="185" t="s">
        <v>1515</v>
      </c>
      <c r="I1597" s="258" t="str">
        <f t="shared" si="73"/>
        <v>5</v>
      </c>
      <c r="J1597" s="221">
        <f t="shared" si="74"/>
        <v>154688</v>
      </c>
      <c r="K1597" s="258">
        <f t="shared" si="75"/>
        <v>6</v>
      </c>
      <c r="L1597" s="188">
        <v>154688</v>
      </c>
      <c r="M1597" s="188">
        <v>0</v>
      </c>
      <c r="N1597" s="189">
        <v>1000036375</v>
      </c>
      <c r="O1597" t="s">
        <v>2883</v>
      </c>
      <c r="P1597" s="187">
        <v>45112</v>
      </c>
      <c r="Q1597" s="186">
        <v>12161</v>
      </c>
      <c r="R1597" s="185"/>
      <c r="S1597" s="185" t="s">
        <v>1524</v>
      </c>
      <c r="T1597"/>
      <c r="U1597" t="str">
        <f>IF($L1597&gt;0,VLOOKUP($E1597,Valida!$A$1:$G$270,6,FALSE),IF($M1597&gt;=0,VLOOKUP($E1597,Valida!$A$1:$G$270,7,FALSE)))</f>
        <v>(+/-) Ganancia (pérdida)</v>
      </c>
      <c r="V1597" s="190" t="str">
        <f>VLOOKUP(E1597,Valida!$A$2:$K$271,4,FALSE)</f>
        <v>P&amp;L</v>
      </c>
      <c r="W1597" s="185" t="s">
        <v>1983</v>
      </c>
      <c r="X1597" s="185"/>
      <c r="Y1597" s="185" t="s">
        <v>1789</v>
      </c>
      <c r="Z1597"/>
    </row>
    <row r="1598" spans="1:26">
      <c r="A1598" s="185" t="s">
        <v>2879</v>
      </c>
      <c r="B1598" s="185" t="s">
        <v>2883</v>
      </c>
      <c r="C1598" s="185" t="s">
        <v>1897</v>
      </c>
      <c r="D1598" s="185" t="s">
        <v>2884</v>
      </c>
      <c r="E1598" s="185">
        <v>237005</v>
      </c>
      <c r="F1598" s="185" t="s">
        <v>676</v>
      </c>
      <c r="G1598" s="185" t="s">
        <v>2885</v>
      </c>
      <c r="H1598" s="185" t="s">
        <v>1628</v>
      </c>
      <c r="I1598" s="258" t="str">
        <f t="shared" si="73"/>
        <v>2</v>
      </c>
      <c r="J1598" s="221">
        <f t="shared" si="74"/>
        <v>-89422</v>
      </c>
      <c r="K1598" s="258">
        <f t="shared" si="75"/>
        <v>6</v>
      </c>
      <c r="L1598" s="188">
        <v>0</v>
      </c>
      <c r="M1598" s="188">
        <v>89422</v>
      </c>
      <c r="N1598" s="189">
        <v>900156264</v>
      </c>
      <c r="O1598" t="s">
        <v>2883</v>
      </c>
      <c r="P1598" s="187">
        <v>45112</v>
      </c>
      <c r="Q1598" s="186">
        <v>12162</v>
      </c>
      <c r="R1598" s="185" t="s">
        <v>433</v>
      </c>
      <c r="S1598" s="185" t="s">
        <v>1654</v>
      </c>
      <c r="T1598"/>
      <c r="U1598" t="str">
        <f>IF($L1598&gt;0,VLOOKUP($E1598,Valida!$A$1:$G$270,6,FALSE),IF($M1598&gt;=0,VLOOKUP($E1598,Valida!$A$1:$G$270,7,FALSE)))</f>
        <v>(+/-) Ajustes por el incremento (disminución) de cuentas por pagar de origen comercial</v>
      </c>
      <c r="V1598" s="190" t="str">
        <f>VLOOKUP(E1598,Valida!$A$2:$K$271,4,FALSE)</f>
        <v>Trade and other payables</v>
      </c>
      <c r="W1598" s="185" t="s">
        <v>1926</v>
      </c>
      <c r="X1598" s="185" t="s">
        <v>1927</v>
      </c>
      <c r="Y1598" s="185" t="s">
        <v>1789</v>
      </c>
      <c r="Z1598"/>
    </row>
    <row r="1599" spans="1:26">
      <c r="A1599" s="185" t="s">
        <v>2879</v>
      </c>
      <c r="B1599" s="185" t="s">
        <v>2883</v>
      </c>
      <c r="C1599" s="185" t="s">
        <v>1897</v>
      </c>
      <c r="D1599" s="185" t="s">
        <v>2884</v>
      </c>
      <c r="E1599" s="185">
        <v>238030</v>
      </c>
      <c r="F1599" s="185" t="s">
        <v>721</v>
      </c>
      <c r="G1599" s="185" t="s">
        <v>2885</v>
      </c>
      <c r="H1599" s="185" t="s">
        <v>1628</v>
      </c>
      <c r="I1599" s="258" t="str">
        <f t="shared" si="73"/>
        <v>2</v>
      </c>
      <c r="J1599" s="221">
        <f t="shared" si="74"/>
        <v>-89422</v>
      </c>
      <c r="K1599" s="258">
        <f t="shared" si="75"/>
        <v>6</v>
      </c>
      <c r="L1599" s="188">
        <v>0</v>
      </c>
      <c r="M1599" s="188">
        <v>89422</v>
      </c>
      <c r="N1599" s="189">
        <v>800224808</v>
      </c>
      <c r="O1599" t="s">
        <v>2883</v>
      </c>
      <c r="P1599" s="187">
        <v>45112</v>
      </c>
      <c r="Q1599" s="186">
        <v>12163</v>
      </c>
      <c r="R1599" s="185" t="s">
        <v>1827</v>
      </c>
      <c r="S1599" s="185" t="s">
        <v>1662</v>
      </c>
      <c r="T1599"/>
      <c r="U1599" t="str">
        <f>IF($L1599&gt;0,VLOOKUP($E1599,Valida!$A$1:$G$270,6,FALSE),IF($M1599&gt;=0,VLOOKUP($E1599,Valida!$A$1:$G$270,7,FALSE)))</f>
        <v>(+/-) Ajustes por el incremento (disminución) de cuentas por pagar de origen comercial</v>
      </c>
      <c r="V1599" s="190" t="str">
        <f>VLOOKUP(E1599,Valida!$A$2:$K$271,4,FALSE)</f>
        <v>Trade and other payables</v>
      </c>
      <c r="W1599" s="185" t="s">
        <v>1911</v>
      </c>
      <c r="X1599" s="185"/>
      <c r="Y1599" s="185" t="s">
        <v>1789</v>
      </c>
      <c r="Z1599"/>
    </row>
    <row r="1600" spans="1:26">
      <c r="A1600" s="185" t="s">
        <v>2879</v>
      </c>
      <c r="B1600" s="185" t="s">
        <v>2883</v>
      </c>
      <c r="C1600" s="185" t="s">
        <v>1897</v>
      </c>
      <c r="D1600" s="185" t="s">
        <v>2884</v>
      </c>
      <c r="E1600" s="185">
        <v>510506</v>
      </c>
      <c r="F1600" s="185" t="s">
        <v>1076</v>
      </c>
      <c r="G1600" s="185" t="s">
        <v>2885</v>
      </c>
      <c r="H1600" s="185" t="s">
        <v>1515</v>
      </c>
      <c r="I1600" s="258" t="str">
        <f t="shared" si="73"/>
        <v>5</v>
      </c>
      <c r="J1600" s="221">
        <f t="shared" si="74"/>
        <v>2200000</v>
      </c>
      <c r="K1600" s="258">
        <f t="shared" si="75"/>
        <v>6</v>
      </c>
      <c r="L1600" s="188">
        <v>2200000</v>
      </c>
      <c r="M1600" s="188">
        <v>0</v>
      </c>
      <c r="N1600" s="189">
        <v>1100623759</v>
      </c>
      <c r="O1600" t="s">
        <v>2883</v>
      </c>
      <c r="P1600" s="187">
        <v>45112</v>
      </c>
      <c r="Q1600" s="186">
        <v>12164</v>
      </c>
      <c r="R1600" s="185"/>
      <c r="S1600" s="185" t="s">
        <v>1536</v>
      </c>
      <c r="T1600"/>
      <c r="U1600" t="str">
        <f>IF($L1600&gt;0,VLOOKUP($E1600,Valida!$A$1:$G$270,6,FALSE),IF($M1600&gt;=0,VLOOKUP($E1600,Valida!$A$1:$G$270,7,FALSE)))</f>
        <v>(+/-) Ganancia (pérdida)</v>
      </c>
      <c r="V1600" s="190" t="str">
        <f>VLOOKUP(E1600,Valida!$A$2:$K$271,4,FALSE)</f>
        <v>P&amp;L</v>
      </c>
      <c r="W1600" s="185" t="s">
        <v>2730</v>
      </c>
      <c r="X1600" s="185"/>
      <c r="Y1600" s="185" t="s">
        <v>1789</v>
      </c>
      <c r="Z1600"/>
    </row>
    <row r="1601" spans="1:26">
      <c r="A1601" s="185" t="s">
        <v>2879</v>
      </c>
      <c r="B1601" s="185" t="s">
        <v>2883</v>
      </c>
      <c r="C1601" s="185" t="s">
        <v>1897</v>
      </c>
      <c r="D1601" s="185" t="s">
        <v>2884</v>
      </c>
      <c r="E1601" s="185">
        <v>252005</v>
      </c>
      <c r="F1601" s="185" t="s">
        <v>783</v>
      </c>
      <c r="G1601" s="185" t="s">
        <v>2885</v>
      </c>
      <c r="H1601" s="185" t="s">
        <v>1515</v>
      </c>
      <c r="I1601" s="258" t="str">
        <f t="shared" si="73"/>
        <v>2</v>
      </c>
      <c r="J1601" s="221">
        <f t="shared" si="74"/>
        <v>338088</v>
      </c>
      <c r="K1601" s="258">
        <f t="shared" si="75"/>
        <v>6</v>
      </c>
      <c r="L1601" s="188">
        <v>338088</v>
      </c>
      <c r="M1601" s="188">
        <v>0</v>
      </c>
      <c r="N1601" s="189">
        <v>1100623759</v>
      </c>
      <c r="O1601" t="s">
        <v>2883</v>
      </c>
      <c r="P1601" s="187">
        <v>45112</v>
      </c>
      <c r="Q1601" s="186">
        <v>12165</v>
      </c>
      <c r="R1601" s="185"/>
      <c r="S1601" s="185" t="s">
        <v>1536</v>
      </c>
      <c r="T1601"/>
      <c r="U1601" t="str">
        <f>IF($L1601&gt;0,VLOOKUP($E1601,Valida!$A$1:$G$270,6,FALSE),IF($M1601&gt;=0,VLOOKUP($E1601,Valida!$A$1:$G$270,7,FALSE)))</f>
        <v>(+/-) Ajustes por el incremento (disminución) de cuentas por pagar de origen comercial</v>
      </c>
      <c r="V1601" s="190" t="str">
        <f>VLOOKUP(E1601,Valida!$A$2:$K$271,4,FALSE)</f>
        <v>Trade and other payables</v>
      </c>
      <c r="W1601" s="185" t="s">
        <v>2730</v>
      </c>
      <c r="X1601" s="185"/>
      <c r="Y1601" s="185" t="s">
        <v>1789</v>
      </c>
      <c r="Z1601"/>
    </row>
    <row r="1602" spans="1:26">
      <c r="A1602" s="185" t="s">
        <v>2879</v>
      </c>
      <c r="B1602" s="185" t="s">
        <v>2883</v>
      </c>
      <c r="C1602" s="185" t="s">
        <v>1897</v>
      </c>
      <c r="D1602" s="185" t="s">
        <v>2884</v>
      </c>
      <c r="E1602" s="185">
        <v>510527</v>
      </c>
      <c r="F1602" s="185" t="s">
        <v>1089</v>
      </c>
      <c r="G1602" s="185" t="s">
        <v>2885</v>
      </c>
      <c r="H1602" s="185" t="s">
        <v>1515</v>
      </c>
      <c r="I1602" s="258" t="str">
        <f t="shared" si="73"/>
        <v>5</v>
      </c>
      <c r="J1602" s="221">
        <f t="shared" si="74"/>
        <v>140606</v>
      </c>
      <c r="K1602" s="258">
        <f t="shared" si="75"/>
        <v>6</v>
      </c>
      <c r="L1602" s="188">
        <v>140606</v>
      </c>
      <c r="M1602" s="188">
        <v>0</v>
      </c>
      <c r="N1602" s="189">
        <v>1100623759</v>
      </c>
      <c r="O1602" t="s">
        <v>2883</v>
      </c>
      <c r="P1602" s="187">
        <v>45112</v>
      </c>
      <c r="Q1602" s="186">
        <v>12166</v>
      </c>
      <c r="R1602" s="185"/>
      <c r="S1602" s="185" t="s">
        <v>1536</v>
      </c>
      <c r="T1602"/>
      <c r="U1602" t="str">
        <f>IF($L1602&gt;0,VLOOKUP($E1602,Valida!$A$1:$G$270,6,FALSE),IF($M1602&gt;=0,VLOOKUP($E1602,Valida!$A$1:$G$270,7,FALSE)))</f>
        <v>(+/-) Ganancia (pérdida)</v>
      </c>
      <c r="V1602" s="190" t="str">
        <f>VLOOKUP(E1602,Valida!$A$2:$K$271,4,FALSE)</f>
        <v>P&amp;L</v>
      </c>
      <c r="W1602" s="185" t="s">
        <v>2730</v>
      </c>
      <c r="X1602" s="185"/>
      <c r="Y1602" s="185" t="s">
        <v>1789</v>
      </c>
      <c r="Z1602"/>
    </row>
    <row r="1603" spans="1:26">
      <c r="A1603" s="185" t="s">
        <v>2879</v>
      </c>
      <c r="B1603" s="185" t="s">
        <v>2883</v>
      </c>
      <c r="C1603" s="185" t="s">
        <v>1897</v>
      </c>
      <c r="D1603" s="185" t="s">
        <v>2884</v>
      </c>
      <c r="E1603" s="185">
        <v>237005</v>
      </c>
      <c r="F1603" s="185" t="s">
        <v>676</v>
      </c>
      <c r="G1603" s="185" t="s">
        <v>2885</v>
      </c>
      <c r="H1603" s="185" t="s">
        <v>1628</v>
      </c>
      <c r="I1603" s="258" t="str">
        <f t="shared" ref="I1603:I1666" si="76">LEFT(E1603,1)</f>
        <v>2</v>
      </c>
      <c r="J1603" s="221">
        <f t="shared" ref="J1603:J1666" si="77">L1603-M1603</f>
        <v>-88000</v>
      </c>
      <c r="K1603" s="258">
        <f t="shared" ref="K1603:K1666" si="78">MONTH(A1603)</f>
        <v>6</v>
      </c>
      <c r="L1603" s="188">
        <v>0</v>
      </c>
      <c r="M1603" s="188">
        <v>88000</v>
      </c>
      <c r="N1603" s="189">
        <v>800251440</v>
      </c>
      <c r="O1603" t="s">
        <v>2883</v>
      </c>
      <c r="P1603" s="187">
        <v>45112</v>
      </c>
      <c r="Q1603" s="186">
        <v>12167</v>
      </c>
      <c r="R1603" s="185" t="s">
        <v>1901</v>
      </c>
      <c r="S1603" s="185" t="s">
        <v>1560</v>
      </c>
      <c r="T1603"/>
      <c r="U1603" t="str">
        <f>IF($L1603&gt;0,VLOOKUP($E1603,Valida!$A$1:$G$270,6,FALSE),IF($M1603&gt;=0,VLOOKUP($E1603,Valida!$A$1:$G$270,7,FALSE)))</f>
        <v>(+/-) Ajustes por el incremento (disminución) de cuentas por pagar de origen comercial</v>
      </c>
      <c r="V1603" s="190" t="str">
        <f>VLOOKUP(E1603,Valida!$A$2:$K$271,4,FALSE)</f>
        <v>Trade and other payables</v>
      </c>
      <c r="W1603" s="185" t="s">
        <v>1902</v>
      </c>
      <c r="X1603" s="185" t="s">
        <v>1903</v>
      </c>
      <c r="Y1603" s="185" t="s">
        <v>1789</v>
      </c>
      <c r="Z1603"/>
    </row>
    <row r="1604" spans="1:26">
      <c r="A1604" s="185" t="s">
        <v>2879</v>
      </c>
      <c r="B1604" s="185" t="s">
        <v>2883</v>
      </c>
      <c r="C1604" s="185" t="s">
        <v>1897</v>
      </c>
      <c r="D1604" s="185" t="s">
        <v>2884</v>
      </c>
      <c r="E1604" s="185">
        <v>238030</v>
      </c>
      <c r="F1604" s="185" t="s">
        <v>721</v>
      </c>
      <c r="G1604" s="185" t="s">
        <v>2885</v>
      </c>
      <c r="H1604" s="185" t="s">
        <v>1628</v>
      </c>
      <c r="I1604" s="258" t="str">
        <f t="shared" si="76"/>
        <v>2</v>
      </c>
      <c r="J1604" s="221">
        <f t="shared" si="77"/>
        <v>-88000</v>
      </c>
      <c r="K1604" s="258">
        <f t="shared" si="78"/>
        <v>6</v>
      </c>
      <c r="L1604" s="188">
        <v>0</v>
      </c>
      <c r="M1604" s="188">
        <v>88000</v>
      </c>
      <c r="N1604" s="189">
        <v>800224808</v>
      </c>
      <c r="O1604" t="s">
        <v>2883</v>
      </c>
      <c r="P1604" s="187">
        <v>45112</v>
      </c>
      <c r="Q1604" s="186">
        <v>12168</v>
      </c>
      <c r="R1604" s="185" t="s">
        <v>1827</v>
      </c>
      <c r="S1604" s="185" t="s">
        <v>1662</v>
      </c>
      <c r="T1604"/>
      <c r="U1604" t="str">
        <f>IF($L1604&gt;0,VLOOKUP($E1604,Valida!$A$1:$G$270,6,FALSE),IF($M1604&gt;=0,VLOOKUP($E1604,Valida!$A$1:$G$270,7,FALSE)))</f>
        <v>(+/-) Ajustes por el incremento (disminución) de cuentas por pagar de origen comercial</v>
      </c>
      <c r="V1604" s="190" t="str">
        <f>VLOOKUP(E1604,Valida!$A$2:$K$271,4,FALSE)</f>
        <v>Trade and other payables</v>
      </c>
      <c r="W1604" s="185" t="s">
        <v>1911</v>
      </c>
      <c r="X1604" s="185"/>
      <c r="Y1604" s="185" t="s">
        <v>1789</v>
      </c>
      <c r="Z1604"/>
    </row>
    <row r="1605" spans="1:26">
      <c r="A1605" s="185" t="s">
        <v>2879</v>
      </c>
      <c r="B1605" s="185" t="s">
        <v>2883</v>
      </c>
      <c r="C1605" s="185" t="s">
        <v>1897</v>
      </c>
      <c r="D1605" s="185" t="s">
        <v>2884</v>
      </c>
      <c r="E1605" s="185">
        <v>510506</v>
      </c>
      <c r="F1605" s="185" t="s">
        <v>1076</v>
      </c>
      <c r="G1605" s="185" t="s">
        <v>2885</v>
      </c>
      <c r="H1605" s="185" t="s">
        <v>1628</v>
      </c>
      <c r="I1605" s="258" t="str">
        <f t="shared" si="76"/>
        <v>5</v>
      </c>
      <c r="J1605" s="221">
        <f t="shared" si="77"/>
        <v>-957917</v>
      </c>
      <c r="K1605" s="258">
        <f t="shared" si="78"/>
        <v>6</v>
      </c>
      <c r="L1605" s="188">
        <v>0</v>
      </c>
      <c r="M1605" s="188">
        <v>957917</v>
      </c>
      <c r="N1605" s="189">
        <v>1100623759</v>
      </c>
      <c r="O1605" t="s">
        <v>2883</v>
      </c>
      <c r="P1605" s="187">
        <v>45112</v>
      </c>
      <c r="Q1605" s="186">
        <v>12169</v>
      </c>
      <c r="R1605" s="185"/>
      <c r="S1605" s="185" t="s">
        <v>1536</v>
      </c>
      <c r="T1605"/>
      <c r="U1605" t="str">
        <f>IF($L1605&gt;0,VLOOKUP($E1605,Valida!$A$1:$G$270,6,FALSE),IF($M1605&gt;=0,VLOOKUP($E1605,Valida!$A$1:$G$270,7,FALSE)))</f>
        <v>(+/-) Ganancia (pérdida)</v>
      </c>
      <c r="V1605" s="190" t="str">
        <f>VLOOKUP(E1605,Valida!$A$2:$K$271,4,FALSE)</f>
        <v>P&amp;L</v>
      </c>
      <c r="W1605" s="185" t="s">
        <v>2730</v>
      </c>
      <c r="X1605" s="185"/>
      <c r="Y1605" s="185" t="s">
        <v>1789</v>
      </c>
      <c r="Z1605"/>
    </row>
    <row r="1606" spans="1:26">
      <c r="A1606" s="185" t="s">
        <v>2879</v>
      </c>
      <c r="B1606" s="185" t="s">
        <v>2883</v>
      </c>
      <c r="C1606" s="185" t="s">
        <v>1897</v>
      </c>
      <c r="D1606" s="185" t="s">
        <v>2884</v>
      </c>
      <c r="E1606" s="185">
        <v>250505</v>
      </c>
      <c r="F1606" s="185" t="s">
        <v>767</v>
      </c>
      <c r="G1606" s="185" t="s">
        <v>2885</v>
      </c>
      <c r="H1606" s="185" t="s">
        <v>1628</v>
      </c>
      <c r="I1606" s="258" t="str">
        <f t="shared" si="76"/>
        <v>2</v>
      </c>
      <c r="J1606" s="221">
        <f t="shared" si="77"/>
        <v>-1834156</v>
      </c>
      <c r="K1606" s="258">
        <f t="shared" si="78"/>
        <v>6</v>
      </c>
      <c r="L1606" s="188">
        <v>0</v>
      </c>
      <c r="M1606" s="188">
        <v>1834156</v>
      </c>
      <c r="N1606" s="189">
        <v>1000018061</v>
      </c>
      <c r="O1606" t="s">
        <v>2883</v>
      </c>
      <c r="P1606" s="187">
        <v>45112</v>
      </c>
      <c r="Q1606" s="186">
        <v>12170</v>
      </c>
      <c r="R1606" s="185"/>
      <c r="S1606" s="185" t="s">
        <v>1522</v>
      </c>
      <c r="T1606"/>
      <c r="U1606" t="str">
        <f>IF($L1606&gt;0,VLOOKUP($E1606,Valida!$A$1:$G$270,6,FALSE),IF($M1606&gt;=0,VLOOKUP($E1606,Valida!$A$1:$G$270,7,FALSE)))</f>
        <v>(+/-) Ajustes por el incremento (disminución) de cuentas por pagar de origen comercial</v>
      </c>
      <c r="V1606" s="190" t="str">
        <f>VLOOKUP(E1606,Valida!$A$2:$K$271,4,FALSE)</f>
        <v>Trade and other payables</v>
      </c>
      <c r="W1606" s="185" t="s">
        <v>1978</v>
      </c>
      <c r="X1606" s="185"/>
      <c r="Y1606" s="185" t="s">
        <v>1789</v>
      </c>
      <c r="Z1606"/>
    </row>
    <row r="1607" spans="1:26">
      <c r="A1607" s="185" t="s">
        <v>2879</v>
      </c>
      <c r="B1607" s="185" t="s">
        <v>2883</v>
      </c>
      <c r="C1607" s="185" t="s">
        <v>1897</v>
      </c>
      <c r="D1607" s="185" t="s">
        <v>2884</v>
      </c>
      <c r="E1607" s="185">
        <v>250505</v>
      </c>
      <c r="F1607" s="185" t="s">
        <v>767</v>
      </c>
      <c r="G1607" s="185" t="s">
        <v>2885</v>
      </c>
      <c r="H1607" s="185" t="s">
        <v>1628</v>
      </c>
      <c r="I1607" s="258" t="str">
        <f t="shared" si="76"/>
        <v>2</v>
      </c>
      <c r="J1607" s="221">
        <f t="shared" si="77"/>
        <v>-2979953</v>
      </c>
      <c r="K1607" s="258">
        <f t="shared" si="78"/>
        <v>6</v>
      </c>
      <c r="L1607" s="188">
        <v>0</v>
      </c>
      <c r="M1607" s="188">
        <v>2979953</v>
      </c>
      <c r="N1607" s="189">
        <v>1000036375</v>
      </c>
      <c r="O1607" t="s">
        <v>2883</v>
      </c>
      <c r="P1607" s="187">
        <v>45112</v>
      </c>
      <c r="Q1607" s="186">
        <v>12171</v>
      </c>
      <c r="R1607" s="185"/>
      <c r="S1607" s="185" t="s">
        <v>1524</v>
      </c>
      <c r="T1607"/>
      <c r="U1607" t="str">
        <f>IF($L1607&gt;0,VLOOKUP($E1607,Valida!$A$1:$G$270,6,FALSE),IF($M1607&gt;=0,VLOOKUP($E1607,Valida!$A$1:$G$270,7,FALSE)))</f>
        <v>(+/-) Ajustes por el incremento (disminución) de cuentas por pagar de origen comercial</v>
      </c>
      <c r="V1607" s="190" t="str">
        <f>VLOOKUP(E1607,Valida!$A$2:$K$271,4,FALSE)</f>
        <v>Trade and other payables</v>
      </c>
      <c r="W1607" s="185" t="s">
        <v>1983</v>
      </c>
      <c r="X1607" s="185"/>
      <c r="Y1607" s="185" t="s">
        <v>1789</v>
      </c>
      <c r="Z1607"/>
    </row>
    <row r="1608" spans="1:26">
      <c r="A1608" s="185" t="s">
        <v>2879</v>
      </c>
      <c r="B1608" s="185" t="s">
        <v>2883</v>
      </c>
      <c r="C1608" s="185" t="s">
        <v>1897</v>
      </c>
      <c r="D1608" s="185" t="s">
        <v>2884</v>
      </c>
      <c r="E1608" s="185">
        <v>250505</v>
      </c>
      <c r="F1608" s="185" t="s">
        <v>767</v>
      </c>
      <c r="G1608" s="185" t="s">
        <v>2885</v>
      </c>
      <c r="H1608" s="185" t="s">
        <v>1628</v>
      </c>
      <c r="I1608" s="258" t="str">
        <f t="shared" si="76"/>
        <v>2</v>
      </c>
      <c r="J1608" s="221">
        <f t="shared" si="77"/>
        <v>-2352198</v>
      </c>
      <c r="K1608" s="258">
        <f t="shared" si="78"/>
        <v>6</v>
      </c>
      <c r="L1608" s="188">
        <v>0</v>
      </c>
      <c r="M1608" s="188">
        <v>2352198</v>
      </c>
      <c r="N1608" s="189">
        <v>1010101811</v>
      </c>
      <c r="O1608" t="s">
        <v>2883</v>
      </c>
      <c r="P1608" s="187">
        <v>45112</v>
      </c>
      <c r="Q1608" s="186">
        <v>12172</v>
      </c>
      <c r="R1608" s="185"/>
      <c r="S1608" s="185" t="s">
        <v>1528</v>
      </c>
      <c r="T1608"/>
      <c r="U1608" t="str">
        <f>IF($L1608&gt;0,VLOOKUP($E1608,Valida!$A$1:$G$270,6,FALSE),IF($M1608&gt;=0,VLOOKUP($E1608,Valida!$A$1:$G$270,7,FALSE)))</f>
        <v>(+/-) Ajustes por el incremento (disminución) de cuentas por pagar de origen comercial</v>
      </c>
      <c r="V1608" s="190" t="str">
        <f>VLOOKUP(E1608,Valida!$A$2:$K$271,4,FALSE)</f>
        <v>Trade and other payables</v>
      </c>
      <c r="W1608" s="185" t="s">
        <v>1967</v>
      </c>
      <c r="X1608" s="185"/>
      <c r="Y1608" s="185" t="s">
        <v>1789</v>
      </c>
      <c r="Z1608"/>
    </row>
    <row r="1609" spans="1:26">
      <c r="A1609" s="185" t="s">
        <v>2879</v>
      </c>
      <c r="B1609" s="185" t="s">
        <v>2883</v>
      </c>
      <c r="C1609" s="185" t="s">
        <v>1897</v>
      </c>
      <c r="D1609" s="185" t="s">
        <v>2884</v>
      </c>
      <c r="E1609" s="185">
        <v>250505</v>
      </c>
      <c r="F1609" s="185" t="s">
        <v>767</v>
      </c>
      <c r="G1609" s="185" t="s">
        <v>2885</v>
      </c>
      <c r="H1609" s="185" t="s">
        <v>1628</v>
      </c>
      <c r="I1609" s="258" t="str">
        <f t="shared" si="76"/>
        <v>2</v>
      </c>
      <c r="J1609" s="221">
        <f t="shared" si="77"/>
        <v>-1739651</v>
      </c>
      <c r="K1609" s="258">
        <f t="shared" si="78"/>
        <v>6</v>
      </c>
      <c r="L1609" s="188">
        <v>0</v>
      </c>
      <c r="M1609" s="188">
        <v>1739651</v>
      </c>
      <c r="N1609" s="189">
        <v>1020842223</v>
      </c>
      <c r="O1609" t="s">
        <v>2883</v>
      </c>
      <c r="P1609" s="187">
        <v>45112</v>
      </c>
      <c r="Q1609" s="186">
        <v>12173</v>
      </c>
      <c r="R1609" s="185"/>
      <c r="S1609" s="185" t="s">
        <v>1532</v>
      </c>
      <c r="T1609"/>
      <c r="U1609" t="str">
        <f>IF($L1609&gt;0,VLOOKUP($E1609,Valida!$A$1:$G$270,6,FALSE),IF($M1609&gt;=0,VLOOKUP($E1609,Valida!$A$1:$G$270,7,FALSE)))</f>
        <v>(+/-) Ajustes por el incremento (disminución) de cuentas por pagar de origen comercial</v>
      </c>
      <c r="V1609" s="190" t="str">
        <f>VLOOKUP(E1609,Valida!$A$2:$K$271,4,FALSE)</f>
        <v>Trade and other payables</v>
      </c>
      <c r="W1609" s="185" t="s">
        <v>1900</v>
      </c>
      <c r="X1609" s="185"/>
      <c r="Y1609" s="185" t="s">
        <v>1789</v>
      </c>
      <c r="Z1609"/>
    </row>
    <row r="1610" spans="1:26">
      <c r="A1610" s="185" t="s">
        <v>2879</v>
      </c>
      <c r="B1610" s="185" t="s">
        <v>2883</v>
      </c>
      <c r="C1610" s="185" t="s">
        <v>1897</v>
      </c>
      <c r="D1610" s="185" t="s">
        <v>2884</v>
      </c>
      <c r="E1610" s="185">
        <v>250505</v>
      </c>
      <c r="F1610" s="185" t="s">
        <v>767</v>
      </c>
      <c r="G1610" s="185" t="s">
        <v>2885</v>
      </c>
      <c r="H1610" s="185" t="s">
        <v>1628</v>
      </c>
      <c r="I1610" s="258" t="str">
        <f t="shared" si="76"/>
        <v>2</v>
      </c>
      <c r="J1610" s="221">
        <f t="shared" si="77"/>
        <v>-1544777</v>
      </c>
      <c r="K1610" s="258">
        <f t="shared" si="78"/>
        <v>6</v>
      </c>
      <c r="L1610" s="188">
        <v>0</v>
      </c>
      <c r="M1610" s="188">
        <v>1544777</v>
      </c>
      <c r="N1610" s="189">
        <v>1100623759</v>
      </c>
      <c r="O1610" t="s">
        <v>2883</v>
      </c>
      <c r="P1610" s="187">
        <v>45112</v>
      </c>
      <c r="Q1610" s="186">
        <v>12174</v>
      </c>
      <c r="R1610" s="185"/>
      <c r="S1610" s="185" t="s">
        <v>1536</v>
      </c>
      <c r="T1610"/>
      <c r="U1610" t="str">
        <f>IF($L1610&gt;0,VLOOKUP($E1610,Valida!$A$1:$G$270,6,FALSE),IF($M1610&gt;=0,VLOOKUP($E1610,Valida!$A$1:$G$270,7,FALSE)))</f>
        <v>(+/-) Ajustes por el incremento (disminución) de cuentas por pagar de origen comercial</v>
      </c>
      <c r="V1610" s="190" t="str">
        <f>VLOOKUP(E1610,Valida!$A$2:$K$271,4,FALSE)</f>
        <v>Trade and other payables</v>
      </c>
      <c r="W1610" s="185" t="s">
        <v>2730</v>
      </c>
      <c r="X1610" s="185"/>
      <c r="Y1610" s="185" t="s">
        <v>1789</v>
      </c>
      <c r="Z1610"/>
    </row>
    <row r="1611" spans="1:26">
      <c r="A1611" s="185" t="s">
        <v>2879</v>
      </c>
      <c r="B1611" s="185" t="s">
        <v>2883</v>
      </c>
      <c r="C1611" s="185" t="s">
        <v>1897</v>
      </c>
      <c r="D1611" s="185" t="s">
        <v>2884</v>
      </c>
      <c r="E1611" s="185">
        <v>250505</v>
      </c>
      <c r="F1611" s="185" t="s">
        <v>767</v>
      </c>
      <c r="G1611" s="185" t="s">
        <v>2885</v>
      </c>
      <c r="H1611" s="185" t="s">
        <v>1628</v>
      </c>
      <c r="I1611" s="258" t="str">
        <f t="shared" si="76"/>
        <v>2</v>
      </c>
      <c r="J1611" s="221">
        <f t="shared" si="77"/>
        <v>-1858109</v>
      </c>
      <c r="K1611" s="258">
        <f t="shared" si="78"/>
        <v>6</v>
      </c>
      <c r="L1611" s="188">
        <v>0</v>
      </c>
      <c r="M1611" s="188">
        <v>1858109</v>
      </c>
      <c r="N1611" s="189">
        <v>1130744136</v>
      </c>
      <c r="O1611" t="s">
        <v>2883</v>
      </c>
      <c r="P1611" s="187">
        <v>45112</v>
      </c>
      <c r="Q1611" s="186">
        <v>12175</v>
      </c>
      <c r="R1611" s="185"/>
      <c r="S1611" s="185" t="s">
        <v>1538</v>
      </c>
      <c r="T1611"/>
      <c r="U1611" t="str">
        <f>IF($L1611&gt;0,VLOOKUP($E1611,Valida!$A$1:$G$270,6,FALSE),IF($M1611&gt;=0,VLOOKUP($E1611,Valida!$A$1:$G$270,7,FALSE)))</f>
        <v>(+/-) Ajustes por el incremento (disminución) de cuentas por pagar de origen comercial</v>
      </c>
      <c r="V1611" s="190" t="str">
        <f>VLOOKUP(E1611,Valida!$A$2:$K$271,4,FALSE)</f>
        <v>Trade and other payables</v>
      </c>
      <c r="W1611" s="185" t="s">
        <v>1909</v>
      </c>
      <c r="X1611" s="185" t="s">
        <v>1910</v>
      </c>
      <c r="Y1611" s="185" t="s">
        <v>1789</v>
      </c>
      <c r="Z1611"/>
    </row>
    <row r="1612" spans="1:26">
      <c r="A1612" s="185" t="s">
        <v>2879</v>
      </c>
      <c r="B1612" s="185" t="s">
        <v>2886</v>
      </c>
      <c r="C1612" s="185" t="s">
        <v>1897</v>
      </c>
      <c r="D1612" s="185" t="s">
        <v>2887</v>
      </c>
      <c r="E1612" s="185">
        <v>237006</v>
      </c>
      <c r="F1612" s="185" t="s">
        <v>680</v>
      </c>
      <c r="G1612" s="185" t="s">
        <v>2888</v>
      </c>
      <c r="H1612" s="185" t="s">
        <v>1628</v>
      </c>
      <c r="I1612" s="258" t="str">
        <f t="shared" si="76"/>
        <v>2</v>
      </c>
      <c r="J1612" s="221">
        <f t="shared" si="77"/>
        <v>-6100</v>
      </c>
      <c r="K1612" s="258">
        <f t="shared" si="78"/>
        <v>6</v>
      </c>
      <c r="L1612" s="188">
        <v>0</v>
      </c>
      <c r="M1612" s="188">
        <v>6100</v>
      </c>
      <c r="N1612" s="189">
        <v>860002503</v>
      </c>
      <c r="O1612" t="s">
        <v>2886</v>
      </c>
      <c r="P1612" s="187">
        <v>45112</v>
      </c>
      <c r="Q1612" s="186">
        <v>12301</v>
      </c>
      <c r="R1612" s="185" t="s">
        <v>433</v>
      </c>
      <c r="S1612" s="185" t="s">
        <v>1656</v>
      </c>
      <c r="T1612"/>
      <c r="U1612" t="str">
        <f>IF($L1612&gt;0,VLOOKUP($E1612,Valida!$A$1:$G$270,6,FALSE),IF($M1612&gt;=0,VLOOKUP($E1612,Valida!$A$1:$G$270,7,FALSE)))</f>
        <v>(+/-) Ajustes por el incremento (disminución) de cuentas por pagar de origen comercial</v>
      </c>
      <c r="V1612" s="190" t="str">
        <f>VLOOKUP(E1612,Valida!$A$2:$K$271,4,FALSE)</f>
        <v>Trade and other payables</v>
      </c>
      <c r="W1612" s="185" t="s">
        <v>1912</v>
      </c>
      <c r="X1612" s="185" t="s">
        <v>1913</v>
      </c>
      <c r="Y1612" s="185" t="s">
        <v>1789</v>
      </c>
      <c r="Z1612"/>
    </row>
    <row r="1613" spans="1:26">
      <c r="A1613" s="185" t="s">
        <v>2879</v>
      </c>
      <c r="B1613" s="185" t="s">
        <v>2886</v>
      </c>
      <c r="C1613" s="185" t="s">
        <v>1897</v>
      </c>
      <c r="D1613" s="185" t="s">
        <v>2887</v>
      </c>
      <c r="E1613" s="185">
        <v>237006</v>
      </c>
      <c r="F1613" s="185" t="s">
        <v>680</v>
      </c>
      <c r="G1613" s="185" t="s">
        <v>2888</v>
      </c>
      <c r="H1613" s="185" t="s">
        <v>1628</v>
      </c>
      <c r="I1613" s="258" t="str">
        <f t="shared" si="76"/>
        <v>2</v>
      </c>
      <c r="J1613" s="221">
        <f t="shared" si="77"/>
        <v>-7900</v>
      </c>
      <c r="K1613" s="258">
        <f t="shared" si="78"/>
        <v>6</v>
      </c>
      <c r="L1613" s="188">
        <v>0</v>
      </c>
      <c r="M1613" s="188">
        <v>7900</v>
      </c>
      <c r="N1613" s="189">
        <v>860002503</v>
      </c>
      <c r="O1613" t="s">
        <v>2886</v>
      </c>
      <c r="P1613" s="187">
        <v>45112</v>
      </c>
      <c r="Q1613" s="186">
        <v>12302</v>
      </c>
      <c r="R1613" s="185" t="s">
        <v>433</v>
      </c>
      <c r="S1613" s="185" t="s">
        <v>1656</v>
      </c>
      <c r="T1613"/>
      <c r="U1613" t="str">
        <f>IF($L1613&gt;0,VLOOKUP($E1613,Valida!$A$1:$G$270,6,FALSE),IF($M1613&gt;=0,VLOOKUP($E1613,Valida!$A$1:$G$270,7,FALSE)))</f>
        <v>(+/-) Ajustes por el incremento (disminución) de cuentas por pagar de origen comercial</v>
      </c>
      <c r="V1613" s="190" t="str">
        <f>VLOOKUP(E1613,Valida!$A$2:$K$271,4,FALSE)</f>
        <v>Trade and other payables</v>
      </c>
      <c r="W1613" s="185" t="s">
        <v>1912</v>
      </c>
      <c r="X1613" s="185" t="s">
        <v>1913</v>
      </c>
      <c r="Y1613" s="185" t="s">
        <v>1789</v>
      </c>
      <c r="Z1613"/>
    </row>
    <row r="1614" spans="1:26">
      <c r="A1614" s="185" t="s">
        <v>2879</v>
      </c>
      <c r="B1614" s="185" t="s">
        <v>2886</v>
      </c>
      <c r="C1614" s="185" t="s">
        <v>1897</v>
      </c>
      <c r="D1614" s="185" t="s">
        <v>2887</v>
      </c>
      <c r="E1614" s="185">
        <v>237006</v>
      </c>
      <c r="F1614" s="185" t="s">
        <v>680</v>
      </c>
      <c r="G1614" s="185" t="s">
        <v>2888</v>
      </c>
      <c r="H1614" s="185" t="s">
        <v>1628</v>
      </c>
      <c r="I1614" s="258" t="str">
        <f t="shared" si="76"/>
        <v>2</v>
      </c>
      <c r="J1614" s="221">
        <f t="shared" si="77"/>
        <v>-6700</v>
      </c>
      <c r="K1614" s="258">
        <f t="shared" si="78"/>
        <v>6</v>
      </c>
      <c r="L1614" s="188">
        <v>0</v>
      </c>
      <c r="M1614" s="188">
        <v>6700</v>
      </c>
      <c r="N1614" s="189">
        <v>860002503</v>
      </c>
      <c r="O1614" t="s">
        <v>2886</v>
      </c>
      <c r="P1614" s="187">
        <v>45112</v>
      </c>
      <c r="Q1614" s="186">
        <v>12303</v>
      </c>
      <c r="R1614" s="185" t="s">
        <v>433</v>
      </c>
      <c r="S1614" s="185" t="s">
        <v>1656</v>
      </c>
      <c r="T1614"/>
      <c r="U1614" t="str">
        <f>IF($L1614&gt;0,VLOOKUP($E1614,Valida!$A$1:$G$270,6,FALSE),IF($M1614&gt;=0,VLOOKUP($E1614,Valida!$A$1:$G$270,7,FALSE)))</f>
        <v>(+/-) Ajustes por el incremento (disminución) de cuentas por pagar de origen comercial</v>
      </c>
      <c r="V1614" s="190" t="str">
        <f>VLOOKUP(E1614,Valida!$A$2:$K$271,4,FALSE)</f>
        <v>Trade and other payables</v>
      </c>
      <c r="W1614" s="185" t="s">
        <v>1912</v>
      </c>
      <c r="X1614" s="185" t="s">
        <v>1913</v>
      </c>
      <c r="Y1614" s="185" t="s">
        <v>1789</v>
      </c>
      <c r="Z1614"/>
    </row>
    <row r="1615" spans="1:26">
      <c r="A1615" s="185" t="s">
        <v>2879</v>
      </c>
      <c r="B1615" s="185" t="s">
        <v>2886</v>
      </c>
      <c r="C1615" s="185" t="s">
        <v>1897</v>
      </c>
      <c r="D1615" s="185" t="s">
        <v>2887</v>
      </c>
      <c r="E1615" s="185">
        <v>237006</v>
      </c>
      <c r="F1615" s="185" t="s">
        <v>680</v>
      </c>
      <c r="G1615" s="185" t="s">
        <v>2888</v>
      </c>
      <c r="H1615" s="185" t="s">
        <v>1628</v>
      </c>
      <c r="I1615" s="258" t="str">
        <f t="shared" si="76"/>
        <v>2</v>
      </c>
      <c r="J1615" s="221">
        <f t="shared" si="77"/>
        <v>-11700</v>
      </c>
      <c r="K1615" s="258">
        <f t="shared" si="78"/>
        <v>6</v>
      </c>
      <c r="L1615" s="188">
        <v>0</v>
      </c>
      <c r="M1615" s="188">
        <v>11700</v>
      </c>
      <c r="N1615" s="189">
        <v>860002503</v>
      </c>
      <c r="O1615" t="s">
        <v>2886</v>
      </c>
      <c r="P1615" s="187">
        <v>45112</v>
      </c>
      <c r="Q1615" s="186">
        <v>12304</v>
      </c>
      <c r="R1615" s="185" t="s">
        <v>433</v>
      </c>
      <c r="S1615" s="185" t="s">
        <v>1656</v>
      </c>
      <c r="T1615"/>
      <c r="U1615" t="str">
        <f>IF($L1615&gt;0,VLOOKUP($E1615,Valida!$A$1:$G$270,6,FALSE),IF($M1615&gt;=0,VLOOKUP($E1615,Valida!$A$1:$G$270,7,FALSE)))</f>
        <v>(+/-) Ajustes por el incremento (disminución) de cuentas por pagar de origen comercial</v>
      </c>
      <c r="V1615" s="190" t="str">
        <f>VLOOKUP(E1615,Valida!$A$2:$K$271,4,FALSE)</f>
        <v>Trade and other payables</v>
      </c>
      <c r="W1615" s="185" t="s">
        <v>1912</v>
      </c>
      <c r="X1615" s="185" t="s">
        <v>1913</v>
      </c>
      <c r="Y1615" s="185" t="s">
        <v>1789</v>
      </c>
      <c r="Z1615"/>
    </row>
    <row r="1616" spans="1:26">
      <c r="A1616" s="185" t="s">
        <v>2879</v>
      </c>
      <c r="B1616" s="185" t="s">
        <v>2886</v>
      </c>
      <c r="C1616" s="185" t="s">
        <v>1897</v>
      </c>
      <c r="D1616" s="185" t="s">
        <v>2887</v>
      </c>
      <c r="E1616" s="185">
        <v>237006</v>
      </c>
      <c r="F1616" s="185" t="s">
        <v>680</v>
      </c>
      <c r="G1616" s="185" t="s">
        <v>2888</v>
      </c>
      <c r="H1616" s="185" t="s">
        <v>1628</v>
      </c>
      <c r="I1616" s="258" t="str">
        <f t="shared" si="76"/>
        <v>2</v>
      </c>
      <c r="J1616" s="221">
        <f t="shared" si="77"/>
        <v>-11500</v>
      </c>
      <c r="K1616" s="258">
        <f t="shared" si="78"/>
        <v>6</v>
      </c>
      <c r="L1616" s="188">
        <v>0</v>
      </c>
      <c r="M1616" s="188">
        <v>11500</v>
      </c>
      <c r="N1616" s="189">
        <v>860002503</v>
      </c>
      <c r="O1616" t="s">
        <v>2886</v>
      </c>
      <c r="P1616" s="187">
        <v>45112</v>
      </c>
      <c r="Q1616" s="186">
        <v>12305</v>
      </c>
      <c r="R1616" s="185" t="s">
        <v>433</v>
      </c>
      <c r="S1616" s="185" t="s">
        <v>1656</v>
      </c>
      <c r="T1616"/>
      <c r="U1616" t="str">
        <f>IF($L1616&gt;0,VLOOKUP($E1616,Valida!$A$1:$G$270,6,FALSE),IF($M1616&gt;=0,VLOOKUP($E1616,Valida!$A$1:$G$270,7,FALSE)))</f>
        <v>(+/-) Ajustes por el incremento (disminución) de cuentas por pagar de origen comercial</v>
      </c>
      <c r="V1616" s="190" t="str">
        <f>VLOOKUP(E1616,Valida!$A$2:$K$271,4,FALSE)</f>
        <v>Trade and other payables</v>
      </c>
      <c r="W1616" s="185" t="s">
        <v>1912</v>
      </c>
      <c r="X1616" s="185" t="s">
        <v>1913</v>
      </c>
      <c r="Y1616" s="185" t="s">
        <v>1789</v>
      </c>
      <c r="Z1616"/>
    </row>
    <row r="1617" spans="1:26">
      <c r="A1617" s="185" t="s">
        <v>2879</v>
      </c>
      <c r="B1617" s="185" t="s">
        <v>2886</v>
      </c>
      <c r="C1617" s="185" t="s">
        <v>1897</v>
      </c>
      <c r="D1617" s="185" t="s">
        <v>2887</v>
      </c>
      <c r="E1617" s="185">
        <v>237010</v>
      </c>
      <c r="F1617" s="185" t="s">
        <v>683</v>
      </c>
      <c r="G1617" s="185" t="s">
        <v>2889</v>
      </c>
      <c r="H1617" s="185" t="s">
        <v>1628</v>
      </c>
      <c r="I1617" s="258" t="str">
        <f t="shared" si="76"/>
        <v>2</v>
      </c>
      <c r="J1617" s="221">
        <f t="shared" si="77"/>
        <v>-23200</v>
      </c>
      <c r="K1617" s="258">
        <f t="shared" si="78"/>
        <v>6</v>
      </c>
      <c r="L1617" s="188">
        <v>0</v>
      </c>
      <c r="M1617" s="188">
        <v>23200</v>
      </c>
      <c r="N1617" s="189">
        <v>860066942</v>
      </c>
      <c r="O1617" t="s">
        <v>2886</v>
      </c>
      <c r="P1617" s="187">
        <v>45112</v>
      </c>
      <c r="Q1617" s="186">
        <v>12306</v>
      </c>
      <c r="R1617" s="185" t="s">
        <v>1814</v>
      </c>
      <c r="S1617" s="185" t="s">
        <v>1574</v>
      </c>
      <c r="T1617"/>
      <c r="U1617" t="str">
        <f>IF($L1617&gt;0,VLOOKUP($E1617,Valida!$A$1:$G$270,6,FALSE),IF($M1617&gt;=0,VLOOKUP($E1617,Valida!$A$1:$G$270,7,FALSE)))</f>
        <v>(+/-) Ajustes por el incremento (disminución) de cuentas por pagar de origen comercial</v>
      </c>
      <c r="V1617" s="190" t="str">
        <f>VLOOKUP(E1617,Valida!$A$2:$K$271,4,FALSE)</f>
        <v>Trade and other payables</v>
      </c>
      <c r="W1617" s="185" t="s">
        <v>1914</v>
      </c>
      <c r="X1617" s="185" t="s">
        <v>1915</v>
      </c>
      <c r="Y1617" s="185" t="s">
        <v>1789</v>
      </c>
      <c r="Z1617"/>
    </row>
    <row r="1618" spans="1:26">
      <c r="A1618" s="185" t="s">
        <v>2879</v>
      </c>
      <c r="B1618" s="185" t="s">
        <v>2886</v>
      </c>
      <c r="C1618" s="185" t="s">
        <v>1897</v>
      </c>
      <c r="D1618" s="185" t="s">
        <v>2887</v>
      </c>
      <c r="E1618" s="185">
        <v>237010</v>
      </c>
      <c r="F1618" s="185" t="s">
        <v>683</v>
      </c>
      <c r="G1618" s="185" t="s">
        <v>2889</v>
      </c>
      <c r="H1618" s="185" t="s">
        <v>1628</v>
      </c>
      <c r="I1618" s="258" t="str">
        <f t="shared" si="76"/>
        <v>2</v>
      </c>
      <c r="J1618" s="221">
        <f t="shared" si="77"/>
        <v>-30000</v>
      </c>
      <c r="K1618" s="258">
        <f t="shared" si="78"/>
        <v>6</v>
      </c>
      <c r="L1618" s="188">
        <v>0</v>
      </c>
      <c r="M1618" s="188">
        <v>30000</v>
      </c>
      <c r="N1618" s="189">
        <v>860066942</v>
      </c>
      <c r="O1618" t="s">
        <v>2886</v>
      </c>
      <c r="P1618" s="187">
        <v>45112</v>
      </c>
      <c r="Q1618" s="186">
        <v>12307</v>
      </c>
      <c r="R1618" s="185" t="s">
        <v>1814</v>
      </c>
      <c r="S1618" s="185" t="s">
        <v>1574</v>
      </c>
      <c r="T1618"/>
      <c r="U1618" t="str">
        <f>IF($L1618&gt;0,VLOOKUP($E1618,Valida!$A$1:$G$270,6,FALSE),IF($M1618&gt;=0,VLOOKUP($E1618,Valida!$A$1:$G$270,7,FALSE)))</f>
        <v>(+/-) Ajustes por el incremento (disminución) de cuentas por pagar de origen comercial</v>
      </c>
      <c r="V1618" s="190" t="str">
        <f>VLOOKUP(E1618,Valida!$A$2:$K$271,4,FALSE)</f>
        <v>Trade and other payables</v>
      </c>
      <c r="W1618" s="185" t="s">
        <v>1914</v>
      </c>
      <c r="X1618" s="185" t="s">
        <v>1915</v>
      </c>
      <c r="Y1618" s="185" t="s">
        <v>1789</v>
      </c>
      <c r="Z1618"/>
    </row>
    <row r="1619" spans="1:26">
      <c r="A1619" s="185" t="s">
        <v>2879</v>
      </c>
      <c r="B1619" s="185" t="s">
        <v>2886</v>
      </c>
      <c r="C1619" s="185" t="s">
        <v>1897</v>
      </c>
      <c r="D1619" s="185" t="s">
        <v>2887</v>
      </c>
      <c r="E1619" s="185">
        <v>237010</v>
      </c>
      <c r="F1619" s="185" t="s">
        <v>683</v>
      </c>
      <c r="G1619" s="185" t="s">
        <v>2889</v>
      </c>
      <c r="H1619" s="185" t="s">
        <v>1628</v>
      </c>
      <c r="I1619" s="258" t="str">
        <f t="shared" si="76"/>
        <v>2</v>
      </c>
      <c r="J1619" s="221">
        <f t="shared" si="77"/>
        <v>-25500</v>
      </c>
      <c r="K1619" s="258">
        <f t="shared" si="78"/>
        <v>6</v>
      </c>
      <c r="L1619" s="188">
        <v>0</v>
      </c>
      <c r="M1619" s="188">
        <v>25500</v>
      </c>
      <c r="N1619" s="189">
        <v>860066942</v>
      </c>
      <c r="O1619" t="s">
        <v>2886</v>
      </c>
      <c r="P1619" s="187">
        <v>45112</v>
      </c>
      <c r="Q1619" s="186">
        <v>12308</v>
      </c>
      <c r="R1619" s="185" t="s">
        <v>1814</v>
      </c>
      <c r="S1619" s="185" t="s">
        <v>1574</v>
      </c>
      <c r="T1619"/>
      <c r="U1619" t="str">
        <f>IF($L1619&gt;0,VLOOKUP($E1619,Valida!$A$1:$G$270,6,FALSE),IF($M1619&gt;=0,VLOOKUP($E1619,Valida!$A$1:$G$270,7,FALSE)))</f>
        <v>(+/-) Ajustes por el incremento (disminución) de cuentas por pagar de origen comercial</v>
      </c>
      <c r="V1619" s="190" t="str">
        <f>VLOOKUP(E1619,Valida!$A$2:$K$271,4,FALSE)</f>
        <v>Trade and other payables</v>
      </c>
      <c r="W1619" s="185" t="s">
        <v>1914</v>
      </c>
      <c r="X1619" s="185" t="s">
        <v>1915</v>
      </c>
      <c r="Y1619" s="185" t="s">
        <v>1789</v>
      </c>
      <c r="Z1619"/>
    </row>
    <row r="1620" spans="1:26">
      <c r="A1620" s="185" t="s">
        <v>2879</v>
      </c>
      <c r="B1620" s="185" t="s">
        <v>2886</v>
      </c>
      <c r="C1620" s="185" t="s">
        <v>1897</v>
      </c>
      <c r="D1620" s="185" t="s">
        <v>2887</v>
      </c>
      <c r="E1620" s="185">
        <v>237010</v>
      </c>
      <c r="F1620" s="185" t="s">
        <v>683</v>
      </c>
      <c r="G1620" s="185" t="s">
        <v>2889</v>
      </c>
      <c r="H1620" s="185" t="s">
        <v>1628</v>
      </c>
      <c r="I1620" s="258" t="str">
        <f t="shared" si="76"/>
        <v>2</v>
      </c>
      <c r="J1620" s="221">
        <f t="shared" si="77"/>
        <v>-25600</v>
      </c>
      <c r="K1620" s="258">
        <f t="shared" si="78"/>
        <v>6</v>
      </c>
      <c r="L1620" s="188">
        <v>0</v>
      </c>
      <c r="M1620" s="188">
        <v>25600</v>
      </c>
      <c r="N1620" s="189">
        <v>860066942</v>
      </c>
      <c r="O1620" t="s">
        <v>2886</v>
      </c>
      <c r="P1620" s="187">
        <v>45112</v>
      </c>
      <c r="Q1620" s="186">
        <v>12309</v>
      </c>
      <c r="R1620" s="185" t="s">
        <v>1814</v>
      </c>
      <c r="S1620" s="185" t="s">
        <v>1574</v>
      </c>
      <c r="T1620"/>
      <c r="U1620" t="str">
        <f>IF($L1620&gt;0,VLOOKUP($E1620,Valida!$A$1:$G$270,6,FALSE),IF($M1620&gt;=0,VLOOKUP($E1620,Valida!$A$1:$G$270,7,FALSE)))</f>
        <v>(+/-) Ajustes por el incremento (disminución) de cuentas por pagar de origen comercial</v>
      </c>
      <c r="V1620" s="190" t="str">
        <f>VLOOKUP(E1620,Valida!$A$2:$K$271,4,FALSE)</f>
        <v>Trade and other payables</v>
      </c>
      <c r="W1620" s="185" t="s">
        <v>1914</v>
      </c>
      <c r="X1620" s="185" t="s">
        <v>1915</v>
      </c>
      <c r="Y1620" s="185" t="s">
        <v>1789</v>
      </c>
      <c r="Z1620"/>
    </row>
    <row r="1621" spans="1:26">
      <c r="A1621" s="185" t="s">
        <v>2879</v>
      </c>
      <c r="B1621" s="185" t="s">
        <v>2886</v>
      </c>
      <c r="C1621" s="185" t="s">
        <v>1897</v>
      </c>
      <c r="D1621" s="185" t="s">
        <v>2887</v>
      </c>
      <c r="E1621" s="185">
        <v>237010</v>
      </c>
      <c r="F1621" s="185" t="s">
        <v>683</v>
      </c>
      <c r="G1621" s="185" t="s">
        <v>2889</v>
      </c>
      <c r="H1621" s="185" t="s">
        <v>1628</v>
      </c>
      <c r="I1621" s="258" t="str">
        <f t="shared" si="76"/>
        <v>2</v>
      </c>
      <c r="J1621" s="221">
        <f t="shared" si="77"/>
        <v>-44800</v>
      </c>
      <c r="K1621" s="258">
        <f t="shared" si="78"/>
        <v>6</v>
      </c>
      <c r="L1621" s="188">
        <v>0</v>
      </c>
      <c r="M1621" s="188">
        <v>44800</v>
      </c>
      <c r="N1621" s="189">
        <v>860066942</v>
      </c>
      <c r="O1621" t="s">
        <v>2886</v>
      </c>
      <c r="P1621" s="187">
        <v>45112</v>
      </c>
      <c r="Q1621" s="186">
        <v>12310</v>
      </c>
      <c r="R1621" s="185" t="s">
        <v>1814</v>
      </c>
      <c r="S1621" s="185" t="s">
        <v>1574</v>
      </c>
      <c r="T1621"/>
      <c r="U1621" t="str">
        <f>IF($L1621&gt;0,VLOOKUP($E1621,Valida!$A$1:$G$270,6,FALSE),IF($M1621&gt;=0,VLOOKUP($E1621,Valida!$A$1:$G$270,7,FALSE)))</f>
        <v>(+/-) Ajustes por el incremento (disminución) de cuentas por pagar de origen comercial</v>
      </c>
      <c r="V1621" s="190" t="str">
        <f>VLOOKUP(E1621,Valida!$A$2:$K$271,4,FALSE)</f>
        <v>Trade and other payables</v>
      </c>
      <c r="W1621" s="185" t="s">
        <v>1914</v>
      </c>
      <c r="X1621" s="185" t="s">
        <v>1915</v>
      </c>
      <c r="Y1621" s="185" t="s">
        <v>1789</v>
      </c>
      <c r="Z1621"/>
    </row>
    <row r="1622" spans="1:26">
      <c r="A1622" s="185" t="s">
        <v>2879</v>
      </c>
      <c r="B1622" s="185" t="s">
        <v>2886</v>
      </c>
      <c r="C1622" s="185" t="s">
        <v>1897</v>
      </c>
      <c r="D1622" s="185" t="s">
        <v>2887</v>
      </c>
      <c r="E1622" s="185">
        <v>237010</v>
      </c>
      <c r="F1622" s="185" t="s">
        <v>683</v>
      </c>
      <c r="G1622" s="185" t="s">
        <v>2889</v>
      </c>
      <c r="H1622" s="185" t="s">
        <v>1628</v>
      </c>
      <c r="I1622" s="258" t="str">
        <f t="shared" si="76"/>
        <v>2</v>
      </c>
      <c r="J1622" s="221">
        <f t="shared" si="77"/>
        <v>-44000</v>
      </c>
      <c r="K1622" s="258">
        <f t="shared" si="78"/>
        <v>6</v>
      </c>
      <c r="L1622" s="188">
        <v>0</v>
      </c>
      <c r="M1622" s="188">
        <v>44000</v>
      </c>
      <c r="N1622" s="189">
        <v>860066942</v>
      </c>
      <c r="O1622" t="s">
        <v>2886</v>
      </c>
      <c r="P1622" s="187">
        <v>45112</v>
      </c>
      <c r="Q1622" s="186">
        <v>12311</v>
      </c>
      <c r="R1622" s="185" t="s">
        <v>1814</v>
      </c>
      <c r="S1622" s="185" t="s">
        <v>1574</v>
      </c>
      <c r="T1622"/>
      <c r="U1622" t="str">
        <f>IF($L1622&gt;0,VLOOKUP($E1622,Valida!$A$1:$G$270,6,FALSE),IF($M1622&gt;=0,VLOOKUP($E1622,Valida!$A$1:$G$270,7,FALSE)))</f>
        <v>(+/-) Ajustes por el incremento (disminución) de cuentas por pagar de origen comercial</v>
      </c>
      <c r="V1622" s="190" t="str">
        <f>VLOOKUP(E1622,Valida!$A$2:$K$271,4,FALSE)</f>
        <v>Trade and other payables</v>
      </c>
      <c r="W1622" s="185" t="s">
        <v>1914</v>
      </c>
      <c r="X1622" s="185" t="s">
        <v>1915</v>
      </c>
      <c r="Y1622" s="185" t="s">
        <v>1789</v>
      </c>
      <c r="Z1622"/>
    </row>
    <row r="1623" spans="1:26">
      <c r="A1623" s="185" t="s">
        <v>2879</v>
      </c>
      <c r="B1623" s="185" t="s">
        <v>2886</v>
      </c>
      <c r="C1623" s="185" t="s">
        <v>1897</v>
      </c>
      <c r="D1623" s="185" t="s">
        <v>2887</v>
      </c>
      <c r="E1623" s="185">
        <v>238030</v>
      </c>
      <c r="F1623" s="185" t="s">
        <v>721</v>
      </c>
      <c r="G1623" s="185" t="s">
        <v>2890</v>
      </c>
      <c r="H1623" s="185" t="s">
        <v>1628</v>
      </c>
      <c r="I1623" s="258" t="str">
        <f t="shared" si="76"/>
        <v>2</v>
      </c>
      <c r="J1623" s="221">
        <f t="shared" si="77"/>
        <v>-139200</v>
      </c>
      <c r="K1623" s="258">
        <f t="shared" si="78"/>
        <v>6</v>
      </c>
      <c r="L1623" s="188">
        <v>0</v>
      </c>
      <c r="M1623" s="188">
        <v>139200</v>
      </c>
      <c r="N1623" s="189">
        <v>800224808</v>
      </c>
      <c r="O1623" t="s">
        <v>2886</v>
      </c>
      <c r="P1623" s="187">
        <v>45112</v>
      </c>
      <c r="Q1623" s="186">
        <v>12312</v>
      </c>
      <c r="R1623" s="185" t="s">
        <v>1827</v>
      </c>
      <c r="S1623" s="185" t="s">
        <v>1662</v>
      </c>
      <c r="T1623"/>
      <c r="U1623" t="str">
        <f>IF($L1623&gt;0,VLOOKUP($E1623,Valida!$A$1:$G$270,6,FALSE),IF($M1623&gt;=0,VLOOKUP($E1623,Valida!$A$1:$G$270,7,FALSE)))</f>
        <v>(+/-) Ajustes por el incremento (disminución) de cuentas por pagar de origen comercial</v>
      </c>
      <c r="V1623" s="190" t="str">
        <f>VLOOKUP(E1623,Valida!$A$2:$K$271,4,FALSE)</f>
        <v>Trade and other payables</v>
      </c>
      <c r="W1623" s="185" t="s">
        <v>1911</v>
      </c>
      <c r="X1623" s="185"/>
      <c r="Y1623" s="185" t="s">
        <v>1789</v>
      </c>
      <c r="Z1623"/>
    </row>
    <row r="1624" spans="1:26">
      <c r="A1624" s="185" t="s">
        <v>2879</v>
      </c>
      <c r="B1624" s="185" t="s">
        <v>2886</v>
      </c>
      <c r="C1624" s="185" t="s">
        <v>1897</v>
      </c>
      <c r="D1624" s="185" t="s">
        <v>2887</v>
      </c>
      <c r="E1624" s="185">
        <v>238030</v>
      </c>
      <c r="F1624" s="185" t="s">
        <v>721</v>
      </c>
      <c r="G1624" s="185" t="s">
        <v>2890</v>
      </c>
      <c r="H1624" s="185" t="s">
        <v>1628</v>
      </c>
      <c r="I1624" s="258" t="str">
        <f t="shared" si="76"/>
        <v>2</v>
      </c>
      <c r="J1624" s="221">
        <f t="shared" si="77"/>
        <v>-180000</v>
      </c>
      <c r="K1624" s="258">
        <f t="shared" si="78"/>
        <v>6</v>
      </c>
      <c r="L1624" s="188">
        <v>0</v>
      </c>
      <c r="M1624" s="188">
        <v>180000</v>
      </c>
      <c r="N1624" s="189">
        <v>800224808</v>
      </c>
      <c r="O1624" t="s">
        <v>2886</v>
      </c>
      <c r="P1624" s="187">
        <v>45112</v>
      </c>
      <c r="Q1624" s="186">
        <v>12313</v>
      </c>
      <c r="R1624" s="185" t="s">
        <v>1827</v>
      </c>
      <c r="S1624" s="185" t="s">
        <v>1662</v>
      </c>
      <c r="T1624"/>
      <c r="U1624" t="str">
        <f>IF($L1624&gt;0,VLOOKUP($E1624,Valida!$A$1:$G$270,6,FALSE),IF($M1624&gt;=0,VLOOKUP($E1624,Valida!$A$1:$G$270,7,FALSE)))</f>
        <v>(+/-) Ajustes por el incremento (disminución) de cuentas por pagar de origen comercial</v>
      </c>
      <c r="V1624" s="190" t="str">
        <f>VLOOKUP(E1624,Valida!$A$2:$K$271,4,FALSE)</f>
        <v>Trade and other payables</v>
      </c>
      <c r="W1624" s="185" t="s">
        <v>1911</v>
      </c>
      <c r="X1624" s="185"/>
      <c r="Y1624" s="185" t="s">
        <v>1789</v>
      </c>
      <c r="Z1624"/>
    </row>
    <row r="1625" spans="1:26">
      <c r="A1625" s="185" t="s">
        <v>2879</v>
      </c>
      <c r="B1625" s="185" t="s">
        <v>2886</v>
      </c>
      <c r="C1625" s="185" t="s">
        <v>1897</v>
      </c>
      <c r="D1625" s="185" t="s">
        <v>2887</v>
      </c>
      <c r="E1625" s="185">
        <v>238030</v>
      </c>
      <c r="F1625" s="185" t="s">
        <v>721</v>
      </c>
      <c r="G1625" s="185" t="s">
        <v>2890</v>
      </c>
      <c r="H1625" s="185" t="s">
        <v>1628</v>
      </c>
      <c r="I1625" s="258" t="str">
        <f t="shared" si="76"/>
        <v>2</v>
      </c>
      <c r="J1625" s="221">
        <f t="shared" si="77"/>
        <v>-181000</v>
      </c>
      <c r="K1625" s="258">
        <f t="shared" si="78"/>
        <v>6</v>
      </c>
      <c r="L1625" s="188">
        <v>0</v>
      </c>
      <c r="M1625" s="188">
        <v>181000</v>
      </c>
      <c r="N1625" s="189">
        <v>800224808</v>
      </c>
      <c r="O1625" t="s">
        <v>2886</v>
      </c>
      <c r="P1625" s="187">
        <v>45112</v>
      </c>
      <c r="Q1625" s="186">
        <v>12314</v>
      </c>
      <c r="R1625" s="185" t="s">
        <v>1827</v>
      </c>
      <c r="S1625" s="185" t="s">
        <v>1662</v>
      </c>
      <c r="T1625"/>
      <c r="U1625" t="str">
        <f>IF($L1625&gt;0,VLOOKUP($E1625,Valida!$A$1:$G$270,6,FALSE),IF($M1625&gt;=0,VLOOKUP($E1625,Valida!$A$1:$G$270,7,FALSE)))</f>
        <v>(+/-) Ajustes por el incremento (disminución) de cuentas por pagar de origen comercial</v>
      </c>
      <c r="V1625" s="190" t="str">
        <f>VLOOKUP(E1625,Valida!$A$2:$K$271,4,FALSE)</f>
        <v>Trade and other payables</v>
      </c>
      <c r="W1625" s="185" t="s">
        <v>1911</v>
      </c>
      <c r="X1625" s="185"/>
      <c r="Y1625" s="185" t="s">
        <v>1789</v>
      </c>
      <c r="Z1625"/>
    </row>
    <row r="1626" spans="1:26">
      <c r="A1626" s="185" t="s">
        <v>2879</v>
      </c>
      <c r="B1626" s="185" t="s">
        <v>2886</v>
      </c>
      <c r="C1626" s="185" t="s">
        <v>1897</v>
      </c>
      <c r="D1626" s="185" t="s">
        <v>2887</v>
      </c>
      <c r="E1626" s="185">
        <v>238030</v>
      </c>
      <c r="F1626" s="185" t="s">
        <v>721</v>
      </c>
      <c r="G1626" s="185" t="s">
        <v>2890</v>
      </c>
      <c r="H1626" s="185" t="s">
        <v>1628</v>
      </c>
      <c r="I1626" s="258" t="str">
        <f t="shared" si="76"/>
        <v>2</v>
      </c>
      <c r="J1626" s="221">
        <f t="shared" si="77"/>
        <v>-268278</v>
      </c>
      <c r="K1626" s="258">
        <f t="shared" si="78"/>
        <v>6</v>
      </c>
      <c r="L1626" s="188">
        <v>0</v>
      </c>
      <c r="M1626" s="188">
        <v>268278</v>
      </c>
      <c r="N1626" s="189">
        <v>800224808</v>
      </c>
      <c r="O1626" t="s">
        <v>2886</v>
      </c>
      <c r="P1626" s="187">
        <v>45112</v>
      </c>
      <c r="Q1626" s="186">
        <v>12315</v>
      </c>
      <c r="R1626" s="185" t="s">
        <v>1827</v>
      </c>
      <c r="S1626" s="185" t="s">
        <v>1662</v>
      </c>
      <c r="T1626"/>
      <c r="U1626" t="str">
        <f>IF($L1626&gt;0,VLOOKUP($E1626,Valida!$A$1:$G$270,6,FALSE),IF($M1626&gt;=0,VLOOKUP($E1626,Valida!$A$1:$G$270,7,FALSE)))</f>
        <v>(+/-) Ajustes por el incremento (disminución) de cuentas por pagar de origen comercial</v>
      </c>
      <c r="V1626" s="190" t="str">
        <f>VLOOKUP(E1626,Valida!$A$2:$K$271,4,FALSE)</f>
        <v>Trade and other payables</v>
      </c>
      <c r="W1626" s="185" t="s">
        <v>1911</v>
      </c>
      <c r="X1626" s="185"/>
      <c r="Y1626" s="185" t="s">
        <v>1789</v>
      </c>
      <c r="Z1626"/>
    </row>
    <row r="1627" spans="1:26">
      <c r="A1627" s="185" t="s">
        <v>2879</v>
      </c>
      <c r="B1627" s="185" t="s">
        <v>2886</v>
      </c>
      <c r="C1627" s="185" t="s">
        <v>1897</v>
      </c>
      <c r="D1627" s="185" t="s">
        <v>2887</v>
      </c>
      <c r="E1627" s="185">
        <v>238030</v>
      </c>
      <c r="F1627" s="185" t="s">
        <v>721</v>
      </c>
      <c r="G1627" s="185" t="s">
        <v>2890</v>
      </c>
      <c r="H1627" s="185" t="s">
        <v>1628</v>
      </c>
      <c r="I1627" s="258" t="str">
        <f t="shared" si="76"/>
        <v>2</v>
      </c>
      <c r="J1627" s="221">
        <f t="shared" si="77"/>
        <v>-264000</v>
      </c>
      <c r="K1627" s="258">
        <f t="shared" si="78"/>
        <v>6</v>
      </c>
      <c r="L1627" s="188">
        <v>0</v>
      </c>
      <c r="M1627" s="188">
        <v>264000</v>
      </c>
      <c r="N1627" s="189">
        <v>800224808</v>
      </c>
      <c r="O1627" t="s">
        <v>2886</v>
      </c>
      <c r="P1627" s="187">
        <v>45112</v>
      </c>
      <c r="Q1627" s="186">
        <v>12316</v>
      </c>
      <c r="R1627" s="185" t="s">
        <v>1827</v>
      </c>
      <c r="S1627" s="185" t="s">
        <v>1662</v>
      </c>
      <c r="T1627"/>
      <c r="U1627" t="str">
        <f>IF($L1627&gt;0,VLOOKUP($E1627,Valida!$A$1:$G$270,6,FALSE),IF($M1627&gt;=0,VLOOKUP($E1627,Valida!$A$1:$G$270,7,FALSE)))</f>
        <v>(+/-) Ajustes por el incremento (disminución) de cuentas por pagar de origen comercial</v>
      </c>
      <c r="V1627" s="190" t="str">
        <f>VLOOKUP(E1627,Valida!$A$2:$K$271,4,FALSE)</f>
        <v>Trade and other payables</v>
      </c>
      <c r="W1627" s="185" t="s">
        <v>1911</v>
      </c>
      <c r="X1627" s="185"/>
      <c r="Y1627" s="185" t="s">
        <v>1789</v>
      </c>
      <c r="Z1627"/>
    </row>
    <row r="1628" spans="1:26">
      <c r="A1628" s="185" t="s">
        <v>2879</v>
      </c>
      <c r="B1628" s="185" t="s">
        <v>2886</v>
      </c>
      <c r="C1628" s="185" t="s">
        <v>1897</v>
      </c>
      <c r="D1628" s="185" t="s">
        <v>2887</v>
      </c>
      <c r="E1628" s="185">
        <v>238030</v>
      </c>
      <c r="F1628" s="185" t="s">
        <v>721</v>
      </c>
      <c r="G1628" s="185" t="s">
        <v>2890</v>
      </c>
      <c r="H1628" s="185" t="s">
        <v>1628</v>
      </c>
      <c r="I1628" s="258" t="str">
        <f t="shared" si="76"/>
        <v>2</v>
      </c>
      <c r="J1628" s="221">
        <f t="shared" si="77"/>
        <v>-153160</v>
      </c>
      <c r="K1628" s="258">
        <f t="shared" si="78"/>
        <v>6</v>
      </c>
      <c r="L1628" s="188">
        <v>0</v>
      </c>
      <c r="M1628" s="188">
        <v>153160</v>
      </c>
      <c r="N1628" s="189">
        <v>800227940</v>
      </c>
      <c r="O1628" t="s">
        <v>2886</v>
      </c>
      <c r="P1628" s="187">
        <v>45112</v>
      </c>
      <c r="Q1628" s="186">
        <v>12317</v>
      </c>
      <c r="R1628" s="185"/>
      <c r="S1628" s="185" t="s">
        <v>1664</v>
      </c>
      <c r="T1628"/>
      <c r="U1628" t="str">
        <f>IF($L1628&gt;0,VLOOKUP($E1628,Valida!$A$1:$G$270,6,FALSE),IF($M1628&gt;=0,VLOOKUP($E1628,Valida!$A$1:$G$270,7,FALSE)))</f>
        <v>(+/-) Ajustes por el incremento (disminución) de cuentas por pagar de origen comercial</v>
      </c>
      <c r="V1628" s="190" t="str">
        <f>VLOOKUP(E1628,Valida!$A$2:$K$271,4,FALSE)</f>
        <v>Trade and other payables</v>
      </c>
      <c r="W1628" s="185"/>
      <c r="X1628" s="185"/>
      <c r="Y1628" s="185"/>
      <c r="Z1628"/>
    </row>
    <row r="1629" spans="1:26">
      <c r="A1629" s="185" t="s">
        <v>2879</v>
      </c>
      <c r="B1629" s="185" t="s">
        <v>2886</v>
      </c>
      <c r="C1629" s="185" t="s">
        <v>1897</v>
      </c>
      <c r="D1629" s="185" t="s">
        <v>2887</v>
      </c>
      <c r="E1629" s="185">
        <v>251010</v>
      </c>
      <c r="F1629" s="185" t="s">
        <v>776</v>
      </c>
      <c r="G1629" s="185" t="s">
        <v>2891</v>
      </c>
      <c r="H1629" s="185" t="s">
        <v>1628</v>
      </c>
      <c r="I1629" s="258" t="str">
        <f t="shared" si="76"/>
        <v>2</v>
      </c>
      <c r="J1629" s="221">
        <f t="shared" si="77"/>
        <v>-118050</v>
      </c>
      <c r="K1629" s="258">
        <f t="shared" si="78"/>
        <v>6</v>
      </c>
      <c r="L1629" s="188">
        <v>0</v>
      </c>
      <c r="M1629" s="188">
        <v>118050</v>
      </c>
      <c r="N1629" s="189">
        <v>1000018061</v>
      </c>
      <c r="O1629" t="s">
        <v>2886</v>
      </c>
      <c r="P1629" s="187">
        <v>45112</v>
      </c>
      <c r="Q1629" s="186">
        <v>12318</v>
      </c>
      <c r="R1629" s="185"/>
      <c r="S1629" s="185" t="s">
        <v>1522</v>
      </c>
      <c r="T1629"/>
      <c r="U1629" t="str">
        <f>IF($L1629&gt;0,VLOOKUP($E1629,Valida!$A$1:$G$270,6,FALSE),IF($M1629&gt;=0,VLOOKUP($E1629,Valida!$A$1:$G$270,7,FALSE)))</f>
        <v>(+/-) Ajustes por el incremento (disminución) de cuentas por pagar de origen comercial</v>
      </c>
      <c r="V1629" s="190" t="str">
        <f>VLOOKUP(E1629,Valida!$A$2:$K$271,4,FALSE)</f>
        <v>Trade and other payables</v>
      </c>
      <c r="W1629" s="185" t="s">
        <v>1978</v>
      </c>
      <c r="X1629" s="185"/>
      <c r="Y1629" s="185" t="s">
        <v>1789</v>
      </c>
      <c r="Z1629"/>
    </row>
    <row r="1630" spans="1:26">
      <c r="A1630" s="185" t="s">
        <v>2879</v>
      </c>
      <c r="B1630" s="185" t="s">
        <v>2886</v>
      </c>
      <c r="C1630" s="185" t="s">
        <v>1897</v>
      </c>
      <c r="D1630" s="185" t="s">
        <v>2887</v>
      </c>
      <c r="E1630" s="185">
        <v>251010</v>
      </c>
      <c r="F1630" s="185" t="s">
        <v>776</v>
      </c>
      <c r="G1630" s="185" t="s">
        <v>2891</v>
      </c>
      <c r="H1630" s="185" t="s">
        <v>1628</v>
      </c>
      <c r="I1630" s="258" t="str">
        <f t="shared" si="76"/>
        <v>2</v>
      </c>
      <c r="J1630" s="221">
        <f t="shared" si="77"/>
        <v>-198013</v>
      </c>
      <c r="K1630" s="258">
        <f t="shared" si="78"/>
        <v>6</v>
      </c>
      <c r="L1630" s="188">
        <v>0</v>
      </c>
      <c r="M1630" s="188">
        <v>198013</v>
      </c>
      <c r="N1630" s="189">
        <v>1000036375</v>
      </c>
      <c r="O1630" t="s">
        <v>2886</v>
      </c>
      <c r="P1630" s="187">
        <v>45112</v>
      </c>
      <c r="Q1630" s="186">
        <v>12319</v>
      </c>
      <c r="R1630" s="185"/>
      <c r="S1630" s="185" t="s">
        <v>1524</v>
      </c>
      <c r="T1630"/>
      <c r="U1630" t="str">
        <f>IF($L1630&gt;0,VLOOKUP($E1630,Valida!$A$1:$G$270,6,FALSE),IF($M1630&gt;=0,VLOOKUP($E1630,Valida!$A$1:$G$270,7,FALSE)))</f>
        <v>(+/-) Ajustes por el incremento (disminución) de cuentas por pagar de origen comercial</v>
      </c>
      <c r="V1630" s="190" t="str">
        <f>VLOOKUP(E1630,Valida!$A$2:$K$271,4,FALSE)</f>
        <v>Trade and other payables</v>
      </c>
      <c r="W1630" s="185" t="s">
        <v>1983</v>
      </c>
      <c r="X1630" s="185"/>
      <c r="Y1630" s="185" t="s">
        <v>1789</v>
      </c>
      <c r="Z1630"/>
    </row>
    <row r="1631" spans="1:26">
      <c r="A1631" s="185" t="s">
        <v>2879</v>
      </c>
      <c r="B1631" s="185" t="s">
        <v>2886</v>
      </c>
      <c r="C1631" s="185" t="s">
        <v>1897</v>
      </c>
      <c r="D1631" s="185" t="s">
        <v>2887</v>
      </c>
      <c r="E1631" s="185">
        <v>251010</v>
      </c>
      <c r="F1631" s="185" t="s">
        <v>776</v>
      </c>
      <c r="G1631" s="185" t="s">
        <v>2891</v>
      </c>
      <c r="H1631" s="185" t="s">
        <v>1628</v>
      </c>
      <c r="I1631" s="258" t="str">
        <f t="shared" si="76"/>
        <v>2</v>
      </c>
      <c r="J1631" s="221">
        <f t="shared" si="77"/>
        <v>-137950</v>
      </c>
      <c r="K1631" s="258">
        <f t="shared" si="78"/>
        <v>6</v>
      </c>
      <c r="L1631" s="188">
        <v>0</v>
      </c>
      <c r="M1631" s="188">
        <v>137950</v>
      </c>
      <c r="N1631" s="189">
        <v>1010101811</v>
      </c>
      <c r="O1631" t="s">
        <v>2886</v>
      </c>
      <c r="P1631" s="187">
        <v>45112</v>
      </c>
      <c r="Q1631" s="186">
        <v>12320</v>
      </c>
      <c r="R1631" s="185"/>
      <c r="S1631" s="185" t="s">
        <v>1528</v>
      </c>
      <c r="T1631"/>
      <c r="U1631" t="str">
        <f>IF($L1631&gt;0,VLOOKUP($E1631,Valida!$A$1:$G$270,6,FALSE),IF($M1631&gt;=0,VLOOKUP($E1631,Valida!$A$1:$G$270,7,FALSE)))</f>
        <v>(+/-) Ajustes por el incremento (disminución) de cuentas por pagar de origen comercial</v>
      </c>
      <c r="V1631" s="190" t="str">
        <f>VLOOKUP(E1631,Valida!$A$2:$K$271,4,FALSE)</f>
        <v>Trade and other payables</v>
      </c>
      <c r="W1631" s="185" t="s">
        <v>1967</v>
      </c>
      <c r="X1631" s="185"/>
      <c r="Y1631" s="185" t="s">
        <v>1789</v>
      </c>
      <c r="Z1631"/>
    </row>
    <row r="1632" spans="1:26">
      <c r="A1632" s="185" t="s">
        <v>2879</v>
      </c>
      <c r="B1632" s="185" t="s">
        <v>2886</v>
      </c>
      <c r="C1632" s="185" t="s">
        <v>1897</v>
      </c>
      <c r="D1632" s="185" t="s">
        <v>2887</v>
      </c>
      <c r="E1632" s="185">
        <v>251010</v>
      </c>
      <c r="F1632" s="185" t="s">
        <v>776</v>
      </c>
      <c r="G1632" s="185" t="s">
        <v>2891</v>
      </c>
      <c r="H1632" s="185" t="s">
        <v>1628</v>
      </c>
      <c r="I1632" s="258" t="str">
        <f t="shared" si="76"/>
        <v>2</v>
      </c>
      <c r="J1632" s="221">
        <f t="shared" si="77"/>
        <v>-106181</v>
      </c>
      <c r="K1632" s="258">
        <f t="shared" si="78"/>
        <v>6</v>
      </c>
      <c r="L1632" s="188">
        <v>0</v>
      </c>
      <c r="M1632" s="188">
        <v>106181</v>
      </c>
      <c r="N1632" s="189">
        <v>1020842223</v>
      </c>
      <c r="O1632" t="s">
        <v>2886</v>
      </c>
      <c r="P1632" s="187">
        <v>45112</v>
      </c>
      <c r="Q1632" s="186">
        <v>12321</v>
      </c>
      <c r="R1632" s="185"/>
      <c r="S1632" s="185" t="s">
        <v>1532</v>
      </c>
      <c r="T1632"/>
      <c r="U1632" t="str">
        <f>IF($L1632&gt;0,VLOOKUP($E1632,Valida!$A$1:$G$270,6,FALSE),IF($M1632&gt;=0,VLOOKUP($E1632,Valida!$A$1:$G$270,7,FALSE)))</f>
        <v>(+/-) Ajustes por el incremento (disminución) de cuentas por pagar de origen comercial</v>
      </c>
      <c r="V1632" s="190" t="str">
        <f>VLOOKUP(E1632,Valida!$A$2:$K$271,4,FALSE)</f>
        <v>Trade and other payables</v>
      </c>
      <c r="W1632" s="185" t="s">
        <v>1900</v>
      </c>
      <c r="X1632" s="185"/>
      <c r="Y1632" s="185" t="s">
        <v>1789</v>
      </c>
      <c r="Z1632"/>
    </row>
    <row r="1633" spans="1:26">
      <c r="A1633" s="185" t="s">
        <v>2879</v>
      </c>
      <c r="B1633" s="185" t="s">
        <v>2886</v>
      </c>
      <c r="C1633" s="185" t="s">
        <v>1897</v>
      </c>
      <c r="D1633" s="185" t="s">
        <v>2887</v>
      </c>
      <c r="E1633" s="185">
        <v>251010</v>
      </c>
      <c r="F1633" s="185" t="s">
        <v>776</v>
      </c>
      <c r="G1633" s="185" t="s">
        <v>2891</v>
      </c>
      <c r="H1633" s="185" t="s">
        <v>1628</v>
      </c>
      <c r="I1633" s="258" t="str">
        <f t="shared" si="76"/>
        <v>2</v>
      </c>
      <c r="J1633" s="221">
        <f t="shared" si="77"/>
        <v>-195051</v>
      </c>
      <c r="K1633" s="258">
        <f t="shared" si="78"/>
        <v>6</v>
      </c>
      <c r="L1633" s="188">
        <v>0</v>
      </c>
      <c r="M1633" s="188">
        <v>195051</v>
      </c>
      <c r="N1633" s="189">
        <v>1100623759</v>
      </c>
      <c r="O1633" t="s">
        <v>2886</v>
      </c>
      <c r="P1633" s="187">
        <v>45112</v>
      </c>
      <c r="Q1633" s="186">
        <v>12322</v>
      </c>
      <c r="R1633" s="185"/>
      <c r="S1633" s="185" t="s">
        <v>1536</v>
      </c>
      <c r="T1633"/>
      <c r="U1633" t="str">
        <f>IF($L1633&gt;0,VLOOKUP($E1633,Valida!$A$1:$G$270,6,FALSE),IF($M1633&gt;=0,VLOOKUP($E1633,Valida!$A$1:$G$270,7,FALSE)))</f>
        <v>(+/-) Ajustes por el incremento (disminución) de cuentas por pagar de origen comercial</v>
      </c>
      <c r="V1633" s="190" t="str">
        <f>VLOOKUP(E1633,Valida!$A$2:$K$271,4,FALSE)</f>
        <v>Trade and other payables</v>
      </c>
      <c r="W1633" s="185" t="s">
        <v>2730</v>
      </c>
      <c r="X1633" s="185"/>
      <c r="Y1633" s="185" t="s">
        <v>1789</v>
      </c>
      <c r="Z1633"/>
    </row>
    <row r="1634" spans="1:26">
      <c r="A1634" s="185" t="s">
        <v>2879</v>
      </c>
      <c r="B1634" s="185" t="s">
        <v>2886</v>
      </c>
      <c r="C1634" s="185" t="s">
        <v>1897</v>
      </c>
      <c r="D1634" s="185" t="s">
        <v>2887</v>
      </c>
      <c r="E1634" s="185">
        <v>251010</v>
      </c>
      <c r="F1634" s="185" t="s">
        <v>776</v>
      </c>
      <c r="G1634" s="185" t="s">
        <v>2891</v>
      </c>
      <c r="H1634" s="185" t="s">
        <v>1628</v>
      </c>
      <c r="I1634" s="258" t="str">
        <f t="shared" si="76"/>
        <v>2</v>
      </c>
      <c r="J1634" s="221">
        <f t="shared" si="77"/>
        <v>-108384</v>
      </c>
      <c r="K1634" s="258">
        <f t="shared" si="78"/>
        <v>6</v>
      </c>
      <c r="L1634" s="188">
        <v>0</v>
      </c>
      <c r="M1634" s="188">
        <v>108384</v>
      </c>
      <c r="N1634" s="189">
        <v>1130744136</v>
      </c>
      <c r="O1634" t="s">
        <v>2886</v>
      </c>
      <c r="P1634" s="187">
        <v>45112</v>
      </c>
      <c r="Q1634" s="186">
        <v>12323</v>
      </c>
      <c r="R1634" s="185"/>
      <c r="S1634" s="185" t="s">
        <v>1538</v>
      </c>
      <c r="T1634"/>
      <c r="U1634" t="str">
        <f>IF($L1634&gt;0,VLOOKUP($E1634,Valida!$A$1:$G$270,6,FALSE),IF($M1634&gt;=0,VLOOKUP($E1634,Valida!$A$1:$G$270,7,FALSE)))</f>
        <v>(+/-) Ajustes por el incremento (disminución) de cuentas por pagar de origen comercial</v>
      </c>
      <c r="V1634" s="190" t="str">
        <f>VLOOKUP(E1634,Valida!$A$2:$K$271,4,FALSE)</f>
        <v>Trade and other payables</v>
      </c>
      <c r="W1634" s="185" t="s">
        <v>1909</v>
      </c>
      <c r="X1634" s="185" t="s">
        <v>1910</v>
      </c>
      <c r="Y1634" s="185" t="s">
        <v>1789</v>
      </c>
      <c r="Z1634"/>
    </row>
    <row r="1635" spans="1:26">
      <c r="A1635" s="185" t="s">
        <v>2879</v>
      </c>
      <c r="B1635" s="185" t="s">
        <v>2886</v>
      </c>
      <c r="C1635" s="185" t="s">
        <v>1897</v>
      </c>
      <c r="D1635" s="185" t="s">
        <v>2887</v>
      </c>
      <c r="E1635" s="185">
        <v>251505</v>
      </c>
      <c r="F1635" s="185" t="s">
        <v>779</v>
      </c>
      <c r="G1635" s="185" t="s">
        <v>2892</v>
      </c>
      <c r="H1635" s="185" t="s">
        <v>1628</v>
      </c>
      <c r="I1635" s="258" t="str">
        <f t="shared" si="76"/>
        <v>2</v>
      </c>
      <c r="J1635" s="221">
        <f t="shared" si="77"/>
        <v>-9619</v>
      </c>
      <c r="K1635" s="258">
        <f t="shared" si="78"/>
        <v>6</v>
      </c>
      <c r="L1635" s="188">
        <v>0</v>
      </c>
      <c r="M1635" s="188">
        <v>9619</v>
      </c>
      <c r="N1635" s="189">
        <v>1000018061</v>
      </c>
      <c r="O1635" t="s">
        <v>2886</v>
      </c>
      <c r="P1635" s="187">
        <v>45112</v>
      </c>
      <c r="Q1635" s="186">
        <v>12324</v>
      </c>
      <c r="R1635" s="185"/>
      <c r="S1635" s="185" t="s">
        <v>1522</v>
      </c>
      <c r="T1635"/>
      <c r="U1635" t="str">
        <f>IF($L1635&gt;0,VLOOKUP($E1635,Valida!$A$1:$G$270,6,FALSE),IF($M1635&gt;=0,VLOOKUP($E1635,Valida!$A$1:$G$270,7,FALSE)))</f>
        <v>(+/-) Ajustes por el incremento (disminución) de cuentas por pagar de origen comercial</v>
      </c>
      <c r="V1635" s="190" t="str">
        <f>VLOOKUP(E1635,Valida!$A$2:$K$271,4,FALSE)</f>
        <v>Trade and other payables</v>
      </c>
      <c r="W1635" s="185" t="s">
        <v>1978</v>
      </c>
      <c r="X1635" s="185"/>
      <c r="Y1635" s="185" t="s">
        <v>1789</v>
      </c>
      <c r="Z1635"/>
    </row>
    <row r="1636" spans="1:26">
      <c r="A1636" s="185" t="s">
        <v>2879</v>
      </c>
      <c r="B1636" s="185" t="s">
        <v>2886</v>
      </c>
      <c r="C1636" s="185" t="s">
        <v>1897</v>
      </c>
      <c r="D1636" s="185" t="s">
        <v>2887</v>
      </c>
      <c r="E1636" s="185">
        <v>251505</v>
      </c>
      <c r="F1636" s="185" t="s">
        <v>779</v>
      </c>
      <c r="G1636" s="185" t="s">
        <v>2892</v>
      </c>
      <c r="H1636" s="185" t="s">
        <v>1628</v>
      </c>
      <c r="I1636" s="258" t="str">
        <f t="shared" si="76"/>
        <v>2</v>
      </c>
      <c r="J1636" s="221">
        <f t="shared" si="77"/>
        <v>-12701</v>
      </c>
      <c r="K1636" s="258">
        <f t="shared" si="78"/>
        <v>6</v>
      </c>
      <c r="L1636" s="188">
        <v>0</v>
      </c>
      <c r="M1636" s="188">
        <v>12701</v>
      </c>
      <c r="N1636" s="189">
        <v>1000036375</v>
      </c>
      <c r="O1636" t="s">
        <v>2886</v>
      </c>
      <c r="P1636" s="187">
        <v>45112</v>
      </c>
      <c r="Q1636" s="186">
        <v>12325</v>
      </c>
      <c r="R1636" s="185"/>
      <c r="S1636" s="185" t="s">
        <v>1524</v>
      </c>
      <c r="T1636"/>
      <c r="U1636" t="str">
        <f>IF($L1636&gt;0,VLOOKUP($E1636,Valida!$A$1:$G$270,6,FALSE),IF($M1636&gt;=0,VLOOKUP($E1636,Valida!$A$1:$G$270,7,FALSE)))</f>
        <v>(+/-) Ajustes por el incremento (disminución) de cuentas por pagar de origen comercial</v>
      </c>
      <c r="V1636" s="190" t="str">
        <f>VLOOKUP(E1636,Valida!$A$2:$K$271,4,FALSE)</f>
        <v>Trade and other payables</v>
      </c>
      <c r="W1636" s="185" t="s">
        <v>1983</v>
      </c>
      <c r="X1636" s="185"/>
      <c r="Y1636" s="185" t="s">
        <v>1789</v>
      </c>
      <c r="Z1636"/>
    </row>
    <row r="1637" spans="1:26">
      <c r="A1637" s="185" t="s">
        <v>2879</v>
      </c>
      <c r="B1637" s="185" t="s">
        <v>2886</v>
      </c>
      <c r="C1637" s="185" t="s">
        <v>1897</v>
      </c>
      <c r="D1637" s="185" t="s">
        <v>2887</v>
      </c>
      <c r="E1637" s="185">
        <v>251505</v>
      </c>
      <c r="F1637" s="185" t="s">
        <v>779</v>
      </c>
      <c r="G1637" s="185" t="s">
        <v>2892</v>
      </c>
      <c r="H1637" s="185" t="s">
        <v>1628</v>
      </c>
      <c r="I1637" s="258" t="str">
        <f t="shared" si="76"/>
        <v>2</v>
      </c>
      <c r="J1637" s="221">
        <f t="shared" si="77"/>
        <v>-15287</v>
      </c>
      <c r="K1637" s="258">
        <f t="shared" si="78"/>
        <v>6</v>
      </c>
      <c r="L1637" s="188">
        <v>0</v>
      </c>
      <c r="M1637" s="188">
        <v>15287</v>
      </c>
      <c r="N1637" s="189">
        <v>1010101811</v>
      </c>
      <c r="O1637" t="s">
        <v>2886</v>
      </c>
      <c r="P1637" s="187">
        <v>45112</v>
      </c>
      <c r="Q1637" s="186">
        <v>12326</v>
      </c>
      <c r="R1637" s="185"/>
      <c r="S1637" s="185" t="s">
        <v>1528</v>
      </c>
      <c r="T1637"/>
      <c r="U1637" t="str">
        <f>IF($L1637&gt;0,VLOOKUP($E1637,Valida!$A$1:$G$270,6,FALSE),IF($M1637&gt;=0,VLOOKUP($E1637,Valida!$A$1:$G$270,7,FALSE)))</f>
        <v>(+/-) Ajustes por el incremento (disminución) de cuentas por pagar de origen comercial</v>
      </c>
      <c r="V1637" s="190" t="str">
        <f>VLOOKUP(E1637,Valida!$A$2:$K$271,4,FALSE)</f>
        <v>Trade and other payables</v>
      </c>
      <c r="W1637" s="185" t="s">
        <v>1967</v>
      </c>
      <c r="X1637" s="185"/>
      <c r="Y1637" s="185" t="s">
        <v>1789</v>
      </c>
      <c r="Z1637"/>
    </row>
    <row r="1638" spans="1:26">
      <c r="A1638" s="185" t="s">
        <v>2879</v>
      </c>
      <c r="B1638" s="185" t="s">
        <v>2886</v>
      </c>
      <c r="C1638" s="185" t="s">
        <v>1897</v>
      </c>
      <c r="D1638" s="185" t="s">
        <v>2887</v>
      </c>
      <c r="E1638" s="185">
        <v>251505</v>
      </c>
      <c r="F1638" s="185" t="s">
        <v>779</v>
      </c>
      <c r="G1638" s="185" t="s">
        <v>2892</v>
      </c>
      <c r="H1638" s="185" t="s">
        <v>1628</v>
      </c>
      <c r="I1638" s="258" t="str">
        <f t="shared" si="76"/>
        <v>2</v>
      </c>
      <c r="J1638" s="221">
        <f t="shared" si="77"/>
        <v>-9825</v>
      </c>
      <c r="K1638" s="258">
        <f t="shared" si="78"/>
        <v>6</v>
      </c>
      <c r="L1638" s="188">
        <v>0</v>
      </c>
      <c r="M1638" s="188">
        <v>9825</v>
      </c>
      <c r="N1638" s="189">
        <v>1020842223</v>
      </c>
      <c r="O1638" t="s">
        <v>2886</v>
      </c>
      <c r="P1638" s="187">
        <v>45112</v>
      </c>
      <c r="Q1638" s="186">
        <v>12327</v>
      </c>
      <c r="R1638" s="185"/>
      <c r="S1638" s="185" t="s">
        <v>1532</v>
      </c>
      <c r="T1638"/>
      <c r="U1638" t="str">
        <f>IF($L1638&gt;0,VLOOKUP($E1638,Valida!$A$1:$G$270,6,FALSE),IF($M1638&gt;=0,VLOOKUP($E1638,Valida!$A$1:$G$270,7,FALSE)))</f>
        <v>(+/-) Ajustes por el incremento (disminución) de cuentas por pagar de origen comercial</v>
      </c>
      <c r="V1638" s="190" t="str">
        <f>VLOOKUP(E1638,Valida!$A$2:$K$271,4,FALSE)</f>
        <v>Trade and other payables</v>
      </c>
      <c r="W1638" s="185" t="s">
        <v>1900</v>
      </c>
      <c r="X1638" s="185"/>
      <c r="Y1638" s="185" t="s">
        <v>1789</v>
      </c>
      <c r="Z1638"/>
    </row>
    <row r="1639" spans="1:26">
      <c r="A1639" s="185" t="s">
        <v>2879</v>
      </c>
      <c r="B1639" s="185" t="s">
        <v>2886</v>
      </c>
      <c r="C1639" s="185" t="s">
        <v>1897</v>
      </c>
      <c r="D1639" s="185" t="s">
        <v>2887</v>
      </c>
      <c r="E1639" s="185">
        <v>251505</v>
      </c>
      <c r="F1639" s="185" t="s">
        <v>779</v>
      </c>
      <c r="G1639" s="185" t="s">
        <v>2892</v>
      </c>
      <c r="H1639" s="185" t="s">
        <v>1628</v>
      </c>
      <c r="I1639" s="258" t="str">
        <f t="shared" si="76"/>
        <v>2</v>
      </c>
      <c r="J1639" s="221">
        <f t="shared" si="77"/>
        <v>-4811</v>
      </c>
      <c r="K1639" s="258">
        <f t="shared" si="78"/>
        <v>6</v>
      </c>
      <c r="L1639" s="188">
        <v>0</v>
      </c>
      <c r="M1639" s="188">
        <v>4811</v>
      </c>
      <c r="N1639" s="189">
        <v>1100623759</v>
      </c>
      <c r="O1639" t="s">
        <v>2886</v>
      </c>
      <c r="P1639" s="187">
        <v>45112</v>
      </c>
      <c r="Q1639" s="186">
        <v>12328</v>
      </c>
      <c r="R1639" s="185"/>
      <c r="S1639" s="185" t="s">
        <v>1536</v>
      </c>
      <c r="T1639"/>
      <c r="U1639" t="str">
        <f>IF($L1639&gt;0,VLOOKUP($E1639,Valida!$A$1:$G$270,6,FALSE),IF($M1639&gt;=0,VLOOKUP($E1639,Valida!$A$1:$G$270,7,FALSE)))</f>
        <v>(+/-) Ajustes por el incremento (disminución) de cuentas por pagar de origen comercial</v>
      </c>
      <c r="V1639" s="190" t="str">
        <f>VLOOKUP(E1639,Valida!$A$2:$K$271,4,FALSE)</f>
        <v>Trade and other payables</v>
      </c>
      <c r="W1639" s="185" t="s">
        <v>2730</v>
      </c>
      <c r="X1639" s="185"/>
      <c r="Y1639" s="185" t="s">
        <v>1789</v>
      </c>
      <c r="Z1639"/>
    </row>
    <row r="1640" spans="1:26">
      <c r="A1640" s="185" t="s">
        <v>2879</v>
      </c>
      <c r="B1640" s="185" t="s">
        <v>2886</v>
      </c>
      <c r="C1640" s="185" t="s">
        <v>1897</v>
      </c>
      <c r="D1640" s="185" t="s">
        <v>2887</v>
      </c>
      <c r="E1640" s="185">
        <v>251505</v>
      </c>
      <c r="F1640" s="185" t="s">
        <v>779</v>
      </c>
      <c r="G1640" s="185" t="s">
        <v>2892</v>
      </c>
      <c r="H1640" s="185" t="s">
        <v>1628</v>
      </c>
      <c r="I1640" s="258" t="str">
        <f t="shared" si="76"/>
        <v>2</v>
      </c>
      <c r="J1640" s="221">
        <f t="shared" si="77"/>
        <v>-11922</v>
      </c>
      <c r="K1640" s="258">
        <f t="shared" si="78"/>
        <v>6</v>
      </c>
      <c r="L1640" s="188">
        <v>0</v>
      </c>
      <c r="M1640" s="188">
        <v>11922</v>
      </c>
      <c r="N1640" s="189">
        <v>1130744136</v>
      </c>
      <c r="O1640" t="s">
        <v>2886</v>
      </c>
      <c r="P1640" s="187">
        <v>45112</v>
      </c>
      <c r="Q1640" s="186">
        <v>12329</v>
      </c>
      <c r="R1640" s="185"/>
      <c r="S1640" s="185" t="s">
        <v>1538</v>
      </c>
      <c r="T1640"/>
      <c r="U1640" t="str">
        <f>IF($L1640&gt;0,VLOOKUP($E1640,Valida!$A$1:$G$270,6,FALSE),IF($M1640&gt;=0,VLOOKUP($E1640,Valida!$A$1:$G$270,7,FALSE)))</f>
        <v>(+/-) Ajustes por el incremento (disminución) de cuentas por pagar de origen comercial</v>
      </c>
      <c r="V1640" s="190" t="str">
        <f>VLOOKUP(E1640,Valida!$A$2:$K$271,4,FALSE)</f>
        <v>Trade and other payables</v>
      </c>
      <c r="W1640" s="185" t="s">
        <v>1909</v>
      </c>
      <c r="X1640" s="185" t="s">
        <v>1910</v>
      </c>
      <c r="Y1640" s="185" t="s">
        <v>1789</v>
      </c>
      <c r="Z1640"/>
    </row>
    <row r="1641" spans="1:26">
      <c r="A1641" s="185" t="s">
        <v>2879</v>
      </c>
      <c r="B1641" s="185" t="s">
        <v>2886</v>
      </c>
      <c r="C1641" s="185" t="s">
        <v>1897</v>
      </c>
      <c r="D1641" s="185" t="s">
        <v>2887</v>
      </c>
      <c r="E1641" s="185">
        <v>252005</v>
      </c>
      <c r="F1641" s="185" t="s">
        <v>783</v>
      </c>
      <c r="G1641" s="185" t="s">
        <v>2893</v>
      </c>
      <c r="H1641" s="185" t="s">
        <v>1628</v>
      </c>
      <c r="I1641" s="258" t="str">
        <f t="shared" si="76"/>
        <v>2</v>
      </c>
      <c r="J1641" s="221">
        <f t="shared" si="77"/>
        <v>-118050</v>
      </c>
      <c r="K1641" s="258">
        <f t="shared" si="78"/>
        <v>6</v>
      </c>
      <c r="L1641" s="188">
        <v>0</v>
      </c>
      <c r="M1641" s="188">
        <v>118050</v>
      </c>
      <c r="N1641" s="189">
        <v>1000018061</v>
      </c>
      <c r="O1641" t="s">
        <v>2886</v>
      </c>
      <c r="P1641" s="187">
        <v>45112</v>
      </c>
      <c r="Q1641" s="186">
        <v>12330</v>
      </c>
      <c r="R1641" s="185"/>
      <c r="S1641" s="185" t="s">
        <v>1522</v>
      </c>
      <c r="T1641"/>
      <c r="U1641" t="str">
        <f>IF($L1641&gt;0,VLOOKUP($E1641,Valida!$A$1:$G$270,6,FALSE),IF($M1641&gt;=0,VLOOKUP($E1641,Valida!$A$1:$G$270,7,FALSE)))</f>
        <v>(+/-) Ajustes por el incremento (disminución) de cuentas por pagar de origen comercial</v>
      </c>
      <c r="V1641" s="190" t="str">
        <f>VLOOKUP(E1641,Valida!$A$2:$K$271,4,FALSE)</f>
        <v>Trade and other payables</v>
      </c>
      <c r="W1641" s="185" t="s">
        <v>1978</v>
      </c>
      <c r="X1641" s="185"/>
      <c r="Y1641" s="185" t="s">
        <v>1789</v>
      </c>
      <c r="Z1641"/>
    </row>
    <row r="1642" spans="1:26">
      <c r="A1642" s="185" t="s">
        <v>2879</v>
      </c>
      <c r="B1642" s="185" t="s">
        <v>2886</v>
      </c>
      <c r="C1642" s="185" t="s">
        <v>1897</v>
      </c>
      <c r="D1642" s="185" t="s">
        <v>2887</v>
      </c>
      <c r="E1642" s="185">
        <v>252005</v>
      </c>
      <c r="F1642" s="185" t="s">
        <v>783</v>
      </c>
      <c r="G1642" s="185" t="s">
        <v>2893</v>
      </c>
      <c r="H1642" s="185" t="s">
        <v>1628</v>
      </c>
      <c r="I1642" s="258" t="str">
        <f t="shared" si="76"/>
        <v>2</v>
      </c>
      <c r="J1642" s="221">
        <f t="shared" si="77"/>
        <v>-198013</v>
      </c>
      <c r="K1642" s="258">
        <f t="shared" si="78"/>
        <v>6</v>
      </c>
      <c r="L1642" s="188">
        <v>0</v>
      </c>
      <c r="M1642" s="188">
        <v>198013</v>
      </c>
      <c r="N1642" s="189">
        <v>1000036375</v>
      </c>
      <c r="O1642" t="s">
        <v>2886</v>
      </c>
      <c r="P1642" s="187">
        <v>45112</v>
      </c>
      <c r="Q1642" s="186">
        <v>12331</v>
      </c>
      <c r="R1642" s="185"/>
      <c r="S1642" s="185" t="s">
        <v>1524</v>
      </c>
      <c r="T1642"/>
      <c r="U1642" t="str">
        <f>IF($L1642&gt;0,VLOOKUP($E1642,Valida!$A$1:$G$270,6,FALSE),IF($M1642&gt;=0,VLOOKUP($E1642,Valida!$A$1:$G$270,7,FALSE)))</f>
        <v>(+/-) Ajustes por el incremento (disminución) de cuentas por pagar de origen comercial</v>
      </c>
      <c r="V1642" s="190" t="str">
        <f>VLOOKUP(E1642,Valida!$A$2:$K$271,4,FALSE)</f>
        <v>Trade and other payables</v>
      </c>
      <c r="W1642" s="185" t="s">
        <v>1983</v>
      </c>
      <c r="X1642" s="185"/>
      <c r="Y1642" s="185" t="s">
        <v>1789</v>
      </c>
      <c r="Z1642"/>
    </row>
    <row r="1643" spans="1:26">
      <c r="A1643" s="185" t="s">
        <v>2879</v>
      </c>
      <c r="B1643" s="185" t="s">
        <v>2886</v>
      </c>
      <c r="C1643" s="185" t="s">
        <v>1897</v>
      </c>
      <c r="D1643" s="185" t="s">
        <v>2887</v>
      </c>
      <c r="E1643" s="185">
        <v>252005</v>
      </c>
      <c r="F1643" s="185" t="s">
        <v>783</v>
      </c>
      <c r="G1643" s="185" t="s">
        <v>2893</v>
      </c>
      <c r="H1643" s="185" t="s">
        <v>1628</v>
      </c>
      <c r="I1643" s="258" t="str">
        <f t="shared" si="76"/>
        <v>2</v>
      </c>
      <c r="J1643" s="221">
        <f t="shared" si="77"/>
        <v>-136717</v>
      </c>
      <c r="K1643" s="258">
        <f t="shared" si="78"/>
        <v>6</v>
      </c>
      <c r="L1643" s="188">
        <v>0</v>
      </c>
      <c r="M1643" s="188">
        <v>136717</v>
      </c>
      <c r="N1643" s="189">
        <v>1010101811</v>
      </c>
      <c r="O1643" t="s">
        <v>2886</v>
      </c>
      <c r="P1643" s="187">
        <v>45112</v>
      </c>
      <c r="Q1643" s="186">
        <v>12332</v>
      </c>
      <c r="R1643" s="185"/>
      <c r="S1643" s="185" t="s">
        <v>1528</v>
      </c>
      <c r="T1643"/>
      <c r="U1643" t="str">
        <f>IF($L1643&gt;0,VLOOKUP($E1643,Valida!$A$1:$G$270,6,FALSE),IF($M1643&gt;=0,VLOOKUP($E1643,Valida!$A$1:$G$270,7,FALSE)))</f>
        <v>(+/-) Ajustes por el incremento (disminución) de cuentas por pagar de origen comercial</v>
      </c>
      <c r="V1643" s="190" t="str">
        <f>VLOOKUP(E1643,Valida!$A$2:$K$271,4,FALSE)</f>
        <v>Trade and other payables</v>
      </c>
      <c r="W1643" s="185" t="s">
        <v>1967</v>
      </c>
      <c r="X1643" s="185"/>
      <c r="Y1643" s="185" t="s">
        <v>1789</v>
      </c>
      <c r="Z1643"/>
    </row>
    <row r="1644" spans="1:26">
      <c r="A1644" s="185" t="s">
        <v>2879</v>
      </c>
      <c r="B1644" s="185" t="s">
        <v>2886</v>
      </c>
      <c r="C1644" s="185" t="s">
        <v>1897</v>
      </c>
      <c r="D1644" s="185" t="s">
        <v>2887</v>
      </c>
      <c r="E1644" s="185">
        <v>252005</v>
      </c>
      <c r="F1644" s="185" t="s">
        <v>783</v>
      </c>
      <c r="G1644" s="185" t="s">
        <v>2893</v>
      </c>
      <c r="H1644" s="185" t="s">
        <v>1628</v>
      </c>
      <c r="I1644" s="258" t="str">
        <f t="shared" si="76"/>
        <v>2</v>
      </c>
      <c r="J1644" s="221">
        <f t="shared" si="77"/>
        <v>-106181</v>
      </c>
      <c r="K1644" s="258">
        <f t="shared" si="78"/>
        <v>6</v>
      </c>
      <c r="L1644" s="188">
        <v>0</v>
      </c>
      <c r="M1644" s="188">
        <v>106181</v>
      </c>
      <c r="N1644" s="189">
        <v>1020842223</v>
      </c>
      <c r="O1644" t="s">
        <v>2886</v>
      </c>
      <c r="P1644" s="187">
        <v>45112</v>
      </c>
      <c r="Q1644" s="186">
        <v>12333</v>
      </c>
      <c r="R1644" s="185"/>
      <c r="S1644" s="185" t="s">
        <v>1532</v>
      </c>
      <c r="T1644"/>
      <c r="U1644" t="str">
        <f>IF($L1644&gt;0,VLOOKUP($E1644,Valida!$A$1:$G$270,6,FALSE),IF($M1644&gt;=0,VLOOKUP($E1644,Valida!$A$1:$G$270,7,FALSE)))</f>
        <v>(+/-) Ajustes por el incremento (disminución) de cuentas por pagar de origen comercial</v>
      </c>
      <c r="V1644" s="190" t="str">
        <f>VLOOKUP(E1644,Valida!$A$2:$K$271,4,FALSE)</f>
        <v>Trade and other payables</v>
      </c>
      <c r="W1644" s="185" t="s">
        <v>1900</v>
      </c>
      <c r="X1644" s="185"/>
      <c r="Y1644" s="185" t="s">
        <v>1789</v>
      </c>
      <c r="Z1644"/>
    </row>
    <row r="1645" spans="1:26">
      <c r="A1645" s="185" t="s">
        <v>2879</v>
      </c>
      <c r="B1645" s="185" t="s">
        <v>2886</v>
      </c>
      <c r="C1645" s="185" t="s">
        <v>1897</v>
      </c>
      <c r="D1645" s="185" t="s">
        <v>2887</v>
      </c>
      <c r="E1645" s="185">
        <v>252005</v>
      </c>
      <c r="F1645" s="185" t="s">
        <v>783</v>
      </c>
      <c r="G1645" s="185" t="s">
        <v>2893</v>
      </c>
      <c r="H1645" s="185" t="s">
        <v>1628</v>
      </c>
      <c r="I1645" s="258" t="str">
        <f t="shared" si="76"/>
        <v>2</v>
      </c>
      <c r="J1645" s="221">
        <f t="shared" si="77"/>
        <v>-195051</v>
      </c>
      <c r="K1645" s="258">
        <f t="shared" si="78"/>
        <v>6</v>
      </c>
      <c r="L1645" s="188">
        <v>0</v>
      </c>
      <c r="M1645" s="188">
        <v>195051</v>
      </c>
      <c r="N1645" s="189">
        <v>1100623759</v>
      </c>
      <c r="O1645" t="s">
        <v>2886</v>
      </c>
      <c r="P1645" s="187">
        <v>45112</v>
      </c>
      <c r="Q1645" s="186">
        <v>12334</v>
      </c>
      <c r="R1645" s="185"/>
      <c r="S1645" s="185" t="s">
        <v>1536</v>
      </c>
      <c r="T1645"/>
      <c r="U1645" t="str">
        <f>IF($L1645&gt;0,VLOOKUP($E1645,Valida!$A$1:$G$270,6,FALSE),IF($M1645&gt;=0,VLOOKUP($E1645,Valida!$A$1:$G$270,7,FALSE)))</f>
        <v>(+/-) Ajustes por el incremento (disminución) de cuentas por pagar de origen comercial</v>
      </c>
      <c r="V1645" s="190" t="str">
        <f>VLOOKUP(E1645,Valida!$A$2:$K$271,4,FALSE)</f>
        <v>Trade and other payables</v>
      </c>
      <c r="W1645" s="185" t="s">
        <v>2730</v>
      </c>
      <c r="X1645" s="185"/>
      <c r="Y1645" s="185" t="s">
        <v>1789</v>
      </c>
      <c r="Z1645"/>
    </row>
    <row r="1646" spans="1:26">
      <c r="A1646" s="185" t="s">
        <v>2879</v>
      </c>
      <c r="B1646" s="185" t="s">
        <v>2886</v>
      </c>
      <c r="C1646" s="185" t="s">
        <v>1897</v>
      </c>
      <c r="D1646" s="185" t="s">
        <v>2887</v>
      </c>
      <c r="E1646" s="185">
        <v>252005</v>
      </c>
      <c r="F1646" s="185" t="s">
        <v>783</v>
      </c>
      <c r="G1646" s="185" t="s">
        <v>2893</v>
      </c>
      <c r="H1646" s="185" t="s">
        <v>1628</v>
      </c>
      <c r="I1646" s="258" t="str">
        <f t="shared" si="76"/>
        <v>2</v>
      </c>
      <c r="J1646" s="221">
        <f t="shared" si="77"/>
        <v>-108384</v>
      </c>
      <c r="K1646" s="258">
        <f t="shared" si="78"/>
        <v>6</v>
      </c>
      <c r="L1646" s="188">
        <v>0</v>
      </c>
      <c r="M1646" s="188">
        <v>108384</v>
      </c>
      <c r="N1646" s="189">
        <v>1130744136</v>
      </c>
      <c r="O1646" t="s">
        <v>2886</v>
      </c>
      <c r="P1646" s="187">
        <v>45112</v>
      </c>
      <c r="Q1646" s="186">
        <v>12335</v>
      </c>
      <c r="R1646" s="185"/>
      <c r="S1646" s="185" t="s">
        <v>1538</v>
      </c>
      <c r="T1646"/>
      <c r="U1646" t="str">
        <f>IF($L1646&gt;0,VLOOKUP($E1646,Valida!$A$1:$G$270,6,FALSE),IF($M1646&gt;=0,VLOOKUP($E1646,Valida!$A$1:$G$270,7,FALSE)))</f>
        <v>(+/-) Ajustes por el incremento (disminución) de cuentas por pagar de origen comercial</v>
      </c>
      <c r="V1646" s="190" t="str">
        <f>VLOOKUP(E1646,Valida!$A$2:$K$271,4,FALSE)</f>
        <v>Trade and other payables</v>
      </c>
      <c r="W1646" s="185" t="s">
        <v>1909</v>
      </c>
      <c r="X1646" s="185" t="s">
        <v>1910</v>
      </c>
      <c r="Y1646" s="185" t="s">
        <v>1789</v>
      </c>
      <c r="Z1646"/>
    </row>
    <row r="1647" spans="1:26">
      <c r="A1647" s="185" t="s">
        <v>2879</v>
      </c>
      <c r="B1647" s="185" t="s">
        <v>2886</v>
      </c>
      <c r="C1647" s="185" t="s">
        <v>1897</v>
      </c>
      <c r="D1647" s="185" t="s">
        <v>2887</v>
      </c>
      <c r="E1647" s="185">
        <v>252505</v>
      </c>
      <c r="F1647" s="185" t="s">
        <v>787</v>
      </c>
      <c r="G1647" s="185" t="s">
        <v>2894</v>
      </c>
      <c r="H1647" s="185" t="s">
        <v>1628</v>
      </c>
      <c r="I1647" s="258" t="str">
        <f t="shared" si="76"/>
        <v>2</v>
      </c>
      <c r="J1647" s="221">
        <f t="shared" si="77"/>
        <v>-53166</v>
      </c>
      <c r="K1647" s="258">
        <f t="shared" si="78"/>
        <v>6</v>
      </c>
      <c r="L1647" s="188">
        <v>0</v>
      </c>
      <c r="M1647" s="188">
        <v>53166</v>
      </c>
      <c r="N1647" s="189">
        <v>1000018061</v>
      </c>
      <c r="O1647" t="s">
        <v>2886</v>
      </c>
      <c r="P1647" s="187">
        <v>45112</v>
      </c>
      <c r="Q1647" s="186">
        <v>12336</v>
      </c>
      <c r="R1647" s="185"/>
      <c r="S1647" s="185" t="s">
        <v>1522</v>
      </c>
      <c r="T1647"/>
      <c r="U1647" t="str">
        <f>IF($L1647&gt;0,VLOOKUP($E1647,Valida!$A$1:$G$270,6,FALSE),IF($M1647&gt;=0,VLOOKUP($E1647,Valida!$A$1:$G$270,7,FALSE)))</f>
        <v>(+/-) Ajustes por el incremento (disminución) de cuentas por pagar de origen comercial</v>
      </c>
      <c r="V1647" s="190" t="str">
        <f>VLOOKUP(E1647,Valida!$A$2:$K$271,4,FALSE)</f>
        <v>Trade and other payables</v>
      </c>
      <c r="W1647" s="185" t="s">
        <v>1978</v>
      </c>
      <c r="X1647" s="185"/>
      <c r="Y1647" s="185" t="s">
        <v>1789</v>
      </c>
      <c r="Z1647"/>
    </row>
    <row r="1648" spans="1:26">
      <c r="A1648" s="185" t="s">
        <v>2879</v>
      </c>
      <c r="B1648" s="185" t="s">
        <v>2886</v>
      </c>
      <c r="C1648" s="185" t="s">
        <v>1897</v>
      </c>
      <c r="D1648" s="185" t="s">
        <v>2887</v>
      </c>
      <c r="E1648" s="185">
        <v>252505</v>
      </c>
      <c r="F1648" s="185" t="s">
        <v>787</v>
      </c>
      <c r="G1648" s="185" t="s">
        <v>2894</v>
      </c>
      <c r="H1648" s="185" t="s">
        <v>1628</v>
      </c>
      <c r="I1648" s="258" t="str">
        <f t="shared" si="76"/>
        <v>2</v>
      </c>
      <c r="J1648" s="221">
        <f t="shared" si="77"/>
        <v>-93148</v>
      </c>
      <c r="K1648" s="258">
        <f t="shared" si="78"/>
        <v>6</v>
      </c>
      <c r="L1648" s="188">
        <v>0</v>
      </c>
      <c r="M1648" s="188">
        <v>93148</v>
      </c>
      <c r="N1648" s="189">
        <v>1000036375</v>
      </c>
      <c r="O1648" t="s">
        <v>2886</v>
      </c>
      <c r="P1648" s="187">
        <v>45112</v>
      </c>
      <c r="Q1648" s="186">
        <v>12337</v>
      </c>
      <c r="R1648" s="185"/>
      <c r="S1648" s="185" t="s">
        <v>1524</v>
      </c>
      <c r="T1648"/>
      <c r="U1648" t="str">
        <f>IF($L1648&gt;0,VLOOKUP($E1648,Valida!$A$1:$G$270,6,FALSE),IF($M1648&gt;=0,VLOOKUP($E1648,Valida!$A$1:$G$270,7,FALSE)))</f>
        <v>(+/-) Ajustes por el incremento (disminución) de cuentas por pagar de origen comercial</v>
      </c>
      <c r="V1648" s="190" t="str">
        <f>VLOOKUP(E1648,Valida!$A$2:$K$271,4,FALSE)</f>
        <v>Trade and other payables</v>
      </c>
      <c r="W1648" s="185" t="s">
        <v>1983</v>
      </c>
      <c r="X1648" s="185"/>
      <c r="Y1648" s="185" t="s">
        <v>1789</v>
      </c>
      <c r="Z1648"/>
    </row>
    <row r="1649" spans="1:26">
      <c r="A1649" s="185" t="s">
        <v>2879</v>
      </c>
      <c r="B1649" s="185" t="s">
        <v>2886</v>
      </c>
      <c r="C1649" s="185" t="s">
        <v>1897</v>
      </c>
      <c r="D1649" s="185" t="s">
        <v>2887</v>
      </c>
      <c r="E1649" s="185">
        <v>252505</v>
      </c>
      <c r="F1649" s="185" t="s">
        <v>787</v>
      </c>
      <c r="G1649" s="185" t="s">
        <v>2894</v>
      </c>
      <c r="H1649" s="185" t="s">
        <v>1628</v>
      </c>
      <c r="I1649" s="258" t="str">
        <f t="shared" si="76"/>
        <v>2</v>
      </c>
      <c r="J1649" s="221">
        <f t="shared" si="77"/>
        <v>-62501</v>
      </c>
      <c r="K1649" s="258">
        <f t="shared" si="78"/>
        <v>6</v>
      </c>
      <c r="L1649" s="188">
        <v>0</v>
      </c>
      <c r="M1649" s="188">
        <v>62501</v>
      </c>
      <c r="N1649" s="189">
        <v>1010101811</v>
      </c>
      <c r="O1649" t="s">
        <v>2886</v>
      </c>
      <c r="P1649" s="187">
        <v>45112</v>
      </c>
      <c r="Q1649" s="186">
        <v>12338</v>
      </c>
      <c r="R1649" s="185"/>
      <c r="S1649" s="185" t="s">
        <v>1528</v>
      </c>
      <c r="T1649"/>
      <c r="U1649" t="str">
        <f>IF($L1649&gt;0,VLOOKUP($E1649,Valida!$A$1:$G$270,6,FALSE),IF($M1649&gt;=0,VLOOKUP($E1649,Valida!$A$1:$G$270,7,FALSE)))</f>
        <v>(+/-) Ajustes por el incremento (disminución) de cuentas por pagar de origen comercial</v>
      </c>
      <c r="V1649" s="190" t="str">
        <f>VLOOKUP(E1649,Valida!$A$2:$K$271,4,FALSE)</f>
        <v>Trade and other payables</v>
      </c>
      <c r="W1649" s="185" t="s">
        <v>1967</v>
      </c>
      <c r="X1649" s="185"/>
      <c r="Y1649" s="185" t="s">
        <v>1789</v>
      </c>
      <c r="Z1649"/>
    </row>
    <row r="1650" spans="1:26">
      <c r="A1650" s="185" t="s">
        <v>2879</v>
      </c>
      <c r="B1650" s="185" t="s">
        <v>2886</v>
      </c>
      <c r="C1650" s="185" t="s">
        <v>1897</v>
      </c>
      <c r="D1650" s="185" t="s">
        <v>2887</v>
      </c>
      <c r="E1650" s="185">
        <v>252505</v>
      </c>
      <c r="F1650" s="185" t="s">
        <v>787</v>
      </c>
      <c r="G1650" s="185" t="s">
        <v>2894</v>
      </c>
      <c r="H1650" s="185" t="s">
        <v>1628</v>
      </c>
      <c r="I1650" s="258" t="str">
        <f t="shared" si="76"/>
        <v>2</v>
      </c>
      <c r="J1650" s="221">
        <f t="shared" si="77"/>
        <v>-53048</v>
      </c>
      <c r="K1650" s="258">
        <f t="shared" si="78"/>
        <v>6</v>
      </c>
      <c r="L1650" s="188">
        <v>0</v>
      </c>
      <c r="M1650" s="188">
        <v>53048</v>
      </c>
      <c r="N1650" s="189">
        <v>1020842223</v>
      </c>
      <c r="O1650" t="s">
        <v>2886</v>
      </c>
      <c r="P1650" s="187">
        <v>45112</v>
      </c>
      <c r="Q1650" s="186">
        <v>12339</v>
      </c>
      <c r="R1650" s="185"/>
      <c r="S1650" s="185" t="s">
        <v>1532</v>
      </c>
      <c r="T1650"/>
      <c r="U1650" t="str">
        <f>IF($L1650&gt;0,VLOOKUP($E1650,Valida!$A$1:$G$270,6,FALSE),IF($M1650&gt;=0,VLOOKUP($E1650,Valida!$A$1:$G$270,7,FALSE)))</f>
        <v>(+/-) Ajustes por el incremento (disminución) de cuentas por pagar de origen comercial</v>
      </c>
      <c r="V1650" s="190" t="str">
        <f>VLOOKUP(E1650,Valida!$A$2:$K$271,4,FALSE)</f>
        <v>Trade and other payables</v>
      </c>
      <c r="W1650" s="185" t="s">
        <v>1900</v>
      </c>
      <c r="X1650" s="185"/>
      <c r="Y1650" s="185" t="s">
        <v>1789</v>
      </c>
      <c r="Z1650"/>
    </row>
    <row r="1651" spans="1:26">
      <c r="A1651" s="185" t="s">
        <v>2879</v>
      </c>
      <c r="B1651" s="185" t="s">
        <v>2886</v>
      </c>
      <c r="C1651" s="185" t="s">
        <v>1897</v>
      </c>
      <c r="D1651" s="185" t="s">
        <v>2887</v>
      </c>
      <c r="E1651" s="185">
        <v>252505</v>
      </c>
      <c r="F1651" s="185" t="s">
        <v>787</v>
      </c>
      <c r="G1651" s="185" t="s">
        <v>2894</v>
      </c>
      <c r="H1651" s="185" t="s">
        <v>1628</v>
      </c>
      <c r="I1651" s="258" t="str">
        <f t="shared" si="76"/>
        <v>2</v>
      </c>
      <c r="J1651" s="221">
        <f t="shared" si="77"/>
        <v>-91667</v>
      </c>
      <c r="K1651" s="258">
        <f t="shared" si="78"/>
        <v>6</v>
      </c>
      <c r="L1651" s="188">
        <v>0</v>
      </c>
      <c r="M1651" s="188">
        <v>91667</v>
      </c>
      <c r="N1651" s="189">
        <v>1100623759</v>
      </c>
      <c r="O1651" t="s">
        <v>2886</v>
      </c>
      <c r="P1651" s="187">
        <v>45112</v>
      </c>
      <c r="Q1651" s="186">
        <v>12340</v>
      </c>
      <c r="R1651" s="185"/>
      <c r="S1651" s="185" t="s">
        <v>1536</v>
      </c>
      <c r="T1651"/>
      <c r="U1651" t="str">
        <f>IF($L1651&gt;0,VLOOKUP($E1651,Valida!$A$1:$G$270,6,FALSE),IF($M1651&gt;=0,VLOOKUP($E1651,Valida!$A$1:$G$270,7,FALSE)))</f>
        <v>(+/-) Ajustes por el incremento (disminución) de cuentas por pagar de origen comercial</v>
      </c>
      <c r="V1651" s="190" t="str">
        <f>VLOOKUP(E1651,Valida!$A$2:$K$271,4,FALSE)</f>
        <v>Trade and other payables</v>
      </c>
      <c r="W1651" s="185" t="s">
        <v>2730</v>
      </c>
      <c r="X1651" s="185"/>
      <c r="Y1651" s="185" t="s">
        <v>1789</v>
      </c>
      <c r="Z1651"/>
    </row>
    <row r="1652" spans="1:26">
      <c r="A1652" s="185" t="s">
        <v>2879</v>
      </c>
      <c r="B1652" s="185" t="s">
        <v>2886</v>
      </c>
      <c r="C1652" s="185" t="s">
        <v>1897</v>
      </c>
      <c r="D1652" s="185" t="s">
        <v>2887</v>
      </c>
      <c r="E1652" s="185">
        <v>252505</v>
      </c>
      <c r="F1652" s="185" t="s">
        <v>787</v>
      </c>
      <c r="G1652" s="185" t="s">
        <v>2894</v>
      </c>
      <c r="H1652" s="185" t="s">
        <v>1628</v>
      </c>
      <c r="I1652" s="258" t="str">
        <f t="shared" si="76"/>
        <v>2</v>
      </c>
      <c r="J1652" s="221">
        <f t="shared" si="77"/>
        <v>-48334</v>
      </c>
      <c r="K1652" s="258">
        <f t="shared" si="78"/>
        <v>6</v>
      </c>
      <c r="L1652" s="188">
        <v>0</v>
      </c>
      <c r="M1652" s="188">
        <v>48334</v>
      </c>
      <c r="N1652" s="189">
        <v>1130744136</v>
      </c>
      <c r="O1652" t="s">
        <v>2886</v>
      </c>
      <c r="P1652" s="187">
        <v>45112</v>
      </c>
      <c r="Q1652" s="186">
        <v>12341</v>
      </c>
      <c r="R1652" s="185"/>
      <c r="S1652" s="185" t="s">
        <v>1538</v>
      </c>
      <c r="T1652"/>
      <c r="U1652" t="str">
        <f>IF($L1652&gt;0,VLOOKUP($E1652,Valida!$A$1:$G$270,6,FALSE),IF($M1652&gt;=0,VLOOKUP($E1652,Valida!$A$1:$G$270,7,FALSE)))</f>
        <v>(+/-) Ajustes por el incremento (disminución) de cuentas por pagar de origen comercial</v>
      </c>
      <c r="V1652" s="190" t="str">
        <f>VLOOKUP(E1652,Valida!$A$2:$K$271,4,FALSE)</f>
        <v>Trade and other payables</v>
      </c>
      <c r="W1652" s="185" t="s">
        <v>1909</v>
      </c>
      <c r="X1652" s="185" t="s">
        <v>1910</v>
      </c>
      <c r="Y1652" s="185" t="s">
        <v>1789</v>
      </c>
      <c r="Z1652"/>
    </row>
    <row r="1653" spans="1:26">
      <c r="A1653" s="185" t="s">
        <v>2879</v>
      </c>
      <c r="B1653" s="185" t="s">
        <v>2886</v>
      </c>
      <c r="C1653" s="185" t="s">
        <v>1897</v>
      </c>
      <c r="D1653" s="185" t="s">
        <v>2887</v>
      </c>
      <c r="E1653" s="185">
        <v>510530</v>
      </c>
      <c r="F1653" s="185" t="s">
        <v>813</v>
      </c>
      <c r="G1653" s="185" t="s">
        <v>2891</v>
      </c>
      <c r="H1653" s="185" t="s">
        <v>1515</v>
      </c>
      <c r="I1653" s="258" t="str">
        <f t="shared" si="76"/>
        <v>5</v>
      </c>
      <c r="J1653" s="221">
        <f t="shared" si="77"/>
        <v>118050</v>
      </c>
      <c r="K1653" s="258">
        <f t="shared" si="78"/>
        <v>6</v>
      </c>
      <c r="L1653" s="188">
        <v>118050</v>
      </c>
      <c r="M1653" s="188">
        <v>0</v>
      </c>
      <c r="N1653" s="189">
        <v>1000018061</v>
      </c>
      <c r="O1653" t="s">
        <v>2886</v>
      </c>
      <c r="P1653" s="187">
        <v>45112</v>
      </c>
      <c r="Q1653" s="186">
        <v>12342</v>
      </c>
      <c r="R1653" s="185"/>
      <c r="S1653" s="185" t="s">
        <v>1522</v>
      </c>
      <c r="T1653"/>
      <c r="U1653" t="str">
        <f>IF($L1653&gt;0,VLOOKUP($E1653,Valida!$A$1:$G$270,6,FALSE),IF($M1653&gt;=0,VLOOKUP($E1653,Valida!$A$1:$G$270,7,FALSE)))</f>
        <v>(+/-) Ganancia (pérdida)</v>
      </c>
      <c r="V1653" s="190" t="str">
        <f>VLOOKUP(E1653,Valida!$A$2:$K$271,4,FALSE)</f>
        <v>P&amp;L</v>
      </c>
      <c r="W1653" s="185" t="s">
        <v>1978</v>
      </c>
      <c r="X1653" s="185"/>
      <c r="Y1653" s="185" t="s">
        <v>1789</v>
      </c>
      <c r="Z1653"/>
    </row>
    <row r="1654" spans="1:26">
      <c r="A1654" s="185" t="s">
        <v>2879</v>
      </c>
      <c r="B1654" s="185" t="s">
        <v>2886</v>
      </c>
      <c r="C1654" s="185" t="s">
        <v>1897</v>
      </c>
      <c r="D1654" s="185" t="s">
        <v>2887</v>
      </c>
      <c r="E1654" s="185">
        <v>510530</v>
      </c>
      <c r="F1654" s="185" t="s">
        <v>813</v>
      </c>
      <c r="G1654" s="185" t="s">
        <v>2891</v>
      </c>
      <c r="H1654" s="185" t="s">
        <v>1515</v>
      </c>
      <c r="I1654" s="258" t="str">
        <f t="shared" si="76"/>
        <v>5</v>
      </c>
      <c r="J1654" s="221">
        <f t="shared" si="77"/>
        <v>198013</v>
      </c>
      <c r="K1654" s="258">
        <f t="shared" si="78"/>
        <v>6</v>
      </c>
      <c r="L1654" s="188">
        <v>198013</v>
      </c>
      <c r="M1654" s="188">
        <v>0</v>
      </c>
      <c r="N1654" s="189">
        <v>1000036375</v>
      </c>
      <c r="O1654" t="s">
        <v>2886</v>
      </c>
      <c r="P1654" s="187">
        <v>45112</v>
      </c>
      <c r="Q1654" s="186">
        <v>12343</v>
      </c>
      <c r="R1654" s="185"/>
      <c r="S1654" s="185" t="s">
        <v>1524</v>
      </c>
      <c r="T1654"/>
      <c r="U1654" t="str">
        <f>IF($L1654&gt;0,VLOOKUP($E1654,Valida!$A$1:$G$270,6,FALSE),IF($M1654&gt;=0,VLOOKUP($E1654,Valida!$A$1:$G$270,7,FALSE)))</f>
        <v>(+/-) Ganancia (pérdida)</v>
      </c>
      <c r="V1654" s="190" t="str">
        <f>VLOOKUP(E1654,Valida!$A$2:$K$271,4,FALSE)</f>
        <v>P&amp;L</v>
      </c>
      <c r="W1654" s="185" t="s">
        <v>1983</v>
      </c>
      <c r="X1654" s="185"/>
      <c r="Y1654" s="185" t="s">
        <v>1789</v>
      </c>
      <c r="Z1654"/>
    </row>
    <row r="1655" spans="1:26">
      <c r="A1655" s="185" t="s">
        <v>2879</v>
      </c>
      <c r="B1655" s="185" t="s">
        <v>2886</v>
      </c>
      <c r="C1655" s="185" t="s">
        <v>1897</v>
      </c>
      <c r="D1655" s="185" t="s">
        <v>2887</v>
      </c>
      <c r="E1655" s="185">
        <v>510530</v>
      </c>
      <c r="F1655" s="185" t="s">
        <v>813</v>
      </c>
      <c r="G1655" s="185" t="s">
        <v>2891</v>
      </c>
      <c r="H1655" s="185" t="s">
        <v>1515</v>
      </c>
      <c r="I1655" s="258" t="str">
        <f t="shared" si="76"/>
        <v>5</v>
      </c>
      <c r="J1655" s="221">
        <f t="shared" si="77"/>
        <v>137950</v>
      </c>
      <c r="K1655" s="258">
        <f t="shared" si="78"/>
        <v>6</v>
      </c>
      <c r="L1655" s="188">
        <v>137950</v>
      </c>
      <c r="M1655" s="188">
        <v>0</v>
      </c>
      <c r="N1655" s="189">
        <v>1010101811</v>
      </c>
      <c r="O1655" t="s">
        <v>2886</v>
      </c>
      <c r="P1655" s="187">
        <v>45112</v>
      </c>
      <c r="Q1655" s="186">
        <v>12344</v>
      </c>
      <c r="R1655" s="185"/>
      <c r="S1655" s="185" t="s">
        <v>1528</v>
      </c>
      <c r="T1655"/>
      <c r="U1655" t="str">
        <f>IF($L1655&gt;0,VLOOKUP($E1655,Valida!$A$1:$G$270,6,FALSE),IF($M1655&gt;=0,VLOOKUP($E1655,Valida!$A$1:$G$270,7,FALSE)))</f>
        <v>(+/-) Ganancia (pérdida)</v>
      </c>
      <c r="V1655" s="190" t="str">
        <f>VLOOKUP(E1655,Valida!$A$2:$K$271,4,FALSE)</f>
        <v>P&amp;L</v>
      </c>
      <c r="W1655" s="185" t="s">
        <v>1967</v>
      </c>
      <c r="X1655" s="185"/>
      <c r="Y1655" s="185" t="s">
        <v>1789</v>
      </c>
      <c r="Z1655"/>
    </row>
    <row r="1656" spans="1:26">
      <c r="A1656" s="185" t="s">
        <v>2879</v>
      </c>
      <c r="B1656" s="185" t="s">
        <v>2886</v>
      </c>
      <c r="C1656" s="185" t="s">
        <v>1897</v>
      </c>
      <c r="D1656" s="185" t="s">
        <v>2887</v>
      </c>
      <c r="E1656" s="185">
        <v>510530</v>
      </c>
      <c r="F1656" s="185" t="s">
        <v>813</v>
      </c>
      <c r="G1656" s="185" t="s">
        <v>2891</v>
      </c>
      <c r="H1656" s="185" t="s">
        <v>1515</v>
      </c>
      <c r="I1656" s="258" t="str">
        <f t="shared" si="76"/>
        <v>5</v>
      </c>
      <c r="J1656" s="221">
        <f t="shared" si="77"/>
        <v>106181</v>
      </c>
      <c r="K1656" s="258">
        <f t="shared" si="78"/>
        <v>6</v>
      </c>
      <c r="L1656" s="188">
        <v>106181</v>
      </c>
      <c r="M1656" s="188">
        <v>0</v>
      </c>
      <c r="N1656" s="189">
        <v>1020842223</v>
      </c>
      <c r="O1656" t="s">
        <v>2886</v>
      </c>
      <c r="P1656" s="187">
        <v>45112</v>
      </c>
      <c r="Q1656" s="186">
        <v>12345</v>
      </c>
      <c r="R1656" s="185"/>
      <c r="S1656" s="185" t="s">
        <v>1532</v>
      </c>
      <c r="T1656"/>
      <c r="U1656" t="str">
        <f>IF($L1656&gt;0,VLOOKUP($E1656,Valida!$A$1:$G$270,6,FALSE),IF($M1656&gt;=0,VLOOKUP($E1656,Valida!$A$1:$G$270,7,FALSE)))</f>
        <v>(+/-) Ganancia (pérdida)</v>
      </c>
      <c r="V1656" s="190" t="str">
        <f>VLOOKUP(E1656,Valida!$A$2:$K$271,4,FALSE)</f>
        <v>P&amp;L</v>
      </c>
      <c r="W1656" s="185" t="s">
        <v>1900</v>
      </c>
      <c r="X1656" s="185"/>
      <c r="Y1656" s="185" t="s">
        <v>1789</v>
      </c>
      <c r="Z1656"/>
    </row>
    <row r="1657" spans="1:26">
      <c r="A1657" s="185" t="s">
        <v>2879</v>
      </c>
      <c r="B1657" s="185" t="s">
        <v>2886</v>
      </c>
      <c r="C1657" s="185" t="s">
        <v>1897</v>
      </c>
      <c r="D1657" s="185" t="s">
        <v>2887</v>
      </c>
      <c r="E1657" s="185">
        <v>510530</v>
      </c>
      <c r="F1657" s="185" t="s">
        <v>813</v>
      </c>
      <c r="G1657" s="185" t="s">
        <v>2891</v>
      </c>
      <c r="H1657" s="185" t="s">
        <v>1515</v>
      </c>
      <c r="I1657" s="258" t="str">
        <f t="shared" si="76"/>
        <v>5</v>
      </c>
      <c r="J1657" s="221">
        <f t="shared" si="77"/>
        <v>195051</v>
      </c>
      <c r="K1657" s="258">
        <f t="shared" si="78"/>
        <v>6</v>
      </c>
      <c r="L1657" s="188">
        <v>195051</v>
      </c>
      <c r="M1657" s="188">
        <v>0</v>
      </c>
      <c r="N1657" s="189">
        <v>1100623759</v>
      </c>
      <c r="O1657" t="s">
        <v>2886</v>
      </c>
      <c r="P1657" s="187">
        <v>45112</v>
      </c>
      <c r="Q1657" s="186">
        <v>12346</v>
      </c>
      <c r="R1657" s="185"/>
      <c r="S1657" s="185" t="s">
        <v>1536</v>
      </c>
      <c r="T1657"/>
      <c r="U1657" t="str">
        <f>IF($L1657&gt;0,VLOOKUP($E1657,Valida!$A$1:$G$270,6,FALSE),IF($M1657&gt;=0,VLOOKUP($E1657,Valida!$A$1:$G$270,7,FALSE)))</f>
        <v>(+/-) Ganancia (pérdida)</v>
      </c>
      <c r="V1657" s="190" t="str">
        <f>VLOOKUP(E1657,Valida!$A$2:$K$271,4,FALSE)</f>
        <v>P&amp;L</v>
      </c>
      <c r="W1657" s="185" t="s">
        <v>2730</v>
      </c>
      <c r="X1657" s="185"/>
      <c r="Y1657" s="185" t="s">
        <v>1789</v>
      </c>
      <c r="Z1657"/>
    </row>
    <row r="1658" spans="1:26">
      <c r="A1658" s="185" t="s">
        <v>2879</v>
      </c>
      <c r="B1658" s="185" t="s">
        <v>2886</v>
      </c>
      <c r="C1658" s="185" t="s">
        <v>1897</v>
      </c>
      <c r="D1658" s="185" t="s">
        <v>2887</v>
      </c>
      <c r="E1658" s="185">
        <v>510530</v>
      </c>
      <c r="F1658" s="185" t="s">
        <v>813</v>
      </c>
      <c r="G1658" s="185" t="s">
        <v>2891</v>
      </c>
      <c r="H1658" s="185" t="s">
        <v>1515</v>
      </c>
      <c r="I1658" s="258" t="str">
        <f t="shared" si="76"/>
        <v>5</v>
      </c>
      <c r="J1658" s="221">
        <f t="shared" si="77"/>
        <v>108384</v>
      </c>
      <c r="K1658" s="258">
        <f t="shared" si="78"/>
        <v>6</v>
      </c>
      <c r="L1658" s="188">
        <v>108384</v>
      </c>
      <c r="M1658" s="188">
        <v>0</v>
      </c>
      <c r="N1658" s="189">
        <v>1130744136</v>
      </c>
      <c r="O1658" t="s">
        <v>2886</v>
      </c>
      <c r="P1658" s="187">
        <v>45112</v>
      </c>
      <c r="Q1658" s="186">
        <v>12347</v>
      </c>
      <c r="R1658" s="185"/>
      <c r="S1658" s="185" t="s">
        <v>1538</v>
      </c>
      <c r="T1658"/>
      <c r="U1658" t="str">
        <f>IF($L1658&gt;0,VLOOKUP($E1658,Valida!$A$1:$G$270,6,FALSE),IF($M1658&gt;=0,VLOOKUP($E1658,Valida!$A$1:$G$270,7,FALSE)))</f>
        <v>(+/-) Ganancia (pérdida)</v>
      </c>
      <c r="V1658" s="190" t="str">
        <f>VLOOKUP(E1658,Valida!$A$2:$K$271,4,FALSE)</f>
        <v>P&amp;L</v>
      </c>
      <c r="W1658" s="185" t="s">
        <v>1909</v>
      </c>
      <c r="X1658" s="185" t="s">
        <v>1910</v>
      </c>
      <c r="Y1658" s="185" t="s">
        <v>1789</v>
      </c>
      <c r="Z1658"/>
    </row>
    <row r="1659" spans="1:26">
      <c r="A1659" s="185" t="s">
        <v>2879</v>
      </c>
      <c r="B1659" s="185" t="s">
        <v>2886</v>
      </c>
      <c r="C1659" s="185" t="s">
        <v>1897</v>
      </c>
      <c r="D1659" s="185" t="s">
        <v>2887</v>
      </c>
      <c r="E1659" s="185">
        <v>510533</v>
      </c>
      <c r="F1659" s="185" t="s">
        <v>779</v>
      </c>
      <c r="G1659" s="185" t="s">
        <v>2892</v>
      </c>
      <c r="H1659" s="185" t="s">
        <v>1515</v>
      </c>
      <c r="I1659" s="258" t="str">
        <f t="shared" si="76"/>
        <v>5</v>
      </c>
      <c r="J1659" s="221">
        <f t="shared" si="77"/>
        <v>9619</v>
      </c>
      <c r="K1659" s="258">
        <f t="shared" si="78"/>
        <v>6</v>
      </c>
      <c r="L1659" s="188">
        <v>9619</v>
      </c>
      <c r="M1659" s="188">
        <v>0</v>
      </c>
      <c r="N1659" s="189">
        <v>1000018061</v>
      </c>
      <c r="O1659" t="s">
        <v>2886</v>
      </c>
      <c r="P1659" s="187">
        <v>45112</v>
      </c>
      <c r="Q1659" s="186">
        <v>12348</v>
      </c>
      <c r="R1659" s="185"/>
      <c r="S1659" s="185" t="s">
        <v>1522</v>
      </c>
      <c r="T1659"/>
      <c r="U1659" t="str">
        <f>IF($L1659&gt;0,VLOOKUP($E1659,Valida!$A$1:$G$270,6,FALSE),IF($M1659&gt;=0,VLOOKUP($E1659,Valida!$A$1:$G$270,7,FALSE)))</f>
        <v>(+/-) Ganancia (pérdida)</v>
      </c>
      <c r="V1659" s="190" t="str">
        <f>VLOOKUP(E1659,Valida!$A$2:$K$271,4,FALSE)</f>
        <v>P&amp;L</v>
      </c>
      <c r="W1659" s="185" t="s">
        <v>1978</v>
      </c>
      <c r="X1659" s="185"/>
      <c r="Y1659" s="185" t="s">
        <v>1789</v>
      </c>
      <c r="Z1659"/>
    </row>
    <row r="1660" spans="1:26">
      <c r="A1660" s="185" t="s">
        <v>2879</v>
      </c>
      <c r="B1660" s="185" t="s">
        <v>2886</v>
      </c>
      <c r="C1660" s="185" t="s">
        <v>1897</v>
      </c>
      <c r="D1660" s="185" t="s">
        <v>2887</v>
      </c>
      <c r="E1660" s="185">
        <v>510533</v>
      </c>
      <c r="F1660" s="185" t="s">
        <v>779</v>
      </c>
      <c r="G1660" s="185" t="s">
        <v>2892</v>
      </c>
      <c r="H1660" s="185" t="s">
        <v>1515</v>
      </c>
      <c r="I1660" s="258" t="str">
        <f t="shared" si="76"/>
        <v>5</v>
      </c>
      <c r="J1660" s="221">
        <f t="shared" si="77"/>
        <v>12701</v>
      </c>
      <c r="K1660" s="258">
        <f t="shared" si="78"/>
        <v>6</v>
      </c>
      <c r="L1660" s="188">
        <v>12701</v>
      </c>
      <c r="M1660" s="188">
        <v>0</v>
      </c>
      <c r="N1660" s="189">
        <v>1000036375</v>
      </c>
      <c r="O1660" t="s">
        <v>2886</v>
      </c>
      <c r="P1660" s="187">
        <v>45112</v>
      </c>
      <c r="Q1660" s="186">
        <v>12349</v>
      </c>
      <c r="R1660" s="185"/>
      <c r="S1660" s="185" t="s">
        <v>1524</v>
      </c>
      <c r="T1660"/>
      <c r="U1660" t="str">
        <f>IF($L1660&gt;0,VLOOKUP($E1660,Valida!$A$1:$G$270,6,FALSE),IF($M1660&gt;=0,VLOOKUP($E1660,Valida!$A$1:$G$270,7,FALSE)))</f>
        <v>(+/-) Ganancia (pérdida)</v>
      </c>
      <c r="V1660" s="190" t="str">
        <f>VLOOKUP(E1660,Valida!$A$2:$K$271,4,FALSE)</f>
        <v>P&amp;L</v>
      </c>
      <c r="W1660" s="185" t="s">
        <v>1983</v>
      </c>
      <c r="X1660" s="185"/>
      <c r="Y1660" s="185" t="s">
        <v>1789</v>
      </c>
      <c r="Z1660"/>
    </row>
    <row r="1661" spans="1:26">
      <c r="A1661" s="185" t="s">
        <v>2879</v>
      </c>
      <c r="B1661" s="185" t="s">
        <v>2886</v>
      </c>
      <c r="C1661" s="185" t="s">
        <v>1897</v>
      </c>
      <c r="D1661" s="185" t="s">
        <v>2887</v>
      </c>
      <c r="E1661" s="185">
        <v>510533</v>
      </c>
      <c r="F1661" s="185" t="s">
        <v>779</v>
      </c>
      <c r="G1661" s="185" t="s">
        <v>2892</v>
      </c>
      <c r="H1661" s="185" t="s">
        <v>1515</v>
      </c>
      <c r="I1661" s="258" t="str">
        <f t="shared" si="76"/>
        <v>5</v>
      </c>
      <c r="J1661" s="221">
        <f t="shared" si="77"/>
        <v>15287</v>
      </c>
      <c r="K1661" s="258">
        <f t="shared" si="78"/>
        <v>6</v>
      </c>
      <c r="L1661" s="188">
        <v>15287</v>
      </c>
      <c r="M1661" s="188">
        <v>0</v>
      </c>
      <c r="N1661" s="189">
        <v>1010101811</v>
      </c>
      <c r="O1661" t="s">
        <v>2886</v>
      </c>
      <c r="P1661" s="187">
        <v>45112</v>
      </c>
      <c r="Q1661" s="186">
        <v>12350</v>
      </c>
      <c r="R1661" s="185"/>
      <c r="S1661" s="185" t="s">
        <v>1528</v>
      </c>
      <c r="T1661"/>
      <c r="U1661" t="str">
        <f>IF($L1661&gt;0,VLOOKUP($E1661,Valida!$A$1:$G$270,6,FALSE),IF($M1661&gt;=0,VLOOKUP($E1661,Valida!$A$1:$G$270,7,FALSE)))</f>
        <v>(+/-) Ganancia (pérdida)</v>
      </c>
      <c r="V1661" s="190" t="str">
        <f>VLOOKUP(E1661,Valida!$A$2:$K$271,4,FALSE)</f>
        <v>P&amp;L</v>
      </c>
      <c r="W1661" s="185" t="s">
        <v>1967</v>
      </c>
      <c r="X1661" s="185"/>
      <c r="Y1661" s="185" t="s">
        <v>1789</v>
      </c>
      <c r="Z1661"/>
    </row>
    <row r="1662" spans="1:26">
      <c r="A1662" s="185" t="s">
        <v>2879</v>
      </c>
      <c r="B1662" s="185" t="s">
        <v>2886</v>
      </c>
      <c r="C1662" s="185" t="s">
        <v>1897</v>
      </c>
      <c r="D1662" s="185" t="s">
        <v>2887</v>
      </c>
      <c r="E1662" s="185">
        <v>510533</v>
      </c>
      <c r="F1662" s="185" t="s">
        <v>779</v>
      </c>
      <c r="G1662" s="185" t="s">
        <v>2892</v>
      </c>
      <c r="H1662" s="185" t="s">
        <v>1515</v>
      </c>
      <c r="I1662" s="258" t="str">
        <f t="shared" si="76"/>
        <v>5</v>
      </c>
      <c r="J1662" s="221">
        <f t="shared" si="77"/>
        <v>9825</v>
      </c>
      <c r="K1662" s="258">
        <f t="shared" si="78"/>
        <v>6</v>
      </c>
      <c r="L1662" s="188">
        <v>9825</v>
      </c>
      <c r="M1662" s="188">
        <v>0</v>
      </c>
      <c r="N1662" s="189">
        <v>1020842223</v>
      </c>
      <c r="O1662" t="s">
        <v>2886</v>
      </c>
      <c r="P1662" s="187">
        <v>45112</v>
      </c>
      <c r="Q1662" s="186">
        <v>12351</v>
      </c>
      <c r="R1662" s="185"/>
      <c r="S1662" s="185" t="s">
        <v>1532</v>
      </c>
      <c r="T1662"/>
      <c r="U1662" t="str">
        <f>IF($L1662&gt;0,VLOOKUP($E1662,Valida!$A$1:$G$270,6,FALSE),IF($M1662&gt;=0,VLOOKUP($E1662,Valida!$A$1:$G$270,7,FALSE)))</f>
        <v>(+/-) Ganancia (pérdida)</v>
      </c>
      <c r="V1662" s="190" t="str">
        <f>VLOOKUP(E1662,Valida!$A$2:$K$271,4,FALSE)</f>
        <v>P&amp;L</v>
      </c>
      <c r="W1662" s="185" t="s">
        <v>1900</v>
      </c>
      <c r="X1662" s="185"/>
      <c r="Y1662" s="185" t="s">
        <v>1789</v>
      </c>
      <c r="Z1662"/>
    </row>
    <row r="1663" spans="1:26">
      <c r="A1663" s="185" t="s">
        <v>2879</v>
      </c>
      <c r="B1663" s="185" t="s">
        <v>2886</v>
      </c>
      <c r="C1663" s="185" t="s">
        <v>1897</v>
      </c>
      <c r="D1663" s="185" t="s">
        <v>2887</v>
      </c>
      <c r="E1663" s="185">
        <v>510533</v>
      </c>
      <c r="F1663" s="185" t="s">
        <v>779</v>
      </c>
      <c r="G1663" s="185" t="s">
        <v>2892</v>
      </c>
      <c r="H1663" s="185" t="s">
        <v>1515</v>
      </c>
      <c r="I1663" s="258" t="str">
        <f t="shared" si="76"/>
        <v>5</v>
      </c>
      <c r="J1663" s="221">
        <f t="shared" si="77"/>
        <v>4811</v>
      </c>
      <c r="K1663" s="258">
        <f t="shared" si="78"/>
        <v>6</v>
      </c>
      <c r="L1663" s="188">
        <v>4811</v>
      </c>
      <c r="M1663" s="188">
        <v>0</v>
      </c>
      <c r="N1663" s="189">
        <v>1100623759</v>
      </c>
      <c r="O1663" t="s">
        <v>2886</v>
      </c>
      <c r="P1663" s="187">
        <v>45112</v>
      </c>
      <c r="Q1663" s="186">
        <v>12352</v>
      </c>
      <c r="R1663" s="185"/>
      <c r="S1663" s="185" t="s">
        <v>1536</v>
      </c>
      <c r="T1663"/>
      <c r="U1663" t="str">
        <f>IF($L1663&gt;0,VLOOKUP($E1663,Valida!$A$1:$G$270,6,FALSE),IF($M1663&gt;=0,VLOOKUP($E1663,Valida!$A$1:$G$270,7,FALSE)))</f>
        <v>(+/-) Ganancia (pérdida)</v>
      </c>
      <c r="V1663" s="190" t="str">
        <f>VLOOKUP(E1663,Valida!$A$2:$K$271,4,FALSE)</f>
        <v>P&amp;L</v>
      </c>
      <c r="W1663" s="185" t="s">
        <v>2730</v>
      </c>
      <c r="X1663" s="185"/>
      <c r="Y1663" s="185" t="s">
        <v>1789</v>
      </c>
      <c r="Z1663"/>
    </row>
    <row r="1664" spans="1:26">
      <c r="A1664" s="185" t="s">
        <v>2879</v>
      </c>
      <c r="B1664" s="185" t="s">
        <v>2886</v>
      </c>
      <c r="C1664" s="185" t="s">
        <v>1897</v>
      </c>
      <c r="D1664" s="185" t="s">
        <v>2887</v>
      </c>
      <c r="E1664" s="185">
        <v>510533</v>
      </c>
      <c r="F1664" s="185" t="s">
        <v>779</v>
      </c>
      <c r="G1664" s="185" t="s">
        <v>2892</v>
      </c>
      <c r="H1664" s="185" t="s">
        <v>1515</v>
      </c>
      <c r="I1664" s="258" t="str">
        <f t="shared" si="76"/>
        <v>5</v>
      </c>
      <c r="J1664" s="221">
        <f t="shared" si="77"/>
        <v>11922</v>
      </c>
      <c r="K1664" s="258">
        <f t="shared" si="78"/>
        <v>6</v>
      </c>
      <c r="L1664" s="188">
        <v>11922</v>
      </c>
      <c r="M1664" s="188">
        <v>0</v>
      </c>
      <c r="N1664" s="189">
        <v>1130744136</v>
      </c>
      <c r="O1664" t="s">
        <v>2886</v>
      </c>
      <c r="P1664" s="187">
        <v>45112</v>
      </c>
      <c r="Q1664" s="186">
        <v>12353</v>
      </c>
      <c r="R1664" s="185"/>
      <c r="S1664" s="185" t="s">
        <v>1538</v>
      </c>
      <c r="T1664"/>
      <c r="U1664" t="str">
        <f>IF($L1664&gt;0,VLOOKUP($E1664,Valida!$A$1:$G$270,6,FALSE),IF($M1664&gt;=0,VLOOKUP($E1664,Valida!$A$1:$G$270,7,FALSE)))</f>
        <v>(+/-) Ganancia (pérdida)</v>
      </c>
      <c r="V1664" s="190" t="str">
        <f>VLOOKUP(E1664,Valida!$A$2:$K$271,4,FALSE)</f>
        <v>P&amp;L</v>
      </c>
      <c r="W1664" s="185" t="s">
        <v>1909</v>
      </c>
      <c r="X1664" s="185" t="s">
        <v>1910</v>
      </c>
      <c r="Y1664" s="185" t="s">
        <v>1789</v>
      </c>
      <c r="Z1664"/>
    </row>
    <row r="1665" spans="1:26">
      <c r="A1665" s="185" t="s">
        <v>2879</v>
      </c>
      <c r="B1665" s="185" t="s">
        <v>2886</v>
      </c>
      <c r="C1665" s="185" t="s">
        <v>1897</v>
      </c>
      <c r="D1665" s="185" t="s">
        <v>2887</v>
      </c>
      <c r="E1665" s="185">
        <v>510536</v>
      </c>
      <c r="F1665" s="185" t="s">
        <v>783</v>
      </c>
      <c r="G1665" s="185" t="s">
        <v>2893</v>
      </c>
      <c r="H1665" s="185" t="s">
        <v>1515</v>
      </c>
      <c r="I1665" s="258" t="str">
        <f t="shared" si="76"/>
        <v>5</v>
      </c>
      <c r="J1665" s="221">
        <f t="shared" si="77"/>
        <v>118050</v>
      </c>
      <c r="K1665" s="258">
        <f t="shared" si="78"/>
        <v>6</v>
      </c>
      <c r="L1665" s="188">
        <v>118050</v>
      </c>
      <c r="M1665" s="188">
        <v>0</v>
      </c>
      <c r="N1665" s="189">
        <v>1000018061</v>
      </c>
      <c r="O1665" t="s">
        <v>2886</v>
      </c>
      <c r="P1665" s="187">
        <v>45112</v>
      </c>
      <c r="Q1665" s="186">
        <v>12354</v>
      </c>
      <c r="R1665" s="185"/>
      <c r="S1665" s="185" t="s">
        <v>1522</v>
      </c>
      <c r="T1665"/>
      <c r="U1665" t="str">
        <f>IF($L1665&gt;0,VLOOKUP($E1665,Valida!$A$1:$G$270,6,FALSE),IF($M1665&gt;=0,VLOOKUP($E1665,Valida!$A$1:$G$270,7,FALSE)))</f>
        <v>(+/-) Ganancia (pérdida)</v>
      </c>
      <c r="V1665" s="190" t="str">
        <f>VLOOKUP(E1665,Valida!$A$2:$K$271,4,FALSE)</f>
        <v>P&amp;L</v>
      </c>
      <c r="W1665" s="185" t="s">
        <v>1978</v>
      </c>
      <c r="X1665" s="185"/>
      <c r="Y1665" s="185" t="s">
        <v>1789</v>
      </c>
      <c r="Z1665"/>
    </row>
    <row r="1666" spans="1:26">
      <c r="A1666" s="185" t="s">
        <v>2879</v>
      </c>
      <c r="B1666" s="185" t="s">
        <v>2886</v>
      </c>
      <c r="C1666" s="185" t="s">
        <v>1897</v>
      </c>
      <c r="D1666" s="185" t="s">
        <v>2887</v>
      </c>
      <c r="E1666" s="185">
        <v>510536</v>
      </c>
      <c r="F1666" s="185" t="s">
        <v>783</v>
      </c>
      <c r="G1666" s="185" t="s">
        <v>2893</v>
      </c>
      <c r="H1666" s="185" t="s">
        <v>1515</v>
      </c>
      <c r="I1666" s="258" t="str">
        <f t="shared" si="76"/>
        <v>5</v>
      </c>
      <c r="J1666" s="221">
        <f t="shared" si="77"/>
        <v>198013</v>
      </c>
      <c r="K1666" s="258">
        <f t="shared" si="78"/>
        <v>6</v>
      </c>
      <c r="L1666" s="188">
        <v>198013</v>
      </c>
      <c r="M1666" s="188">
        <v>0</v>
      </c>
      <c r="N1666" s="189">
        <v>1000036375</v>
      </c>
      <c r="O1666" t="s">
        <v>2886</v>
      </c>
      <c r="P1666" s="187">
        <v>45112</v>
      </c>
      <c r="Q1666" s="186">
        <v>12355</v>
      </c>
      <c r="R1666" s="185"/>
      <c r="S1666" s="185" t="s">
        <v>1524</v>
      </c>
      <c r="T1666"/>
      <c r="U1666" t="str">
        <f>IF($L1666&gt;0,VLOOKUP($E1666,Valida!$A$1:$G$270,6,FALSE),IF($M1666&gt;=0,VLOOKUP($E1666,Valida!$A$1:$G$270,7,FALSE)))</f>
        <v>(+/-) Ganancia (pérdida)</v>
      </c>
      <c r="V1666" s="190" t="str">
        <f>VLOOKUP(E1666,Valida!$A$2:$K$271,4,FALSE)</f>
        <v>P&amp;L</v>
      </c>
      <c r="W1666" s="185" t="s">
        <v>1983</v>
      </c>
      <c r="X1666" s="185"/>
      <c r="Y1666" s="185" t="s">
        <v>1789</v>
      </c>
      <c r="Z1666"/>
    </row>
    <row r="1667" spans="1:26">
      <c r="A1667" s="185" t="s">
        <v>2879</v>
      </c>
      <c r="B1667" s="185" t="s">
        <v>2886</v>
      </c>
      <c r="C1667" s="185" t="s">
        <v>1897</v>
      </c>
      <c r="D1667" s="185" t="s">
        <v>2887</v>
      </c>
      <c r="E1667" s="185">
        <v>510536</v>
      </c>
      <c r="F1667" s="185" t="s">
        <v>783</v>
      </c>
      <c r="G1667" s="185" t="s">
        <v>2893</v>
      </c>
      <c r="H1667" s="185" t="s">
        <v>1515</v>
      </c>
      <c r="I1667" s="258" t="str">
        <f t="shared" ref="I1667:I1730" si="79">LEFT(E1667,1)</f>
        <v>5</v>
      </c>
      <c r="J1667" s="221">
        <f t="shared" ref="J1667:J1730" si="80">L1667-M1667</f>
        <v>136717</v>
      </c>
      <c r="K1667" s="258">
        <f t="shared" ref="K1667:K1730" si="81">MONTH(A1667)</f>
        <v>6</v>
      </c>
      <c r="L1667" s="188">
        <v>136717</v>
      </c>
      <c r="M1667" s="188">
        <v>0</v>
      </c>
      <c r="N1667" s="189">
        <v>1010101811</v>
      </c>
      <c r="O1667" t="s">
        <v>2886</v>
      </c>
      <c r="P1667" s="187">
        <v>45112</v>
      </c>
      <c r="Q1667" s="186">
        <v>12356</v>
      </c>
      <c r="R1667" s="185"/>
      <c r="S1667" s="185" t="s">
        <v>1528</v>
      </c>
      <c r="T1667"/>
      <c r="U1667" t="str">
        <f>IF($L1667&gt;0,VLOOKUP($E1667,Valida!$A$1:$G$270,6,FALSE),IF($M1667&gt;=0,VLOOKUP($E1667,Valida!$A$1:$G$270,7,FALSE)))</f>
        <v>(+/-) Ganancia (pérdida)</v>
      </c>
      <c r="V1667" s="190" t="str">
        <f>VLOOKUP(E1667,Valida!$A$2:$K$271,4,FALSE)</f>
        <v>P&amp;L</v>
      </c>
      <c r="W1667" s="185" t="s">
        <v>1967</v>
      </c>
      <c r="X1667" s="185"/>
      <c r="Y1667" s="185" t="s">
        <v>1789</v>
      </c>
      <c r="Z1667"/>
    </row>
    <row r="1668" spans="1:26">
      <c r="A1668" s="185" t="s">
        <v>2879</v>
      </c>
      <c r="B1668" s="185" t="s">
        <v>2886</v>
      </c>
      <c r="C1668" s="185" t="s">
        <v>1897</v>
      </c>
      <c r="D1668" s="185" t="s">
        <v>2887</v>
      </c>
      <c r="E1668" s="185">
        <v>510536</v>
      </c>
      <c r="F1668" s="185" t="s">
        <v>783</v>
      </c>
      <c r="G1668" s="185" t="s">
        <v>2893</v>
      </c>
      <c r="H1668" s="185" t="s">
        <v>1515</v>
      </c>
      <c r="I1668" s="258" t="str">
        <f t="shared" si="79"/>
        <v>5</v>
      </c>
      <c r="J1668" s="221">
        <f t="shared" si="80"/>
        <v>106181</v>
      </c>
      <c r="K1668" s="258">
        <f t="shared" si="81"/>
        <v>6</v>
      </c>
      <c r="L1668" s="188">
        <v>106181</v>
      </c>
      <c r="M1668" s="188">
        <v>0</v>
      </c>
      <c r="N1668" s="189">
        <v>1020842223</v>
      </c>
      <c r="O1668" t="s">
        <v>2886</v>
      </c>
      <c r="P1668" s="187">
        <v>45112</v>
      </c>
      <c r="Q1668" s="186">
        <v>12357</v>
      </c>
      <c r="R1668" s="185"/>
      <c r="S1668" s="185" t="s">
        <v>1532</v>
      </c>
      <c r="T1668"/>
      <c r="U1668" t="str">
        <f>IF($L1668&gt;0,VLOOKUP($E1668,Valida!$A$1:$G$270,6,FALSE),IF($M1668&gt;=0,VLOOKUP($E1668,Valida!$A$1:$G$270,7,FALSE)))</f>
        <v>(+/-) Ganancia (pérdida)</v>
      </c>
      <c r="V1668" s="190" t="str">
        <f>VLOOKUP(E1668,Valida!$A$2:$K$271,4,FALSE)</f>
        <v>P&amp;L</v>
      </c>
      <c r="W1668" s="185" t="s">
        <v>1900</v>
      </c>
      <c r="X1668" s="185"/>
      <c r="Y1668" s="185" t="s">
        <v>1789</v>
      </c>
      <c r="Z1668"/>
    </row>
    <row r="1669" spans="1:26">
      <c r="A1669" s="185" t="s">
        <v>2879</v>
      </c>
      <c r="B1669" s="185" t="s">
        <v>2886</v>
      </c>
      <c r="C1669" s="185" t="s">
        <v>1897</v>
      </c>
      <c r="D1669" s="185" t="s">
        <v>2887</v>
      </c>
      <c r="E1669" s="185">
        <v>510536</v>
      </c>
      <c r="F1669" s="185" t="s">
        <v>783</v>
      </c>
      <c r="G1669" s="185" t="s">
        <v>2893</v>
      </c>
      <c r="H1669" s="185" t="s">
        <v>1515</v>
      </c>
      <c r="I1669" s="258" t="str">
        <f t="shared" si="79"/>
        <v>5</v>
      </c>
      <c r="J1669" s="221">
        <f t="shared" si="80"/>
        <v>195051</v>
      </c>
      <c r="K1669" s="258">
        <f t="shared" si="81"/>
        <v>6</v>
      </c>
      <c r="L1669" s="188">
        <v>195051</v>
      </c>
      <c r="M1669" s="188">
        <v>0</v>
      </c>
      <c r="N1669" s="189">
        <v>1100623759</v>
      </c>
      <c r="O1669" t="s">
        <v>2886</v>
      </c>
      <c r="P1669" s="187">
        <v>45112</v>
      </c>
      <c r="Q1669" s="186">
        <v>12358</v>
      </c>
      <c r="R1669" s="185"/>
      <c r="S1669" s="185" t="s">
        <v>1536</v>
      </c>
      <c r="T1669"/>
      <c r="U1669" t="str">
        <f>IF($L1669&gt;0,VLOOKUP($E1669,Valida!$A$1:$G$270,6,FALSE),IF($M1669&gt;=0,VLOOKUP($E1669,Valida!$A$1:$G$270,7,FALSE)))</f>
        <v>(+/-) Ganancia (pérdida)</v>
      </c>
      <c r="V1669" s="190" t="str">
        <f>VLOOKUP(E1669,Valida!$A$2:$K$271,4,FALSE)</f>
        <v>P&amp;L</v>
      </c>
      <c r="W1669" s="185" t="s">
        <v>2730</v>
      </c>
      <c r="X1669" s="185"/>
      <c r="Y1669" s="185" t="s">
        <v>1789</v>
      </c>
      <c r="Z1669"/>
    </row>
    <row r="1670" spans="1:26">
      <c r="A1670" s="185" t="s">
        <v>2879</v>
      </c>
      <c r="B1670" s="185" t="s">
        <v>2886</v>
      </c>
      <c r="C1670" s="185" t="s">
        <v>1897</v>
      </c>
      <c r="D1670" s="185" t="s">
        <v>2887</v>
      </c>
      <c r="E1670" s="185">
        <v>510536</v>
      </c>
      <c r="F1670" s="185" t="s">
        <v>783</v>
      </c>
      <c r="G1670" s="185" t="s">
        <v>2893</v>
      </c>
      <c r="H1670" s="185" t="s">
        <v>1515</v>
      </c>
      <c r="I1670" s="258" t="str">
        <f t="shared" si="79"/>
        <v>5</v>
      </c>
      <c r="J1670" s="221">
        <f t="shared" si="80"/>
        <v>108384</v>
      </c>
      <c r="K1670" s="258">
        <f t="shared" si="81"/>
        <v>6</v>
      </c>
      <c r="L1670" s="188">
        <v>108384</v>
      </c>
      <c r="M1670" s="188">
        <v>0</v>
      </c>
      <c r="N1670" s="189">
        <v>1130744136</v>
      </c>
      <c r="O1670" t="s">
        <v>2886</v>
      </c>
      <c r="P1670" s="187">
        <v>45112</v>
      </c>
      <c r="Q1670" s="186">
        <v>12359</v>
      </c>
      <c r="R1670" s="185"/>
      <c r="S1670" s="185" t="s">
        <v>1538</v>
      </c>
      <c r="T1670"/>
      <c r="U1670" t="str">
        <f>IF($L1670&gt;0,VLOOKUP($E1670,Valida!$A$1:$G$270,6,FALSE),IF($M1670&gt;=0,VLOOKUP($E1670,Valida!$A$1:$G$270,7,FALSE)))</f>
        <v>(+/-) Ganancia (pérdida)</v>
      </c>
      <c r="V1670" s="190" t="str">
        <f>VLOOKUP(E1670,Valida!$A$2:$K$271,4,FALSE)</f>
        <v>P&amp;L</v>
      </c>
      <c r="W1670" s="185" t="s">
        <v>1909</v>
      </c>
      <c r="X1670" s="185" t="s">
        <v>1910</v>
      </c>
      <c r="Y1670" s="185" t="s">
        <v>1789</v>
      </c>
      <c r="Z1670"/>
    </row>
    <row r="1671" spans="1:26">
      <c r="A1671" s="185" t="s">
        <v>2879</v>
      </c>
      <c r="B1671" s="185" t="s">
        <v>2886</v>
      </c>
      <c r="C1671" s="185" t="s">
        <v>1897</v>
      </c>
      <c r="D1671" s="185" t="s">
        <v>2887</v>
      </c>
      <c r="E1671" s="185">
        <v>510539</v>
      </c>
      <c r="F1671" s="185" t="s">
        <v>818</v>
      </c>
      <c r="G1671" s="185" t="s">
        <v>2894</v>
      </c>
      <c r="H1671" s="185" t="s">
        <v>1515</v>
      </c>
      <c r="I1671" s="258" t="str">
        <f t="shared" si="79"/>
        <v>5</v>
      </c>
      <c r="J1671" s="221">
        <f t="shared" si="80"/>
        <v>53166</v>
      </c>
      <c r="K1671" s="258">
        <f t="shared" si="81"/>
        <v>6</v>
      </c>
      <c r="L1671" s="188">
        <v>53166</v>
      </c>
      <c r="M1671" s="188">
        <v>0</v>
      </c>
      <c r="N1671" s="189">
        <v>1000018061</v>
      </c>
      <c r="O1671" t="s">
        <v>2886</v>
      </c>
      <c r="P1671" s="187">
        <v>45112</v>
      </c>
      <c r="Q1671" s="186">
        <v>12360</v>
      </c>
      <c r="R1671" s="185"/>
      <c r="S1671" s="185" t="s">
        <v>1522</v>
      </c>
      <c r="T1671"/>
      <c r="U1671" t="str">
        <f>IF($L1671&gt;0,VLOOKUP($E1671,Valida!$A$1:$G$270,6,FALSE),IF($M1671&gt;=0,VLOOKUP($E1671,Valida!$A$1:$G$270,7,FALSE)))</f>
        <v>(+/-) Ganancia (pérdida)</v>
      </c>
      <c r="V1671" s="190" t="str">
        <f>VLOOKUP(E1671,Valida!$A$2:$K$271,4,FALSE)</f>
        <v>P&amp;L</v>
      </c>
      <c r="W1671" s="185" t="s">
        <v>1978</v>
      </c>
      <c r="X1671" s="185"/>
      <c r="Y1671" s="185" t="s">
        <v>1789</v>
      </c>
      <c r="Z1671"/>
    </row>
    <row r="1672" spans="1:26">
      <c r="A1672" s="185" t="s">
        <v>2879</v>
      </c>
      <c r="B1672" s="185" t="s">
        <v>2886</v>
      </c>
      <c r="C1672" s="185" t="s">
        <v>1897</v>
      </c>
      <c r="D1672" s="185" t="s">
        <v>2887</v>
      </c>
      <c r="E1672" s="185">
        <v>510539</v>
      </c>
      <c r="F1672" s="185" t="s">
        <v>818</v>
      </c>
      <c r="G1672" s="185" t="s">
        <v>2894</v>
      </c>
      <c r="H1672" s="185" t="s">
        <v>1515</v>
      </c>
      <c r="I1672" s="258" t="str">
        <f t="shared" si="79"/>
        <v>5</v>
      </c>
      <c r="J1672" s="221">
        <f t="shared" si="80"/>
        <v>93148</v>
      </c>
      <c r="K1672" s="258">
        <f t="shared" si="81"/>
        <v>6</v>
      </c>
      <c r="L1672" s="188">
        <v>93148</v>
      </c>
      <c r="M1672" s="188">
        <v>0</v>
      </c>
      <c r="N1672" s="189">
        <v>1000036375</v>
      </c>
      <c r="O1672" t="s">
        <v>2886</v>
      </c>
      <c r="P1672" s="187">
        <v>45112</v>
      </c>
      <c r="Q1672" s="186">
        <v>12361</v>
      </c>
      <c r="R1672" s="185"/>
      <c r="S1672" s="185" t="s">
        <v>1524</v>
      </c>
      <c r="T1672"/>
      <c r="U1672" t="str">
        <f>IF($L1672&gt;0,VLOOKUP($E1672,Valida!$A$1:$G$270,6,FALSE),IF($M1672&gt;=0,VLOOKUP($E1672,Valida!$A$1:$G$270,7,FALSE)))</f>
        <v>(+/-) Ganancia (pérdida)</v>
      </c>
      <c r="V1672" s="190" t="str">
        <f>VLOOKUP(E1672,Valida!$A$2:$K$271,4,FALSE)</f>
        <v>P&amp;L</v>
      </c>
      <c r="W1672" s="185" t="s">
        <v>1983</v>
      </c>
      <c r="X1672" s="185"/>
      <c r="Y1672" s="185" t="s">
        <v>1789</v>
      </c>
      <c r="Z1672"/>
    </row>
    <row r="1673" spans="1:26">
      <c r="A1673" s="185" t="s">
        <v>2879</v>
      </c>
      <c r="B1673" s="185" t="s">
        <v>2886</v>
      </c>
      <c r="C1673" s="185" t="s">
        <v>1897</v>
      </c>
      <c r="D1673" s="185" t="s">
        <v>2887</v>
      </c>
      <c r="E1673" s="185">
        <v>510539</v>
      </c>
      <c r="F1673" s="185" t="s">
        <v>818</v>
      </c>
      <c r="G1673" s="185" t="s">
        <v>2894</v>
      </c>
      <c r="H1673" s="185" t="s">
        <v>1515</v>
      </c>
      <c r="I1673" s="258" t="str">
        <f t="shared" si="79"/>
        <v>5</v>
      </c>
      <c r="J1673" s="221">
        <f t="shared" si="80"/>
        <v>62501</v>
      </c>
      <c r="K1673" s="258">
        <f t="shared" si="81"/>
        <v>6</v>
      </c>
      <c r="L1673" s="188">
        <v>62501</v>
      </c>
      <c r="M1673" s="188">
        <v>0</v>
      </c>
      <c r="N1673" s="189">
        <v>1010101811</v>
      </c>
      <c r="O1673" t="s">
        <v>2886</v>
      </c>
      <c r="P1673" s="187">
        <v>45112</v>
      </c>
      <c r="Q1673" s="186">
        <v>12362</v>
      </c>
      <c r="R1673" s="185"/>
      <c r="S1673" s="185" t="s">
        <v>1528</v>
      </c>
      <c r="T1673"/>
      <c r="U1673" t="str">
        <f>IF($L1673&gt;0,VLOOKUP($E1673,Valida!$A$1:$G$270,6,FALSE),IF($M1673&gt;=0,VLOOKUP($E1673,Valida!$A$1:$G$270,7,FALSE)))</f>
        <v>(+/-) Ganancia (pérdida)</v>
      </c>
      <c r="V1673" s="190" t="str">
        <f>VLOOKUP(E1673,Valida!$A$2:$K$271,4,FALSE)</f>
        <v>P&amp;L</v>
      </c>
      <c r="W1673" s="185" t="s">
        <v>1967</v>
      </c>
      <c r="X1673" s="185"/>
      <c r="Y1673" s="185" t="s">
        <v>1789</v>
      </c>
      <c r="Z1673"/>
    </row>
    <row r="1674" spans="1:26">
      <c r="A1674" s="185" t="s">
        <v>2879</v>
      </c>
      <c r="B1674" s="185" t="s">
        <v>2886</v>
      </c>
      <c r="C1674" s="185" t="s">
        <v>1897</v>
      </c>
      <c r="D1674" s="185" t="s">
        <v>2887</v>
      </c>
      <c r="E1674" s="185">
        <v>510539</v>
      </c>
      <c r="F1674" s="185" t="s">
        <v>818</v>
      </c>
      <c r="G1674" s="185" t="s">
        <v>2894</v>
      </c>
      <c r="H1674" s="185" t="s">
        <v>1515</v>
      </c>
      <c r="I1674" s="258" t="str">
        <f t="shared" si="79"/>
        <v>5</v>
      </c>
      <c r="J1674" s="221">
        <f t="shared" si="80"/>
        <v>53048</v>
      </c>
      <c r="K1674" s="258">
        <f t="shared" si="81"/>
        <v>6</v>
      </c>
      <c r="L1674" s="188">
        <v>53048</v>
      </c>
      <c r="M1674" s="188">
        <v>0</v>
      </c>
      <c r="N1674" s="189">
        <v>1020842223</v>
      </c>
      <c r="O1674" t="s">
        <v>2886</v>
      </c>
      <c r="P1674" s="187">
        <v>45112</v>
      </c>
      <c r="Q1674" s="186">
        <v>12363</v>
      </c>
      <c r="R1674" s="185"/>
      <c r="S1674" s="185" t="s">
        <v>1532</v>
      </c>
      <c r="T1674"/>
      <c r="U1674" t="str">
        <f>IF($L1674&gt;0,VLOOKUP($E1674,Valida!$A$1:$G$270,6,FALSE),IF($M1674&gt;=0,VLOOKUP($E1674,Valida!$A$1:$G$270,7,FALSE)))</f>
        <v>(+/-) Ganancia (pérdida)</v>
      </c>
      <c r="V1674" s="190" t="str">
        <f>VLOOKUP(E1674,Valida!$A$2:$K$271,4,FALSE)</f>
        <v>P&amp;L</v>
      </c>
      <c r="W1674" s="185" t="s">
        <v>1900</v>
      </c>
      <c r="X1674" s="185"/>
      <c r="Y1674" s="185" t="s">
        <v>1789</v>
      </c>
      <c r="Z1674"/>
    </row>
    <row r="1675" spans="1:26">
      <c r="A1675" s="185" t="s">
        <v>2879</v>
      </c>
      <c r="B1675" s="185" t="s">
        <v>2886</v>
      </c>
      <c r="C1675" s="185" t="s">
        <v>1897</v>
      </c>
      <c r="D1675" s="185" t="s">
        <v>2887</v>
      </c>
      <c r="E1675" s="185">
        <v>510539</v>
      </c>
      <c r="F1675" s="185" t="s">
        <v>818</v>
      </c>
      <c r="G1675" s="185" t="s">
        <v>2894</v>
      </c>
      <c r="H1675" s="185" t="s">
        <v>1515</v>
      </c>
      <c r="I1675" s="258" t="str">
        <f t="shared" si="79"/>
        <v>5</v>
      </c>
      <c r="J1675" s="221">
        <f t="shared" si="80"/>
        <v>91667</v>
      </c>
      <c r="K1675" s="258">
        <f t="shared" si="81"/>
        <v>6</v>
      </c>
      <c r="L1675" s="188">
        <v>91667</v>
      </c>
      <c r="M1675" s="188">
        <v>0</v>
      </c>
      <c r="N1675" s="189">
        <v>1100623759</v>
      </c>
      <c r="O1675" t="s">
        <v>2886</v>
      </c>
      <c r="P1675" s="187">
        <v>45112</v>
      </c>
      <c r="Q1675" s="186">
        <v>12364</v>
      </c>
      <c r="R1675" s="185"/>
      <c r="S1675" s="185" t="s">
        <v>1536</v>
      </c>
      <c r="T1675"/>
      <c r="U1675" t="str">
        <f>IF($L1675&gt;0,VLOOKUP($E1675,Valida!$A$1:$G$270,6,FALSE),IF($M1675&gt;=0,VLOOKUP($E1675,Valida!$A$1:$G$270,7,FALSE)))</f>
        <v>(+/-) Ganancia (pérdida)</v>
      </c>
      <c r="V1675" s="190" t="str">
        <f>VLOOKUP(E1675,Valida!$A$2:$K$271,4,FALSE)</f>
        <v>P&amp;L</v>
      </c>
      <c r="W1675" s="185" t="s">
        <v>2730</v>
      </c>
      <c r="X1675" s="185"/>
      <c r="Y1675" s="185" t="s">
        <v>1789</v>
      </c>
      <c r="Z1675"/>
    </row>
    <row r="1676" spans="1:26">
      <c r="A1676" s="185" t="s">
        <v>2879</v>
      </c>
      <c r="B1676" s="185" t="s">
        <v>2886</v>
      </c>
      <c r="C1676" s="185" t="s">
        <v>1897</v>
      </c>
      <c r="D1676" s="185" t="s">
        <v>2887</v>
      </c>
      <c r="E1676" s="185">
        <v>510539</v>
      </c>
      <c r="F1676" s="185" t="s">
        <v>818</v>
      </c>
      <c r="G1676" s="185" t="s">
        <v>2894</v>
      </c>
      <c r="H1676" s="185" t="s">
        <v>1515</v>
      </c>
      <c r="I1676" s="258" t="str">
        <f t="shared" si="79"/>
        <v>5</v>
      </c>
      <c r="J1676" s="221">
        <f t="shared" si="80"/>
        <v>48334</v>
      </c>
      <c r="K1676" s="258">
        <f t="shared" si="81"/>
        <v>6</v>
      </c>
      <c r="L1676" s="188">
        <v>48334</v>
      </c>
      <c r="M1676" s="188">
        <v>0</v>
      </c>
      <c r="N1676" s="189">
        <v>1130744136</v>
      </c>
      <c r="O1676" t="s">
        <v>2886</v>
      </c>
      <c r="P1676" s="187">
        <v>45112</v>
      </c>
      <c r="Q1676" s="186">
        <v>12365</v>
      </c>
      <c r="R1676" s="185"/>
      <c r="S1676" s="185" t="s">
        <v>1538</v>
      </c>
      <c r="T1676"/>
      <c r="U1676" t="str">
        <f>IF($L1676&gt;0,VLOOKUP($E1676,Valida!$A$1:$G$270,6,FALSE),IF($M1676&gt;=0,VLOOKUP($E1676,Valida!$A$1:$G$270,7,FALSE)))</f>
        <v>(+/-) Ganancia (pérdida)</v>
      </c>
      <c r="V1676" s="190" t="str">
        <f>VLOOKUP(E1676,Valida!$A$2:$K$271,4,FALSE)</f>
        <v>P&amp;L</v>
      </c>
      <c r="W1676" s="185" t="s">
        <v>1909</v>
      </c>
      <c r="X1676" s="185" t="s">
        <v>1910</v>
      </c>
      <c r="Y1676" s="185" t="s">
        <v>1789</v>
      </c>
      <c r="Z1676"/>
    </row>
    <row r="1677" spans="1:26">
      <c r="A1677" s="185" t="s">
        <v>2879</v>
      </c>
      <c r="B1677" s="185" t="s">
        <v>2886</v>
      </c>
      <c r="C1677" s="185" t="s">
        <v>1897</v>
      </c>
      <c r="D1677" s="185" t="s">
        <v>2887</v>
      </c>
      <c r="E1677" s="185">
        <v>510568</v>
      </c>
      <c r="F1677" s="185" t="s">
        <v>680</v>
      </c>
      <c r="G1677" s="185" t="s">
        <v>2888</v>
      </c>
      <c r="H1677" s="185" t="s">
        <v>1515</v>
      </c>
      <c r="I1677" s="258" t="str">
        <f t="shared" si="79"/>
        <v>5</v>
      </c>
      <c r="J1677" s="221">
        <f t="shared" si="80"/>
        <v>6100</v>
      </c>
      <c r="K1677" s="258">
        <f t="shared" si="81"/>
        <v>6</v>
      </c>
      <c r="L1677" s="188">
        <v>6100</v>
      </c>
      <c r="M1677" s="188">
        <v>0</v>
      </c>
      <c r="N1677" s="189">
        <v>860002503</v>
      </c>
      <c r="O1677" t="s">
        <v>2886</v>
      </c>
      <c r="P1677" s="187">
        <v>45112</v>
      </c>
      <c r="Q1677" s="186">
        <v>12366</v>
      </c>
      <c r="R1677" s="185" t="s">
        <v>433</v>
      </c>
      <c r="S1677" s="185" t="s">
        <v>1656</v>
      </c>
      <c r="T1677"/>
      <c r="U1677" t="str">
        <f>IF($L1677&gt;0,VLOOKUP($E1677,Valida!$A$1:$G$270,6,FALSE),IF($M1677&gt;=0,VLOOKUP($E1677,Valida!$A$1:$G$270,7,FALSE)))</f>
        <v>(+/-) Ganancia (pérdida)</v>
      </c>
      <c r="V1677" s="190" t="str">
        <f>VLOOKUP(E1677,Valida!$A$2:$K$271,4,FALSE)</f>
        <v>P&amp;L</v>
      </c>
      <c r="W1677" s="185" t="s">
        <v>1912</v>
      </c>
      <c r="X1677" s="185" t="s">
        <v>1913</v>
      </c>
      <c r="Y1677" s="185" t="s">
        <v>1789</v>
      </c>
      <c r="Z1677"/>
    </row>
    <row r="1678" spans="1:26">
      <c r="A1678" s="185" t="s">
        <v>2879</v>
      </c>
      <c r="B1678" s="185" t="s">
        <v>2895</v>
      </c>
      <c r="C1678" s="185" t="s">
        <v>1897</v>
      </c>
      <c r="D1678" s="185" t="s">
        <v>2896</v>
      </c>
      <c r="E1678" s="185">
        <v>510570</v>
      </c>
      <c r="F1678" s="185" t="s">
        <v>1116</v>
      </c>
      <c r="G1678" s="185" t="s">
        <v>2897</v>
      </c>
      <c r="H1678" s="185" t="s">
        <v>1515</v>
      </c>
      <c r="I1678" s="258" t="str">
        <f t="shared" si="79"/>
        <v>5</v>
      </c>
      <c r="J1678" s="221">
        <f t="shared" si="80"/>
        <v>7073</v>
      </c>
      <c r="K1678" s="258">
        <f t="shared" si="81"/>
        <v>6</v>
      </c>
      <c r="L1678" s="188">
        <v>7073</v>
      </c>
      <c r="M1678" s="188">
        <v>0</v>
      </c>
      <c r="N1678" s="189">
        <v>800251440</v>
      </c>
      <c r="O1678" t="s">
        <v>2895</v>
      </c>
      <c r="P1678" s="187">
        <v>45112.668090277803</v>
      </c>
      <c r="Q1678" s="186">
        <v>12387</v>
      </c>
      <c r="R1678" s="185" t="s">
        <v>1901</v>
      </c>
      <c r="S1678" s="185" t="s">
        <v>1560</v>
      </c>
      <c r="T1678"/>
      <c r="U1678" t="str">
        <f>IF($L1678&gt;0,VLOOKUP($E1678,Valida!$A$1:$G$270,6,FALSE),IF($M1678&gt;=0,VLOOKUP($E1678,Valida!$A$1:$G$270,7,FALSE)))</f>
        <v>(+/-) Ganancia (pérdida)</v>
      </c>
      <c r="V1678" s="190" t="str">
        <f>VLOOKUP(E1678,Valida!$A$2:$K$271,4,FALSE)</f>
        <v>P&amp;L</v>
      </c>
      <c r="W1678" s="185" t="s">
        <v>1902</v>
      </c>
      <c r="X1678" s="185" t="s">
        <v>1903</v>
      </c>
      <c r="Y1678" s="185" t="s">
        <v>1789</v>
      </c>
      <c r="Z1678"/>
    </row>
    <row r="1679" spans="1:26">
      <c r="A1679" s="185" t="s">
        <v>2879</v>
      </c>
      <c r="B1679" s="185" t="s">
        <v>2898</v>
      </c>
      <c r="C1679" s="185" t="s">
        <v>1897</v>
      </c>
      <c r="D1679" s="185" t="s">
        <v>2899</v>
      </c>
      <c r="E1679" s="185">
        <v>510572</v>
      </c>
      <c r="F1679" s="185" t="s">
        <v>1118</v>
      </c>
      <c r="G1679" s="185" t="s">
        <v>2897</v>
      </c>
      <c r="H1679" s="185" t="s">
        <v>1515</v>
      </c>
      <c r="I1679" s="258" t="str">
        <f t="shared" si="79"/>
        <v>5</v>
      </c>
      <c r="J1679" s="221">
        <f t="shared" si="80"/>
        <v>3500</v>
      </c>
      <c r="K1679" s="258">
        <f t="shared" si="81"/>
        <v>6</v>
      </c>
      <c r="L1679" s="188">
        <v>3500</v>
      </c>
      <c r="M1679" s="188">
        <v>0</v>
      </c>
      <c r="N1679" s="189">
        <v>860066942</v>
      </c>
      <c r="O1679" t="s">
        <v>2898</v>
      </c>
      <c r="P1679" s="187">
        <v>45112.680960648097</v>
      </c>
      <c r="Q1679" s="186">
        <v>12389</v>
      </c>
      <c r="R1679" s="185" t="s">
        <v>1814</v>
      </c>
      <c r="S1679" s="185" t="s">
        <v>1574</v>
      </c>
      <c r="T1679"/>
      <c r="U1679" t="str">
        <f>IF($L1679&gt;0,VLOOKUP($E1679,Valida!$A$1:$G$270,6,FALSE),IF($M1679&gt;=0,VLOOKUP($E1679,Valida!$A$1:$G$270,7,FALSE)))</f>
        <v>(+/-) Ganancia (pérdida)</v>
      </c>
      <c r="V1679" s="190" t="str">
        <f>VLOOKUP(E1679,Valida!$A$2:$K$271,4,FALSE)</f>
        <v>P&amp;L</v>
      </c>
      <c r="W1679" s="185" t="s">
        <v>1914</v>
      </c>
      <c r="X1679" s="185" t="s">
        <v>1915</v>
      </c>
      <c r="Y1679" s="185" t="s">
        <v>1789</v>
      </c>
      <c r="Z1679"/>
    </row>
    <row r="1680" spans="1:26">
      <c r="A1680" s="185" t="s">
        <v>2879</v>
      </c>
      <c r="B1680" s="185" t="s">
        <v>2898</v>
      </c>
      <c r="C1680" s="185" t="s">
        <v>1897</v>
      </c>
      <c r="D1680" s="185" t="s">
        <v>2899</v>
      </c>
      <c r="E1680" s="185">
        <v>237010</v>
      </c>
      <c r="F1680" s="185" t="s">
        <v>683</v>
      </c>
      <c r="G1680" s="185" t="s">
        <v>2897</v>
      </c>
      <c r="H1680" s="185" t="s">
        <v>1628</v>
      </c>
      <c r="I1680" s="258" t="str">
        <f t="shared" si="79"/>
        <v>2</v>
      </c>
      <c r="J1680" s="221">
        <f t="shared" si="80"/>
        <v>-3500</v>
      </c>
      <c r="K1680" s="258">
        <f t="shared" si="81"/>
        <v>6</v>
      </c>
      <c r="L1680" s="188">
        <v>0</v>
      </c>
      <c r="M1680" s="188">
        <v>3500</v>
      </c>
      <c r="N1680" s="189">
        <v>860066942</v>
      </c>
      <c r="O1680" t="s">
        <v>2898</v>
      </c>
      <c r="P1680" s="187">
        <v>45112.680960648097</v>
      </c>
      <c r="Q1680" s="186">
        <v>12390</v>
      </c>
      <c r="R1680" s="185" t="s">
        <v>1814</v>
      </c>
      <c r="S1680" s="185" t="s">
        <v>1574</v>
      </c>
      <c r="T1680"/>
      <c r="U1680" t="str">
        <f>IF($L1680&gt;0,VLOOKUP($E1680,Valida!$A$1:$G$270,6,FALSE),IF($M1680&gt;=0,VLOOKUP($E1680,Valida!$A$1:$G$270,7,FALSE)))</f>
        <v>(+/-) Ajustes por el incremento (disminución) de cuentas por pagar de origen comercial</v>
      </c>
      <c r="V1680" s="190" t="str">
        <f>VLOOKUP(E1680,Valida!$A$2:$K$271,4,FALSE)</f>
        <v>Trade and other payables</v>
      </c>
      <c r="W1680" s="185" t="s">
        <v>1914</v>
      </c>
      <c r="X1680" s="185" t="s">
        <v>1915</v>
      </c>
      <c r="Y1680" s="185" t="s">
        <v>1789</v>
      </c>
      <c r="Z1680"/>
    </row>
    <row r="1681" spans="1:26">
      <c r="A1681" s="185" t="s">
        <v>2879</v>
      </c>
      <c r="B1681" s="185" t="s">
        <v>2900</v>
      </c>
      <c r="C1681" s="185" t="s">
        <v>1785</v>
      </c>
      <c r="D1681" s="185" t="s">
        <v>2178</v>
      </c>
      <c r="E1681" s="185">
        <v>237095</v>
      </c>
      <c r="F1681" s="185" t="s">
        <v>150</v>
      </c>
      <c r="G1681" s="185" t="s">
        <v>2207</v>
      </c>
      <c r="H1681" s="185" t="s">
        <v>1628</v>
      </c>
      <c r="I1681" s="258" t="str">
        <f t="shared" si="79"/>
        <v>2</v>
      </c>
      <c r="J1681" s="221">
        <f t="shared" si="80"/>
        <v>-393000</v>
      </c>
      <c r="K1681" s="258">
        <f t="shared" si="81"/>
        <v>6</v>
      </c>
      <c r="L1681" s="188">
        <v>0</v>
      </c>
      <c r="M1681" s="188">
        <v>393000</v>
      </c>
      <c r="N1681" s="189">
        <v>860066942</v>
      </c>
      <c r="O1681" t="s">
        <v>2900</v>
      </c>
      <c r="P1681" s="187">
        <v>45112.689351851899</v>
      </c>
      <c r="Q1681" s="186">
        <v>12391</v>
      </c>
      <c r="R1681" s="185" t="s">
        <v>1814</v>
      </c>
      <c r="S1681" s="185" t="s">
        <v>1574</v>
      </c>
      <c r="T1681"/>
      <c r="U1681" t="str">
        <f>IF($L1681&gt;0,VLOOKUP($E1681,Valida!$A$1:$G$270,6,FALSE),IF($M1681&gt;=0,VLOOKUP($E1681,Valida!$A$1:$G$270,7,FALSE)))</f>
        <v>(+/-) Ajustes por el incremento (disminución) de cuentas por pagar de origen comercial</v>
      </c>
      <c r="V1681" s="190" t="str">
        <f>VLOOKUP(E1681,Valida!$A$2:$K$271,4,FALSE)</f>
        <v>Trade and other payables</v>
      </c>
      <c r="W1681" s="185" t="s">
        <v>1914</v>
      </c>
      <c r="X1681" s="185" t="s">
        <v>1915</v>
      </c>
      <c r="Y1681" s="185" t="s">
        <v>1789</v>
      </c>
      <c r="Z1681"/>
    </row>
    <row r="1682" spans="1:26">
      <c r="A1682" s="185" t="s">
        <v>2879</v>
      </c>
      <c r="B1682" s="185" t="s">
        <v>2900</v>
      </c>
      <c r="C1682" s="185" t="s">
        <v>1785</v>
      </c>
      <c r="D1682" s="185" t="s">
        <v>2178</v>
      </c>
      <c r="E1682" s="185">
        <v>237005</v>
      </c>
      <c r="F1682" s="185" t="s">
        <v>676</v>
      </c>
      <c r="G1682" s="185" t="s">
        <v>2207</v>
      </c>
      <c r="H1682" s="185" t="s">
        <v>1515</v>
      </c>
      <c r="I1682" s="258" t="str">
        <f t="shared" si="79"/>
        <v>2</v>
      </c>
      <c r="J1682" s="221">
        <f t="shared" si="80"/>
        <v>192400</v>
      </c>
      <c r="K1682" s="258">
        <f t="shared" si="81"/>
        <v>6</v>
      </c>
      <c r="L1682" s="188">
        <v>192400</v>
      </c>
      <c r="M1682" s="188">
        <v>0</v>
      </c>
      <c r="N1682" s="189">
        <v>800251440</v>
      </c>
      <c r="O1682" t="s">
        <v>2900</v>
      </c>
      <c r="P1682" s="187">
        <v>45112.689351851899</v>
      </c>
      <c r="Q1682" s="186">
        <v>12392</v>
      </c>
      <c r="R1682" s="185" t="s">
        <v>1901</v>
      </c>
      <c r="S1682" s="185" t="s">
        <v>1560</v>
      </c>
      <c r="T1682"/>
      <c r="U1682" t="str">
        <f>IF($L1682&gt;0,VLOOKUP($E1682,Valida!$A$1:$G$270,6,FALSE),IF($M1682&gt;=0,VLOOKUP($E1682,Valida!$A$1:$G$270,7,FALSE)))</f>
        <v>(+/-) Ajustes por el incremento (disminución) de cuentas por pagar de origen comercial</v>
      </c>
      <c r="V1682" s="190" t="str">
        <f>VLOOKUP(E1682,Valida!$A$2:$K$271,4,FALSE)</f>
        <v>Trade and other payables</v>
      </c>
      <c r="W1682" s="185" t="s">
        <v>1902</v>
      </c>
      <c r="X1682" s="185" t="s">
        <v>1903</v>
      </c>
      <c r="Y1682" s="185" t="s">
        <v>1789</v>
      </c>
      <c r="Z1682"/>
    </row>
    <row r="1683" spans="1:26">
      <c r="A1683" s="185" t="s">
        <v>2879</v>
      </c>
      <c r="B1683" s="185" t="s">
        <v>2900</v>
      </c>
      <c r="C1683" s="185" t="s">
        <v>1785</v>
      </c>
      <c r="D1683" s="185" t="s">
        <v>2178</v>
      </c>
      <c r="E1683" s="185">
        <v>237005</v>
      </c>
      <c r="F1683" s="185" t="s">
        <v>676</v>
      </c>
      <c r="G1683" s="185" t="s">
        <v>2207</v>
      </c>
      <c r="H1683" s="185" t="s">
        <v>1515</v>
      </c>
      <c r="I1683" s="258" t="str">
        <f t="shared" si="79"/>
        <v>2</v>
      </c>
      <c r="J1683" s="221">
        <f t="shared" si="80"/>
        <v>51040</v>
      </c>
      <c r="K1683" s="258">
        <f t="shared" si="81"/>
        <v>6</v>
      </c>
      <c r="L1683" s="188">
        <v>51040</v>
      </c>
      <c r="M1683" s="188">
        <v>0</v>
      </c>
      <c r="N1683" s="189">
        <v>830003564</v>
      </c>
      <c r="O1683" t="s">
        <v>2900</v>
      </c>
      <c r="P1683" s="187">
        <v>45112.689351851899</v>
      </c>
      <c r="Q1683" s="186">
        <v>12393</v>
      </c>
      <c r="R1683" s="185" t="s">
        <v>1814</v>
      </c>
      <c r="S1683" s="185" t="s">
        <v>1652</v>
      </c>
      <c r="T1683"/>
      <c r="U1683" t="str">
        <f>IF($L1683&gt;0,VLOOKUP($E1683,Valida!$A$1:$G$270,6,FALSE),IF($M1683&gt;=0,VLOOKUP($E1683,Valida!$A$1:$G$270,7,FALSE)))</f>
        <v>(+/-) Ajustes por el incremento (disminución) de cuentas por pagar de origen comercial</v>
      </c>
      <c r="V1683" s="190" t="str">
        <f>VLOOKUP(E1683,Valida!$A$2:$K$271,4,FALSE)</f>
        <v>Trade and other payables</v>
      </c>
      <c r="W1683" s="185" t="s">
        <v>1973</v>
      </c>
      <c r="X1683" s="185" t="s">
        <v>1974</v>
      </c>
      <c r="Y1683" s="185" t="s">
        <v>1789</v>
      </c>
      <c r="Z1683"/>
    </row>
    <row r="1684" spans="1:26">
      <c r="A1684" s="185" t="s">
        <v>2879</v>
      </c>
      <c r="B1684" s="185" t="s">
        <v>2900</v>
      </c>
      <c r="C1684" s="185" t="s">
        <v>1785</v>
      </c>
      <c r="D1684" s="185" t="s">
        <v>2178</v>
      </c>
      <c r="E1684" s="185">
        <v>237005</v>
      </c>
      <c r="F1684" s="185" t="s">
        <v>676</v>
      </c>
      <c r="G1684" s="185" t="s">
        <v>2207</v>
      </c>
      <c r="H1684" s="185" t="s">
        <v>1515</v>
      </c>
      <c r="I1684" s="258" t="str">
        <f t="shared" si="79"/>
        <v>2</v>
      </c>
      <c r="J1684" s="221">
        <f t="shared" si="80"/>
        <v>60000</v>
      </c>
      <c r="K1684" s="258">
        <f t="shared" si="81"/>
        <v>6</v>
      </c>
      <c r="L1684" s="188">
        <v>60000</v>
      </c>
      <c r="M1684" s="188">
        <v>0</v>
      </c>
      <c r="N1684" s="189">
        <v>860066942</v>
      </c>
      <c r="O1684" t="s">
        <v>2900</v>
      </c>
      <c r="P1684" s="187">
        <v>45112.689351851899</v>
      </c>
      <c r="Q1684" s="186">
        <v>12394</v>
      </c>
      <c r="R1684" s="185" t="s">
        <v>1814</v>
      </c>
      <c r="S1684" s="185" t="s">
        <v>1574</v>
      </c>
      <c r="T1684"/>
      <c r="U1684" t="str">
        <f>IF($L1684&gt;0,VLOOKUP($E1684,Valida!$A$1:$G$270,6,FALSE),IF($M1684&gt;=0,VLOOKUP($E1684,Valida!$A$1:$G$270,7,FALSE)))</f>
        <v>(+/-) Ajustes por el incremento (disminución) de cuentas por pagar de origen comercial</v>
      </c>
      <c r="V1684" s="190" t="str">
        <f>VLOOKUP(E1684,Valida!$A$2:$K$271,4,FALSE)</f>
        <v>Trade and other payables</v>
      </c>
      <c r="W1684" s="185" t="s">
        <v>1914</v>
      </c>
      <c r="X1684" s="185" t="s">
        <v>1915</v>
      </c>
      <c r="Y1684" s="185" t="s">
        <v>1789</v>
      </c>
      <c r="Z1684"/>
    </row>
    <row r="1685" spans="1:26">
      <c r="A1685" s="185" t="s">
        <v>2879</v>
      </c>
      <c r="B1685" s="185" t="s">
        <v>2900</v>
      </c>
      <c r="C1685" s="185" t="s">
        <v>1785</v>
      </c>
      <c r="D1685" s="185" t="s">
        <v>2178</v>
      </c>
      <c r="E1685" s="185">
        <v>237005</v>
      </c>
      <c r="F1685" s="185" t="s">
        <v>676</v>
      </c>
      <c r="G1685" s="185" t="s">
        <v>2207</v>
      </c>
      <c r="H1685" s="185" t="s">
        <v>1515</v>
      </c>
      <c r="I1685" s="258" t="str">
        <f t="shared" si="79"/>
        <v>2</v>
      </c>
      <c r="J1685" s="221">
        <f t="shared" si="80"/>
        <v>89422</v>
      </c>
      <c r="K1685" s="258">
        <f t="shared" si="81"/>
        <v>6</v>
      </c>
      <c r="L1685" s="188">
        <v>89422</v>
      </c>
      <c r="M1685" s="188">
        <v>0</v>
      </c>
      <c r="N1685" s="189">
        <v>900156264</v>
      </c>
      <c r="O1685" t="s">
        <v>2900</v>
      </c>
      <c r="P1685" s="187">
        <v>45112.689363425903</v>
      </c>
      <c r="Q1685" s="186">
        <v>12395</v>
      </c>
      <c r="R1685" s="185" t="s">
        <v>433</v>
      </c>
      <c r="S1685" s="185" t="s">
        <v>1654</v>
      </c>
      <c r="T1685"/>
      <c r="U1685" t="str">
        <f>IF($L1685&gt;0,VLOOKUP($E1685,Valida!$A$1:$G$270,6,FALSE),IF($M1685&gt;=0,VLOOKUP($E1685,Valida!$A$1:$G$270,7,FALSE)))</f>
        <v>(+/-) Ajustes por el incremento (disminución) de cuentas por pagar de origen comercial</v>
      </c>
      <c r="V1685" s="190" t="str">
        <f>VLOOKUP(E1685,Valida!$A$2:$K$271,4,FALSE)</f>
        <v>Trade and other payables</v>
      </c>
      <c r="W1685" s="185" t="s">
        <v>1926</v>
      </c>
      <c r="X1685" s="185" t="s">
        <v>1927</v>
      </c>
      <c r="Y1685" s="185" t="s">
        <v>1789</v>
      </c>
      <c r="Z1685"/>
    </row>
    <row r="1686" spans="1:26">
      <c r="A1686" s="185" t="s">
        <v>2879</v>
      </c>
      <c r="B1686" s="185" t="s">
        <v>2900</v>
      </c>
      <c r="C1686" s="185" t="s">
        <v>1785</v>
      </c>
      <c r="D1686" s="185" t="s">
        <v>2178</v>
      </c>
      <c r="E1686" s="185">
        <v>53059510</v>
      </c>
      <c r="F1686" s="185" t="s">
        <v>1065</v>
      </c>
      <c r="G1686" s="185" t="s">
        <v>2207</v>
      </c>
      <c r="H1686" s="185" t="s">
        <v>1515</v>
      </c>
      <c r="I1686" s="258" t="str">
        <f t="shared" si="79"/>
        <v>5</v>
      </c>
      <c r="J1686" s="221">
        <f t="shared" si="80"/>
        <v>138</v>
      </c>
      <c r="K1686" s="258">
        <f t="shared" si="81"/>
        <v>6</v>
      </c>
      <c r="L1686" s="188">
        <v>138</v>
      </c>
      <c r="M1686" s="188">
        <v>0</v>
      </c>
      <c r="N1686" s="189">
        <v>860066942</v>
      </c>
      <c r="O1686" t="s">
        <v>2900</v>
      </c>
      <c r="P1686" s="187">
        <v>45112.689363425903</v>
      </c>
      <c r="Q1686" s="186">
        <v>12396</v>
      </c>
      <c r="R1686" s="185" t="s">
        <v>1814</v>
      </c>
      <c r="S1686" s="185" t="s">
        <v>1574</v>
      </c>
      <c r="T1686"/>
      <c r="U1686" t="str">
        <f>IF($L1686&gt;0,VLOOKUP($E1686,Valida!$A$1:$G$270,6,FALSE),IF($M1686&gt;=0,VLOOKUP($E1686,Valida!$A$1:$G$270,7,FALSE)))</f>
        <v>(+/-) Ganancia (pérdida)</v>
      </c>
      <c r="V1686" s="190" t="str">
        <f>VLOOKUP(E1686,Valida!$A$2:$K$271,4,FALSE)</f>
        <v>P&amp;L</v>
      </c>
      <c r="W1686" s="185" t="s">
        <v>1914</v>
      </c>
      <c r="X1686" s="185" t="s">
        <v>1915</v>
      </c>
      <c r="Y1686" s="185" t="s">
        <v>1789</v>
      </c>
      <c r="Z1686"/>
    </row>
    <row r="1687" spans="1:26">
      <c r="A1687" s="185" t="s">
        <v>2879</v>
      </c>
      <c r="B1687" s="185" t="s">
        <v>2901</v>
      </c>
      <c r="C1687" s="185" t="s">
        <v>1785</v>
      </c>
      <c r="D1687" s="185" t="s">
        <v>2180</v>
      </c>
      <c r="E1687" s="185">
        <v>237095</v>
      </c>
      <c r="F1687" s="185" t="s">
        <v>150</v>
      </c>
      <c r="G1687" s="185" t="s">
        <v>1986</v>
      </c>
      <c r="H1687" s="185" t="s">
        <v>1628</v>
      </c>
      <c r="I1687" s="258" t="str">
        <f t="shared" si="79"/>
        <v>2</v>
      </c>
      <c r="J1687" s="221">
        <f t="shared" si="80"/>
        <v>-1571500</v>
      </c>
      <c r="K1687" s="258">
        <f t="shared" si="81"/>
        <v>6</v>
      </c>
      <c r="L1687" s="188">
        <v>0</v>
      </c>
      <c r="M1687" s="188">
        <v>1571500</v>
      </c>
      <c r="N1687" s="189">
        <v>860066942</v>
      </c>
      <c r="O1687" t="s">
        <v>2901</v>
      </c>
      <c r="P1687" s="187">
        <v>45112.696851851899</v>
      </c>
      <c r="Q1687" s="186">
        <v>12397</v>
      </c>
      <c r="R1687" s="185" t="s">
        <v>1814</v>
      </c>
      <c r="S1687" s="185" t="s">
        <v>1574</v>
      </c>
      <c r="T1687"/>
      <c r="U1687" t="str">
        <f>IF($L1687&gt;0,VLOOKUP($E1687,Valida!$A$1:$G$270,6,FALSE),IF($M1687&gt;=0,VLOOKUP($E1687,Valida!$A$1:$G$270,7,FALSE)))</f>
        <v>(+/-) Ajustes por el incremento (disminución) de cuentas por pagar de origen comercial</v>
      </c>
      <c r="V1687" s="190" t="str">
        <f>VLOOKUP(E1687,Valida!$A$2:$K$271,4,FALSE)</f>
        <v>Trade and other payables</v>
      </c>
      <c r="W1687" s="185" t="s">
        <v>1914</v>
      </c>
      <c r="X1687" s="185" t="s">
        <v>1915</v>
      </c>
      <c r="Y1687" s="185" t="s">
        <v>1789</v>
      </c>
      <c r="Z1687"/>
    </row>
    <row r="1688" spans="1:26">
      <c r="A1688" s="185" t="s">
        <v>2879</v>
      </c>
      <c r="B1688" s="185" t="s">
        <v>2901</v>
      </c>
      <c r="C1688" s="185" t="s">
        <v>1785</v>
      </c>
      <c r="D1688" s="185" t="s">
        <v>2180</v>
      </c>
      <c r="E1688" s="185">
        <v>238030</v>
      </c>
      <c r="F1688" s="185" t="s">
        <v>721</v>
      </c>
      <c r="G1688" s="185" t="s">
        <v>1986</v>
      </c>
      <c r="H1688" s="185" t="s">
        <v>1515</v>
      </c>
      <c r="I1688" s="258" t="str">
        <f t="shared" si="79"/>
        <v>2</v>
      </c>
      <c r="J1688" s="221">
        <f t="shared" si="80"/>
        <v>1367227</v>
      </c>
      <c r="K1688" s="258">
        <f t="shared" si="81"/>
        <v>6</v>
      </c>
      <c r="L1688" s="188">
        <v>1367227</v>
      </c>
      <c r="M1688" s="188">
        <v>0</v>
      </c>
      <c r="N1688" s="189">
        <v>800224808</v>
      </c>
      <c r="O1688" t="s">
        <v>2901</v>
      </c>
      <c r="P1688" s="187">
        <v>45112.696851851899</v>
      </c>
      <c r="Q1688" s="186">
        <v>12398</v>
      </c>
      <c r="R1688" s="185" t="s">
        <v>1827</v>
      </c>
      <c r="S1688" s="185" t="s">
        <v>1662</v>
      </c>
      <c r="T1688"/>
      <c r="U1688" t="str">
        <f>IF($L1688&gt;0,VLOOKUP($E1688,Valida!$A$1:$G$270,6,FALSE),IF($M1688&gt;=0,VLOOKUP($E1688,Valida!$A$1:$G$270,7,FALSE)))</f>
        <v>(+/-) Ajustes por el incremento (disminución) de cuentas por pagar de origen comercial</v>
      </c>
      <c r="V1688" s="190" t="str">
        <f>VLOOKUP(E1688,Valida!$A$2:$K$271,4,FALSE)</f>
        <v>Trade and other payables</v>
      </c>
      <c r="W1688" s="185" t="s">
        <v>1911</v>
      </c>
      <c r="X1688" s="185"/>
      <c r="Y1688" s="185" t="s">
        <v>1789</v>
      </c>
      <c r="Z1688"/>
    </row>
    <row r="1689" spans="1:26">
      <c r="A1689" s="185" t="s">
        <v>2879</v>
      </c>
      <c r="B1689" s="185" t="s">
        <v>2901</v>
      </c>
      <c r="C1689" s="185" t="s">
        <v>1785</v>
      </c>
      <c r="D1689" s="185" t="s">
        <v>2180</v>
      </c>
      <c r="E1689" s="185">
        <v>238030</v>
      </c>
      <c r="F1689" s="185" t="s">
        <v>721</v>
      </c>
      <c r="G1689" s="185" t="s">
        <v>1986</v>
      </c>
      <c r="H1689" s="185" t="s">
        <v>1515</v>
      </c>
      <c r="I1689" s="258" t="str">
        <f t="shared" si="79"/>
        <v>2</v>
      </c>
      <c r="J1689" s="221">
        <f t="shared" si="80"/>
        <v>204200</v>
      </c>
      <c r="K1689" s="258">
        <f t="shared" si="81"/>
        <v>6</v>
      </c>
      <c r="L1689" s="188">
        <v>204200</v>
      </c>
      <c r="M1689" s="188">
        <v>0</v>
      </c>
      <c r="N1689" s="189">
        <v>800227940</v>
      </c>
      <c r="O1689" t="s">
        <v>2901</v>
      </c>
      <c r="P1689" s="187">
        <v>45112.696851851899</v>
      </c>
      <c r="Q1689" s="186">
        <v>12399</v>
      </c>
      <c r="R1689" s="185"/>
      <c r="S1689" s="185" t="s">
        <v>1664</v>
      </c>
      <c r="T1689"/>
      <c r="U1689" t="str">
        <f>IF($L1689&gt;0,VLOOKUP($E1689,Valida!$A$1:$G$270,6,FALSE),IF($M1689&gt;=0,VLOOKUP($E1689,Valida!$A$1:$G$270,7,FALSE)))</f>
        <v>(+/-) Ajustes por el incremento (disminución) de cuentas por pagar de origen comercial</v>
      </c>
      <c r="V1689" s="190" t="str">
        <f>VLOOKUP(E1689,Valida!$A$2:$K$271,4,FALSE)</f>
        <v>Trade and other payables</v>
      </c>
      <c r="W1689" s="185"/>
      <c r="X1689" s="185"/>
      <c r="Y1689" s="185"/>
      <c r="Z1689"/>
    </row>
    <row r="1690" spans="1:26">
      <c r="A1690" s="185" t="s">
        <v>2879</v>
      </c>
      <c r="B1690" s="185" t="s">
        <v>2901</v>
      </c>
      <c r="C1690" s="185" t="s">
        <v>1785</v>
      </c>
      <c r="D1690" s="185" t="s">
        <v>2180</v>
      </c>
      <c r="E1690" s="185">
        <v>53059510</v>
      </c>
      <c r="F1690" s="185" t="s">
        <v>1065</v>
      </c>
      <c r="G1690" s="185" t="s">
        <v>1986</v>
      </c>
      <c r="H1690" s="185" t="s">
        <v>1515</v>
      </c>
      <c r="I1690" s="258" t="str">
        <f t="shared" si="79"/>
        <v>5</v>
      </c>
      <c r="J1690" s="221">
        <f t="shared" si="80"/>
        <v>73</v>
      </c>
      <c r="K1690" s="258">
        <f t="shared" si="81"/>
        <v>6</v>
      </c>
      <c r="L1690" s="188">
        <v>73</v>
      </c>
      <c r="M1690" s="188">
        <v>0</v>
      </c>
      <c r="N1690" s="189">
        <v>860066942</v>
      </c>
      <c r="O1690" t="s">
        <v>2901</v>
      </c>
      <c r="P1690" s="187">
        <v>45112.696851851899</v>
      </c>
      <c r="Q1690" s="186">
        <v>12400</v>
      </c>
      <c r="R1690" s="185" t="s">
        <v>1814</v>
      </c>
      <c r="S1690" s="185" t="s">
        <v>1574</v>
      </c>
      <c r="T1690"/>
      <c r="U1690" t="str">
        <f>IF($L1690&gt;0,VLOOKUP($E1690,Valida!$A$1:$G$270,6,FALSE),IF($M1690&gt;=0,VLOOKUP($E1690,Valida!$A$1:$G$270,7,FALSE)))</f>
        <v>(+/-) Ganancia (pérdida)</v>
      </c>
      <c r="V1690" s="190" t="str">
        <f>VLOOKUP(E1690,Valida!$A$2:$K$271,4,FALSE)</f>
        <v>P&amp;L</v>
      </c>
      <c r="W1690" s="185" t="s">
        <v>1914</v>
      </c>
      <c r="X1690" s="185" t="s">
        <v>1915</v>
      </c>
      <c r="Y1690" s="185" t="s">
        <v>1789</v>
      </c>
      <c r="Z1690"/>
    </row>
    <row r="1691" spans="1:26">
      <c r="A1691" s="185" t="s">
        <v>2879</v>
      </c>
      <c r="B1691" s="185" t="s">
        <v>2902</v>
      </c>
      <c r="C1691" s="185" t="s">
        <v>1785</v>
      </c>
      <c r="D1691" s="185" t="s">
        <v>2204</v>
      </c>
      <c r="E1691" s="185">
        <v>237010</v>
      </c>
      <c r="F1691" s="185" t="s">
        <v>683</v>
      </c>
      <c r="G1691" s="185" t="s">
        <v>1989</v>
      </c>
      <c r="H1691" s="185" t="s">
        <v>1515</v>
      </c>
      <c r="I1691" s="258" t="str">
        <f t="shared" si="79"/>
        <v>2</v>
      </c>
      <c r="J1691" s="221">
        <f t="shared" si="80"/>
        <v>196600</v>
      </c>
      <c r="K1691" s="258">
        <f t="shared" si="81"/>
        <v>6</v>
      </c>
      <c r="L1691" s="188">
        <v>196600</v>
      </c>
      <c r="M1691" s="188">
        <v>0</v>
      </c>
      <c r="N1691" s="189">
        <v>860066942</v>
      </c>
      <c r="O1691" t="s">
        <v>2902</v>
      </c>
      <c r="P1691" s="187">
        <v>45112.698784722197</v>
      </c>
      <c r="Q1691" s="186">
        <v>12401</v>
      </c>
      <c r="R1691" s="185" t="s">
        <v>1814</v>
      </c>
      <c r="S1691" s="185" t="s">
        <v>1574</v>
      </c>
      <c r="T1691"/>
      <c r="U1691" t="str">
        <f>IF($L1691&gt;0,VLOOKUP($E1691,Valida!$A$1:$G$270,6,FALSE),IF($M1691&gt;=0,VLOOKUP($E1691,Valida!$A$1:$G$270,7,FALSE)))</f>
        <v>(+/-) Ajustes por el incremento (disminución) de cuentas por pagar de origen comercial</v>
      </c>
      <c r="V1691" s="190" t="str">
        <f>VLOOKUP(E1691,Valida!$A$2:$K$271,4,FALSE)</f>
        <v>Trade and other payables</v>
      </c>
      <c r="W1691" s="185" t="s">
        <v>1914</v>
      </c>
      <c r="X1691" s="185" t="s">
        <v>1915</v>
      </c>
      <c r="Y1691" s="185" t="s">
        <v>1789</v>
      </c>
      <c r="Z1691"/>
    </row>
    <row r="1692" spans="1:26">
      <c r="A1692" s="185" t="s">
        <v>2879</v>
      </c>
      <c r="B1692" s="185" t="s">
        <v>2902</v>
      </c>
      <c r="C1692" s="185" t="s">
        <v>1785</v>
      </c>
      <c r="D1692" s="185" t="s">
        <v>2204</v>
      </c>
      <c r="E1692" s="185">
        <v>237006</v>
      </c>
      <c r="F1692" s="185" t="s">
        <v>680</v>
      </c>
      <c r="G1692" s="185" t="s">
        <v>1989</v>
      </c>
      <c r="H1692" s="185" t="s">
        <v>1515</v>
      </c>
      <c r="I1692" s="258" t="str">
        <f t="shared" si="79"/>
        <v>2</v>
      </c>
      <c r="J1692" s="221">
        <f t="shared" si="80"/>
        <v>43900</v>
      </c>
      <c r="K1692" s="258">
        <f t="shared" si="81"/>
        <v>6</v>
      </c>
      <c r="L1692" s="188">
        <v>43900</v>
      </c>
      <c r="M1692" s="188">
        <v>0</v>
      </c>
      <c r="N1692" s="189">
        <v>860002503</v>
      </c>
      <c r="O1692" t="s">
        <v>2902</v>
      </c>
      <c r="P1692" s="187">
        <v>45112.698784722197</v>
      </c>
      <c r="Q1692" s="186">
        <v>12402</v>
      </c>
      <c r="R1692" s="185" t="s">
        <v>433</v>
      </c>
      <c r="S1692" s="185" t="s">
        <v>1656</v>
      </c>
      <c r="T1692"/>
      <c r="U1692" t="str">
        <f>IF($L1692&gt;0,VLOOKUP($E1692,Valida!$A$1:$G$270,6,FALSE),IF($M1692&gt;=0,VLOOKUP($E1692,Valida!$A$1:$G$270,7,FALSE)))</f>
        <v>(+/-) Ajustes por el incremento (disminución) de cuentas por pagar de origen comercial</v>
      </c>
      <c r="V1692" s="190" t="str">
        <f>VLOOKUP(E1692,Valida!$A$2:$K$271,4,FALSE)</f>
        <v>Trade and other payables</v>
      </c>
      <c r="W1692" s="185" t="s">
        <v>1912</v>
      </c>
      <c r="X1692" s="185" t="s">
        <v>1913</v>
      </c>
      <c r="Y1692" s="185" t="s">
        <v>1789</v>
      </c>
      <c r="Z1692"/>
    </row>
    <row r="1693" spans="1:26">
      <c r="A1693" s="185" t="s">
        <v>2879</v>
      </c>
      <c r="B1693" s="185" t="s">
        <v>2902</v>
      </c>
      <c r="C1693" s="185" t="s">
        <v>1785</v>
      </c>
      <c r="D1693" s="185" t="s">
        <v>2204</v>
      </c>
      <c r="E1693" s="185">
        <v>237095</v>
      </c>
      <c r="F1693" s="185" t="s">
        <v>150</v>
      </c>
      <c r="G1693" s="185" t="s">
        <v>1989</v>
      </c>
      <c r="H1693" s="185" t="s">
        <v>1628</v>
      </c>
      <c r="I1693" s="258" t="str">
        <f t="shared" si="79"/>
        <v>2</v>
      </c>
      <c r="J1693" s="221">
        <f t="shared" si="80"/>
        <v>-240500</v>
      </c>
      <c r="K1693" s="258">
        <f t="shared" si="81"/>
        <v>6</v>
      </c>
      <c r="L1693" s="188">
        <v>0</v>
      </c>
      <c r="M1693" s="188">
        <v>240500</v>
      </c>
      <c r="N1693" s="189">
        <v>860066942</v>
      </c>
      <c r="O1693" t="s">
        <v>2902</v>
      </c>
      <c r="P1693" s="187">
        <v>45112.698784722197</v>
      </c>
      <c r="Q1693" s="186">
        <v>12403</v>
      </c>
      <c r="R1693" s="185" t="s">
        <v>1814</v>
      </c>
      <c r="S1693" s="185" t="s">
        <v>1574</v>
      </c>
      <c r="T1693"/>
      <c r="U1693" t="str">
        <f>IF($L1693&gt;0,VLOOKUP($E1693,Valida!$A$1:$G$270,6,FALSE),IF($M1693&gt;=0,VLOOKUP($E1693,Valida!$A$1:$G$270,7,FALSE)))</f>
        <v>(+/-) Ajustes por el incremento (disminución) de cuentas por pagar de origen comercial</v>
      </c>
      <c r="V1693" s="190" t="str">
        <f>VLOOKUP(E1693,Valida!$A$2:$K$271,4,FALSE)</f>
        <v>Trade and other payables</v>
      </c>
      <c r="W1693" s="185" t="s">
        <v>1914</v>
      </c>
      <c r="X1693" s="185" t="s">
        <v>1915</v>
      </c>
      <c r="Y1693" s="185" t="s">
        <v>1789</v>
      </c>
      <c r="Z1693"/>
    </row>
    <row r="1694" spans="1:26">
      <c r="A1694" s="185" t="s">
        <v>2903</v>
      </c>
      <c r="B1694" s="185" t="s">
        <v>2904</v>
      </c>
      <c r="C1694" s="185" t="s">
        <v>1890</v>
      </c>
      <c r="D1694" s="185" t="s">
        <v>2905</v>
      </c>
      <c r="E1694" s="185">
        <v>250505</v>
      </c>
      <c r="F1694" s="185" t="s">
        <v>767</v>
      </c>
      <c r="G1694" s="185" t="s">
        <v>2906</v>
      </c>
      <c r="H1694" s="185" t="s">
        <v>1515</v>
      </c>
      <c r="I1694" s="258" t="str">
        <f t="shared" si="79"/>
        <v>2</v>
      </c>
      <c r="J1694" s="221">
        <f t="shared" si="80"/>
        <v>1834156</v>
      </c>
      <c r="K1694" s="258">
        <f t="shared" si="81"/>
        <v>6</v>
      </c>
      <c r="L1694" s="188">
        <v>1834156</v>
      </c>
      <c r="M1694" s="188">
        <v>0</v>
      </c>
      <c r="N1694" s="189">
        <v>1000018061</v>
      </c>
      <c r="O1694" t="s">
        <v>2904</v>
      </c>
      <c r="P1694" s="187">
        <v>45114.482858796298</v>
      </c>
      <c r="Q1694" s="186">
        <v>12404</v>
      </c>
      <c r="R1694" s="185"/>
      <c r="S1694" s="185" t="s">
        <v>1522</v>
      </c>
      <c r="T1694"/>
      <c r="U1694" t="str">
        <f>IF($L1694&gt;0,VLOOKUP($E1694,Valida!$A$1:$G$270,6,FALSE),IF($M1694&gt;=0,VLOOKUP($E1694,Valida!$A$1:$G$270,7,FALSE)))</f>
        <v>(+/-) Ajustes por el incremento (disminución) de cuentas por pagar de origen comercial</v>
      </c>
      <c r="V1694" s="190" t="str">
        <f>VLOOKUP(E1694,Valida!$A$2:$K$271,4,FALSE)</f>
        <v>Trade and other payables</v>
      </c>
      <c r="W1694" s="185" t="s">
        <v>1978</v>
      </c>
      <c r="X1694" s="185"/>
      <c r="Y1694" s="185" t="s">
        <v>1789</v>
      </c>
      <c r="Z1694"/>
    </row>
    <row r="1695" spans="1:26">
      <c r="A1695" s="185" t="s">
        <v>2903</v>
      </c>
      <c r="B1695" s="185" t="s">
        <v>2904</v>
      </c>
      <c r="C1695" s="185" t="s">
        <v>1890</v>
      </c>
      <c r="D1695" s="185" t="s">
        <v>2905</v>
      </c>
      <c r="E1695" s="185">
        <v>112005</v>
      </c>
      <c r="F1695" s="185" t="s">
        <v>24</v>
      </c>
      <c r="G1695" s="185" t="s">
        <v>2906</v>
      </c>
      <c r="H1695" s="185" t="s">
        <v>1628</v>
      </c>
      <c r="I1695" s="258" t="str">
        <f t="shared" si="79"/>
        <v>1</v>
      </c>
      <c r="J1695" s="221">
        <f t="shared" si="80"/>
        <v>-1834156</v>
      </c>
      <c r="K1695" s="258">
        <f t="shared" si="81"/>
        <v>6</v>
      </c>
      <c r="L1695" s="188">
        <v>0</v>
      </c>
      <c r="M1695" s="188">
        <v>1834156</v>
      </c>
      <c r="N1695" s="189">
        <v>1000018061</v>
      </c>
      <c r="O1695" t="s">
        <v>2904</v>
      </c>
      <c r="P1695" s="187">
        <v>45114.482858796298</v>
      </c>
      <c r="Q1695" s="186">
        <v>12405</v>
      </c>
      <c r="R1695" s="185"/>
      <c r="S1695" s="185" t="s">
        <v>1522</v>
      </c>
      <c r="T1695" t="s">
        <v>1894</v>
      </c>
      <c r="U1695" t="str">
        <f>IF($L1695&gt;0,VLOOKUP($E1695,Valida!$A$1:$G$270,6,FALSE),IF($M1695&gt;=0,VLOOKUP($E1695,Valida!$A$1:$G$270,7,FALSE)))</f>
        <v>Disponible</v>
      </c>
      <c r="V1695" s="190" t="str">
        <f>VLOOKUP(E1695,Valida!$A$2:$K$271,4,FALSE)</f>
        <v>Cash and equivalents</v>
      </c>
      <c r="W1695" s="185" t="s">
        <v>1978</v>
      </c>
      <c r="X1695" s="185"/>
      <c r="Y1695" s="185" t="s">
        <v>1789</v>
      </c>
      <c r="Z1695"/>
    </row>
    <row r="1696" spans="1:26">
      <c r="A1696" s="185" t="s">
        <v>2907</v>
      </c>
      <c r="B1696" s="185" t="s">
        <v>2908</v>
      </c>
      <c r="C1696" s="185" t="s">
        <v>1890</v>
      </c>
      <c r="D1696" s="185" t="s">
        <v>2909</v>
      </c>
      <c r="E1696" s="185">
        <v>250505</v>
      </c>
      <c r="F1696" s="185" t="s">
        <v>767</v>
      </c>
      <c r="G1696" s="185" t="s">
        <v>2906</v>
      </c>
      <c r="H1696" s="185" t="s">
        <v>1515</v>
      </c>
      <c r="I1696" s="258" t="str">
        <f t="shared" si="79"/>
        <v>2</v>
      </c>
      <c r="J1696" s="221">
        <f t="shared" si="80"/>
        <v>2979953</v>
      </c>
      <c r="K1696" s="258">
        <f t="shared" si="81"/>
        <v>6</v>
      </c>
      <c r="L1696" s="188">
        <v>2979953</v>
      </c>
      <c r="M1696" s="188">
        <v>0</v>
      </c>
      <c r="N1696" s="189">
        <v>1000036375</v>
      </c>
      <c r="O1696" t="s">
        <v>2908</v>
      </c>
      <c r="P1696" s="187">
        <v>45114.484409722201</v>
      </c>
      <c r="Q1696" s="186">
        <v>12406</v>
      </c>
      <c r="R1696" s="185"/>
      <c r="S1696" s="185" t="s">
        <v>1524</v>
      </c>
      <c r="T1696"/>
      <c r="U1696" t="str">
        <f>IF($L1696&gt;0,VLOOKUP($E1696,Valida!$A$1:$G$270,6,FALSE),IF($M1696&gt;=0,VLOOKUP($E1696,Valida!$A$1:$G$270,7,FALSE)))</f>
        <v>(+/-) Ajustes por el incremento (disminución) de cuentas por pagar de origen comercial</v>
      </c>
      <c r="V1696" s="190" t="str">
        <f>VLOOKUP(E1696,Valida!$A$2:$K$271,4,FALSE)</f>
        <v>Trade and other payables</v>
      </c>
      <c r="W1696" s="185" t="s">
        <v>1983</v>
      </c>
      <c r="X1696" s="185"/>
      <c r="Y1696" s="185" t="s">
        <v>1789</v>
      </c>
      <c r="Z1696"/>
    </row>
    <row r="1697" spans="1:26">
      <c r="A1697" s="185" t="s">
        <v>2907</v>
      </c>
      <c r="B1697" s="185" t="s">
        <v>2908</v>
      </c>
      <c r="C1697" s="185" t="s">
        <v>1890</v>
      </c>
      <c r="D1697" s="185" t="s">
        <v>2909</v>
      </c>
      <c r="E1697" s="185">
        <v>112005</v>
      </c>
      <c r="F1697" s="185" t="s">
        <v>24</v>
      </c>
      <c r="G1697" s="185" t="s">
        <v>2906</v>
      </c>
      <c r="H1697" s="185" t="s">
        <v>1628</v>
      </c>
      <c r="I1697" s="258" t="str">
        <f t="shared" si="79"/>
        <v>1</v>
      </c>
      <c r="J1697" s="221">
        <f t="shared" si="80"/>
        <v>-2979963</v>
      </c>
      <c r="K1697" s="258">
        <f t="shared" si="81"/>
        <v>6</v>
      </c>
      <c r="L1697" s="188">
        <v>0</v>
      </c>
      <c r="M1697" s="188">
        <v>2979963</v>
      </c>
      <c r="N1697" s="189">
        <v>1000036375</v>
      </c>
      <c r="O1697" t="s">
        <v>2908</v>
      </c>
      <c r="P1697" s="187">
        <v>45114.484409722201</v>
      </c>
      <c r="Q1697" s="186">
        <v>12407</v>
      </c>
      <c r="R1697" s="185"/>
      <c r="S1697" s="185" t="s">
        <v>1524</v>
      </c>
      <c r="T1697" t="s">
        <v>1894</v>
      </c>
      <c r="U1697" t="str">
        <f>IF($L1697&gt;0,VLOOKUP($E1697,Valida!$A$1:$G$270,6,FALSE),IF($M1697&gt;=0,VLOOKUP($E1697,Valida!$A$1:$G$270,7,FALSE)))</f>
        <v>Disponible</v>
      </c>
      <c r="V1697" s="190" t="str">
        <f>VLOOKUP(E1697,Valida!$A$2:$K$271,4,FALSE)</f>
        <v>Cash and equivalents</v>
      </c>
      <c r="W1697" s="185" t="s">
        <v>1983</v>
      </c>
      <c r="X1697" s="185"/>
      <c r="Y1697" s="185" t="s">
        <v>1789</v>
      </c>
      <c r="Z1697"/>
    </row>
    <row r="1698" spans="1:26">
      <c r="A1698" s="185" t="s">
        <v>2907</v>
      </c>
      <c r="B1698" s="185" t="s">
        <v>2910</v>
      </c>
      <c r="C1698" s="185" t="s">
        <v>1890</v>
      </c>
      <c r="D1698" s="185" t="s">
        <v>2911</v>
      </c>
      <c r="E1698" s="185">
        <v>250505</v>
      </c>
      <c r="F1698" s="185" t="s">
        <v>767</v>
      </c>
      <c r="G1698" s="185" t="s">
        <v>2906</v>
      </c>
      <c r="H1698" s="185" t="s">
        <v>1515</v>
      </c>
      <c r="I1698" s="258" t="str">
        <f t="shared" si="79"/>
        <v>2</v>
      </c>
      <c r="J1698" s="221">
        <f t="shared" si="80"/>
        <v>2352198</v>
      </c>
      <c r="K1698" s="258">
        <f t="shared" si="81"/>
        <v>6</v>
      </c>
      <c r="L1698" s="188">
        <v>2352198</v>
      </c>
      <c r="M1698" s="188">
        <v>0</v>
      </c>
      <c r="N1698" s="189">
        <v>1010101811</v>
      </c>
      <c r="O1698" t="s">
        <v>2910</v>
      </c>
      <c r="P1698" s="187">
        <v>45114.4847337963</v>
      </c>
      <c r="Q1698" s="186">
        <v>12408</v>
      </c>
      <c r="R1698" s="185"/>
      <c r="S1698" s="185" t="s">
        <v>1528</v>
      </c>
      <c r="T1698"/>
      <c r="U1698" t="str">
        <f>IF($L1698&gt;0,VLOOKUP($E1698,Valida!$A$1:$G$270,6,FALSE),IF($M1698&gt;=0,VLOOKUP($E1698,Valida!$A$1:$G$270,7,FALSE)))</f>
        <v>(+/-) Ajustes por el incremento (disminución) de cuentas por pagar de origen comercial</v>
      </c>
      <c r="V1698" s="190" t="str">
        <f>VLOOKUP(E1698,Valida!$A$2:$K$271,4,FALSE)</f>
        <v>Trade and other payables</v>
      </c>
      <c r="W1698" s="185" t="s">
        <v>1967</v>
      </c>
      <c r="X1698" s="185"/>
      <c r="Y1698" s="185" t="s">
        <v>1789</v>
      </c>
      <c r="Z1698"/>
    </row>
    <row r="1699" spans="1:26">
      <c r="A1699" s="185" t="s">
        <v>2907</v>
      </c>
      <c r="B1699" s="185" t="s">
        <v>2910</v>
      </c>
      <c r="C1699" s="185" t="s">
        <v>1890</v>
      </c>
      <c r="D1699" s="185" t="s">
        <v>2911</v>
      </c>
      <c r="E1699" s="185">
        <v>112005</v>
      </c>
      <c r="F1699" s="185" t="s">
        <v>24</v>
      </c>
      <c r="G1699" s="185" t="s">
        <v>2906</v>
      </c>
      <c r="H1699" s="185" t="s">
        <v>1628</v>
      </c>
      <c r="I1699" s="258" t="str">
        <f t="shared" si="79"/>
        <v>1</v>
      </c>
      <c r="J1699" s="221">
        <f t="shared" si="80"/>
        <v>-2352198</v>
      </c>
      <c r="K1699" s="258">
        <f t="shared" si="81"/>
        <v>6</v>
      </c>
      <c r="L1699" s="188">
        <v>0</v>
      </c>
      <c r="M1699" s="188">
        <v>2352198</v>
      </c>
      <c r="N1699" s="189">
        <v>1010101811</v>
      </c>
      <c r="O1699" t="s">
        <v>2910</v>
      </c>
      <c r="P1699" s="187">
        <v>45114.4847337963</v>
      </c>
      <c r="Q1699" s="186">
        <v>12409</v>
      </c>
      <c r="R1699" s="185"/>
      <c r="S1699" s="185" t="s">
        <v>1528</v>
      </c>
      <c r="T1699" t="s">
        <v>1894</v>
      </c>
      <c r="U1699" t="str">
        <f>IF($L1699&gt;0,VLOOKUP($E1699,Valida!$A$1:$G$270,6,FALSE),IF($M1699&gt;=0,VLOOKUP($E1699,Valida!$A$1:$G$270,7,FALSE)))</f>
        <v>Disponible</v>
      </c>
      <c r="V1699" s="190" t="str">
        <f>VLOOKUP(E1699,Valida!$A$2:$K$271,4,FALSE)</f>
        <v>Cash and equivalents</v>
      </c>
      <c r="W1699" s="185" t="s">
        <v>1967</v>
      </c>
      <c r="X1699" s="185"/>
      <c r="Y1699" s="185" t="s">
        <v>1789</v>
      </c>
      <c r="Z1699"/>
    </row>
    <row r="1700" spans="1:26">
      <c r="A1700" s="185" t="s">
        <v>2907</v>
      </c>
      <c r="B1700" s="185" t="s">
        <v>2912</v>
      </c>
      <c r="C1700" s="185" t="s">
        <v>1890</v>
      </c>
      <c r="D1700" s="185" t="s">
        <v>2913</v>
      </c>
      <c r="E1700" s="185">
        <v>250505</v>
      </c>
      <c r="F1700" s="185" t="s">
        <v>767</v>
      </c>
      <c r="G1700" s="185" t="s">
        <v>2906</v>
      </c>
      <c r="H1700" s="185" t="s">
        <v>1515</v>
      </c>
      <c r="I1700" s="258" t="str">
        <f t="shared" si="79"/>
        <v>2</v>
      </c>
      <c r="J1700" s="221">
        <f t="shared" si="80"/>
        <v>1544777</v>
      </c>
      <c r="K1700" s="258">
        <f t="shared" si="81"/>
        <v>6</v>
      </c>
      <c r="L1700" s="188">
        <v>1544777</v>
      </c>
      <c r="M1700" s="188">
        <v>0</v>
      </c>
      <c r="N1700" s="189">
        <v>1100623759</v>
      </c>
      <c r="O1700" t="s">
        <v>2912</v>
      </c>
      <c r="P1700" s="187">
        <v>45114.485150462999</v>
      </c>
      <c r="Q1700" s="186">
        <v>12410</v>
      </c>
      <c r="R1700" s="185"/>
      <c r="S1700" s="185" t="s">
        <v>1536</v>
      </c>
      <c r="T1700"/>
      <c r="U1700" t="str">
        <f>IF($L1700&gt;0,VLOOKUP($E1700,Valida!$A$1:$G$270,6,FALSE),IF($M1700&gt;=0,VLOOKUP($E1700,Valida!$A$1:$G$270,7,FALSE)))</f>
        <v>(+/-) Ajustes por el incremento (disminución) de cuentas por pagar de origen comercial</v>
      </c>
      <c r="V1700" s="190" t="str">
        <f>VLOOKUP(E1700,Valida!$A$2:$K$271,4,FALSE)</f>
        <v>Trade and other payables</v>
      </c>
      <c r="W1700" s="185" t="s">
        <v>2730</v>
      </c>
      <c r="X1700" s="185"/>
      <c r="Y1700" s="185" t="s">
        <v>1789</v>
      </c>
      <c r="Z1700"/>
    </row>
    <row r="1701" spans="1:26">
      <c r="A1701" s="185" t="s">
        <v>2879</v>
      </c>
      <c r="B1701" s="185" t="s">
        <v>2886</v>
      </c>
      <c r="C1701" s="185" t="s">
        <v>1897</v>
      </c>
      <c r="D1701" s="185" t="s">
        <v>2887</v>
      </c>
      <c r="E1701" s="185">
        <v>510568</v>
      </c>
      <c r="F1701" s="185" t="s">
        <v>680</v>
      </c>
      <c r="G1701" s="185" t="s">
        <v>2888</v>
      </c>
      <c r="H1701" s="185" t="s">
        <v>1515</v>
      </c>
      <c r="I1701" s="258" t="str">
        <f t="shared" si="79"/>
        <v>5</v>
      </c>
      <c r="J1701" s="221">
        <f t="shared" si="80"/>
        <v>7900</v>
      </c>
      <c r="K1701" s="258">
        <f t="shared" si="81"/>
        <v>6</v>
      </c>
      <c r="L1701" s="188">
        <v>7900</v>
      </c>
      <c r="M1701" s="188">
        <v>0</v>
      </c>
      <c r="N1701" s="189">
        <v>860002503</v>
      </c>
      <c r="O1701" t="s">
        <v>2886</v>
      </c>
      <c r="P1701" s="187">
        <v>45112</v>
      </c>
      <c r="Q1701" s="186">
        <v>12367</v>
      </c>
      <c r="R1701" s="185" t="s">
        <v>433</v>
      </c>
      <c r="S1701" s="185" t="s">
        <v>1656</v>
      </c>
      <c r="T1701"/>
      <c r="U1701" t="str">
        <f>IF($L1701&gt;0,VLOOKUP($E1701,Valida!$A$1:$G$270,6,FALSE),IF($M1701&gt;=0,VLOOKUP($E1701,Valida!$A$1:$G$270,7,FALSE)))</f>
        <v>(+/-) Ganancia (pérdida)</v>
      </c>
      <c r="V1701" s="190" t="str">
        <f>VLOOKUP(E1701,Valida!$A$2:$K$271,4,FALSE)</f>
        <v>P&amp;L</v>
      </c>
      <c r="W1701" s="185" t="s">
        <v>1912</v>
      </c>
      <c r="X1701" s="185" t="s">
        <v>1913</v>
      </c>
      <c r="Y1701" s="185" t="s">
        <v>1789</v>
      </c>
      <c r="Z1701"/>
    </row>
    <row r="1702" spans="1:26">
      <c r="A1702" s="185" t="s">
        <v>2879</v>
      </c>
      <c r="B1702" s="185" t="s">
        <v>2886</v>
      </c>
      <c r="C1702" s="185" t="s">
        <v>1897</v>
      </c>
      <c r="D1702" s="185" t="s">
        <v>2887</v>
      </c>
      <c r="E1702" s="185">
        <v>510568</v>
      </c>
      <c r="F1702" s="185" t="s">
        <v>680</v>
      </c>
      <c r="G1702" s="185" t="s">
        <v>2888</v>
      </c>
      <c r="H1702" s="185" t="s">
        <v>1515</v>
      </c>
      <c r="I1702" s="258" t="str">
        <f t="shared" si="79"/>
        <v>5</v>
      </c>
      <c r="J1702" s="221">
        <f t="shared" si="80"/>
        <v>6700</v>
      </c>
      <c r="K1702" s="258">
        <f t="shared" si="81"/>
        <v>6</v>
      </c>
      <c r="L1702" s="188">
        <v>6700</v>
      </c>
      <c r="M1702" s="188">
        <v>0</v>
      </c>
      <c r="N1702" s="189">
        <v>860002503</v>
      </c>
      <c r="O1702" t="s">
        <v>2886</v>
      </c>
      <c r="P1702" s="187">
        <v>45112</v>
      </c>
      <c r="Q1702" s="186">
        <v>12368</v>
      </c>
      <c r="R1702" s="185" t="s">
        <v>433</v>
      </c>
      <c r="S1702" s="185" t="s">
        <v>1656</v>
      </c>
      <c r="T1702"/>
      <c r="U1702" t="str">
        <f>IF($L1702&gt;0,VLOOKUP($E1702,Valida!$A$1:$G$270,6,FALSE),IF($M1702&gt;=0,VLOOKUP($E1702,Valida!$A$1:$G$270,7,FALSE)))</f>
        <v>(+/-) Ganancia (pérdida)</v>
      </c>
      <c r="V1702" s="190" t="str">
        <f>VLOOKUP(E1702,Valida!$A$2:$K$271,4,FALSE)</f>
        <v>P&amp;L</v>
      </c>
      <c r="W1702" s="185" t="s">
        <v>1912</v>
      </c>
      <c r="X1702" s="185" t="s">
        <v>1913</v>
      </c>
      <c r="Y1702" s="185" t="s">
        <v>1789</v>
      </c>
      <c r="Z1702"/>
    </row>
    <row r="1703" spans="1:26">
      <c r="A1703" s="185" t="s">
        <v>2879</v>
      </c>
      <c r="B1703" s="185" t="s">
        <v>2886</v>
      </c>
      <c r="C1703" s="185" t="s">
        <v>1897</v>
      </c>
      <c r="D1703" s="185" t="s">
        <v>2887</v>
      </c>
      <c r="E1703" s="185">
        <v>510568</v>
      </c>
      <c r="F1703" s="185" t="s">
        <v>680</v>
      </c>
      <c r="G1703" s="185" t="s">
        <v>2888</v>
      </c>
      <c r="H1703" s="185" t="s">
        <v>1515</v>
      </c>
      <c r="I1703" s="258" t="str">
        <f t="shared" si="79"/>
        <v>5</v>
      </c>
      <c r="J1703" s="221">
        <f t="shared" si="80"/>
        <v>11700</v>
      </c>
      <c r="K1703" s="258">
        <f t="shared" si="81"/>
        <v>6</v>
      </c>
      <c r="L1703" s="188">
        <v>11700</v>
      </c>
      <c r="M1703" s="188">
        <v>0</v>
      </c>
      <c r="N1703" s="189">
        <v>860002503</v>
      </c>
      <c r="O1703" t="s">
        <v>2886</v>
      </c>
      <c r="P1703" s="187">
        <v>45112</v>
      </c>
      <c r="Q1703" s="186">
        <v>12369</v>
      </c>
      <c r="R1703" s="185" t="s">
        <v>433</v>
      </c>
      <c r="S1703" s="185" t="s">
        <v>1656</v>
      </c>
      <c r="T1703"/>
      <c r="U1703" t="str">
        <f>IF($L1703&gt;0,VLOOKUP($E1703,Valida!$A$1:$G$270,6,FALSE),IF($M1703&gt;=0,VLOOKUP($E1703,Valida!$A$1:$G$270,7,FALSE)))</f>
        <v>(+/-) Ganancia (pérdida)</v>
      </c>
      <c r="V1703" s="190" t="str">
        <f>VLOOKUP(E1703,Valida!$A$2:$K$271,4,FALSE)</f>
        <v>P&amp;L</v>
      </c>
      <c r="W1703" s="185" t="s">
        <v>1912</v>
      </c>
      <c r="X1703" s="185" t="s">
        <v>1913</v>
      </c>
      <c r="Y1703" s="185" t="s">
        <v>1789</v>
      </c>
      <c r="Z1703"/>
    </row>
    <row r="1704" spans="1:26">
      <c r="A1704" s="185" t="s">
        <v>2879</v>
      </c>
      <c r="B1704" s="185" t="s">
        <v>2886</v>
      </c>
      <c r="C1704" s="185" t="s">
        <v>1897</v>
      </c>
      <c r="D1704" s="185" t="s">
        <v>2887</v>
      </c>
      <c r="E1704" s="185">
        <v>510568</v>
      </c>
      <c r="F1704" s="185" t="s">
        <v>680</v>
      </c>
      <c r="G1704" s="185" t="s">
        <v>2888</v>
      </c>
      <c r="H1704" s="185" t="s">
        <v>1515</v>
      </c>
      <c r="I1704" s="258" t="str">
        <f t="shared" si="79"/>
        <v>5</v>
      </c>
      <c r="J1704" s="221">
        <f t="shared" si="80"/>
        <v>11500</v>
      </c>
      <c r="K1704" s="258">
        <f t="shared" si="81"/>
        <v>6</v>
      </c>
      <c r="L1704" s="188">
        <v>11500</v>
      </c>
      <c r="M1704" s="188">
        <v>0</v>
      </c>
      <c r="N1704" s="189">
        <v>860002503</v>
      </c>
      <c r="O1704" t="s">
        <v>2886</v>
      </c>
      <c r="P1704" s="187">
        <v>45112</v>
      </c>
      <c r="Q1704" s="186">
        <v>12370</v>
      </c>
      <c r="R1704" s="185" t="s">
        <v>433</v>
      </c>
      <c r="S1704" s="185" t="s">
        <v>1656</v>
      </c>
      <c r="T1704"/>
      <c r="U1704" t="str">
        <f>IF($L1704&gt;0,VLOOKUP($E1704,Valida!$A$1:$G$270,6,FALSE),IF($M1704&gt;=0,VLOOKUP($E1704,Valida!$A$1:$G$270,7,FALSE)))</f>
        <v>(+/-) Ganancia (pérdida)</v>
      </c>
      <c r="V1704" s="190" t="str">
        <f>VLOOKUP(E1704,Valida!$A$2:$K$271,4,FALSE)</f>
        <v>P&amp;L</v>
      </c>
      <c r="W1704" s="185" t="s">
        <v>1912</v>
      </c>
      <c r="X1704" s="185" t="s">
        <v>1913</v>
      </c>
      <c r="Y1704" s="185" t="s">
        <v>1789</v>
      </c>
      <c r="Z1704"/>
    </row>
    <row r="1705" spans="1:26">
      <c r="A1705" s="185" t="s">
        <v>2907</v>
      </c>
      <c r="B1705" s="185" t="s">
        <v>2912</v>
      </c>
      <c r="C1705" s="185" t="s">
        <v>1890</v>
      </c>
      <c r="D1705" s="185" t="s">
        <v>2913</v>
      </c>
      <c r="E1705" s="185">
        <v>112005</v>
      </c>
      <c r="F1705" s="185" t="s">
        <v>24</v>
      </c>
      <c r="G1705" s="185" t="s">
        <v>2906</v>
      </c>
      <c r="H1705" s="185" t="s">
        <v>1628</v>
      </c>
      <c r="I1705" s="258" t="str">
        <f t="shared" si="79"/>
        <v>1</v>
      </c>
      <c r="J1705" s="221">
        <f t="shared" si="80"/>
        <v>-1544777</v>
      </c>
      <c r="K1705" s="258">
        <f t="shared" si="81"/>
        <v>6</v>
      </c>
      <c r="L1705" s="188">
        <v>0</v>
      </c>
      <c r="M1705" s="188">
        <v>1544777</v>
      </c>
      <c r="N1705" s="189">
        <v>1100623759</v>
      </c>
      <c r="O1705" t="s">
        <v>2912</v>
      </c>
      <c r="P1705" s="187">
        <v>45114.485150462999</v>
      </c>
      <c r="Q1705" s="186">
        <v>12411</v>
      </c>
      <c r="R1705" s="185"/>
      <c r="S1705" s="185" t="s">
        <v>1536</v>
      </c>
      <c r="T1705" t="s">
        <v>1894</v>
      </c>
      <c r="U1705" t="str">
        <f>IF($L1705&gt;0,VLOOKUP($E1705,Valida!$A$1:$G$270,6,FALSE),IF($M1705&gt;=0,VLOOKUP($E1705,Valida!$A$1:$G$270,7,FALSE)))</f>
        <v>Disponible</v>
      </c>
      <c r="V1705" s="190" t="str">
        <f>VLOOKUP(E1705,Valida!$A$2:$K$271,4,FALSE)</f>
        <v>Cash and equivalents</v>
      </c>
      <c r="W1705" s="185" t="s">
        <v>2730</v>
      </c>
      <c r="X1705" s="185"/>
      <c r="Y1705" s="185" t="s">
        <v>1789</v>
      </c>
      <c r="Z1705"/>
    </row>
    <row r="1706" spans="1:26">
      <c r="A1706" s="185" t="s">
        <v>2907</v>
      </c>
      <c r="B1706" s="185" t="s">
        <v>2914</v>
      </c>
      <c r="C1706" s="185" t="s">
        <v>1890</v>
      </c>
      <c r="D1706" s="185" t="s">
        <v>2915</v>
      </c>
      <c r="E1706" s="185">
        <v>250505</v>
      </c>
      <c r="F1706" s="185" t="s">
        <v>767</v>
      </c>
      <c r="G1706" s="185" t="s">
        <v>2906</v>
      </c>
      <c r="H1706" s="185" t="s">
        <v>1515</v>
      </c>
      <c r="I1706" s="258" t="str">
        <f t="shared" si="79"/>
        <v>2</v>
      </c>
      <c r="J1706" s="221">
        <f t="shared" si="80"/>
        <v>1858109</v>
      </c>
      <c r="K1706" s="258">
        <f t="shared" si="81"/>
        <v>6</v>
      </c>
      <c r="L1706" s="188">
        <v>1858109</v>
      </c>
      <c r="M1706" s="188">
        <v>0</v>
      </c>
      <c r="N1706" s="189">
        <v>1130744136</v>
      </c>
      <c r="O1706" t="s">
        <v>2914</v>
      </c>
      <c r="P1706" s="187">
        <v>45114.485520833303</v>
      </c>
      <c r="Q1706" s="186">
        <v>12412</v>
      </c>
      <c r="R1706" s="185"/>
      <c r="S1706" s="185" t="s">
        <v>1538</v>
      </c>
      <c r="T1706"/>
      <c r="U1706" t="str">
        <f>IF($L1706&gt;0,VLOOKUP($E1706,Valida!$A$1:$G$270,6,FALSE),IF($M1706&gt;=0,VLOOKUP($E1706,Valida!$A$1:$G$270,7,FALSE)))</f>
        <v>(+/-) Ajustes por el incremento (disminución) de cuentas por pagar de origen comercial</v>
      </c>
      <c r="V1706" s="190" t="str">
        <f>VLOOKUP(E1706,Valida!$A$2:$K$271,4,FALSE)</f>
        <v>Trade and other payables</v>
      </c>
      <c r="W1706" s="185" t="s">
        <v>1909</v>
      </c>
      <c r="X1706" s="185" t="s">
        <v>1910</v>
      </c>
      <c r="Y1706" s="185" t="s">
        <v>1789</v>
      </c>
      <c r="Z1706"/>
    </row>
    <row r="1707" spans="1:26">
      <c r="A1707" s="185" t="s">
        <v>2907</v>
      </c>
      <c r="B1707" s="185" t="s">
        <v>2914</v>
      </c>
      <c r="C1707" s="185" t="s">
        <v>1890</v>
      </c>
      <c r="D1707" s="185" t="s">
        <v>2915</v>
      </c>
      <c r="E1707" s="185">
        <v>112005</v>
      </c>
      <c r="F1707" s="185" t="s">
        <v>24</v>
      </c>
      <c r="G1707" s="185" t="s">
        <v>2906</v>
      </c>
      <c r="H1707" s="185" t="s">
        <v>1628</v>
      </c>
      <c r="I1707" s="258" t="str">
        <f t="shared" si="79"/>
        <v>1</v>
      </c>
      <c r="J1707" s="221">
        <f t="shared" si="80"/>
        <v>-1858109</v>
      </c>
      <c r="K1707" s="258">
        <f t="shared" si="81"/>
        <v>6</v>
      </c>
      <c r="L1707" s="188">
        <v>0</v>
      </c>
      <c r="M1707" s="188">
        <v>1858109</v>
      </c>
      <c r="N1707" s="189">
        <v>1130744136</v>
      </c>
      <c r="O1707" t="s">
        <v>2914</v>
      </c>
      <c r="P1707" s="187">
        <v>45114.485520833303</v>
      </c>
      <c r="Q1707" s="186">
        <v>12413</v>
      </c>
      <c r="R1707" s="185"/>
      <c r="S1707" s="185" t="s">
        <v>1538</v>
      </c>
      <c r="T1707" t="s">
        <v>1894</v>
      </c>
      <c r="U1707" t="str">
        <f>IF($L1707&gt;0,VLOOKUP($E1707,Valida!$A$1:$G$270,6,FALSE),IF($M1707&gt;=0,VLOOKUP($E1707,Valida!$A$1:$G$270,7,FALSE)))</f>
        <v>Disponible</v>
      </c>
      <c r="V1707" s="190" t="str">
        <f>VLOOKUP(E1707,Valida!$A$2:$K$271,4,FALSE)</f>
        <v>Cash and equivalents</v>
      </c>
      <c r="W1707" s="185" t="s">
        <v>1909</v>
      </c>
      <c r="X1707" s="185" t="s">
        <v>1910</v>
      </c>
      <c r="Y1707" s="185" t="s">
        <v>1789</v>
      </c>
      <c r="Z1707"/>
    </row>
    <row r="1708" spans="1:26">
      <c r="A1708" s="185" t="s">
        <v>2879</v>
      </c>
      <c r="B1708" s="185" t="s">
        <v>2886</v>
      </c>
      <c r="C1708" s="185" t="s">
        <v>1897</v>
      </c>
      <c r="D1708" s="185" t="s">
        <v>2887</v>
      </c>
      <c r="E1708" s="185">
        <v>510570</v>
      </c>
      <c r="F1708" s="185" t="s">
        <v>1116</v>
      </c>
      <c r="G1708" s="185" t="s">
        <v>2890</v>
      </c>
      <c r="H1708" s="185" t="s">
        <v>1515</v>
      </c>
      <c r="I1708" s="258" t="str">
        <f t="shared" si="79"/>
        <v>5</v>
      </c>
      <c r="J1708" s="221">
        <f t="shared" si="80"/>
        <v>139200</v>
      </c>
      <c r="K1708" s="258">
        <f t="shared" si="81"/>
        <v>6</v>
      </c>
      <c r="L1708" s="188">
        <v>139200</v>
      </c>
      <c r="M1708" s="188">
        <v>0</v>
      </c>
      <c r="N1708" s="189">
        <v>800224808</v>
      </c>
      <c r="O1708" t="s">
        <v>2886</v>
      </c>
      <c r="P1708" s="187">
        <v>45112</v>
      </c>
      <c r="Q1708" s="186">
        <v>12374</v>
      </c>
      <c r="R1708" s="185" t="s">
        <v>1827</v>
      </c>
      <c r="S1708" s="185" t="s">
        <v>1662</v>
      </c>
      <c r="T1708"/>
      <c r="U1708" t="str">
        <f>IF($L1708&gt;0,VLOOKUP($E1708,Valida!$A$1:$G$270,6,FALSE),IF($M1708&gt;=0,VLOOKUP($E1708,Valida!$A$1:$G$270,7,FALSE)))</f>
        <v>(+/-) Ganancia (pérdida)</v>
      </c>
      <c r="V1708" s="190" t="str">
        <f>VLOOKUP(E1708,Valida!$A$2:$K$271,4,FALSE)</f>
        <v>P&amp;L</v>
      </c>
      <c r="W1708" s="185" t="s">
        <v>1911</v>
      </c>
      <c r="X1708" s="185"/>
      <c r="Y1708" s="185" t="s">
        <v>1789</v>
      </c>
      <c r="Z1708"/>
    </row>
    <row r="1709" spans="1:26">
      <c r="A1709" s="185" t="s">
        <v>2879</v>
      </c>
      <c r="B1709" s="185" t="s">
        <v>2886</v>
      </c>
      <c r="C1709" s="185" t="s">
        <v>1897</v>
      </c>
      <c r="D1709" s="185" t="s">
        <v>2887</v>
      </c>
      <c r="E1709" s="185">
        <v>510570</v>
      </c>
      <c r="F1709" s="185" t="s">
        <v>1116</v>
      </c>
      <c r="G1709" s="185" t="s">
        <v>2890</v>
      </c>
      <c r="H1709" s="185" t="s">
        <v>1515</v>
      </c>
      <c r="I1709" s="258" t="str">
        <f t="shared" si="79"/>
        <v>5</v>
      </c>
      <c r="J1709" s="221">
        <f t="shared" si="80"/>
        <v>180000</v>
      </c>
      <c r="K1709" s="258">
        <f t="shared" si="81"/>
        <v>6</v>
      </c>
      <c r="L1709" s="188">
        <v>180000</v>
      </c>
      <c r="M1709" s="188">
        <v>0</v>
      </c>
      <c r="N1709" s="189">
        <v>800224808</v>
      </c>
      <c r="O1709" t="s">
        <v>2886</v>
      </c>
      <c r="P1709" s="187">
        <v>45112</v>
      </c>
      <c r="Q1709" s="186">
        <v>12375</v>
      </c>
      <c r="R1709" s="185" t="s">
        <v>1827</v>
      </c>
      <c r="S1709" s="185" t="s">
        <v>1662</v>
      </c>
      <c r="T1709"/>
      <c r="U1709" t="str">
        <f>IF($L1709&gt;0,VLOOKUP($E1709,Valida!$A$1:$G$270,6,FALSE),IF($M1709&gt;=0,VLOOKUP($E1709,Valida!$A$1:$G$270,7,FALSE)))</f>
        <v>(+/-) Ganancia (pérdida)</v>
      </c>
      <c r="V1709" s="190" t="str">
        <f>VLOOKUP(E1709,Valida!$A$2:$K$271,4,FALSE)</f>
        <v>P&amp;L</v>
      </c>
      <c r="W1709" s="185" t="s">
        <v>1911</v>
      </c>
      <c r="X1709" s="185"/>
      <c r="Y1709" s="185" t="s">
        <v>1789</v>
      </c>
      <c r="Z1709"/>
    </row>
    <row r="1710" spans="1:26">
      <c r="A1710" s="185" t="s">
        <v>2879</v>
      </c>
      <c r="B1710" s="185" t="s">
        <v>2886</v>
      </c>
      <c r="C1710" s="185" t="s">
        <v>1897</v>
      </c>
      <c r="D1710" s="185" t="s">
        <v>2887</v>
      </c>
      <c r="E1710" s="185">
        <v>510570</v>
      </c>
      <c r="F1710" s="185" t="s">
        <v>1116</v>
      </c>
      <c r="G1710" s="185" t="s">
        <v>2890</v>
      </c>
      <c r="H1710" s="185" t="s">
        <v>1515</v>
      </c>
      <c r="I1710" s="258" t="str">
        <f t="shared" si="79"/>
        <v>5</v>
      </c>
      <c r="J1710" s="221">
        <f t="shared" si="80"/>
        <v>181000</v>
      </c>
      <c r="K1710" s="258">
        <f t="shared" si="81"/>
        <v>6</v>
      </c>
      <c r="L1710" s="188">
        <v>181000</v>
      </c>
      <c r="M1710" s="188">
        <v>0</v>
      </c>
      <c r="N1710" s="189">
        <v>800224808</v>
      </c>
      <c r="O1710" t="s">
        <v>2886</v>
      </c>
      <c r="P1710" s="187">
        <v>45112</v>
      </c>
      <c r="Q1710" s="186">
        <v>12376</v>
      </c>
      <c r="R1710" s="185" t="s">
        <v>1827</v>
      </c>
      <c r="S1710" s="185" t="s">
        <v>1662</v>
      </c>
      <c r="T1710"/>
      <c r="U1710" t="str">
        <f>IF($L1710&gt;0,VLOOKUP($E1710,Valida!$A$1:$G$270,6,FALSE),IF($M1710&gt;=0,VLOOKUP($E1710,Valida!$A$1:$G$270,7,FALSE)))</f>
        <v>(+/-) Ganancia (pérdida)</v>
      </c>
      <c r="V1710" s="190" t="str">
        <f>VLOOKUP(E1710,Valida!$A$2:$K$271,4,FALSE)</f>
        <v>P&amp;L</v>
      </c>
      <c r="W1710" s="185" t="s">
        <v>1911</v>
      </c>
      <c r="X1710" s="185"/>
      <c r="Y1710" s="185" t="s">
        <v>1789</v>
      </c>
      <c r="Z1710"/>
    </row>
    <row r="1711" spans="1:26">
      <c r="A1711" s="185" t="s">
        <v>2879</v>
      </c>
      <c r="B1711" s="185" t="s">
        <v>2886</v>
      </c>
      <c r="C1711" s="185" t="s">
        <v>1897</v>
      </c>
      <c r="D1711" s="185" t="s">
        <v>2887</v>
      </c>
      <c r="E1711" s="185">
        <v>510570</v>
      </c>
      <c r="F1711" s="185" t="s">
        <v>1116</v>
      </c>
      <c r="G1711" s="185" t="s">
        <v>2890</v>
      </c>
      <c r="H1711" s="185" t="s">
        <v>1515</v>
      </c>
      <c r="I1711" s="258" t="str">
        <f t="shared" si="79"/>
        <v>5</v>
      </c>
      <c r="J1711" s="221">
        <f t="shared" si="80"/>
        <v>268278</v>
      </c>
      <c r="K1711" s="258">
        <f t="shared" si="81"/>
        <v>6</v>
      </c>
      <c r="L1711" s="188">
        <v>268278</v>
      </c>
      <c r="M1711" s="188">
        <v>0</v>
      </c>
      <c r="N1711" s="189">
        <v>800224808</v>
      </c>
      <c r="O1711" t="s">
        <v>2886</v>
      </c>
      <c r="P1711" s="187">
        <v>45112</v>
      </c>
      <c r="Q1711" s="186">
        <v>12377</v>
      </c>
      <c r="R1711" s="185" t="s">
        <v>1827</v>
      </c>
      <c r="S1711" s="185" t="s">
        <v>1662</v>
      </c>
      <c r="T1711"/>
      <c r="U1711" t="str">
        <f>IF($L1711&gt;0,VLOOKUP($E1711,Valida!$A$1:$G$270,6,FALSE),IF($M1711&gt;=0,VLOOKUP($E1711,Valida!$A$1:$G$270,7,FALSE)))</f>
        <v>(+/-) Ganancia (pérdida)</v>
      </c>
      <c r="V1711" s="190" t="str">
        <f>VLOOKUP(E1711,Valida!$A$2:$K$271,4,FALSE)</f>
        <v>P&amp;L</v>
      </c>
      <c r="W1711" s="185" t="s">
        <v>1911</v>
      </c>
      <c r="X1711" s="185"/>
      <c r="Y1711" s="185" t="s">
        <v>1789</v>
      </c>
      <c r="Z1711"/>
    </row>
    <row r="1712" spans="1:26">
      <c r="A1712" s="185" t="s">
        <v>2879</v>
      </c>
      <c r="B1712" s="185" t="s">
        <v>2886</v>
      </c>
      <c r="C1712" s="185" t="s">
        <v>1897</v>
      </c>
      <c r="D1712" s="185" t="s">
        <v>2887</v>
      </c>
      <c r="E1712" s="185">
        <v>510570</v>
      </c>
      <c r="F1712" s="185" t="s">
        <v>1116</v>
      </c>
      <c r="G1712" s="185" t="s">
        <v>2890</v>
      </c>
      <c r="H1712" s="185" t="s">
        <v>1515</v>
      </c>
      <c r="I1712" s="258" t="str">
        <f t="shared" si="79"/>
        <v>5</v>
      </c>
      <c r="J1712" s="221">
        <f t="shared" si="80"/>
        <v>264000</v>
      </c>
      <c r="K1712" s="258">
        <f t="shared" si="81"/>
        <v>6</v>
      </c>
      <c r="L1712" s="188">
        <v>264000</v>
      </c>
      <c r="M1712" s="188">
        <v>0</v>
      </c>
      <c r="N1712" s="189">
        <v>800224808</v>
      </c>
      <c r="O1712" t="s">
        <v>2886</v>
      </c>
      <c r="P1712" s="187">
        <v>45112</v>
      </c>
      <c r="Q1712" s="186">
        <v>12378</v>
      </c>
      <c r="R1712" s="185" t="s">
        <v>1827</v>
      </c>
      <c r="S1712" s="185" t="s">
        <v>1662</v>
      </c>
      <c r="T1712"/>
      <c r="U1712" t="str">
        <f>IF($L1712&gt;0,VLOOKUP($E1712,Valida!$A$1:$G$270,6,FALSE),IF($M1712&gt;=0,VLOOKUP($E1712,Valida!$A$1:$G$270,7,FALSE)))</f>
        <v>(+/-) Ganancia (pérdida)</v>
      </c>
      <c r="V1712" s="190" t="str">
        <f>VLOOKUP(E1712,Valida!$A$2:$K$271,4,FALSE)</f>
        <v>P&amp;L</v>
      </c>
      <c r="W1712" s="185" t="s">
        <v>1911</v>
      </c>
      <c r="X1712" s="185"/>
      <c r="Y1712" s="185" t="s">
        <v>1789</v>
      </c>
      <c r="Z1712"/>
    </row>
    <row r="1713" spans="1:26">
      <c r="A1713" s="185" t="s">
        <v>2879</v>
      </c>
      <c r="B1713" s="185" t="s">
        <v>2886</v>
      </c>
      <c r="C1713" s="185" t="s">
        <v>1897</v>
      </c>
      <c r="D1713" s="185" t="s">
        <v>2887</v>
      </c>
      <c r="E1713" s="185">
        <v>510570</v>
      </c>
      <c r="F1713" s="185" t="s">
        <v>1116</v>
      </c>
      <c r="G1713" s="185" t="s">
        <v>2890</v>
      </c>
      <c r="H1713" s="185" t="s">
        <v>1515</v>
      </c>
      <c r="I1713" s="258" t="str">
        <f t="shared" si="79"/>
        <v>5</v>
      </c>
      <c r="J1713" s="221">
        <f t="shared" si="80"/>
        <v>153160</v>
      </c>
      <c r="K1713" s="258">
        <f t="shared" si="81"/>
        <v>6</v>
      </c>
      <c r="L1713" s="188">
        <v>153160</v>
      </c>
      <c r="M1713" s="188">
        <v>0</v>
      </c>
      <c r="N1713" s="189">
        <v>800227940</v>
      </c>
      <c r="O1713" t="s">
        <v>2886</v>
      </c>
      <c r="P1713" s="187">
        <v>45112</v>
      </c>
      <c r="Q1713" s="186">
        <v>12379</v>
      </c>
      <c r="R1713" s="185"/>
      <c r="S1713" s="185" t="s">
        <v>1664</v>
      </c>
      <c r="T1713"/>
      <c r="U1713" t="str">
        <f>IF($L1713&gt;0,VLOOKUP($E1713,Valida!$A$1:$G$270,6,FALSE),IF($M1713&gt;=0,VLOOKUP($E1713,Valida!$A$1:$G$270,7,FALSE)))</f>
        <v>(+/-) Ganancia (pérdida)</v>
      </c>
      <c r="V1713" s="190" t="str">
        <f>VLOOKUP(E1713,Valida!$A$2:$K$271,4,FALSE)</f>
        <v>P&amp;L</v>
      </c>
      <c r="W1713" s="185"/>
      <c r="X1713" s="185"/>
      <c r="Y1713" s="185"/>
      <c r="Z1713"/>
    </row>
    <row r="1714" spans="1:26">
      <c r="A1714" s="185" t="s">
        <v>2907</v>
      </c>
      <c r="B1714" s="185" t="s">
        <v>2916</v>
      </c>
      <c r="C1714" s="185" t="s">
        <v>1890</v>
      </c>
      <c r="D1714" s="185" t="s">
        <v>2917</v>
      </c>
      <c r="E1714" s="185">
        <v>250505</v>
      </c>
      <c r="F1714" s="185" t="s">
        <v>767</v>
      </c>
      <c r="G1714" s="185" t="s">
        <v>2906</v>
      </c>
      <c r="H1714" s="185" t="s">
        <v>1515</v>
      </c>
      <c r="I1714" s="258" t="str">
        <f t="shared" si="79"/>
        <v>2</v>
      </c>
      <c r="J1714" s="221">
        <f t="shared" si="80"/>
        <v>1739651</v>
      </c>
      <c r="K1714" s="258">
        <f t="shared" si="81"/>
        <v>6</v>
      </c>
      <c r="L1714" s="188">
        <v>1739651</v>
      </c>
      <c r="M1714" s="188">
        <v>0</v>
      </c>
      <c r="N1714" s="189">
        <v>1020842223</v>
      </c>
      <c r="O1714" t="s">
        <v>2916</v>
      </c>
      <c r="P1714" s="187">
        <v>45114.485868055599</v>
      </c>
      <c r="Q1714" s="186">
        <v>12414</v>
      </c>
      <c r="R1714" s="185"/>
      <c r="S1714" s="185" t="s">
        <v>1532</v>
      </c>
      <c r="T1714"/>
      <c r="U1714" t="str">
        <f>IF($L1714&gt;0,VLOOKUP($E1714,Valida!$A$1:$G$270,6,FALSE),IF($M1714&gt;=0,VLOOKUP($E1714,Valida!$A$1:$G$270,7,FALSE)))</f>
        <v>(+/-) Ajustes por el incremento (disminución) de cuentas por pagar de origen comercial</v>
      </c>
      <c r="V1714" s="190" t="str">
        <f>VLOOKUP(E1714,Valida!$A$2:$K$271,4,FALSE)</f>
        <v>Trade and other payables</v>
      </c>
      <c r="W1714" s="185" t="s">
        <v>1900</v>
      </c>
      <c r="X1714" s="185"/>
      <c r="Y1714" s="185" t="s">
        <v>1789</v>
      </c>
      <c r="Z1714"/>
    </row>
    <row r="1715" spans="1:26">
      <c r="A1715" s="185" t="s">
        <v>2907</v>
      </c>
      <c r="B1715" s="185" t="s">
        <v>2916</v>
      </c>
      <c r="C1715" s="185" t="s">
        <v>1890</v>
      </c>
      <c r="D1715" s="185" t="s">
        <v>2917</v>
      </c>
      <c r="E1715" s="185">
        <v>112005</v>
      </c>
      <c r="F1715" s="185" t="s">
        <v>24</v>
      </c>
      <c r="G1715" s="185" t="s">
        <v>2906</v>
      </c>
      <c r="H1715" s="185" t="s">
        <v>1628</v>
      </c>
      <c r="I1715" s="258" t="str">
        <f t="shared" si="79"/>
        <v>1</v>
      </c>
      <c r="J1715" s="221">
        <f t="shared" si="80"/>
        <v>-1739651</v>
      </c>
      <c r="K1715" s="258">
        <f t="shared" si="81"/>
        <v>6</v>
      </c>
      <c r="L1715" s="188">
        <v>0</v>
      </c>
      <c r="M1715" s="188">
        <v>1739651</v>
      </c>
      <c r="N1715" s="189">
        <v>1020842223</v>
      </c>
      <c r="O1715" t="s">
        <v>2916</v>
      </c>
      <c r="P1715" s="187">
        <v>45114.485868055599</v>
      </c>
      <c r="Q1715" s="186">
        <v>12415</v>
      </c>
      <c r="R1715" s="185"/>
      <c r="S1715" s="185" t="s">
        <v>1532</v>
      </c>
      <c r="T1715" t="s">
        <v>1894</v>
      </c>
      <c r="U1715" t="str">
        <f>IF($L1715&gt;0,VLOOKUP($E1715,Valida!$A$1:$G$270,6,FALSE),IF($M1715&gt;=0,VLOOKUP($E1715,Valida!$A$1:$G$270,7,FALSE)))</f>
        <v>Disponible</v>
      </c>
      <c r="V1715" s="190" t="str">
        <f>VLOOKUP(E1715,Valida!$A$2:$K$271,4,FALSE)</f>
        <v>Cash and equivalents</v>
      </c>
      <c r="W1715" s="185" t="s">
        <v>1900</v>
      </c>
      <c r="X1715" s="185"/>
      <c r="Y1715" s="185" t="s">
        <v>1789</v>
      </c>
      <c r="Z1715"/>
    </row>
    <row r="1716" spans="1:26">
      <c r="A1716" s="185" t="s">
        <v>2879</v>
      </c>
      <c r="B1716" s="185" t="s">
        <v>2918</v>
      </c>
      <c r="C1716" s="185" t="s">
        <v>1960</v>
      </c>
      <c r="D1716" s="185" t="s">
        <v>2919</v>
      </c>
      <c r="E1716" s="185">
        <v>112005</v>
      </c>
      <c r="F1716" s="185" t="s">
        <v>24</v>
      </c>
      <c r="G1716" s="185" t="s">
        <v>1961</v>
      </c>
      <c r="H1716" s="185" t="s">
        <v>1515</v>
      </c>
      <c r="I1716" s="258" t="str">
        <f t="shared" si="79"/>
        <v>1</v>
      </c>
      <c r="J1716" s="221">
        <f t="shared" si="80"/>
        <v>2408.7800000000002</v>
      </c>
      <c r="K1716" s="258">
        <f t="shared" si="81"/>
        <v>6</v>
      </c>
      <c r="L1716" s="188">
        <v>2408.7800000000002</v>
      </c>
      <c r="M1716" s="188">
        <v>0</v>
      </c>
      <c r="N1716" s="189">
        <v>890903938</v>
      </c>
      <c r="O1716" t="s">
        <v>2918</v>
      </c>
      <c r="P1716" s="187">
        <v>45114.486678240697</v>
      </c>
      <c r="Q1716" s="186">
        <v>12416</v>
      </c>
      <c r="R1716" s="185" t="s">
        <v>1827</v>
      </c>
      <c r="S1716" s="185" t="s">
        <v>1580</v>
      </c>
      <c r="T1716" t="s">
        <v>1894</v>
      </c>
      <c r="U1716" t="str">
        <f>IF($L1716&gt;0,VLOOKUP($E1716,Valida!$A$1:$G$270,6,FALSE),IF($M1716&gt;=0,VLOOKUP($E1716,Valida!$A$1:$G$270,7,FALSE)))</f>
        <v>Disponible</v>
      </c>
      <c r="V1716" s="190" t="str">
        <f>VLOOKUP(E1716,Valida!$A$2:$K$271,4,FALSE)</f>
        <v>Cash and equivalents</v>
      </c>
      <c r="W1716" s="185" t="s">
        <v>1955</v>
      </c>
      <c r="X1716" s="185"/>
      <c r="Y1716" s="185" t="s">
        <v>1844</v>
      </c>
      <c r="Z1716"/>
    </row>
    <row r="1717" spans="1:26">
      <c r="A1717" s="185" t="s">
        <v>2879</v>
      </c>
      <c r="B1717" s="185" t="s">
        <v>2886</v>
      </c>
      <c r="C1717" s="185" t="s">
        <v>1897</v>
      </c>
      <c r="D1717" s="185" t="s">
        <v>2887</v>
      </c>
      <c r="E1717" s="185">
        <v>510572</v>
      </c>
      <c r="F1717" s="185" t="s">
        <v>1118</v>
      </c>
      <c r="G1717" s="185" t="s">
        <v>2889</v>
      </c>
      <c r="H1717" s="185" t="s">
        <v>1515</v>
      </c>
      <c r="I1717" s="258" t="str">
        <f t="shared" si="79"/>
        <v>5</v>
      </c>
      <c r="J1717" s="221">
        <f t="shared" si="80"/>
        <v>23200</v>
      </c>
      <c r="K1717" s="258">
        <f t="shared" si="81"/>
        <v>6</v>
      </c>
      <c r="L1717" s="188">
        <v>23200</v>
      </c>
      <c r="M1717" s="188">
        <v>0</v>
      </c>
      <c r="N1717" s="189">
        <v>860066942</v>
      </c>
      <c r="O1717" t="s">
        <v>2886</v>
      </c>
      <c r="P1717" s="187">
        <v>45112</v>
      </c>
      <c r="Q1717" s="186">
        <v>12380</v>
      </c>
      <c r="R1717" s="185" t="s">
        <v>1814</v>
      </c>
      <c r="S1717" s="185" t="s">
        <v>1574</v>
      </c>
      <c r="T1717"/>
      <c r="U1717" t="str">
        <f>IF($L1717&gt;0,VLOOKUP($E1717,Valida!$A$1:$G$270,6,FALSE),IF($M1717&gt;=0,VLOOKUP($E1717,Valida!$A$1:$G$270,7,FALSE)))</f>
        <v>(+/-) Ganancia (pérdida)</v>
      </c>
      <c r="V1717" s="190" t="str">
        <f>VLOOKUP(E1717,Valida!$A$2:$K$271,4,FALSE)</f>
        <v>P&amp;L</v>
      </c>
      <c r="W1717" s="185" t="s">
        <v>1914</v>
      </c>
      <c r="X1717" s="185" t="s">
        <v>1915</v>
      </c>
      <c r="Y1717" s="185" t="s">
        <v>1789</v>
      </c>
      <c r="Z1717"/>
    </row>
    <row r="1718" spans="1:26">
      <c r="A1718" s="185" t="s">
        <v>2879</v>
      </c>
      <c r="B1718" s="185" t="s">
        <v>2886</v>
      </c>
      <c r="C1718" s="185" t="s">
        <v>1897</v>
      </c>
      <c r="D1718" s="185" t="s">
        <v>2887</v>
      </c>
      <c r="E1718" s="185">
        <v>510572</v>
      </c>
      <c r="F1718" s="185" t="s">
        <v>1118</v>
      </c>
      <c r="G1718" s="185" t="s">
        <v>2889</v>
      </c>
      <c r="H1718" s="185" t="s">
        <v>1515</v>
      </c>
      <c r="I1718" s="258" t="str">
        <f t="shared" si="79"/>
        <v>5</v>
      </c>
      <c r="J1718" s="221">
        <f t="shared" si="80"/>
        <v>30000</v>
      </c>
      <c r="K1718" s="258">
        <f t="shared" si="81"/>
        <v>6</v>
      </c>
      <c r="L1718" s="188">
        <v>30000</v>
      </c>
      <c r="M1718" s="188">
        <v>0</v>
      </c>
      <c r="N1718" s="189">
        <v>860066942</v>
      </c>
      <c r="O1718" t="s">
        <v>2886</v>
      </c>
      <c r="P1718" s="187">
        <v>45112</v>
      </c>
      <c r="Q1718" s="186">
        <v>12381</v>
      </c>
      <c r="R1718" s="185" t="s">
        <v>1814</v>
      </c>
      <c r="S1718" s="185" t="s">
        <v>1574</v>
      </c>
      <c r="T1718"/>
      <c r="U1718" t="str">
        <f>IF($L1718&gt;0,VLOOKUP($E1718,Valida!$A$1:$G$270,6,FALSE),IF($M1718&gt;=0,VLOOKUP($E1718,Valida!$A$1:$G$270,7,FALSE)))</f>
        <v>(+/-) Ganancia (pérdida)</v>
      </c>
      <c r="V1718" s="190" t="str">
        <f>VLOOKUP(E1718,Valida!$A$2:$K$271,4,FALSE)</f>
        <v>P&amp;L</v>
      </c>
      <c r="W1718" s="185" t="s">
        <v>1914</v>
      </c>
      <c r="X1718" s="185" t="s">
        <v>1915</v>
      </c>
      <c r="Y1718" s="185" t="s">
        <v>1789</v>
      </c>
      <c r="Z1718"/>
    </row>
    <row r="1719" spans="1:26">
      <c r="A1719" s="185" t="s">
        <v>2879</v>
      </c>
      <c r="B1719" s="185" t="s">
        <v>2886</v>
      </c>
      <c r="C1719" s="185" t="s">
        <v>1897</v>
      </c>
      <c r="D1719" s="185" t="s">
        <v>2887</v>
      </c>
      <c r="E1719" s="185">
        <v>510572</v>
      </c>
      <c r="F1719" s="185" t="s">
        <v>1118</v>
      </c>
      <c r="G1719" s="185" t="s">
        <v>2889</v>
      </c>
      <c r="H1719" s="185" t="s">
        <v>1515</v>
      </c>
      <c r="I1719" s="258" t="str">
        <f t="shared" si="79"/>
        <v>5</v>
      </c>
      <c r="J1719" s="221">
        <f t="shared" si="80"/>
        <v>25500</v>
      </c>
      <c r="K1719" s="258">
        <f t="shared" si="81"/>
        <v>6</v>
      </c>
      <c r="L1719" s="188">
        <v>25500</v>
      </c>
      <c r="M1719" s="188">
        <v>0</v>
      </c>
      <c r="N1719" s="189">
        <v>860066942</v>
      </c>
      <c r="O1719" t="s">
        <v>2886</v>
      </c>
      <c r="P1719" s="187">
        <v>45112</v>
      </c>
      <c r="Q1719" s="186">
        <v>12382</v>
      </c>
      <c r="R1719" s="185" t="s">
        <v>1814</v>
      </c>
      <c r="S1719" s="185" t="s">
        <v>1574</v>
      </c>
      <c r="T1719"/>
      <c r="U1719" t="str">
        <f>IF($L1719&gt;0,VLOOKUP($E1719,Valida!$A$1:$G$270,6,FALSE),IF($M1719&gt;=0,VLOOKUP($E1719,Valida!$A$1:$G$270,7,FALSE)))</f>
        <v>(+/-) Ganancia (pérdida)</v>
      </c>
      <c r="V1719" s="190" t="str">
        <f>VLOOKUP(E1719,Valida!$A$2:$K$271,4,FALSE)</f>
        <v>P&amp;L</v>
      </c>
      <c r="W1719" s="185" t="s">
        <v>1914</v>
      </c>
      <c r="X1719" s="185" t="s">
        <v>1915</v>
      </c>
      <c r="Y1719" s="185" t="s">
        <v>1789</v>
      </c>
      <c r="Z1719"/>
    </row>
    <row r="1720" spans="1:26">
      <c r="A1720" s="185" t="s">
        <v>2879</v>
      </c>
      <c r="B1720" s="185" t="s">
        <v>2886</v>
      </c>
      <c r="C1720" s="185" t="s">
        <v>1897</v>
      </c>
      <c r="D1720" s="185" t="s">
        <v>2887</v>
      </c>
      <c r="E1720" s="185">
        <v>510572</v>
      </c>
      <c r="F1720" s="185" t="s">
        <v>1118</v>
      </c>
      <c r="G1720" s="185" t="s">
        <v>2889</v>
      </c>
      <c r="H1720" s="185" t="s">
        <v>1515</v>
      </c>
      <c r="I1720" s="258" t="str">
        <f t="shared" si="79"/>
        <v>5</v>
      </c>
      <c r="J1720" s="221">
        <f t="shared" si="80"/>
        <v>25600</v>
      </c>
      <c r="K1720" s="258">
        <f t="shared" si="81"/>
        <v>6</v>
      </c>
      <c r="L1720" s="188">
        <v>25600</v>
      </c>
      <c r="M1720" s="188">
        <v>0</v>
      </c>
      <c r="N1720" s="189">
        <v>860066942</v>
      </c>
      <c r="O1720" t="s">
        <v>2886</v>
      </c>
      <c r="P1720" s="187">
        <v>45112</v>
      </c>
      <c r="Q1720" s="186">
        <v>12383</v>
      </c>
      <c r="R1720" s="185" t="s">
        <v>1814</v>
      </c>
      <c r="S1720" s="185" t="s">
        <v>1574</v>
      </c>
      <c r="T1720"/>
      <c r="U1720" t="str">
        <f>IF($L1720&gt;0,VLOOKUP($E1720,Valida!$A$1:$G$270,6,FALSE),IF($M1720&gt;=0,VLOOKUP($E1720,Valida!$A$1:$G$270,7,FALSE)))</f>
        <v>(+/-) Ganancia (pérdida)</v>
      </c>
      <c r="V1720" s="190" t="str">
        <f>VLOOKUP(E1720,Valida!$A$2:$K$271,4,FALSE)</f>
        <v>P&amp;L</v>
      </c>
      <c r="W1720" s="185" t="s">
        <v>1914</v>
      </c>
      <c r="X1720" s="185" t="s">
        <v>1915</v>
      </c>
      <c r="Y1720" s="185" t="s">
        <v>1789</v>
      </c>
      <c r="Z1720"/>
    </row>
    <row r="1721" spans="1:26">
      <c r="A1721" s="185" t="s">
        <v>2879</v>
      </c>
      <c r="B1721" s="185" t="s">
        <v>2886</v>
      </c>
      <c r="C1721" s="185" t="s">
        <v>1897</v>
      </c>
      <c r="D1721" s="185" t="s">
        <v>2887</v>
      </c>
      <c r="E1721" s="185">
        <v>510572</v>
      </c>
      <c r="F1721" s="185" t="s">
        <v>1118</v>
      </c>
      <c r="G1721" s="185" t="s">
        <v>2889</v>
      </c>
      <c r="H1721" s="185" t="s">
        <v>1515</v>
      </c>
      <c r="I1721" s="258" t="str">
        <f t="shared" si="79"/>
        <v>5</v>
      </c>
      <c r="J1721" s="221">
        <f t="shared" si="80"/>
        <v>44800</v>
      </c>
      <c r="K1721" s="258">
        <f t="shared" si="81"/>
        <v>6</v>
      </c>
      <c r="L1721" s="188">
        <v>44800</v>
      </c>
      <c r="M1721" s="188">
        <v>0</v>
      </c>
      <c r="N1721" s="189">
        <v>860066942</v>
      </c>
      <c r="O1721" t="s">
        <v>2886</v>
      </c>
      <c r="P1721" s="187">
        <v>45112</v>
      </c>
      <c r="Q1721" s="186">
        <v>12384</v>
      </c>
      <c r="R1721" s="185" t="s">
        <v>1814</v>
      </c>
      <c r="S1721" s="185" t="s">
        <v>1574</v>
      </c>
      <c r="T1721"/>
      <c r="U1721" t="str">
        <f>IF($L1721&gt;0,VLOOKUP($E1721,Valida!$A$1:$G$270,6,FALSE),IF($M1721&gt;=0,VLOOKUP($E1721,Valida!$A$1:$G$270,7,FALSE)))</f>
        <v>(+/-) Ganancia (pérdida)</v>
      </c>
      <c r="V1721" s="190" t="str">
        <f>VLOOKUP(E1721,Valida!$A$2:$K$271,4,FALSE)</f>
        <v>P&amp;L</v>
      </c>
      <c r="W1721" s="185" t="s">
        <v>1914</v>
      </c>
      <c r="X1721" s="185" t="s">
        <v>1915</v>
      </c>
      <c r="Y1721" s="185" t="s">
        <v>1789</v>
      </c>
      <c r="Z1721"/>
    </row>
    <row r="1722" spans="1:26">
      <c r="A1722" s="185" t="s">
        <v>2879</v>
      </c>
      <c r="B1722" s="185" t="s">
        <v>2886</v>
      </c>
      <c r="C1722" s="185" t="s">
        <v>1897</v>
      </c>
      <c r="D1722" s="185" t="s">
        <v>2887</v>
      </c>
      <c r="E1722" s="185">
        <v>510572</v>
      </c>
      <c r="F1722" s="185" t="s">
        <v>1118</v>
      </c>
      <c r="G1722" s="185" t="s">
        <v>2889</v>
      </c>
      <c r="H1722" s="185" t="s">
        <v>1515</v>
      </c>
      <c r="I1722" s="258" t="str">
        <f t="shared" si="79"/>
        <v>5</v>
      </c>
      <c r="J1722" s="221">
        <f t="shared" si="80"/>
        <v>44000</v>
      </c>
      <c r="K1722" s="258">
        <f t="shared" si="81"/>
        <v>6</v>
      </c>
      <c r="L1722" s="188">
        <v>44000</v>
      </c>
      <c r="M1722" s="188">
        <v>0</v>
      </c>
      <c r="N1722" s="189">
        <v>860066942</v>
      </c>
      <c r="O1722" t="s">
        <v>2886</v>
      </c>
      <c r="P1722" s="187">
        <v>45112</v>
      </c>
      <c r="Q1722" s="186">
        <v>12385</v>
      </c>
      <c r="R1722" s="185" t="s">
        <v>1814</v>
      </c>
      <c r="S1722" s="185" t="s">
        <v>1574</v>
      </c>
      <c r="T1722"/>
      <c r="U1722" t="str">
        <f>IF($L1722&gt;0,VLOOKUP($E1722,Valida!$A$1:$G$270,6,FALSE),IF($M1722&gt;=0,VLOOKUP($E1722,Valida!$A$1:$G$270,7,FALSE)))</f>
        <v>(+/-) Ganancia (pérdida)</v>
      </c>
      <c r="V1722" s="190" t="str">
        <f>VLOOKUP(E1722,Valida!$A$2:$K$271,4,FALSE)</f>
        <v>P&amp;L</v>
      </c>
      <c r="W1722" s="185" t="s">
        <v>1914</v>
      </c>
      <c r="X1722" s="185" t="s">
        <v>1915</v>
      </c>
      <c r="Y1722" s="185" t="s">
        <v>1789</v>
      </c>
      <c r="Z1722"/>
    </row>
    <row r="1723" spans="1:26">
      <c r="A1723" s="185" t="s">
        <v>2879</v>
      </c>
      <c r="B1723" s="185" t="s">
        <v>2918</v>
      </c>
      <c r="C1723" s="185" t="s">
        <v>1960</v>
      </c>
      <c r="D1723" s="185" t="s">
        <v>2919</v>
      </c>
      <c r="E1723" s="185">
        <v>42100501</v>
      </c>
      <c r="F1723" s="185" t="s">
        <v>1039</v>
      </c>
      <c r="G1723" s="185" t="s">
        <v>1961</v>
      </c>
      <c r="H1723" s="185" t="s">
        <v>1628</v>
      </c>
      <c r="I1723" s="258" t="str">
        <f t="shared" si="79"/>
        <v>4</v>
      </c>
      <c r="J1723" s="221">
        <f t="shared" si="80"/>
        <v>-2408.7800000000002</v>
      </c>
      <c r="K1723" s="258">
        <f t="shared" si="81"/>
        <v>6</v>
      </c>
      <c r="L1723" s="188">
        <v>0</v>
      </c>
      <c r="M1723" s="188">
        <v>2408.7800000000002</v>
      </c>
      <c r="N1723" s="189">
        <v>890903938</v>
      </c>
      <c r="O1723" t="s">
        <v>2918</v>
      </c>
      <c r="P1723" s="187">
        <v>45114.486678240697</v>
      </c>
      <c r="Q1723" s="186">
        <v>12417</v>
      </c>
      <c r="R1723" s="185" t="s">
        <v>1827</v>
      </c>
      <c r="S1723" s="185" t="s">
        <v>1580</v>
      </c>
      <c r="T1723"/>
      <c r="U1723" t="str">
        <f>IF($L1723&gt;0,VLOOKUP($E1723,Valida!$A$1:$G$270,6,FALSE),IF($M1723&gt;=0,VLOOKUP($E1723,Valida!$A$1:$G$270,7,FALSE)))</f>
        <v>(+/-) Ganancia (pérdida)</v>
      </c>
      <c r="V1723" s="190" t="str">
        <f>VLOOKUP(E1723,Valida!$A$2:$K$271,4,FALSE)</f>
        <v>P&amp;L</v>
      </c>
      <c r="W1723" s="185" t="s">
        <v>1955</v>
      </c>
      <c r="X1723" s="185"/>
      <c r="Y1723" s="185" t="s">
        <v>1844</v>
      </c>
      <c r="Z1723"/>
    </row>
    <row r="1724" spans="1:26">
      <c r="A1724" s="185" t="s">
        <v>2879</v>
      </c>
      <c r="B1724" s="185" t="s">
        <v>2920</v>
      </c>
      <c r="C1724" s="185" t="s">
        <v>1952</v>
      </c>
      <c r="D1724" s="185" t="s">
        <v>2598</v>
      </c>
      <c r="E1724" s="185">
        <v>53050501</v>
      </c>
      <c r="F1724" s="185" t="s">
        <v>1462</v>
      </c>
      <c r="G1724" s="185" t="s">
        <v>1954</v>
      </c>
      <c r="H1724" s="185" t="s">
        <v>1515</v>
      </c>
      <c r="I1724" s="258" t="str">
        <f t="shared" si="79"/>
        <v>5</v>
      </c>
      <c r="J1724" s="221">
        <f t="shared" si="80"/>
        <v>69200</v>
      </c>
      <c r="K1724" s="258">
        <f t="shared" si="81"/>
        <v>6</v>
      </c>
      <c r="L1724" s="188">
        <v>69200</v>
      </c>
      <c r="M1724" s="188">
        <v>0</v>
      </c>
      <c r="N1724" s="189">
        <v>890903938</v>
      </c>
      <c r="O1724" t="s">
        <v>2920</v>
      </c>
      <c r="P1724" s="187">
        <v>45114.489930555603</v>
      </c>
      <c r="Q1724" s="186">
        <v>12418</v>
      </c>
      <c r="R1724" s="185" t="s">
        <v>1827</v>
      </c>
      <c r="S1724" s="185" t="s">
        <v>1580</v>
      </c>
      <c r="T1724"/>
      <c r="U1724" t="str">
        <f>IF($L1724&gt;0,VLOOKUP($E1724,Valida!$A$1:$G$270,6,FALSE),IF($M1724&gt;=0,VLOOKUP($E1724,Valida!$A$1:$G$270,7,FALSE)))</f>
        <v>(+/-) Ganancia (pérdida)</v>
      </c>
      <c r="V1724" s="190" t="str">
        <f>VLOOKUP(E1724,Valida!$A$2:$K$271,4,FALSE)</f>
        <v>P&amp;L</v>
      </c>
      <c r="W1724" s="185" t="s">
        <v>1955</v>
      </c>
      <c r="X1724" s="185"/>
      <c r="Y1724" s="185" t="s">
        <v>1844</v>
      </c>
      <c r="Z1724"/>
    </row>
    <row r="1725" spans="1:26">
      <c r="A1725" s="185" t="s">
        <v>2879</v>
      </c>
      <c r="B1725" s="185" t="s">
        <v>2920</v>
      </c>
      <c r="C1725" s="185" t="s">
        <v>1952</v>
      </c>
      <c r="D1725" s="185" t="s">
        <v>2598</v>
      </c>
      <c r="E1725" s="185">
        <v>24081002</v>
      </c>
      <c r="F1725" s="185" t="s">
        <v>1687</v>
      </c>
      <c r="G1725" s="185" t="s">
        <v>1954</v>
      </c>
      <c r="H1725" s="185" t="s">
        <v>1515</v>
      </c>
      <c r="I1725" s="258" t="str">
        <f t="shared" si="79"/>
        <v>2</v>
      </c>
      <c r="J1725" s="221">
        <f t="shared" si="80"/>
        <v>13148</v>
      </c>
      <c r="K1725" s="258">
        <f t="shared" si="81"/>
        <v>6</v>
      </c>
      <c r="L1725" s="188">
        <v>13148</v>
      </c>
      <c r="M1725" s="188">
        <v>0</v>
      </c>
      <c r="N1725" s="189">
        <v>890903938</v>
      </c>
      <c r="O1725" t="s">
        <v>2920</v>
      </c>
      <c r="P1725" s="187">
        <v>45114.489930555603</v>
      </c>
      <c r="Q1725" s="186">
        <v>12419</v>
      </c>
      <c r="R1725" s="185" t="s">
        <v>1827</v>
      </c>
      <c r="S1725" s="185" t="s">
        <v>1580</v>
      </c>
      <c r="T1725"/>
      <c r="U1725" t="str">
        <f>IF($L1725&gt;0,VLOOKUP($E1725,Valida!$A$1:$G$270,6,FALSE),IF($M1725&gt;=0,VLOOKUP($E1725,Valida!$A$1:$G$270,7,FALSE)))</f>
        <v>(+/-) Ajustes por el incremento (disminución) de cuentas por pagar de origen comercial</v>
      </c>
      <c r="V1725" s="190" t="str">
        <f>VLOOKUP(E1725,Valida!$A$2:$K$271,4,FALSE)</f>
        <v>Trade and other payables</v>
      </c>
      <c r="W1725" s="185" t="s">
        <v>1955</v>
      </c>
      <c r="X1725" s="185"/>
      <c r="Y1725" s="185" t="s">
        <v>1844</v>
      </c>
      <c r="Z1725"/>
    </row>
    <row r="1726" spans="1:26">
      <c r="A1726" s="185" t="s">
        <v>2879</v>
      </c>
      <c r="B1726" s="185" t="s">
        <v>2920</v>
      </c>
      <c r="C1726" s="185" t="s">
        <v>1952</v>
      </c>
      <c r="D1726" s="185" t="s">
        <v>2598</v>
      </c>
      <c r="E1726" s="185">
        <v>112005</v>
      </c>
      <c r="F1726" s="185" t="s">
        <v>24</v>
      </c>
      <c r="G1726" s="185" t="s">
        <v>1954</v>
      </c>
      <c r="H1726" s="185" t="s">
        <v>1628</v>
      </c>
      <c r="I1726" s="258" t="str">
        <f t="shared" si="79"/>
        <v>1</v>
      </c>
      <c r="J1726" s="221">
        <f t="shared" si="80"/>
        <v>-82348</v>
      </c>
      <c r="K1726" s="258">
        <f t="shared" si="81"/>
        <v>6</v>
      </c>
      <c r="L1726" s="188">
        <v>0</v>
      </c>
      <c r="M1726" s="188">
        <v>82348</v>
      </c>
      <c r="N1726" s="189">
        <v>890903938</v>
      </c>
      <c r="O1726" t="s">
        <v>2920</v>
      </c>
      <c r="P1726" s="187">
        <v>45114.489930555603</v>
      </c>
      <c r="Q1726" s="186">
        <v>12420</v>
      </c>
      <c r="R1726" s="185" t="s">
        <v>1827</v>
      </c>
      <c r="S1726" s="185" t="s">
        <v>1580</v>
      </c>
      <c r="T1726" t="s">
        <v>1894</v>
      </c>
      <c r="U1726" t="str">
        <f>IF($L1726&gt;0,VLOOKUP($E1726,Valida!$A$1:$G$270,6,FALSE),IF($M1726&gt;=0,VLOOKUP($E1726,Valida!$A$1:$G$270,7,FALSE)))</f>
        <v>Disponible</v>
      </c>
      <c r="V1726" s="190" t="str">
        <f>VLOOKUP(E1726,Valida!$A$2:$K$271,4,FALSE)</f>
        <v>Cash and equivalents</v>
      </c>
      <c r="W1726" s="185" t="s">
        <v>1955</v>
      </c>
      <c r="X1726" s="185"/>
      <c r="Y1726" s="185" t="s">
        <v>1844</v>
      </c>
      <c r="Z1726"/>
    </row>
    <row r="1727" spans="1:26">
      <c r="A1727" s="185" t="s">
        <v>2879</v>
      </c>
      <c r="B1727" s="185" t="s">
        <v>2920</v>
      </c>
      <c r="C1727" s="185" t="s">
        <v>1952</v>
      </c>
      <c r="D1727" s="185" t="s">
        <v>2598</v>
      </c>
      <c r="E1727" s="185">
        <v>53050503</v>
      </c>
      <c r="F1727" s="185" t="s">
        <v>1468</v>
      </c>
      <c r="G1727" s="185" t="s">
        <v>1957</v>
      </c>
      <c r="H1727" s="185" t="s">
        <v>1515</v>
      </c>
      <c r="I1727" s="258" t="str">
        <f t="shared" si="79"/>
        <v>5</v>
      </c>
      <c r="J1727" s="221">
        <f t="shared" si="80"/>
        <v>66970</v>
      </c>
      <c r="K1727" s="258">
        <f t="shared" si="81"/>
        <v>6</v>
      </c>
      <c r="L1727" s="188">
        <v>66970</v>
      </c>
      <c r="M1727" s="188">
        <v>0</v>
      </c>
      <c r="N1727" s="189">
        <v>890903938</v>
      </c>
      <c r="O1727" t="s">
        <v>2920</v>
      </c>
      <c r="P1727" s="187">
        <v>45114.489930555603</v>
      </c>
      <c r="Q1727" s="186">
        <v>12421</v>
      </c>
      <c r="R1727" s="185" t="s">
        <v>1827</v>
      </c>
      <c r="S1727" s="185" t="s">
        <v>1580</v>
      </c>
      <c r="T1727"/>
      <c r="U1727" t="str">
        <f>IF($L1727&gt;0,VLOOKUP($E1727,Valida!$A$1:$G$270,6,FALSE),IF($M1727&gt;=0,VLOOKUP($E1727,Valida!$A$1:$G$270,7,FALSE)))</f>
        <v>(+/-) Ganancia (pérdida)</v>
      </c>
      <c r="V1727" s="190" t="str">
        <f>VLOOKUP(E1727,Valida!$A$2:$K$271,4,FALSE)</f>
        <v>P&amp;L</v>
      </c>
      <c r="W1727" s="185" t="s">
        <v>1955</v>
      </c>
      <c r="X1727" s="185"/>
      <c r="Y1727" s="185" t="s">
        <v>1844</v>
      </c>
      <c r="Z1727"/>
    </row>
    <row r="1728" spans="1:26">
      <c r="A1728" s="185" t="s">
        <v>2879</v>
      </c>
      <c r="B1728" s="185" t="s">
        <v>2920</v>
      </c>
      <c r="C1728" s="185" t="s">
        <v>1952</v>
      </c>
      <c r="D1728" s="185" t="s">
        <v>2598</v>
      </c>
      <c r="E1728" s="185">
        <v>24081002</v>
      </c>
      <c r="F1728" s="185" t="s">
        <v>1687</v>
      </c>
      <c r="G1728" s="185" t="s">
        <v>1957</v>
      </c>
      <c r="H1728" s="185" t="s">
        <v>1515</v>
      </c>
      <c r="I1728" s="258" t="str">
        <f t="shared" si="79"/>
        <v>2</v>
      </c>
      <c r="J1728" s="221">
        <f t="shared" si="80"/>
        <v>12724.3</v>
      </c>
      <c r="K1728" s="258">
        <f t="shared" si="81"/>
        <v>6</v>
      </c>
      <c r="L1728" s="188">
        <v>12724.3</v>
      </c>
      <c r="M1728" s="188">
        <v>0</v>
      </c>
      <c r="N1728" s="189">
        <v>890903938</v>
      </c>
      <c r="O1728" t="s">
        <v>2920</v>
      </c>
      <c r="P1728" s="187">
        <v>45114.489930555603</v>
      </c>
      <c r="Q1728" s="186">
        <v>12422</v>
      </c>
      <c r="R1728" s="185" t="s">
        <v>1827</v>
      </c>
      <c r="S1728" s="185" t="s">
        <v>1580</v>
      </c>
      <c r="T1728"/>
      <c r="U1728" t="str">
        <f>IF($L1728&gt;0,VLOOKUP($E1728,Valida!$A$1:$G$270,6,FALSE),IF($M1728&gt;=0,VLOOKUP($E1728,Valida!$A$1:$G$270,7,FALSE)))</f>
        <v>(+/-) Ajustes por el incremento (disminución) de cuentas por pagar de origen comercial</v>
      </c>
      <c r="V1728" s="190" t="str">
        <f>VLOOKUP(E1728,Valida!$A$2:$K$271,4,FALSE)</f>
        <v>Trade and other payables</v>
      </c>
      <c r="W1728" s="185" t="s">
        <v>1955</v>
      </c>
      <c r="X1728" s="185"/>
      <c r="Y1728" s="185" t="s">
        <v>1844</v>
      </c>
      <c r="Z1728"/>
    </row>
    <row r="1729" spans="1:26">
      <c r="A1729" s="185" t="s">
        <v>2879</v>
      </c>
      <c r="B1729" s="185" t="s">
        <v>2920</v>
      </c>
      <c r="C1729" s="185" t="s">
        <v>1952</v>
      </c>
      <c r="D1729" s="185" t="s">
        <v>2598</v>
      </c>
      <c r="E1729" s="185">
        <v>112005</v>
      </c>
      <c r="F1729" s="185" t="s">
        <v>24</v>
      </c>
      <c r="G1729" s="185" t="s">
        <v>1957</v>
      </c>
      <c r="H1729" s="185" t="s">
        <v>1628</v>
      </c>
      <c r="I1729" s="258" t="str">
        <f t="shared" si="79"/>
        <v>1</v>
      </c>
      <c r="J1729" s="221">
        <f t="shared" si="80"/>
        <v>-79694.3</v>
      </c>
      <c r="K1729" s="258">
        <f t="shared" si="81"/>
        <v>6</v>
      </c>
      <c r="L1729" s="188">
        <v>0</v>
      </c>
      <c r="M1729" s="188">
        <v>79694.3</v>
      </c>
      <c r="N1729" s="189">
        <v>890903938</v>
      </c>
      <c r="O1729" t="s">
        <v>2920</v>
      </c>
      <c r="P1729" s="187">
        <v>45114.489930555603</v>
      </c>
      <c r="Q1729" s="186">
        <v>12423</v>
      </c>
      <c r="R1729" s="185" t="s">
        <v>1827</v>
      </c>
      <c r="S1729" s="185" t="s">
        <v>1580</v>
      </c>
      <c r="T1729" t="s">
        <v>1894</v>
      </c>
      <c r="U1729" t="str">
        <f>IF($L1729&gt;0,VLOOKUP($E1729,Valida!$A$1:$G$270,6,FALSE),IF($M1729&gt;=0,VLOOKUP($E1729,Valida!$A$1:$G$270,7,FALSE)))</f>
        <v>Disponible</v>
      </c>
      <c r="V1729" s="190" t="str">
        <f>VLOOKUP(E1729,Valida!$A$2:$K$271,4,FALSE)</f>
        <v>Cash and equivalents</v>
      </c>
      <c r="W1729" s="185" t="s">
        <v>1955</v>
      </c>
      <c r="X1729" s="185"/>
      <c r="Y1729" s="185" t="s">
        <v>1844</v>
      </c>
      <c r="Z1729"/>
    </row>
    <row r="1730" spans="1:26">
      <c r="A1730" s="185" t="s">
        <v>2879</v>
      </c>
      <c r="B1730" s="185" t="s">
        <v>2920</v>
      </c>
      <c r="C1730" s="185" t="s">
        <v>1952</v>
      </c>
      <c r="D1730" s="185" t="s">
        <v>2598</v>
      </c>
      <c r="E1730" s="185">
        <v>53050502</v>
      </c>
      <c r="F1730" s="185" t="s">
        <v>1465</v>
      </c>
      <c r="G1730" s="185" t="s">
        <v>1466</v>
      </c>
      <c r="H1730" s="185" t="s">
        <v>1515</v>
      </c>
      <c r="I1730" s="258" t="str">
        <f t="shared" si="79"/>
        <v>5</v>
      </c>
      <c r="J1730" s="221">
        <f t="shared" si="80"/>
        <v>12990</v>
      </c>
      <c r="K1730" s="258">
        <f t="shared" si="81"/>
        <v>6</v>
      </c>
      <c r="L1730" s="188">
        <v>12990</v>
      </c>
      <c r="M1730" s="188">
        <v>0</v>
      </c>
      <c r="N1730" s="189">
        <v>890903938</v>
      </c>
      <c r="O1730" t="s">
        <v>2920</v>
      </c>
      <c r="P1730" s="187">
        <v>45114.489930555603</v>
      </c>
      <c r="Q1730" s="186">
        <v>12424</v>
      </c>
      <c r="R1730" s="185" t="s">
        <v>1827</v>
      </c>
      <c r="S1730" s="185" t="s">
        <v>1580</v>
      </c>
      <c r="T1730"/>
      <c r="U1730" t="str">
        <f>IF($L1730&gt;0,VLOOKUP($E1730,Valida!$A$1:$G$270,6,FALSE),IF($M1730&gt;=0,VLOOKUP($E1730,Valida!$A$1:$G$270,7,FALSE)))</f>
        <v>(+/-) Ganancia (pérdida)</v>
      </c>
      <c r="V1730" s="190" t="str">
        <f>VLOOKUP(E1730,Valida!$A$2:$K$271,4,FALSE)</f>
        <v>P&amp;L</v>
      </c>
      <c r="W1730" s="185" t="s">
        <v>1955</v>
      </c>
      <c r="X1730" s="185"/>
      <c r="Y1730" s="185" t="s">
        <v>1844</v>
      </c>
      <c r="Z1730"/>
    </row>
    <row r="1731" spans="1:26">
      <c r="A1731" s="185" t="s">
        <v>2879</v>
      </c>
      <c r="B1731" s="185" t="s">
        <v>2920</v>
      </c>
      <c r="C1731" s="185" t="s">
        <v>1952</v>
      </c>
      <c r="D1731" s="185" t="s">
        <v>2598</v>
      </c>
      <c r="E1731" s="185">
        <v>112005</v>
      </c>
      <c r="F1731" s="185" t="s">
        <v>24</v>
      </c>
      <c r="G1731" s="185" t="s">
        <v>1466</v>
      </c>
      <c r="H1731" s="185" t="s">
        <v>1628</v>
      </c>
      <c r="I1731" s="258" t="str">
        <f t="shared" ref="I1731:I1794" si="82">LEFT(E1731,1)</f>
        <v>1</v>
      </c>
      <c r="J1731" s="221">
        <f t="shared" ref="J1731:J1794" si="83">L1731-M1731</f>
        <v>-12990</v>
      </c>
      <c r="K1731" s="258">
        <f t="shared" ref="K1731:K1794" si="84">MONTH(A1731)</f>
        <v>6</v>
      </c>
      <c r="L1731" s="188">
        <v>0</v>
      </c>
      <c r="M1731" s="188">
        <v>12990</v>
      </c>
      <c r="N1731" s="189">
        <v>890903938</v>
      </c>
      <c r="O1731" t="s">
        <v>2920</v>
      </c>
      <c r="P1731" s="187">
        <v>45114.489930555603</v>
      </c>
      <c r="Q1731" s="186">
        <v>12425</v>
      </c>
      <c r="R1731" s="185" t="s">
        <v>1827</v>
      </c>
      <c r="S1731" s="185" t="s">
        <v>1580</v>
      </c>
      <c r="T1731" t="s">
        <v>1894</v>
      </c>
      <c r="U1731" t="str">
        <f>IF($L1731&gt;0,VLOOKUP($E1731,Valida!$A$1:$G$270,6,FALSE),IF($M1731&gt;=0,VLOOKUP($E1731,Valida!$A$1:$G$270,7,FALSE)))</f>
        <v>Disponible</v>
      </c>
      <c r="V1731" s="190" t="str">
        <f>VLOOKUP(E1731,Valida!$A$2:$K$271,4,FALSE)</f>
        <v>Cash and equivalents</v>
      </c>
      <c r="W1731" s="185" t="s">
        <v>1955</v>
      </c>
      <c r="X1731" s="185"/>
      <c r="Y1731" s="185" t="s">
        <v>1844</v>
      </c>
      <c r="Z1731"/>
    </row>
    <row r="1732" spans="1:26">
      <c r="A1732" s="185" t="s">
        <v>2879</v>
      </c>
      <c r="B1732" s="185" t="s">
        <v>2920</v>
      </c>
      <c r="C1732" s="185" t="s">
        <v>1952</v>
      </c>
      <c r="D1732" s="185" t="s">
        <v>2598</v>
      </c>
      <c r="E1732" s="185">
        <v>51159501</v>
      </c>
      <c r="F1732" s="185" t="s">
        <v>1181</v>
      </c>
      <c r="G1732" s="185" t="s">
        <v>1958</v>
      </c>
      <c r="H1732" s="185" t="s">
        <v>1515</v>
      </c>
      <c r="I1732" s="258" t="str">
        <f t="shared" si="82"/>
        <v>5</v>
      </c>
      <c r="J1732" s="221">
        <f t="shared" si="83"/>
        <v>213712.93</v>
      </c>
      <c r="K1732" s="258">
        <f t="shared" si="84"/>
        <v>6</v>
      </c>
      <c r="L1732" s="188">
        <v>213712.93</v>
      </c>
      <c r="M1732" s="188">
        <v>0</v>
      </c>
      <c r="N1732" s="189">
        <v>890903938</v>
      </c>
      <c r="O1732" t="s">
        <v>2920</v>
      </c>
      <c r="P1732" s="187">
        <v>45114.489930555603</v>
      </c>
      <c r="Q1732" s="186">
        <v>12426</v>
      </c>
      <c r="R1732" s="185" t="s">
        <v>1827</v>
      </c>
      <c r="S1732" s="185" t="s">
        <v>1580</v>
      </c>
      <c r="T1732"/>
      <c r="U1732" t="str">
        <f>IF($L1732&gt;0,VLOOKUP($E1732,Valida!$A$1:$G$270,6,FALSE),IF($M1732&gt;=0,VLOOKUP($E1732,Valida!$A$1:$G$270,7,FALSE)))</f>
        <v>(+/-) Ganancia (pérdida)</v>
      </c>
      <c r="V1732" s="190" t="str">
        <f>VLOOKUP(E1732,Valida!$A$2:$K$271,4,FALSE)</f>
        <v>P&amp;L</v>
      </c>
      <c r="W1732" s="185" t="s">
        <v>1955</v>
      </c>
      <c r="X1732" s="185"/>
      <c r="Y1732" s="185" t="s">
        <v>1844</v>
      </c>
      <c r="Z1732"/>
    </row>
    <row r="1733" spans="1:26">
      <c r="A1733" s="185" t="s">
        <v>2879</v>
      </c>
      <c r="B1733" s="185" t="s">
        <v>2920</v>
      </c>
      <c r="C1733" s="185" t="s">
        <v>1952</v>
      </c>
      <c r="D1733" s="185" t="s">
        <v>2598</v>
      </c>
      <c r="E1733" s="185">
        <v>112005</v>
      </c>
      <c r="F1733" s="185" t="s">
        <v>24</v>
      </c>
      <c r="G1733" s="185" t="s">
        <v>1958</v>
      </c>
      <c r="H1733" s="185" t="s">
        <v>1628</v>
      </c>
      <c r="I1733" s="258" t="str">
        <f t="shared" si="82"/>
        <v>1</v>
      </c>
      <c r="J1733" s="221">
        <f t="shared" si="83"/>
        <v>-213712.93</v>
      </c>
      <c r="K1733" s="258">
        <f t="shared" si="84"/>
        <v>6</v>
      </c>
      <c r="L1733" s="188">
        <v>0</v>
      </c>
      <c r="M1733" s="188">
        <v>213712.93</v>
      </c>
      <c r="N1733" s="189">
        <v>890903938</v>
      </c>
      <c r="O1733" t="s">
        <v>2920</v>
      </c>
      <c r="P1733" s="187">
        <v>45114.4899421296</v>
      </c>
      <c r="Q1733" s="186">
        <v>12427</v>
      </c>
      <c r="R1733" s="185" t="s">
        <v>1827</v>
      </c>
      <c r="S1733" s="185" t="s">
        <v>1580</v>
      </c>
      <c r="T1733" t="s">
        <v>1894</v>
      </c>
      <c r="U1733" t="str">
        <f>IF($L1733&gt;0,VLOOKUP($E1733,Valida!$A$1:$G$270,6,FALSE),IF($M1733&gt;=0,VLOOKUP($E1733,Valida!$A$1:$G$270,7,FALSE)))</f>
        <v>Disponible</v>
      </c>
      <c r="V1733" s="190" t="str">
        <f>VLOOKUP(E1733,Valida!$A$2:$K$271,4,FALSE)</f>
        <v>Cash and equivalents</v>
      </c>
      <c r="W1733" s="185" t="s">
        <v>1955</v>
      </c>
      <c r="X1733" s="185"/>
      <c r="Y1733" s="185" t="s">
        <v>1844</v>
      </c>
      <c r="Z1733"/>
    </row>
    <row r="1734" spans="1:26">
      <c r="A1734" s="185" t="s">
        <v>2879</v>
      </c>
      <c r="B1734" s="185" t="s">
        <v>2921</v>
      </c>
      <c r="C1734" s="185" t="s">
        <v>1991</v>
      </c>
      <c r="D1734" s="185" t="s">
        <v>2922</v>
      </c>
      <c r="E1734" s="185">
        <v>23657502</v>
      </c>
      <c r="F1734" s="185" t="s">
        <v>1646</v>
      </c>
      <c r="G1734" s="185" t="s">
        <v>646</v>
      </c>
      <c r="H1734" s="185" t="s">
        <v>1628</v>
      </c>
      <c r="I1734" s="258" t="str">
        <f t="shared" si="82"/>
        <v>2</v>
      </c>
      <c r="J1734" s="221">
        <f t="shared" si="83"/>
        <v>-1322879</v>
      </c>
      <c r="K1734" s="258">
        <f t="shared" si="84"/>
        <v>6</v>
      </c>
      <c r="L1734" s="188">
        <v>0</v>
      </c>
      <c r="M1734" s="188">
        <v>1322879</v>
      </c>
      <c r="N1734" s="189">
        <v>800197268</v>
      </c>
      <c r="O1734" t="s">
        <v>2921</v>
      </c>
      <c r="P1734" s="187">
        <v>45114.503101851798</v>
      </c>
      <c r="Q1734" s="186">
        <v>12428</v>
      </c>
      <c r="R1734" s="185" t="s">
        <v>983</v>
      </c>
      <c r="S1734" s="185" t="s">
        <v>1558</v>
      </c>
      <c r="T1734"/>
      <c r="U1734" t="str">
        <f>IF($L1734&gt;0,VLOOKUP($E1734,Valida!$A$1:$G$270,6,FALSE),IF($M1734&gt;=0,VLOOKUP($E1734,Valida!$A$1:$G$270,7,FALSE)))</f>
        <v>(+/-) Ajustes por el incremento (disminución) de cuentas por pagar de origen comercial</v>
      </c>
      <c r="V1734" s="190" t="str">
        <f>VLOOKUP(E1734,Valida!$A$2:$K$271,4,FALSE)</f>
        <v>Trade and other payables</v>
      </c>
      <c r="W1734" s="185" t="s">
        <v>1944</v>
      </c>
      <c r="X1734" s="185"/>
      <c r="Y1734" s="185" t="s">
        <v>1789</v>
      </c>
      <c r="Z1734"/>
    </row>
    <row r="1735" spans="1:26">
      <c r="A1735" s="185" t="s">
        <v>2879</v>
      </c>
      <c r="B1735" s="185" t="s">
        <v>2921</v>
      </c>
      <c r="C1735" s="185" t="s">
        <v>1991</v>
      </c>
      <c r="D1735" s="185" t="s">
        <v>2922</v>
      </c>
      <c r="E1735" s="185">
        <v>13551901</v>
      </c>
      <c r="F1735" s="185" t="s">
        <v>271</v>
      </c>
      <c r="G1735" s="185" t="s">
        <v>646</v>
      </c>
      <c r="H1735" s="185" t="s">
        <v>1515</v>
      </c>
      <c r="I1735" s="258" t="str">
        <f t="shared" si="82"/>
        <v>1</v>
      </c>
      <c r="J1735" s="221">
        <f t="shared" si="83"/>
        <v>1322879</v>
      </c>
      <c r="K1735" s="258">
        <f t="shared" si="84"/>
        <v>6</v>
      </c>
      <c r="L1735" s="188">
        <v>1322879</v>
      </c>
      <c r="M1735" s="188">
        <v>0</v>
      </c>
      <c r="N1735" s="189">
        <v>800197268</v>
      </c>
      <c r="O1735" t="s">
        <v>2921</v>
      </c>
      <c r="P1735" s="187">
        <v>45114.503101851798</v>
      </c>
      <c r="Q1735" s="186">
        <v>12429</v>
      </c>
      <c r="R1735" s="185" t="s">
        <v>983</v>
      </c>
      <c r="S1735" s="185" t="s">
        <v>1558</v>
      </c>
      <c r="T1735"/>
      <c r="U1735" t="str">
        <f>IF($L1735&gt;0,VLOOKUP($E1735,Valida!$A$1:$G$270,6,FALSE),IF($M1735&gt;=0,VLOOKUP($E1735,Valida!$A$1:$G$270,7,FALSE)))</f>
        <v>(+/-) Ajustes por disminuciones (incrementos) en otras cuentas por cobrar derivadas de las actividades de operación</v>
      </c>
      <c r="V1735" s="190" t="str">
        <f>VLOOKUP(E1735,Valida!$A$2:$K$271,4,FALSE)</f>
        <v>Prepayments: Taxes</v>
      </c>
      <c r="W1735" s="185" t="s">
        <v>1944</v>
      </c>
      <c r="X1735" s="185"/>
      <c r="Y1735" s="185" t="s">
        <v>1789</v>
      </c>
      <c r="Z1735"/>
    </row>
    <row r="1736" spans="1:26">
      <c r="A1736" s="185" t="s">
        <v>2879</v>
      </c>
      <c r="B1736" s="185" t="s">
        <v>2923</v>
      </c>
      <c r="C1736" s="185" t="s">
        <v>1785</v>
      </c>
      <c r="D1736" s="185" t="s">
        <v>2267</v>
      </c>
      <c r="E1736" s="185">
        <v>51602001</v>
      </c>
      <c r="F1736" s="185" t="s">
        <v>416</v>
      </c>
      <c r="G1736" s="185" t="s">
        <v>2232</v>
      </c>
      <c r="H1736" s="185" t="s">
        <v>1515</v>
      </c>
      <c r="I1736" s="258" t="str">
        <f t="shared" si="82"/>
        <v>5</v>
      </c>
      <c r="J1736" s="221">
        <f t="shared" si="83"/>
        <v>1596762</v>
      </c>
      <c r="K1736" s="258">
        <f t="shared" si="84"/>
        <v>6</v>
      </c>
      <c r="L1736" s="188">
        <v>1596762</v>
      </c>
      <c r="M1736" s="188">
        <v>0</v>
      </c>
      <c r="N1736" s="189">
        <v>901513634</v>
      </c>
      <c r="O1736" t="s">
        <v>2923</v>
      </c>
      <c r="P1736" s="187">
        <v>45114.503368055601</v>
      </c>
      <c r="Q1736" s="186">
        <v>12430</v>
      </c>
      <c r="R1736" s="185" t="s">
        <v>6</v>
      </c>
      <c r="S1736" s="185" t="s">
        <v>1518</v>
      </c>
      <c r="T1736"/>
      <c r="U1736" t="str">
        <f>IF($L1736&gt;0,VLOOKUP($E1736,Valida!$A$1:$G$270,6,FALSE),IF($M1736&gt;=0,VLOOKUP($E1736,Valida!$A$1:$G$270,7,FALSE)))</f>
        <v>(+/-) Ganancia (pérdida)</v>
      </c>
      <c r="V1736" s="190" t="str">
        <f>VLOOKUP(E1736,Valida!$A$2:$K$271,4,FALSE)</f>
        <v>P&amp;L</v>
      </c>
      <c r="W1736" s="185" t="s">
        <v>1787</v>
      </c>
      <c r="X1736" s="185" t="s">
        <v>1788</v>
      </c>
      <c r="Y1736" s="185" t="s">
        <v>1789</v>
      </c>
      <c r="Z1736"/>
    </row>
    <row r="1737" spans="1:26">
      <c r="A1737" s="185" t="s">
        <v>2879</v>
      </c>
      <c r="B1737" s="185" t="s">
        <v>2923</v>
      </c>
      <c r="C1737" s="185" t="s">
        <v>1785</v>
      </c>
      <c r="D1737" s="185" t="s">
        <v>2267</v>
      </c>
      <c r="E1737" s="185">
        <v>15922001</v>
      </c>
      <c r="F1737" s="185" t="s">
        <v>416</v>
      </c>
      <c r="G1737" s="185" t="s">
        <v>2232</v>
      </c>
      <c r="H1737" s="185" t="s">
        <v>1628</v>
      </c>
      <c r="I1737" s="258" t="str">
        <f t="shared" si="82"/>
        <v>1</v>
      </c>
      <c r="J1737" s="221">
        <f t="shared" si="83"/>
        <v>-1596762</v>
      </c>
      <c r="K1737" s="258">
        <f t="shared" si="84"/>
        <v>6</v>
      </c>
      <c r="L1737" s="188">
        <v>0</v>
      </c>
      <c r="M1737" s="188">
        <v>1596762</v>
      </c>
      <c r="N1737" s="189">
        <v>901513634</v>
      </c>
      <c r="O1737" t="s">
        <v>2923</v>
      </c>
      <c r="P1737" s="187">
        <v>45114.503368055601</v>
      </c>
      <c r="Q1737" s="186">
        <v>12431</v>
      </c>
      <c r="R1737" s="185" t="s">
        <v>6</v>
      </c>
      <c r="S1737" s="185" t="s">
        <v>1518</v>
      </c>
      <c r="T1737"/>
      <c r="U1737" t="str">
        <f>IF($L1737&gt;0,VLOOKUP($E1737,Valida!$A$1:$G$270,6,FALSE),IF($M1737&gt;=0,VLOOKUP($E1737,Valida!$A$1:$G$270,7,FALSE)))</f>
        <v>( + ) Ajustes por gastos de depreciación</v>
      </c>
      <c r="V1737" s="190" t="str">
        <f>VLOOKUP(E1737,Valida!$A$2:$K$271,4,FALSE)</f>
        <v>Depreciation</v>
      </c>
      <c r="W1737" s="185" t="s">
        <v>1787</v>
      </c>
      <c r="X1737" s="185" t="s">
        <v>1788</v>
      </c>
      <c r="Y1737" s="185" t="s">
        <v>1789</v>
      </c>
      <c r="Z1737"/>
    </row>
    <row r="1738" spans="1:26">
      <c r="A1738" s="185" t="s">
        <v>2879</v>
      </c>
      <c r="B1738" s="185" t="s">
        <v>2923</v>
      </c>
      <c r="C1738" s="185" t="s">
        <v>1785</v>
      </c>
      <c r="D1738" s="185" t="s">
        <v>2267</v>
      </c>
      <c r="E1738" s="185">
        <v>51602004</v>
      </c>
      <c r="F1738" s="185" t="s">
        <v>404</v>
      </c>
      <c r="G1738" s="185" t="s">
        <v>2236</v>
      </c>
      <c r="H1738" s="185" t="s">
        <v>1515</v>
      </c>
      <c r="I1738" s="258" t="str">
        <f t="shared" si="82"/>
        <v>5</v>
      </c>
      <c r="J1738" s="221">
        <f t="shared" si="83"/>
        <v>163793</v>
      </c>
      <c r="K1738" s="258">
        <f t="shared" si="84"/>
        <v>6</v>
      </c>
      <c r="L1738" s="188">
        <v>163793</v>
      </c>
      <c r="M1738" s="188">
        <v>0</v>
      </c>
      <c r="N1738" s="189">
        <v>901513634</v>
      </c>
      <c r="O1738" t="s">
        <v>2923</v>
      </c>
      <c r="P1738" s="187">
        <v>45114.503368055601</v>
      </c>
      <c r="Q1738" s="186">
        <v>12432</v>
      </c>
      <c r="R1738" s="185" t="s">
        <v>6</v>
      </c>
      <c r="S1738" s="185" t="s">
        <v>1518</v>
      </c>
      <c r="T1738"/>
      <c r="U1738" t="str">
        <f>IF($L1738&gt;0,VLOOKUP($E1738,Valida!$A$1:$G$270,6,FALSE),IF($M1738&gt;=0,VLOOKUP($E1738,Valida!$A$1:$G$270,7,FALSE)))</f>
        <v>(+/-) Ganancia (pérdida)</v>
      </c>
      <c r="V1738" s="190" t="str">
        <f>VLOOKUP(E1738,Valida!$A$2:$K$271,4,FALSE)</f>
        <v>P&amp;L</v>
      </c>
      <c r="W1738" s="185" t="s">
        <v>1787</v>
      </c>
      <c r="X1738" s="185" t="s">
        <v>1788</v>
      </c>
      <c r="Y1738" s="185" t="s">
        <v>1789</v>
      </c>
      <c r="Z1738"/>
    </row>
    <row r="1739" spans="1:26">
      <c r="A1739" s="185" t="s">
        <v>2879</v>
      </c>
      <c r="B1739" s="185" t="s">
        <v>2923</v>
      </c>
      <c r="C1739" s="185" t="s">
        <v>1785</v>
      </c>
      <c r="D1739" s="185" t="s">
        <v>2267</v>
      </c>
      <c r="E1739" s="185">
        <v>15922004</v>
      </c>
      <c r="F1739" s="185" t="s">
        <v>404</v>
      </c>
      <c r="G1739" s="185" t="s">
        <v>2236</v>
      </c>
      <c r="H1739" s="185" t="s">
        <v>1628</v>
      </c>
      <c r="I1739" s="258" t="str">
        <f t="shared" si="82"/>
        <v>1</v>
      </c>
      <c r="J1739" s="221">
        <f t="shared" si="83"/>
        <v>-163793</v>
      </c>
      <c r="K1739" s="258">
        <f t="shared" si="84"/>
        <v>6</v>
      </c>
      <c r="L1739" s="188">
        <v>0</v>
      </c>
      <c r="M1739" s="188">
        <v>163793</v>
      </c>
      <c r="N1739" s="189">
        <v>901513634</v>
      </c>
      <c r="O1739" t="s">
        <v>2923</v>
      </c>
      <c r="P1739" s="187">
        <v>45114.503368055601</v>
      </c>
      <c r="Q1739" s="186">
        <v>12433</v>
      </c>
      <c r="R1739" s="185" t="s">
        <v>6</v>
      </c>
      <c r="S1739" s="185" t="s">
        <v>1518</v>
      </c>
      <c r="T1739"/>
      <c r="U1739" t="str">
        <f>IF($L1739&gt;0,VLOOKUP($E1739,Valida!$A$1:$G$270,6,FALSE),IF($M1739&gt;=0,VLOOKUP($E1739,Valida!$A$1:$G$270,7,FALSE)))</f>
        <v>( + ) Ajustes por gastos de depreciación</v>
      </c>
      <c r="V1739" s="190" t="str">
        <f>VLOOKUP(E1739,Valida!$A$2:$K$271,4,FALSE)</f>
        <v>Depreciation</v>
      </c>
      <c r="W1739" s="185" t="s">
        <v>1787</v>
      </c>
      <c r="X1739" s="185" t="s">
        <v>1788</v>
      </c>
      <c r="Y1739" s="185" t="s">
        <v>1789</v>
      </c>
      <c r="Z1739"/>
    </row>
    <row r="1740" spans="1:26">
      <c r="A1740" s="185" t="s">
        <v>2879</v>
      </c>
      <c r="B1740" s="185" t="s">
        <v>2924</v>
      </c>
      <c r="C1740" s="185" t="s">
        <v>1991</v>
      </c>
      <c r="D1740" s="185" t="s">
        <v>2925</v>
      </c>
      <c r="E1740" s="185">
        <v>23653001</v>
      </c>
      <c r="F1740" s="185" t="s">
        <v>611</v>
      </c>
      <c r="G1740" s="185" t="s">
        <v>2926</v>
      </c>
      <c r="H1740" s="185" t="s">
        <v>1515</v>
      </c>
      <c r="I1740" s="258" t="str">
        <f t="shared" si="82"/>
        <v>2</v>
      </c>
      <c r="J1740" s="221">
        <f t="shared" si="83"/>
        <v>446250</v>
      </c>
      <c r="K1740" s="258">
        <f t="shared" si="84"/>
        <v>6</v>
      </c>
      <c r="L1740" s="188">
        <v>446250</v>
      </c>
      <c r="M1740" s="188">
        <v>0</v>
      </c>
      <c r="N1740" s="189">
        <v>800197268</v>
      </c>
      <c r="O1740" t="s">
        <v>2924</v>
      </c>
      <c r="P1740" s="187">
        <v>45114.506099537</v>
      </c>
      <c r="Q1740" s="186">
        <v>12434</v>
      </c>
      <c r="R1740" s="185" t="s">
        <v>983</v>
      </c>
      <c r="S1740" s="185" t="s">
        <v>1558</v>
      </c>
      <c r="T1740"/>
      <c r="U1740" t="str">
        <f>IF($L1740&gt;0,VLOOKUP($E1740,Valida!$A$1:$G$270,6,FALSE),IF($M1740&gt;=0,VLOOKUP($E1740,Valida!$A$1:$G$270,7,FALSE)))</f>
        <v>(+/-) Ajustes por el incremento (disminución) de cuentas por pagar de origen comercial</v>
      </c>
      <c r="V1740" s="190" t="str">
        <f>VLOOKUP(E1740,Valida!$A$2:$K$271,4,FALSE)</f>
        <v>Trade and other payables</v>
      </c>
      <c r="W1740" s="185" t="s">
        <v>1944</v>
      </c>
      <c r="X1740" s="185"/>
      <c r="Y1740" s="185" t="s">
        <v>1789</v>
      </c>
      <c r="Z1740"/>
    </row>
    <row r="1741" spans="1:26">
      <c r="A1741" s="185" t="s">
        <v>2879</v>
      </c>
      <c r="B1741" s="185" t="s">
        <v>2924</v>
      </c>
      <c r="C1741" s="185" t="s">
        <v>1991</v>
      </c>
      <c r="D1741" s="185" t="s">
        <v>2925</v>
      </c>
      <c r="E1741" s="185">
        <v>23653002</v>
      </c>
      <c r="F1741" s="185" t="s">
        <v>241</v>
      </c>
      <c r="G1741" s="185" t="s">
        <v>2926</v>
      </c>
      <c r="H1741" s="185" t="s">
        <v>1515</v>
      </c>
      <c r="I1741" s="258" t="str">
        <f t="shared" si="82"/>
        <v>2</v>
      </c>
      <c r="J1741" s="221">
        <f t="shared" si="83"/>
        <v>4280</v>
      </c>
      <c r="K1741" s="258">
        <f t="shared" si="84"/>
        <v>6</v>
      </c>
      <c r="L1741" s="188">
        <v>4280</v>
      </c>
      <c r="M1741" s="188">
        <v>0</v>
      </c>
      <c r="N1741" s="189">
        <v>800197268</v>
      </c>
      <c r="O1741" t="s">
        <v>2924</v>
      </c>
      <c r="P1741" s="187">
        <v>45114.506111111099</v>
      </c>
      <c r="Q1741" s="186">
        <v>12435</v>
      </c>
      <c r="R1741" s="185" t="s">
        <v>983</v>
      </c>
      <c r="S1741" s="185" t="s">
        <v>1558</v>
      </c>
      <c r="T1741"/>
      <c r="U1741" t="str">
        <f>IF($L1741&gt;0,VLOOKUP($E1741,Valida!$A$1:$G$270,6,FALSE),IF($M1741&gt;=0,VLOOKUP($E1741,Valida!$A$1:$G$270,7,FALSE)))</f>
        <v>(+/-) Ajustes por el incremento (disminución) de cuentas por pagar de origen comercial</v>
      </c>
      <c r="V1741" s="190" t="str">
        <f>VLOOKUP(E1741,Valida!$A$2:$K$271,4,FALSE)</f>
        <v>Trade and other payables</v>
      </c>
      <c r="W1741" s="185" t="s">
        <v>1944</v>
      </c>
      <c r="X1741" s="185"/>
      <c r="Y1741" s="185" t="s">
        <v>1789</v>
      </c>
      <c r="Z1741"/>
    </row>
    <row r="1742" spans="1:26">
      <c r="A1742" s="185" t="s">
        <v>2879</v>
      </c>
      <c r="B1742" s="185" t="s">
        <v>2924</v>
      </c>
      <c r="C1742" s="185" t="s">
        <v>1991</v>
      </c>
      <c r="D1742" s="185" t="s">
        <v>2925</v>
      </c>
      <c r="E1742" s="185">
        <v>23654001</v>
      </c>
      <c r="F1742" s="185" t="s">
        <v>622</v>
      </c>
      <c r="G1742" s="185" t="s">
        <v>2926</v>
      </c>
      <c r="H1742" s="185" t="s">
        <v>1515</v>
      </c>
      <c r="I1742" s="258" t="str">
        <f t="shared" si="82"/>
        <v>2</v>
      </c>
      <c r="J1742" s="221">
        <f t="shared" si="83"/>
        <v>123363</v>
      </c>
      <c r="K1742" s="258">
        <f t="shared" si="84"/>
        <v>6</v>
      </c>
      <c r="L1742" s="188">
        <v>123363</v>
      </c>
      <c r="M1742" s="188">
        <v>0</v>
      </c>
      <c r="N1742" s="189">
        <v>800197268</v>
      </c>
      <c r="O1742" t="s">
        <v>2924</v>
      </c>
      <c r="P1742" s="187">
        <v>45114.506111111099</v>
      </c>
      <c r="Q1742" s="186">
        <v>12436</v>
      </c>
      <c r="R1742" s="185" t="s">
        <v>983</v>
      </c>
      <c r="S1742" s="185" t="s">
        <v>1558</v>
      </c>
      <c r="T1742"/>
      <c r="U1742" t="str">
        <f>IF($L1742&gt;0,VLOOKUP($E1742,Valida!$A$1:$G$270,6,FALSE),IF($M1742&gt;=0,VLOOKUP($E1742,Valida!$A$1:$G$270,7,FALSE)))</f>
        <v>(+/-) Ajustes por el incremento (disminución) de cuentas por pagar de origen comercial</v>
      </c>
      <c r="V1742" s="190" t="str">
        <f>VLOOKUP(E1742,Valida!$A$2:$K$271,4,FALSE)</f>
        <v>Trade and other payables</v>
      </c>
      <c r="W1742" s="185" t="s">
        <v>1944</v>
      </c>
      <c r="X1742" s="185"/>
      <c r="Y1742" s="185" t="s">
        <v>1789</v>
      </c>
      <c r="Z1742"/>
    </row>
    <row r="1743" spans="1:26">
      <c r="A1743" s="185" t="s">
        <v>2879</v>
      </c>
      <c r="B1743" s="185" t="s">
        <v>2924</v>
      </c>
      <c r="C1743" s="185" t="s">
        <v>1991</v>
      </c>
      <c r="D1743" s="185" t="s">
        <v>2925</v>
      </c>
      <c r="E1743" s="185">
        <v>23657502</v>
      </c>
      <c r="F1743" s="185" t="s">
        <v>1646</v>
      </c>
      <c r="G1743" s="185" t="s">
        <v>2926</v>
      </c>
      <c r="H1743" s="185" t="s">
        <v>1515</v>
      </c>
      <c r="I1743" s="258" t="str">
        <f t="shared" si="82"/>
        <v>2</v>
      </c>
      <c r="J1743" s="221">
        <f t="shared" si="83"/>
        <v>1322879</v>
      </c>
      <c r="K1743" s="258">
        <f t="shared" si="84"/>
        <v>6</v>
      </c>
      <c r="L1743" s="188">
        <v>1322879</v>
      </c>
      <c r="M1743" s="188">
        <v>0</v>
      </c>
      <c r="N1743" s="189">
        <v>800197268</v>
      </c>
      <c r="O1743" t="s">
        <v>2924</v>
      </c>
      <c r="P1743" s="187">
        <v>45114.506111111099</v>
      </c>
      <c r="Q1743" s="186">
        <v>12437</v>
      </c>
      <c r="R1743" s="185" t="s">
        <v>983</v>
      </c>
      <c r="S1743" s="185" t="s">
        <v>1558</v>
      </c>
      <c r="T1743"/>
      <c r="U1743" t="str">
        <f>IF($L1743&gt;0,VLOOKUP($E1743,Valida!$A$1:$G$270,6,FALSE),IF($M1743&gt;=0,VLOOKUP($E1743,Valida!$A$1:$G$270,7,FALSE)))</f>
        <v>(+/-) Ajustes por el incremento (disminución) de cuentas por pagar de origen comercial</v>
      </c>
      <c r="V1743" s="190" t="str">
        <f>VLOOKUP(E1743,Valida!$A$2:$K$271,4,FALSE)</f>
        <v>Trade and other payables</v>
      </c>
      <c r="W1743" s="185" t="s">
        <v>1944</v>
      </c>
      <c r="X1743" s="185"/>
      <c r="Y1743" s="185" t="s">
        <v>1789</v>
      </c>
      <c r="Z1743"/>
    </row>
    <row r="1744" spans="1:26">
      <c r="A1744" s="185" t="s">
        <v>2879</v>
      </c>
      <c r="B1744" s="185" t="s">
        <v>2924</v>
      </c>
      <c r="C1744" s="185" t="s">
        <v>1991</v>
      </c>
      <c r="D1744" s="185" t="s">
        <v>2925</v>
      </c>
      <c r="E1744" s="185">
        <v>236595</v>
      </c>
      <c r="F1744" s="185" t="s">
        <v>648</v>
      </c>
      <c r="G1744" s="185" t="s">
        <v>2926</v>
      </c>
      <c r="H1744" s="185" t="s">
        <v>1628</v>
      </c>
      <c r="I1744" s="258" t="str">
        <f t="shared" si="82"/>
        <v>2</v>
      </c>
      <c r="J1744" s="221">
        <f t="shared" si="83"/>
        <v>-1896772</v>
      </c>
      <c r="K1744" s="258">
        <f t="shared" si="84"/>
        <v>6</v>
      </c>
      <c r="L1744" s="188">
        <v>0</v>
      </c>
      <c r="M1744" s="188">
        <v>1896772</v>
      </c>
      <c r="N1744" s="189">
        <v>800197268</v>
      </c>
      <c r="O1744" t="s">
        <v>2924</v>
      </c>
      <c r="P1744" s="187">
        <v>45114.506111111099</v>
      </c>
      <c r="Q1744" s="186">
        <v>12438</v>
      </c>
      <c r="R1744" s="185" t="s">
        <v>983</v>
      </c>
      <c r="S1744" s="185" t="s">
        <v>1558</v>
      </c>
      <c r="T1744"/>
      <c r="U1744" t="str">
        <f>IF($L1744&gt;0,VLOOKUP($E1744,Valida!$A$1:$G$270,6,FALSE),IF($M1744&gt;=0,VLOOKUP($E1744,Valida!$A$1:$G$270,7,FALSE)))</f>
        <v>(+/-) Ajustes por el incremento (disminución) de cuentas por pagar de origen comercial</v>
      </c>
      <c r="V1744" s="190" t="str">
        <f>VLOOKUP(E1744,Valida!$A$2:$K$271,4,FALSE)</f>
        <v>Trade and other payables</v>
      </c>
      <c r="W1744" s="185" t="s">
        <v>1944</v>
      </c>
      <c r="X1744" s="185"/>
      <c r="Y1744" s="185" t="s">
        <v>1789</v>
      </c>
      <c r="Z1744"/>
    </row>
    <row r="1745" spans="1:26">
      <c r="A1745" s="185" t="s">
        <v>2879</v>
      </c>
      <c r="B1745" s="185" t="s">
        <v>2927</v>
      </c>
      <c r="C1745" s="185" t="s">
        <v>1991</v>
      </c>
      <c r="D1745" s="185" t="s">
        <v>2928</v>
      </c>
      <c r="E1745" s="185">
        <v>23680503</v>
      </c>
      <c r="F1745" s="185" t="s">
        <v>665</v>
      </c>
      <c r="G1745" s="185" t="s">
        <v>2929</v>
      </c>
      <c r="H1745" s="185" t="s">
        <v>1515</v>
      </c>
      <c r="I1745" s="258" t="str">
        <f t="shared" si="82"/>
        <v>2</v>
      </c>
      <c r="J1745" s="221">
        <f t="shared" si="83"/>
        <v>248398</v>
      </c>
      <c r="K1745" s="258">
        <f t="shared" si="84"/>
        <v>6</v>
      </c>
      <c r="L1745" s="188">
        <v>248398</v>
      </c>
      <c r="M1745" s="188">
        <v>0</v>
      </c>
      <c r="N1745" s="189">
        <v>899999061</v>
      </c>
      <c r="O1745" t="s">
        <v>2927</v>
      </c>
      <c r="P1745" s="187">
        <v>45114.5088888889</v>
      </c>
      <c r="Q1745" s="186">
        <v>12439</v>
      </c>
      <c r="R1745" s="185"/>
      <c r="S1745" s="185" t="s">
        <v>1584</v>
      </c>
      <c r="T1745"/>
      <c r="U1745" t="str">
        <f>IF($L1745&gt;0,VLOOKUP($E1745,Valida!$A$1:$G$270,6,FALSE),IF($M1745&gt;=0,VLOOKUP($E1745,Valida!$A$1:$G$270,7,FALSE)))</f>
        <v>(+/-) Ajustes por el incremento (disminución) de cuentas por pagar de origen comercial</v>
      </c>
      <c r="V1745" s="190" t="str">
        <f>VLOOKUP(E1745,Valida!$A$2:$K$271,4,FALSE)</f>
        <v>Trade and other payables</v>
      </c>
      <c r="W1745" s="185" t="s">
        <v>1893</v>
      </c>
      <c r="X1745" s="185"/>
      <c r="Y1745" s="185" t="s">
        <v>1789</v>
      </c>
      <c r="Z1745"/>
    </row>
    <row r="1746" spans="1:26">
      <c r="A1746" s="185" t="s">
        <v>2879</v>
      </c>
      <c r="B1746" s="185" t="s">
        <v>2927</v>
      </c>
      <c r="C1746" s="185" t="s">
        <v>1991</v>
      </c>
      <c r="D1746" s="185" t="s">
        <v>2928</v>
      </c>
      <c r="E1746" s="185">
        <v>23680504</v>
      </c>
      <c r="F1746" s="185" t="s">
        <v>668</v>
      </c>
      <c r="G1746" s="185" t="s">
        <v>2929</v>
      </c>
      <c r="H1746" s="185" t="s">
        <v>1515</v>
      </c>
      <c r="I1746" s="258" t="str">
        <f t="shared" si="82"/>
        <v>2</v>
      </c>
      <c r="J1746" s="221">
        <f t="shared" si="83"/>
        <v>91301</v>
      </c>
      <c r="K1746" s="258">
        <f t="shared" si="84"/>
        <v>6</v>
      </c>
      <c r="L1746" s="188">
        <v>91301</v>
      </c>
      <c r="M1746" s="188">
        <v>0</v>
      </c>
      <c r="N1746" s="189">
        <v>899999061</v>
      </c>
      <c r="O1746" t="s">
        <v>2927</v>
      </c>
      <c r="P1746" s="187">
        <v>45114.5088888889</v>
      </c>
      <c r="Q1746" s="186">
        <v>12440</v>
      </c>
      <c r="R1746" s="185"/>
      <c r="S1746" s="185" t="s">
        <v>1584</v>
      </c>
      <c r="T1746"/>
      <c r="U1746" t="str">
        <f>IF($L1746&gt;0,VLOOKUP($E1746,Valida!$A$1:$G$270,6,FALSE),IF($M1746&gt;=0,VLOOKUP($E1746,Valida!$A$1:$G$270,7,FALSE)))</f>
        <v>(+/-) Ajustes por el incremento (disminución) de cuentas por pagar de origen comercial</v>
      </c>
      <c r="V1746" s="190" t="str">
        <f>VLOOKUP(E1746,Valida!$A$2:$K$271,4,FALSE)</f>
        <v>Trade and other payables</v>
      </c>
      <c r="W1746" s="185" t="s">
        <v>1893</v>
      </c>
      <c r="X1746" s="185"/>
      <c r="Y1746" s="185" t="s">
        <v>1789</v>
      </c>
      <c r="Z1746"/>
    </row>
    <row r="1747" spans="1:26">
      <c r="A1747" s="185" t="s">
        <v>2879</v>
      </c>
      <c r="B1747" s="185" t="s">
        <v>2927</v>
      </c>
      <c r="C1747" s="185" t="s">
        <v>1991</v>
      </c>
      <c r="D1747" s="185" t="s">
        <v>2928</v>
      </c>
      <c r="E1747" s="185">
        <v>236890</v>
      </c>
      <c r="F1747" s="185" t="s">
        <v>1648</v>
      </c>
      <c r="G1747" s="185" t="s">
        <v>2929</v>
      </c>
      <c r="H1747" s="185" t="s">
        <v>1628</v>
      </c>
      <c r="I1747" s="258" t="str">
        <f t="shared" si="82"/>
        <v>2</v>
      </c>
      <c r="J1747" s="221">
        <f t="shared" si="83"/>
        <v>-339000</v>
      </c>
      <c r="K1747" s="258">
        <f t="shared" si="84"/>
        <v>6</v>
      </c>
      <c r="L1747" s="188">
        <v>0</v>
      </c>
      <c r="M1747" s="188">
        <v>339000</v>
      </c>
      <c r="N1747" s="189">
        <v>899999061</v>
      </c>
      <c r="O1747" t="s">
        <v>2927</v>
      </c>
      <c r="P1747" s="187">
        <v>45114.5088888889</v>
      </c>
      <c r="Q1747" s="186">
        <v>12441</v>
      </c>
      <c r="R1747" s="185"/>
      <c r="S1747" s="185" t="s">
        <v>1584</v>
      </c>
      <c r="T1747"/>
      <c r="U1747" t="str">
        <f>IF($L1747&gt;0,VLOOKUP($E1747,Valida!$A$1:$G$270,6,FALSE),IF($M1747&gt;=0,VLOOKUP($E1747,Valida!$A$1:$G$270,7,FALSE)))</f>
        <v>(+/-) Ajustes por el incremento (disminución) de cuentas por pagar de origen comercial</v>
      </c>
      <c r="V1747" s="190" t="str">
        <f>VLOOKUP(E1747,Valida!$A$2:$K$271,4,FALSE)</f>
        <v>Trade and other payables</v>
      </c>
      <c r="W1747" s="185" t="s">
        <v>1893</v>
      </c>
      <c r="X1747" s="185"/>
      <c r="Y1747" s="185" t="s">
        <v>1789</v>
      </c>
      <c r="Z1747"/>
    </row>
    <row r="1748" spans="1:26">
      <c r="A1748" s="185" t="s">
        <v>2879</v>
      </c>
      <c r="B1748" s="185" t="s">
        <v>2927</v>
      </c>
      <c r="C1748" s="185" t="s">
        <v>1991</v>
      </c>
      <c r="D1748" s="185" t="s">
        <v>2928</v>
      </c>
      <c r="E1748" s="185">
        <v>53059510</v>
      </c>
      <c r="F1748" s="185" t="s">
        <v>1065</v>
      </c>
      <c r="G1748" s="185" t="s">
        <v>2929</v>
      </c>
      <c r="H1748" s="185" t="s">
        <v>1628</v>
      </c>
      <c r="I1748" s="258" t="str">
        <f t="shared" si="82"/>
        <v>5</v>
      </c>
      <c r="J1748" s="221">
        <f t="shared" si="83"/>
        <v>-699</v>
      </c>
      <c r="K1748" s="258">
        <f t="shared" si="84"/>
        <v>6</v>
      </c>
      <c r="L1748" s="188">
        <v>0</v>
      </c>
      <c r="M1748" s="188">
        <v>699</v>
      </c>
      <c r="N1748" s="189">
        <v>899999061</v>
      </c>
      <c r="O1748" t="s">
        <v>2927</v>
      </c>
      <c r="P1748" s="187">
        <v>45114.5088888889</v>
      </c>
      <c r="Q1748" s="186">
        <v>12442</v>
      </c>
      <c r="R1748" s="185"/>
      <c r="S1748" s="185" t="s">
        <v>1584</v>
      </c>
      <c r="T1748"/>
      <c r="U1748" t="str">
        <f>IF($L1748&gt;0,VLOOKUP($E1748,Valida!$A$1:$G$270,6,FALSE),IF($M1748&gt;=0,VLOOKUP($E1748,Valida!$A$1:$G$270,7,FALSE)))</f>
        <v>(+/-) Ganancia (pérdida)</v>
      </c>
      <c r="V1748" s="190" t="str">
        <f>VLOOKUP(E1748,Valida!$A$2:$K$271,4,FALSE)</f>
        <v>P&amp;L</v>
      </c>
      <c r="W1748" s="185" t="s">
        <v>1893</v>
      </c>
      <c r="X1748" s="185"/>
      <c r="Y1748" s="185" t="s">
        <v>1789</v>
      </c>
      <c r="Z1748"/>
    </row>
    <row r="1749" spans="1:26">
      <c r="A1749" s="185" t="s">
        <v>2879</v>
      </c>
      <c r="B1749" s="185" t="s">
        <v>2930</v>
      </c>
      <c r="C1749" s="185" t="s">
        <v>1991</v>
      </c>
      <c r="D1749" s="185" t="s">
        <v>2931</v>
      </c>
      <c r="E1749" s="185">
        <v>24081001</v>
      </c>
      <c r="F1749" s="185" t="s">
        <v>1670</v>
      </c>
      <c r="G1749" s="185" t="s">
        <v>2929</v>
      </c>
      <c r="H1749" s="185" t="s">
        <v>1628</v>
      </c>
      <c r="I1749" s="258" t="str">
        <f t="shared" si="82"/>
        <v>2</v>
      </c>
      <c r="J1749" s="221">
        <f t="shared" si="83"/>
        <v>-376352</v>
      </c>
      <c r="K1749" s="258">
        <f t="shared" si="84"/>
        <v>6</v>
      </c>
      <c r="L1749" s="188">
        <v>0</v>
      </c>
      <c r="M1749" s="188">
        <v>376352</v>
      </c>
      <c r="N1749" s="189">
        <v>800197268</v>
      </c>
      <c r="O1749" t="s">
        <v>2930</v>
      </c>
      <c r="P1749" s="187">
        <v>45114.5136921296</v>
      </c>
      <c r="Q1749" s="186">
        <v>12448</v>
      </c>
      <c r="R1749" s="185" t="s">
        <v>983</v>
      </c>
      <c r="S1749" s="185" t="s">
        <v>1558</v>
      </c>
      <c r="T1749"/>
      <c r="U1749" t="str">
        <f>IF($L1749&gt;0,VLOOKUP($E1749,Valida!$A$1:$G$270,6,FALSE),IF($M1749&gt;=0,VLOOKUP($E1749,Valida!$A$1:$G$270,7,FALSE)))</f>
        <v>(+/-) Ajustes por el incremento (disminución) de cuentas por pagar de origen comercial</v>
      </c>
      <c r="V1749" s="190" t="str">
        <f>VLOOKUP(E1749,Valida!$A$2:$K$271,4,FALSE)</f>
        <v>Trade and other payables</v>
      </c>
      <c r="W1749" s="185" t="s">
        <v>1944</v>
      </c>
      <c r="X1749" s="185"/>
      <c r="Y1749" s="185" t="s">
        <v>1789</v>
      </c>
      <c r="Z1749"/>
    </row>
    <row r="1750" spans="1:26">
      <c r="A1750" s="185" t="s">
        <v>2879</v>
      </c>
      <c r="B1750" s="185" t="s">
        <v>2930</v>
      </c>
      <c r="C1750" s="185" t="s">
        <v>1991</v>
      </c>
      <c r="D1750" s="185" t="s">
        <v>2931</v>
      </c>
      <c r="E1750" s="185">
        <v>24081002</v>
      </c>
      <c r="F1750" s="185" t="s">
        <v>1687</v>
      </c>
      <c r="G1750" s="185" t="s">
        <v>2929</v>
      </c>
      <c r="H1750" s="185" t="s">
        <v>1628</v>
      </c>
      <c r="I1750" s="258" t="str">
        <f t="shared" si="82"/>
        <v>2</v>
      </c>
      <c r="J1750" s="221">
        <f t="shared" si="83"/>
        <v>-7229169.3600000003</v>
      </c>
      <c r="K1750" s="258">
        <f t="shared" si="84"/>
        <v>6</v>
      </c>
      <c r="L1750" s="188">
        <v>0</v>
      </c>
      <c r="M1750" s="188">
        <v>7229169.3600000003</v>
      </c>
      <c r="N1750" s="189">
        <v>800197268</v>
      </c>
      <c r="O1750" t="s">
        <v>2930</v>
      </c>
      <c r="P1750" s="187">
        <v>45114.5136921296</v>
      </c>
      <c r="Q1750" s="186">
        <v>12449</v>
      </c>
      <c r="R1750" s="185" t="s">
        <v>983</v>
      </c>
      <c r="S1750" s="185" t="s">
        <v>1558</v>
      </c>
      <c r="T1750"/>
      <c r="U1750" t="str">
        <f>IF($L1750&gt;0,VLOOKUP($E1750,Valida!$A$1:$G$270,6,FALSE),IF($M1750&gt;=0,VLOOKUP($E1750,Valida!$A$1:$G$270,7,FALSE)))</f>
        <v>(+/-) Ajustes por el incremento (disminución) de cuentas por pagar de origen comercial</v>
      </c>
      <c r="V1750" s="190" t="str">
        <f>VLOOKUP(E1750,Valida!$A$2:$K$271,4,FALSE)</f>
        <v>Trade and other payables</v>
      </c>
      <c r="W1750" s="185" t="s">
        <v>1944</v>
      </c>
      <c r="X1750" s="185"/>
      <c r="Y1750" s="185" t="s">
        <v>1789</v>
      </c>
      <c r="Z1750"/>
    </row>
    <row r="1751" spans="1:26">
      <c r="A1751" s="185" t="s">
        <v>2879</v>
      </c>
      <c r="B1751" s="185" t="s">
        <v>2930</v>
      </c>
      <c r="C1751" s="185" t="s">
        <v>1991</v>
      </c>
      <c r="D1751" s="185" t="s">
        <v>2931</v>
      </c>
      <c r="E1751" s="185">
        <v>24081005</v>
      </c>
      <c r="F1751" s="185" t="s">
        <v>1688</v>
      </c>
      <c r="G1751" s="185" t="s">
        <v>2929</v>
      </c>
      <c r="H1751" s="185" t="s">
        <v>1628</v>
      </c>
      <c r="I1751" s="258" t="str">
        <f t="shared" si="82"/>
        <v>2</v>
      </c>
      <c r="J1751" s="221">
        <f t="shared" si="83"/>
        <v>-239243</v>
      </c>
      <c r="K1751" s="258">
        <f t="shared" si="84"/>
        <v>6</v>
      </c>
      <c r="L1751" s="188">
        <v>0</v>
      </c>
      <c r="M1751" s="188">
        <v>239243</v>
      </c>
      <c r="N1751" s="189">
        <v>800197268</v>
      </c>
      <c r="O1751" t="s">
        <v>2930</v>
      </c>
      <c r="P1751" s="187">
        <v>45114.5136921296</v>
      </c>
      <c r="Q1751" s="186">
        <v>12450</v>
      </c>
      <c r="R1751" s="185" t="s">
        <v>983</v>
      </c>
      <c r="S1751" s="185" t="s">
        <v>1558</v>
      </c>
      <c r="T1751"/>
      <c r="U1751" t="str">
        <f>IF($L1751&gt;0,VLOOKUP($E1751,Valida!$A$1:$G$270,6,FALSE),IF($M1751&gt;=0,VLOOKUP($E1751,Valida!$A$1:$G$270,7,FALSE)))</f>
        <v>(+/-) Ajustes por el incremento (disminución) de cuentas por pagar de origen comercial</v>
      </c>
      <c r="V1751" s="190" t="str">
        <f>VLOOKUP(E1751,Valida!$A$2:$K$271,4,FALSE)</f>
        <v>Trade and other payables</v>
      </c>
      <c r="W1751" s="185" t="s">
        <v>1944</v>
      </c>
      <c r="X1751" s="185"/>
      <c r="Y1751" s="185" t="s">
        <v>1789</v>
      </c>
      <c r="Z1751"/>
    </row>
    <row r="1752" spans="1:26">
      <c r="A1752" s="185" t="s">
        <v>2879</v>
      </c>
      <c r="B1752" s="185" t="s">
        <v>2930</v>
      </c>
      <c r="C1752" s="185" t="s">
        <v>1991</v>
      </c>
      <c r="D1752" s="185" t="s">
        <v>2931</v>
      </c>
      <c r="E1752" s="185">
        <v>24081501</v>
      </c>
      <c r="F1752" s="185" t="s">
        <v>747</v>
      </c>
      <c r="G1752" s="185" t="s">
        <v>2929</v>
      </c>
      <c r="H1752" s="185" t="s">
        <v>1515</v>
      </c>
      <c r="I1752" s="258" t="str">
        <f t="shared" si="82"/>
        <v>2</v>
      </c>
      <c r="J1752" s="221">
        <f t="shared" si="83"/>
        <v>376000</v>
      </c>
      <c r="K1752" s="258">
        <f t="shared" si="84"/>
        <v>6</v>
      </c>
      <c r="L1752" s="188">
        <v>376000</v>
      </c>
      <c r="M1752" s="188">
        <v>0</v>
      </c>
      <c r="N1752" s="189">
        <v>800197268</v>
      </c>
      <c r="O1752" t="s">
        <v>2930</v>
      </c>
      <c r="P1752" s="187">
        <v>45114.5136921296</v>
      </c>
      <c r="Q1752" s="186">
        <v>12451</v>
      </c>
      <c r="R1752" s="185" t="s">
        <v>983</v>
      </c>
      <c r="S1752" s="185" t="s">
        <v>1558</v>
      </c>
      <c r="T1752"/>
      <c r="U1752" t="str">
        <f>IF($L1752&gt;0,VLOOKUP($E1752,Valida!$A$1:$G$270,6,FALSE),IF($M1752&gt;=0,VLOOKUP($E1752,Valida!$A$1:$G$270,7,FALSE)))</f>
        <v>(+/-) Ajustes por el incremento (disminución) de cuentas por pagar de origen comercial</v>
      </c>
      <c r="V1752" s="190" t="str">
        <f>VLOOKUP(E1752,Valida!$A$2:$K$271,4,FALSE)</f>
        <v>Trade and other payables</v>
      </c>
      <c r="W1752" s="185" t="s">
        <v>1944</v>
      </c>
      <c r="X1752" s="185"/>
      <c r="Y1752" s="185" t="s">
        <v>1789</v>
      </c>
      <c r="Z1752"/>
    </row>
    <row r="1753" spans="1:26">
      <c r="A1753" s="185" t="s">
        <v>2879</v>
      </c>
      <c r="B1753" s="185" t="s">
        <v>2930</v>
      </c>
      <c r="C1753" s="185" t="s">
        <v>1991</v>
      </c>
      <c r="D1753" s="185" t="s">
        <v>2931</v>
      </c>
      <c r="E1753" s="185">
        <v>24081502</v>
      </c>
      <c r="F1753" s="185" t="s">
        <v>750</v>
      </c>
      <c r="G1753" s="185" t="s">
        <v>2929</v>
      </c>
      <c r="H1753" s="185" t="s">
        <v>1515</v>
      </c>
      <c r="I1753" s="258" t="str">
        <f t="shared" si="82"/>
        <v>2</v>
      </c>
      <c r="J1753" s="221">
        <f t="shared" si="83"/>
        <v>7229000</v>
      </c>
      <c r="K1753" s="258">
        <f t="shared" si="84"/>
        <v>6</v>
      </c>
      <c r="L1753" s="188">
        <v>7229000</v>
      </c>
      <c r="M1753" s="188">
        <v>0</v>
      </c>
      <c r="N1753" s="189">
        <v>800197268</v>
      </c>
      <c r="O1753" t="s">
        <v>2930</v>
      </c>
      <c r="P1753" s="187">
        <v>45114.5136921296</v>
      </c>
      <c r="Q1753" s="186">
        <v>12452</v>
      </c>
      <c r="R1753" s="185" t="s">
        <v>983</v>
      </c>
      <c r="S1753" s="185" t="s">
        <v>1558</v>
      </c>
      <c r="T1753"/>
      <c r="U1753" t="str">
        <f>IF($L1753&gt;0,VLOOKUP($E1753,Valida!$A$1:$G$270,6,FALSE),IF($M1753&gt;=0,VLOOKUP($E1753,Valida!$A$1:$G$270,7,FALSE)))</f>
        <v>(+/-) Ajustes por el incremento (disminución) de cuentas por pagar de origen comercial</v>
      </c>
      <c r="V1753" s="190" t="str">
        <f>VLOOKUP(E1753,Valida!$A$2:$K$271,4,FALSE)</f>
        <v>Trade and other payables</v>
      </c>
      <c r="W1753" s="185" t="s">
        <v>1944</v>
      </c>
      <c r="X1753" s="185"/>
      <c r="Y1753" s="185" t="s">
        <v>1789</v>
      </c>
      <c r="Z1753"/>
    </row>
    <row r="1754" spans="1:26">
      <c r="A1754" s="185" t="s">
        <v>2879</v>
      </c>
      <c r="B1754" s="185" t="s">
        <v>2930</v>
      </c>
      <c r="C1754" s="185" t="s">
        <v>1991</v>
      </c>
      <c r="D1754" s="185" t="s">
        <v>2931</v>
      </c>
      <c r="E1754" s="185">
        <v>24081505</v>
      </c>
      <c r="F1754" s="185" t="s">
        <v>756</v>
      </c>
      <c r="G1754" s="185" t="s">
        <v>2929</v>
      </c>
      <c r="H1754" s="185" t="s">
        <v>1515</v>
      </c>
      <c r="I1754" s="258" t="str">
        <f t="shared" si="82"/>
        <v>2</v>
      </c>
      <c r="J1754" s="221">
        <f t="shared" si="83"/>
        <v>239000</v>
      </c>
      <c r="K1754" s="258">
        <f t="shared" si="84"/>
        <v>6</v>
      </c>
      <c r="L1754" s="188">
        <v>239000</v>
      </c>
      <c r="M1754" s="188">
        <v>0</v>
      </c>
      <c r="N1754" s="189">
        <v>800197268</v>
      </c>
      <c r="O1754" t="s">
        <v>2930</v>
      </c>
      <c r="P1754" s="187">
        <v>45114.5136921296</v>
      </c>
      <c r="Q1754" s="186">
        <v>12453</v>
      </c>
      <c r="R1754" s="185" t="s">
        <v>983</v>
      </c>
      <c r="S1754" s="185" t="s">
        <v>1558</v>
      </c>
      <c r="T1754"/>
      <c r="U1754" t="str">
        <f>IF($L1754&gt;0,VLOOKUP($E1754,Valida!$A$1:$G$270,6,FALSE),IF($M1754&gt;=0,VLOOKUP($E1754,Valida!$A$1:$G$270,7,FALSE)))</f>
        <v>(+/-) Ajustes por el incremento (disminución) de cuentas por pagar de origen comercial</v>
      </c>
      <c r="V1754" s="190" t="str">
        <f>VLOOKUP(E1754,Valida!$A$2:$K$271,4,FALSE)</f>
        <v>Trade and other payables</v>
      </c>
      <c r="W1754" s="185" t="s">
        <v>1944</v>
      </c>
      <c r="X1754" s="185"/>
      <c r="Y1754" s="185" t="s">
        <v>1789</v>
      </c>
      <c r="Z1754"/>
    </row>
    <row r="1755" spans="1:26">
      <c r="A1755" s="185" t="s">
        <v>2879</v>
      </c>
      <c r="B1755" s="185" t="s">
        <v>2930</v>
      </c>
      <c r="C1755" s="185" t="s">
        <v>1991</v>
      </c>
      <c r="D1755" s="185" t="s">
        <v>2931</v>
      </c>
      <c r="E1755" s="185">
        <v>53059510</v>
      </c>
      <c r="F1755" s="185" t="s">
        <v>1065</v>
      </c>
      <c r="G1755" s="185" t="s">
        <v>2929</v>
      </c>
      <c r="H1755" s="185" t="s">
        <v>1515</v>
      </c>
      <c r="I1755" s="258" t="str">
        <f t="shared" si="82"/>
        <v>5</v>
      </c>
      <c r="J1755" s="221">
        <f t="shared" si="83"/>
        <v>764.36</v>
      </c>
      <c r="K1755" s="258">
        <f t="shared" si="84"/>
        <v>6</v>
      </c>
      <c r="L1755" s="188">
        <v>764.36</v>
      </c>
      <c r="M1755" s="188">
        <v>0</v>
      </c>
      <c r="N1755" s="189">
        <v>800197268</v>
      </c>
      <c r="O1755" t="s">
        <v>2930</v>
      </c>
      <c r="P1755" s="187">
        <v>45114.5136921296</v>
      </c>
      <c r="Q1755" s="186">
        <v>12454</v>
      </c>
      <c r="R1755" s="185" t="s">
        <v>983</v>
      </c>
      <c r="S1755" s="185" t="s">
        <v>1558</v>
      </c>
      <c r="T1755"/>
      <c r="U1755" t="str">
        <f>IF($L1755&gt;0,VLOOKUP($E1755,Valida!$A$1:$G$270,6,FALSE),IF($M1755&gt;=0,VLOOKUP($E1755,Valida!$A$1:$G$270,7,FALSE)))</f>
        <v>(+/-) Ganancia (pérdida)</v>
      </c>
      <c r="V1755" s="190" t="str">
        <f>VLOOKUP(E1755,Valida!$A$2:$K$271,4,FALSE)</f>
        <v>P&amp;L</v>
      </c>
      <c r="W1755" s="185" t="s">
        <v>1944</v>
      </c>
      <c r="X1755" s="185"/>
      <c r="Y1755" s="185" t="s">
        <v>1789</v>
      </c>
      <c r="Z1755"/>
    </row>
    <row r="1756" spans="1:26">
      <c r="A1756" s="185" t="s">
        <v>2879</v>
      </c>
      <c r="B1756" s="185" t="s">
        <v>2932</v>
      </c>
      <c r="C1756" s="185" t="s">
        <v>1991</v>
      </c>
      <c r="D1756" s="185" t="s">
        <v>2933</v>
      </c>
      <c r="E1756" s="185">
        <v>24081501</v>
      </c>
      <c r="F1756" s="185" t="s">
        <v>747</v>
      </c>
      <c r="G1756" s="185" t="s">
        <v>2934</v>
      </c>
      <c r="H1756" s="185" t="s">
        <v>1628</v>
      </c>
      <c r="I1756" s="258" t="str">
        <f t="shared" si="82"/>
        <v>2</v>
      </c>
      <c r="J1756" s="221">
        <f t="shared" si="83"/>
        <v>-376000</v>
      </c>
      <c r="K1756" s="258">
        <f t="shared" si="84"/>
        <v>6</v>
      </c>
      <c r="L1756" s="188">
        <v>0</v>
      </c>
      <c r="M1756" s="188">
        <v>376000</v>
      </c>
      <c r="N1756" s="189">
        <v>800197268</v>
      </c>
      <c r="O1756" t="s">
        <v>2932</v>
      </c>
      <c r="P1756" s="187">
        <v>45118.419918981497</v>
      </c>
      <c r="Q1756" s="186">
        <v>12455</v>
      </c>
      <c r="R1756" s="185" t="s">
        <v>983</v>
      </c>
      <c r="S1756" s="185" t="s">
        <v>1558</v>
      </c>
      <c r="T1756"/>
      <c r="U1756" t="str">
        <f>IF($L1756&gt;0,VLOOKUP($E1756,Valida!$A$1:$G$270,6,FALSE),IF($M1756&gt;=0,VLOOKUP($E1756,Valida!$A$1:$G$270,7,FALSE)))</f>
        <v>(+/-) Ajustes por el incremento (disminución) de cuentas por pagar de origen comercial</v>
      </c>
      <c r="V1756" s="190" t="str">
        <f>VLOOKUP(E1756,Valida!$A$2:$K$271,4,FALSE)</f>
        <v>Trade and other payables</v>
      </c>
      <c r="W1756" s="185" t="s">
        <v>1944</v>
      </c>
      <c r="X1756" s="185"/>
      <c r="Y1756" s="185" t="s">
        <v>1789</v>
      </c>
      <c r="Z1756"/>
    </row>
    <row r="1757" spans="1:26">
      <c r="A1757" s="185" t="s">
        <v>2879</v>
      </c>
      <c r="B1757" s="185" t="s">
        <v>2932</v>
      </c>
      <c r="C1757" s="185" t="s">
        <v>1991</v>
      </c>
      <c r="D1757" s="185" t="s">
        <v>2933</v>
      </c>
      <c r="E1757" s="185">
        <v>24081502</v>
      </c>
      <c r="F1757" s="185" t="s">
        <v>750</v>
      </c>
      <c r="G1757" s="185" t="s">
        <v>2934</v>
      </c>
      <c r="H1757" s="185" t="s">
        <v>1628</v>
      </c>
      <c r="I1757" s="258" t="str">
        <f t="shared" si="82"/>
        <v>2</v>
      </c>
      <c r="J1757" s="221">
        <f t="shared" si="83"/>
        <v>-7229000</v>
      </c>
      <c r="K1757" s="258">
        <f t="shared" si="84"/>
        <v>6</v>
      </c>
      <c r="L1757" s="188">
        <v>0</v>
      </c>
      <c r="M1757" s="188">
        <v>7229000</v>
      </c>
      <c r="N1757" s="189">
        <v>800197268</v>
      </c>
      <c r="O1757" t="s">
        <v>2932</v>
      </c>
      <c r="P1757" s="187">
        <v>45118.419918981497</v>
      </c>
      <c r="Q1757" s="186">
        <v>12456</v>
      </c>
      <c r="R1757" s="185" t="s">
        <v>983</v>
      </c>
      <c r="S1757" s="185" t="s">
        <v>1558</v>
      </c>
      <c r="T1757"/>
      <c r="U1757" t="str">
        <f>IF($L1757&gt;0,VLOOKUP($E1757,Valida!$A$1:$G$270,6,FALSE),IF($M1757&gt;=0,VLOOKUP($E1757,Valida!$A$1:$G$270,7,FALSE)))</f>
        <v>(+/-) Ajustes por el incremento (disminución) de cuentas por pagar de origen comercial</v>
      </c>
      <c r="V1757" s="190" t="str">
        <f>VLOOKUP(E1757,Valida!$A$2:$K$271,4,FALSE)</f>
        <v>Trade and other payables</v>
      </c>
      <c r="W1757" s="185" t="s">
        <v>1944</v>
      </c>
      <c r="X1757" s="185"/>
      <c r="Y1757" s="185" t="s">
        <v>1789</v>
      </c>
      <c r="Z1757"/>
    </row>
    <row r="1758" spans="1:26">
      <c r="A1758" s="185" t="s">
        <v>2879</v>
      </c>
      <c r="B1758" s="185" t="s">
        <v>2932</v>
      </c>
      <c r="C1758" s="185" t="s">
        <v>1991</v>
      </c>
      <c r="D1758" s="185" t="s">
        <v>2933</v>
      </c>
      <c r="E1758" s="185">
        <v>24081505</v>
      </c>
      <c r="F1758" s="185" t="s">
        <v>756</v>
      </c>
      <c r="G1758" s="185" t="s">
        <v>2934</v>
      </c>
      <c r="H1758" s="185" t="s">
        <v>1628</v>
      </c>
      <c r="I1758" s="258" t="str">
        <f t="shared" si="82"/>
        <v>2</v>
      </c>
      <c r="J1758" s="221">
        <f t="shared" si="83"/>
        <v>-239000</v>
      </c>
      <c r="K1758" s="258">
        <f t="shared" si="84"/>
        <v>6</v>
      </c>
      <c r="L1758" s="188">
        <v>0</v>
      </c>
      <c r="M1758" s="188">
        <v>239000</v>
      </c>
      <c r="N1758" s="189">
        <v>800197268</v>
      </c>
      <c r="O1758" t="s">
        <v>2932</v>
      </c>
      <c r="P1758" s="187">
        <v>45118.419918981497</v>
      </c>
      <c r="Q1758" s="186">
        <v>12457</v>
      </c>
      <c r="R1758" s="185" t="s">
        <v>983</v>
      </c>
      <c r="S1758" s="185" t="s">
        <v>1558</v>
      </c>
      <c r="T1758"/>
      <c r="U1758" t="str">
        <f>IF($L1758&gt;0,VLOOKUP($E1758,Valida!$A$1:$G$270,6,FALSE),IF($M1758&gt;=0,VLOOKUP($E1758,Valida!$A$1:$G$270,7,FALSE)))</f>
        <v>(+/-) Ajustes por el incremento (disminución) de cuentas por pagar de origen comercial</v>
      </c>
      <c r="V1758" s="190" t="str">
        <f>VLOOKUP(E1758,Valida!$A$2:$K$271,4,FALSE)</f>
        <v>Trade and other payables</v>
      </c>
      <c r="W1758" s="185" t="s">
        <v>1944</v>
      </c>
      <c r="X1758" s="185"/>
      <c r="Y1758" s="185" t="s">
        <v>1789</v>
      </c>
      <c r="Z1758"/>
    </row>
    <row r="1759" spans="1:26">
      <c r="A1759" s="185" t="s">
        <v>2879</v>
      </c>
      <c r="B1759" s="185" t="s">
        <v>2932</v>
      </c>
      <c r="C1759" s="185" t="s">
        <v>1991</v>
      </c>
      <c r="D1759" s="185" t="s">
        <v>2933</v>
      </c>
      <c r="E1759" s="185">
        <v>13552001</v>
      </c>
      <c r="F1759" s="185" t="s">
        <v>276</v>
      </c>
      <c r="G1759" s="185" t="s">
        <v>2934</v>
      </c>
      <c r="H1759" s="185" t="s">
        <v>1515</v>
      </c>
      <c r="I1759" s="258" t="str">
        <f t="shared" si="82"/>
        <v>1</v>
      </c>
      <c r="J1759" s="221">
        <f t="shared" si="83"/>
        <v>7844000</v>
      </c>
      <c r="K1759" s="258">
        <f t="shared" si="84"/>
        <v>6</v>
      </c>
      <c r="L1759" s="188">
        <v>7844000</v>
      </c>
      <c r="M1759" s="188">
        <v>0</v>
      </c>
      <c r="N1759" s="189">
        <v>800197268</v>
      </c>
      <c r="O1759" t="s">
        <v>2932</v>
      </c>
      <c r="P1759" s="187">
        <v>45118.419930555603</v>
      </c>
      <c r="Q1759" s="186">
        <v>12458</v>
      </c>
      <c r="R1759" s="185" t="s">
        <v>983</v>
      </c>
      <c r="S1759" s="185" t="s">
        <v>1558</v>
      </c>
      <c r="T1759"/>
      <c r="U1759" t="str">
        <f>IF($L1759&gt;0,VLOOKUP($E1759,Valida!$A$1:$G$270,6,FALSE),IF($M1759&gt;=0,VLOOKUP($E1759,Valida!$A$1:$G$270,7,FALSE)))</f>
        <v>(+/-) Ajustes por disminuciones (incrementos) en otras cuentas por cobrar derivadas de las actividades de operación</v>
      </c>
      <c r="V1759" s="190" t="str">
        <f>VLOOKUP(E1759,Valida!$A$2:$K$271,4,FALSE)</f>
        <v>Trade and other receivables</v>
      </c>
      <c r="W1759" s="185" t="s">
        <v>1944</v>
      </c>
      <c r="X1759" s="185"/>
      <c r="Y1759" s="185" t="s">
        <v>1789</v>
      </c>
      <c r="Z1759"/>
    </row>
    <row r="1760" spans="1:26">
      <c r="A1760" s="185" t="s">
        <v>2935</v>
      </c>
      <c r="B1760" s="185" t="s">
        <v>2936</v>
      </c>
      <c r="C1760" s="185" t="s">
        <v>2045</v>
      </c>
      <c r="D1760" s="185" t="s">
        <v>2937</v>
      </c>
      <c r="E1760" s="185">
        <v>23354001</v>
      </c>
      <c r="F1760" s="185" t="s">
        <v>484</v>
      </c>
      <c r="G1760" s="185" t="s">
        <v>2938</v>
      </c>
      <c r="H1760" s="185" t="s">
        <v>1628</v>
      </c>
      <c r="I1760" s="258" t="str">
        <f t="shared" si="82"/>
        <v>2</v>
      </c>
      <c r="J1760" s="221">
        <f t="shared" si="83"/>
        <v>-3955088</v>
      </c>
      <c r="K1760" s="258">
        <f t="shared" si="84"/>
        <v>7</v>
      </c>
      <c r="L1760" s="188">
        <v>0</v>
      </c>
      <c r="M1760" s="188">
        <v>3955088</v>
      </c>
      <c r="N1760" s="189">
        <v>860044821</v>
      </c>
      <c r="O1760" t="s">
        <v>2939</v>
      </c>
      <c r="P1760" s="187">
        <v>45129.353206018503</v>
      </c>
      <c r="Q1760" s="186">
        <v>12461</v>
      </c>
      <c r="R1760" s="185" t="s">
        <v>6</v>
      </c>
      <c r="S1760" s="185" t="s">
        <v>1570</v>
      </c>
      <c r="T1760"/>
      <c r="U1760" t="str">
        <f>IF($L1760&gt;0,VLOOKUP($E1760,Valida!$A$1:$G$270,6,FALSE),IF($M1760&gt;=0,VLOOKUP($E1760,Valida!$A$1:$G$270,7,FALSE)))</f>
        <v>(+/-) Ajustes por el incremento (disminución) de cuentas por pagar de origen comercial</v>
      </c>
      <c r="V1760" s="190" t="str">
        <f>VLOOKUP(E1760,Valida!$A$2:$K$271,4,FALSE)</f>
        <v>Trade and other payables</v>
      </c>
      <c r="W1760" s="185" t="s">
        <v>2048</v>
      </c>
      <c r="X1760" s="185"/>
      <c r="Y1760" s="185" t="s">
        <v>1789</v>
      </c>
      <c r="Z1760"/>
    </row>
    <row r="1761" spans="1:26">
      <c r="A1761" s="185" t="s">
        <v>2935</v>
      </c>
      <c r="B1761" s="185" t="s">
        <v>2936</v>
      </c>
      <c r="C1761" s="185" t="s">
        <v>2045</v>
      </c>
      <c r="D1761" s="185" t="s">
        <v>2937</v>
      </c>
      <c r="E1761" s="185">
        <v>51359501</v>
      </c>
      <c r="F1761" s="185" t="s">
        <v>1290</v>
      </c>
      <c r="G1761" s="185" t="s">
        <v>2940</v>
      </c>
      <c r="H1761" s="185" t="s">
        <v>1515</v>
      </c>
      <c r="I1761" s="258" t="str">
        <f t="shared" si="82"/>
        <v>5</v>
      </c>
      <c r="J1761" s="221">
        <f t="shared" si="83"/>
        <v>3955088</v>
      </c>
      <c r="K1761" s="258">
        <f t="shared" si="84"/>
        <v>7</v>
      </c>
      <c r="L1761" s="188">
        <v>3955088</v>
      </c>
      <c r="M1761" s="188">
        <v>0</v>
      </c>
      <c r="N1761" s="189">
        <v>860044821</v>
      </c>
      <c r="O1761" t="s">
        <v>2939</v>
      </c>
      <c r="P1761" s="187">
        <v>45129.353206018503</v>
      </c>
      <c r="Q1761" s="186">
        <v>12462</v>
      </c>
      <c r="R1761" s="185" t="s">
        <v>6</v>
      </c>
      <c r="S1761" s="185" t="s">
        <v>1570</v>
      </c>
      <c r="T1761"/>
      <c r="U1761" t="str">
        <f>IF($L1761&gt;0,VLOOKUP($E1761,Valida!$A$1:$G$270,6,FALSE),IF($M1761&gt;=0,VLOOKUP($E1761,Valida!$A$1:$G$270,7,FALSE)))</f>
        <v>(+/-) Ganancia (pérdida)</v>
      </c>
      <c r="V1761" s="190" t="str">
        <f>VLOOKUP(E1761,Valida!$A$2:$K$271,4,FALSE)</f>
        <v>P&amp;L</v>
      </c>
      <c r="W1761" s="185" t="s">
        <v>2048</v>
      </c>
      <c r="X1761" s="185"/>
      <c r="Y1761" s="185" t="s">
        <v>1789</v>
      </c>
      <c r="Z1761"/>
    </row>
    <row r="1762" spans="1:26">
      <c r="A1762" s="185" t="s">
        <v>2941</v>
      </c>
      <c r="B1762" s="185" t="s">
        <v>2942</v>
      </c>
      <c r="C1762" s="185" t="s">
        <v>2045</v>
      </c>
      <c r="D1762" s="185" t="s">
        <v>442</v>
      </c>
      <c r="E1762" s="185">
        <v>23355007</v>
      </c>
      <c r="F1762" s="185" t="s">
        <v>1638</v>
      </c>
      <c r="G1762" s="185" t="s">
        <v>2943</v>
      </c>
      <c r="H1762" s="185" t="s">
        <v>1628</v>
      </c>
      <c r="I1762" s="258" t="str">
        <f t="shared" si="82"/>
        <v>2</v>
      </c>
      <c r="J1762" s="221">
        <f t="shared" si="83"/>
        <v>-49743.360000000001</v>
      </c>
      <c r="K1762" s="258">
        <f t="shared" si="84"/>
        <v>7</v>
      </c>
      <c r="L1762" s="188">
        <v>0</v>
      </c>
      <c r="M1762" s="188">
        <v>49743.360000000001</v>
      </c>
      <c r="N1762" s="189">
        <v>444444001</v>
      </c>
      <c r="O1762" t="s">
        <v>2944</v>
      </c>
      <c r="P1762" s="187">
        <v>45129.355277777802</v>
      </c>
      <c r="Q1762" s="186">
        <v>12463</v>
      </c>
      <c r="R1762" s="185"/>
      <c r="S1762" s="185" t="s">
        <v>1548</v>
      </c>
      <c r="T1762"/>
      <c r="U1762" t="str">
        <f>IF($L1762&gt;0,VLOOKUP($E1762,Valida!$A$1:$G$270,6,FALSE),IF($M1762&gt;=0,VLOOKUP($E1762,Valida!$A$1:$G$270,7,FALSE)))</f>
        <v>(+/-) Ajustes por el incremento (disminución) de cuentas por pagar de origen comercial</v>
      </c>
      <c r="V1762" s="190" t="str">
        <f>VLOOKUP(E1762,Valida!$A$2:$K$271,4,FALSE)</f>
        <v>Trade and other payables</v>
      </c>
      <c r="W1762" s="185"/>
      <c r="X1762" s="185"/>
      <c r="Y1762" s="185"/>
      <c r="Z1762"/>
    </row>
    <row r="1763" spans="1:26">
      <c r="A1763" s="185" t="s">
        <v>2941</v>
      </c>
      <c r="B1763" s="185" t="s">
        <v>2942</v>
      </c>
      <c r="C1763" s="185" t="s">
        <v>2045</v>
      </c>
      <c r="D1763" s="185" t="s">
        <v>442</v>
      </c>
      <c r="E1763" s="185">
        <v>51350504</v>
      </c>
      <c r="F1763" s="185" t="s">
        <v>1638</v>
      </c>
      <c r="G1763" s="185" t="s">
        <v>2945</v>
      </c>
      <c r="H1763" s="185" t="s">
        <v>1515</v>
      </c>
      <c r="I1763" s="258" t="str">
        <f t="shared" si="82"/>
        <v>5</v>
      </c>
      <c r="J1763" s="221">
        <f t="shared" si="83"/>
        <v>49743.360000000001</v>
      </c>
      <c r="K1763" s="258">
        <f t="shared" si="84"/>
        <v>7</v>
      </c>
      <c r="L1763" s="188">
        <v>49743.360000000001</v>
      </c>
      <c r="M1763" s="188">
        <v>0</v>
      </c>
      <c r="N1763" s="189">
        <v>444444001</v>
      </c>
      <c r="O1763" t="s">
        <v>2944</v>
      </c>
      <c r="P1763" s="187">
        <v>45129.355277777802</v>
      </c>
      <c r="Q1763" s="186">
        <v>12464</v>
      </c>
      <c r="R1763" s="185"/>
      <c r="S1763" s="185" t="s">
        <v>1548</v>
      </c>
      <c r="T1763"/>
      <c r="U1763" t="str">
        <f>IF($L1763&gt;0,VLOOKUP($E1763,Valida!$A$1:$G$270,6,FALSE),IF($M1763&gt;=0,VLOOKUP($E1763,Valida!$A$1:$G$270,7,FALSE)))</f>
        <v>(+/-) Ganancia (pérdida)</v>
      </c>
      <c r="V1763" s="190" t="str">
        <f>VLOOKUP(E1763,Valida!$A$2:$K$271,4,FALSE)</f>
        <v>P&amp;L</v>
      </c>
      <c r="W1763" s="185"/>
      <c r="X1763" s="185"/>
      <c r="Y1763" s="185"/>
      <c r="Z1763"/>
    </row>
    <row r="1764" spans="1:26">
      <c r="A1764" s="185" t="s">
        <v>2946</v>
      </c>
      <c r="B1764" s="185" t="s">
        <v>2947</v>
      </c>
      <c r="C1764" s="185" t="s">
        <v>1792</v>
      </c>
      <c r="D1764" s="185" t="s">
        <v>2008</v>
      </c>
      <c r="E1764" s="185">
        <v>51201001</v>
      </c>
      <c r="F1764" s="185" t="s">
        <v>1189</v>
      </c>
      <c r="G1764" s="185" t="s">
        <v>2948</v>
      </c>
      <c r="H1764" s="185" t="s">
        <v>1515</v>
      </c>
      <c r="I1764" s="258" t="str">
        <f t="shared" si="82"/>
        <v>5</v>
      </c>
      <c r="J1764" s="221">
        <f t="shared" si="83"/>
        <v>12750000</v>
      </c>
      <c r="K1764" s="258">
        <f t="shared" si="84"/>
        <v>7</v>
      </c>
      <c r="L1764" s="188">
        <v>12750000</v>
      </c>
      <c r="M1764" s="188">
        <v>0</v>
      </c>
      <c r="N1764" s="189">
        <v>900471482</v>
      </c>
      <c r="O1764" t="s">
        <v>2949</v>
      </c>
      <c r="P1764" s="187">
        <v>45129.541192129604</v>
      </c>
      <c r="Q1764" s="186">
        <v>12465</v>
      </c>
      <c r="R1764" s="185" t="s">
        <v>6</v>
      </c>
      <c r="S1764" s="185" t="s">
        <v>1600</v>
      </c>
      <c r="T1764"/>
      <c r="U1764" t="str">
        <f>IF($L1764&gt;0,VLOOKUP($E1764,Valida!$A$1:$G$270,6,FALSE),IF($M1764&gt;=0,VLOOKUP($E1764,Valida!$A$1:$G$270,7,FALSE)))</f>
        <v>(+/-) Ganancia (pérdida)</v>
      </c>
      <c r="V1764" s="190" t="str">
        <f>VLOOKUP(E1764,Valida!$A$2:$K$271,4,FALSE)</f>
        <v>P&amp;L</v>
      </c>
      <c r="W1764" s="185" t="s">
        <v>1853</v>
      </c>
      <c r="X1764" s="185" t="s">
        <v>1854</v>
      </c>
      <c r="Y1764" s="185" t="s">
        <v>1789</v>
      </c>
      <c r="Z1764"/>
    </row>
    <row r="1765" spans="1:26">
      <c r="A1765" s="185" t="s">
        <v>2946</v>
      </c>
      <c r="B1765" s="185" t="s">
        <v>2947</v>
      </c>
      <c r="C1765" s="185" t="s">
        <v>1792</v>
      </c>
      <c r="D1765" s="185" t="s">
        <v>2008</v>
      </c>
      <c r="E1765" s="185">
        <v>24081002</v>
      </c>
      <c r="F1765" s="185" t="s">
        <v>1687</v>
      </c>
      <c r="G1765" s="185" t="s">
        <v>2948</v>
      </c>
      <c r="H1765" s="185" t="s">
        <v>1515</v>
      </c>
      <c r="I1765" s="258" t="str">
        <f t="shared" si="82"/>
        <v>2</v>
      </c>
      <c r="J1765" s="221">
        <f t="shared" si="83"/>
        <v>2422500</v>
      </c>
      <c r="K1765" s="258">
        <f t="shared" si="84"/>
        <v>7</v>
      </c>
      <c r="L1765" s="188">
        <v>2422500</v>
      </c>
      <c r="M1765" s="188">
        <v>0</v>
      </c>
      <c r="N1765" s="189">
        <v>900471482</v>
      </c>
      <c r="O1765" t="s">
        <v>2949</v>
      </c>
      <c r="P1765" s="187">
        <v>45129.541192129604</v>
      </c>
      <c r="Q1765" s="186">
        <v>12466</v>
      </c>
      <c r="R1765" s="185" t="s">
        <v>6</v>
      </c>
      <c r="S1765" s="185" t="s">
        <v>1600</v>
      </c>
      <c r="T1765"/>
      <c r="U1765" t="str">
        <f>IF($L1765&gt;0,VLOOKUP($E1765,Valida!$A$1:$G$270,6,FALSE),IF($M1765&gt;=0,VLOOKUP($E1765,Valida!$A$1:$G$270,7,FALSE)))</f>
        <v>(+/-) Ajustes por el incremento (disminución) de cuentas por pagar de origen comercial</v>
      </c>
      <c r="V1765" s="190" t="str">
        <f>VLOOKUP(E1765,Valida!$A$2:$K$271,4,FALSE)</f>
        <v>Trade and other payables</v>
      </c>
      <c r="W1765" s="185" t="s">
        <v>1853</v>
      </c>
      <c r="X1765" s="185" t="s">
        <v>1854</v>
      </c>
      <c r="Y1765" s="185" t="s">
        <v>1789</v>
      </c>
      <c r="Z1765"/>
    </row>
    <row r="1766" spans="1:26">
      <c r="A1766" s="185" t="s">
        <v>2946</v>
      </c>
      <c r="B1766" s="185" t="s">
        <v>2947</v>
      </c>
      <c r="C1766" s="185" t="s">
        <v>1792</v>
      </c>
      <c r="D1766" s="185" t="s">
        <v>2008</v>
      </c>
      <c r="E1766" s="185">
        <v>23653001</v>
      </c>
      <c r="F1766" s="185" t="s">
        <v>611</v>
      </c>
      <c r="G1766" s="185" t="s">
        <v>2948</v>
      </c>
      <c r="H1766" s="185" t="s">
        <v>1628</v>
      </c>
      <c r="I1766" s="258" t="str">
        <f t="shared" si="82"/>
        <v>2</v>
      </c>
      <c r="J1766" s="221">
        <f t="shared" si="83"/>
        <v>-446250</v>
      </c>
      <c r="K1766" s="258">
        <f t="shared" si="84"/>
        <v>7</v>
      </c>
      <c r="L1766" s="188">
        <v>0</v>
      </c>
      <c r="M1766" s="188">
        <v>446250</v>
      </c>
      <c r="N1766" s="189">
        <v>900471482</v>
      </c>
      <c r="O1766" t="s">
        <v>2949</v>
      </c>
      <c r="P1766" s="187">
        <v>45129.541192129604</v>
      </c>
      <c r="Q1766" s="186">
        <v>12467</v>
      </c>
      <c r="R1766" s="185" t="s">
        <v>6</v>
      </c>
      <c r="S1766" s="185" t="s">
        <v>1600</v>
      </c>
      <c r="T1766"/>
      <c r="U1766" t="str">
        <f>IF($L1766&gt;0,VLOOKUP($E1766,Valida!$A$1:$G$270,6,FALSE),IF($M1766&gt;=0,VLOOKUP($E1766,Valida!$A$1:$G$270,7,FALSE)))</f>
        <v>(+/-) Ajustes por el incremento (disminución) de cuentas por pagar de origen comercial</v>
      </c>
      <c r="V1766" s="190" t="str">
        <f>VLOOKUP(E1766,Valida!$A$2:$K$271,4,FALSE)</f>
        <v>Trade and other payables</v>
      </c>
      <c r="W1766" s="185" t="s">
        <v>1853</v>
      </c>
      <c r="X1766" s="185" t="s">
        <v>1854</v>
      </c>
      <c r="Y1766" s="185" t="s">
        <v>1789</v>
      </c>
      <c r="Z1766"/>
    </row>
    <row r="1767" spans="1:26">
      <c r="A1767" s="185" t="s">
        <v>2946</v>
      </c>
      <c r="B1767" s="185" t="s">
        <v>2947</v>
      </c>
      <c r="C1767" s="185" t="s">
        <v>1792</v>
      </c>
      <c r="D1767" s="185" t="s">
        <v>2008</v>
      </c>
      <c r="E1767" s="185">
        <v>23680503</v>
      </c>
      <c r="F1767" s="185" t="s">
        <v>665</v>
      </c>
      <c r="G1767" s="185" t="s">
        <v>2948</v>
      </c>
      <c r="H1767" s="185" t="s">
        <v>1628</v>
      </c>
      <c r="I1767" s="258" t="str">
        <f t="shared" si="82"/>
        <v>2</v>
      </c>
      <c r="J1767" s="221">
        <f t="shared" si="83"/>
        <v>-123165</v>
      </c>
      <c r="K1767" s="258">
        <f t="shared" si="84"/>
        <v>7</v>
      </c>
      <c r="L1767" s="188">
        <v>0</v>
      </c>
      <c r="M1767" s="188">
        <v>123165</v>
      </c>
      <c r="N1767" s="189">
        <v>900471482</v>
      </c>
      <c r="O1767" t="s">
        <v>2949</v>
      </c>
      <c r="P1767" s="187">
        <v>45129.541192129604</v>
      </c>
      <c r="Q1767" s="186">
        <v>12468</v>
      </c>
      <c r="R1767" s="185" t="s">
        <v>6</v>
      </c>
      <c r="S1767" s="185" t="s">
        <v>1600</v>
      </c>
      <c r="T1767"/>
      <c r="U1767" t="str">
        <f>IF($L1767&gt;0,VLOOKUP($E1767,Valida!$A$1:$G$270,6,FALSE),IF($M1767&gt;=0,VLOOKUP($E1767,Valida!$A$1:$G$270,7,FALSE)))</f>
        <v>(+/-) Ajustes por el incremento (disminución) de cuentas por pagar de origen comercial</v>
      </c>
      <c r="V1767" s="190" t="str">
        <f>VLOOKUP(E1767,Valida!$A$2:$K$271,4,FALSE)</f>
        <v>Trade and other payables</v>
      </c>
      <c r="W1767" s="185" t="s">
        <v>1853</v>
      </c>
      <c r="X1767" s="185" t="s">
        <v>1854</v>
      </c>
      <c r="Y1767" s="185" t="s">
        <v>1789</v>
      </c>
      <c r="Z1767"/>
    </row>
    <row r="1768" spans="1:26">
      <c r="A1768" s="185" t="s">
        <v>2946</v>
      </c>
      <c r="B1768" s="185" t="s">
        <v>2947</v>
      </c>
      <c r="C1768" s="185" t="s">
        <v>1792</v>
      </c>
      <c r="D1768" s="185" t="s">
        <v>2008</v>
      </c>
      <c r="E1768" s="185">
        <v>23354001</v>
      </c>
      <c r="F1768" s="185" t="s">
        <v>484</v>
      </c>
      <c r="G1768" s="185" t="s">
        <v>2948</v>
      </c>
      <c r="H1768" s="185" t="s">
        <v>1628</v>
      </c>
      <c r="I1768" s="258" t="str">
        <f t="shared" si="82"/>
        <v>2</v>
      </c>
      <c r="J1768" s="221">
        <f t="shared" si="83"/>
        <v>-14603085</v>
      </c>
      <c r="K1768" s="258">
        <f t="shared" si="84"/>
        <v>7</v>
      </c>
      <c r="L1768" s="188">
        <v>0</v>
      </c>
      <c r="M1768" s="188">
        <v>14603085</v>
      </c>
      <c r="N1768" s="189">
        <v>900471482</v>
      </c>
      <c r="O1768" t="s">
        <v>2949</v>
      </c>
      <c r="P1768" s="187">
        <v>45129.541192129604</v>
      </c>
      <c r="Q1768" s="186">
        <v>12469</v>
      </c>
      <c r="R1768" s="185" t="s">
        <v>6</v>
      </c>
      <c r="S1768" s="185" t="s">
        <v>1600</v>
      </c>
      <c r="T1768"/>
      <c r="U1768" t="str">
        <f>IF($L1768&gt;0,VLOOKUP($E1768,Valida!$A$1:$G$270,6,FALSE),IF($M1768&gt;=0,VLOOKUP($E1768,Valida!$A$1:$G$270,7,FALSE)))</f>
        <v>(+/-) Ajustes por el incremento (disminución) de cuentas por pagar de origen comercial</v>
      </c>
      <c r="V1768" s="190" t="str">
        <f>VLOOKUP(E1768,Valida!$A$2:$K$271,4,FALSE)</f>
        <v>Trade and other payables</v>
      </c>
      <c r="W1768" s="185" t="s">
        <v>1853</v>
      </c>
      <c r="X1768" s="185" t="s">
        <v>1854</v>
      </c>
      <c r="Y1768" s="185" t="s">
        <v>1789</v>
      </c>
      <c r="Z1768"/>
    </row>
    <row r="1769" spans="1:26">
      <c r="A1769" s="185" t="s">
        <v>2950</v>
      </c>
      <c r="B1769" s="185" t="s">
        <v>2951</v>
      </c>
      <c r="C1769" s="185" t="s">
        <v>1792</v>
      </c>
      <c r="D1769" s="185" t="s">
        <v>2017</v>
      </c>
      <c r="E1769" s="185">
        <v>51353001</v>
      </c>
      <c r="F1769" s="185" t="s">
        <v>516</v>
      </c>
      <c r="G1769" s="185" t="s">
        <v>1833</v>
      </c>
      <c r="H1769" s="185" t="s">
        <v>1515</v>
      </c>
      <c r="I1769" s="258" t="str">
        <f t="shared" si="82"/>
        <v>5</v>
      </c>
      <c r="J1769" s="221">
        <f t="shared" si="83"/>
        <v>6568150</v>
      </c>
      <c r="K1769" s="258">
        <f t="shared" si="84"/>
        <v>7</v>
      </c>
      <c r="L1769" s="188">
        <v>6568150</v>
      </c>
      <c r="M1769" s="188">
        <v>0</v>
      </c>
      <c r="N1769" s="189">
        <v>860063875</v>
      </c>
      <c r="O1769" t="s">
        <v>2952</v>
      </c>
      <c r="P1769" s="187">
        <v>45129.543275463002</v>
      </c>
      <c r="Q1769" s="186">
        <v>12470</v>
      </c>
      <c r="R1769" s="185" t="s">
        <v>1827</v>
      </c>
      <c r="S1769" s="185" t="s">
        <v>1572</v>
      </c>
      <c r="T1769"/>
      <c r="U1769" t="str">
        <f>IF($L1769&gt;0,VLOOKUP($E1769,Valida!$A$1:$G$270,6,FALSE),IF($M1769&gt;=0,VLOOKUP($E1769,Valida!$A$1:$G$270,7,FALSE)))</f>
        <v>(+/-) Ganancia (pérdida)</v>
      </c>
      <c r="V1769" s="190" t="str">
        <f>VLOOKUP(E1769,Valida!$A$2:$K$271,4,FALSE)</f>
        <v>P&amp;L</v>
      </c>
      <c r="W1769" s="185" t="s">
        <v>1835</v>
      </c>
      <c r="X1769" s="185"/>
      <c r="Y1769" s="185" t="s">
        <v>1789</v>
      </c>
      <c r="Z1769"/>
    </row>
    <row r="1770" spans="1:26">
      <c r="A1770" s="185" t="s">
        <v>2950</v>
      </c>
      <c r="B1770" s="185" t="s">
        <v>2951</v>
      </c>
      <c r="C1770" s="185" t="s">
        <v>1792</v>
      </c>
      <c r="D1770" s="185" t="s">
        <v>2017</v>
      </c>
      <c r="E1770" s="185">
        <v>51350502</v>
      </c>
      <c r="F1770" s="185" t="s">
        <v>1738</v>
      </c>
      <c r="G1770" s="185" t="s">
        <v>1833</v>
      </c>
      <c r="H1770" s="185" t="s">
        <v>1515</v>
      </c>
      <c r="I1770" s="258" t="str">
        <f t="shared" si="82"/>
        <v>5</v>
      </c>
      <c r="J1770" s="221">
        <f t="shared" si="83"/>
        <v>55070</v>
      </c>
      <c r="K1770" s="258">
        <f t="shared" si="84"/>
        <v>7</v>
      </c>
      <c r="L1770" s="188">
        <v>55070</v>
      </c>
      <c r="M1770" s="188">
        <v>0</v>
      </c>
      <c r="N1770" s="189">
        <v>901145808</v>
      </c>
      <c r="O1770" t="s">
        <v>2952</v>
      </c>
      <c r="P1770" s="187">
        <v>45129.543275463002</v>
      </c>
      <c r="Q1770" s="186">
        <v>12471</v>
      </c>
      <c r="R1770" s="185" t="s">
        <v>1067</v>
      </c>
      <c r="S1770" s="185" t="s">
        <v>1740</v>
      </c>
      <c r="T1770"/>
      <c r="U1770" t="str">
        <f>IF($L1770&gt;0,VLOOKUP($E1770,Valida!$A$1:$G$270,6,FALSE),IF($M1770&gt;=0,VLOOKUP($E1770,Valida!$A$1:$G$270,7,FALSE)))</f>
        <v>(+/-) Ganancia (pérdida)</v>
      </c>
      <c r="V1770" s="190" t="str">
        <f>VLOOKUP(E1770,Valida!$A$2:$K$271,4,FALSE)</f>
        <v>P&amp;L</v>
      </c>
      <c r="W1770" s="185" t="s">
        <v>1836</v>
      </c>
      <c r="X1770" s="185" t="s">
        <v>1837</v>
      </c>
      <c r="Y1770" s="185" t="s">
        <v>1789</v>
      </c>
      <c r="Z1770"/>
    </row>
    <row r="1771" spans="1:26">
      <c r="A1771" s="185" t="s">
        <v>2950</v>
      </c>
      <c r="B1771" s="185" t="s">
        <v>2951</v>
      </c>
      <c r="C1771" s="185" t="s">
        <v>1792</v>
      </c>
      <c r="D1771" s="185" t="s">
        <v>2017</v>
      </c>
      <c r="E1771" s="185">
        <v>23355005</v>
      </c>
      <c r="F1771" s="185" t="s">
        <v>516</v>
      </c>
      <c r="G1771" s="185" t="s">
        <v>1833</v>
      </c>
      <c r="H1771" s="185" t="s">
        <v>1628</v>
      </c>
      <c r="I1771" s="258" t="str">
        <f t="shared" si="82"/>
        <v>2</v>
      </c>
      <c r="J1771" s="221">
        <f t="shared" si="83"/>
        <v>-6623220</v>
      </c>
      <c r="K1771" s="258">
        <f t="shared" si="84"/>
        <v>7</v>
      </c>
      <c r="L1771" s="188">
        <v>0</v>
      </c>
      <c r="M1771" s="188">
        <v>6623220</v>
      </c>
      <c r="N1771" s="189">
        <v>860063875</v>
      </c>
      <c r="O1771" t="s">
        <v>2952</v>
      </c>
      <c r="P1771" s="187">
        <v>45129.543275463002</v>
      </c>
      <c r="Q1771" s="186">
        <v>12472</v>
      </c>
      <c r="R1771" s="185" t="s">
        <v>1827</v>
      </c>
      <c r="S1771" s="185" t="s">
        <v>1572</v>
      </c>
      <c r="T1771"/>
      <c r="U1771" t="str">
        <f>IF($L1771&gt;0,VLOOKUP($E1771,Valida!$A$1:$G$270,6,FALSE),IF($M1771&gt;=0,VLOOKUP($E1771,Valida!$A$1:$G$270,7,FALSE)))</f>
        <v>(+/-) Ajustes por el incremento (disminución) de cuentas por pagar de origen comercial</v>
      </c>
      <c r="V1771" s="190" t="str">
        <f>VLOOKUP(E1771,Valida!$A$2:$K$271,4,FALSE)</f>
        <v>Trade and other payables</v>
      </c>
      <c r="W1771" s="185" t="s">
        <v>1835</v>
      </c>
      <c r="X1771" s="185"/>
      <c r="Y1771" s="185" t="s">
        <v>1789</v>
      </c>
      <c r="Z1771"/>
    </row>
    <row r="1772" spans="1:26">
      <c r="A1772" s="185" t="s">
        <v>2941</v>
      </c>
      <c r="B1772" s="185" t="s">
        <v>2953</v>
      </c>
      <c r="C1772" s="185" t="s">
        <v>1792</v>
      </c>
      <c r="D1772" s="185" t="s">
        <v>2019</v>
      </c>
      <c r="E1772" s="185">
        <v>51700503</v>
      </c>
      <c r="F1772" s="185" t="s">
        <v>1397</v>
      </c>
      <c r="G1772" s="185" t="s">
        <v>1818</v>
      </c>
      <c r="H1772" s="185" t="s">
        <v>1515</v>
      </c>
      <c r="I1772" s="258" t="str">
        <f t="shared" si="82"/>
        <v>5</v>
      </c>
      <c r="J1772" s="221">
        <f t="shared" si="83"/>
        <v>330000</v>
      </c>
      <c r="K1772" s="258">
        <f t="shared" si="84"/>
        <v>7</v>
      </c>
      <c r="L1772" s="188">
        <v>330000</v>
      </c>
      <c r="M1772" s="188">
        <v>0</v>
      </c>
      <c r="N1772" s="189">
        <v>800042928</v>
      </c>
      <c r="O1772" t="s">
        <v>2954</v>
      </c>
      <c r="P1772" s="187">
        <v>45129.544664351903</v>
      </c>
      <c r="Q1772" s="186">
        <v>12473</v>
      </c>
      <c r="R1772" s="185" t="s">
        <v>6</v>
      </c>
      <c r="S1772" s="185" t="s">
        <v>1554</v>
      </c>
      <c r="T1772"/>
      <c r="U1772" t="str">
        <f>IF($L1772&gt;0,VLOOKUP($E1772,Valida!$A$1:$G$270,6,FALSE),IF($M1772&gt;=0,VLOOKUP($E1772,Valida!$A$1:$G$270,7,FALSE)))</f>
        <v>(+/-) Ganancia (pérdida)</v>
      </c>
      <c r="V1772" s="190" t="str">
        <f>VLOOKUP(E1772,Valida!$A$2:$K$271,4,FALSE)</f>
        <v>P&amp;L</v>
      </c>
      <c r="W1772" s="185" t="s">
        <v>1820</v>
      </c>
      <c r="X1772" s="185" t="s">
        <v>1821</v>
      </c>
      <c r="Y1772" s="185" t="s">
        <v>1789</v>
      </c>
      <c r="Z1772"/>
    </row>
    <row r="1773" spans="1:26">
      <c r="A1773" s="185" t="s">
        <v>2941</v>
      </c>
      <c r="B1773" s="185" t="s">
        <v>2953</v>
      </c>
      <c r="C1773" s="185" t="s">
        <v>1792</v>
      </c>
      <c r="D1773" s="185" t="s">
        <v>2019</v>
      </c>
      <c r="E1773" s="185">
        <v>23359504</v>
      </c>
      <c r="F1773" s="185" t="s">
        <v>553</v>
      </c>
      <c r="G1773" s="185" t="s">
        <v>1818</v>
      </c>
      <c r="H1773" s="185" t="s">
        <v>1628</v>
      </c>
      <c r="I1773" s="258" t="str">
        <f t="shared" si="82"/>
        <v>2</v>
      </c>
      <c r="J1773" s="221">
        <f t="shared" si="83"/>
        <v>-330000</v>
      </c>
      <c r="K1773" s="258">
        <f t="shared" si="84"/>
        <v>7</v>
      </c>
      <c r="L1773" s="188">
        <v>0</v>
      </c>
      <c r="M1773" s="188">
        <v>330000</v>
      </c>
      <c r="N1773" s="189">
        <v>800042928</v>
      </c>
      <c r="O1773" t="s">
        <v>2954</v>
      </c>
      <c r="P1773" s="187">
        <v>45129.544675925899</v>
      </c>
      <c r="Q1773" s="186">
        <v>12474</v>
      </c>
      <c r="R1773" s="185" t="s">
        <v>6</v>
      </c>
      <c r="S1773" s="185" t="s">
        <v>1554</v>
      </c>
      <c r="T1773"/>
      <c r="U1773" t="str">
        <f>IF($L1773&gt;0,VLOOKUP($E1773,Valida!$A$1:$G$270,6,FALSE),IF($M1773&gt;=0,VLOOKUP($E1773,Valida!$A$1:$G$270,7,FALSE)))</f>
        <v>(+/-) Ajustes por el incremento (disminución) de cuentas por pagar de origen comercial</v>
      </c>
      <c r="V1773" s="190" t="str">
        <f>VLOOKUP(E1773,Valida!$A$2:$K$271,4,FALSE)</f>
        <v>Trade and other payables</v>
      </c>
      <c r="W1773" s="185" t="s">
        <v>1820</v>
      </c>
      <c r="X1773" s="185" t="s">
        <v>1821</v>
      </c>
      <c r="Y1773" s="185" t="s">
        <v>1789</v>
      </c>
      <c r="Z1773"/>
    </row>
    <row r="1774" spans="1:26">
      <c r="A1774" s="185" t="s">
        <v>2950</v>
      </c>
      <c r="B1774" s="185" t="s">
        <v>2955</v>
      </c>
      <c r="C1774" s="185" t="s">
        <v>1792</v>
      </c>
      <c r="D1774" s="185" t="s">
        <v>2021</v>
      </c>
      <c r="E1774" s="185">
        <v>51353501</v>
      </c>
      <c r="F1774" s="185" t="s">
        <v>502</v>
      </c>
      <c r="G1774" s="185" t="s">
        <v>2812</v>
      </c>
      <c r="H1774" s="185" t="s">
        <v>1515</v>
      </c>
      <c r="I1774" s="258" t="str">
        <f t="shared" si="82"/>
        <v>5</v>
      </c>
      <c r="J1774" s="221">
        <f t="shared" si="83"/>
        <v>33749.39</v>
      </c>
      <c r="K1774" s="258">
        <f t="shared" si="84"/>
        <v>7</v>
      </c>
      <c r="L1774" s="188">
        <v>33749.39</v>
      </c>
      <c r="M1774" s="188">
        <v>0</v>
      </c>
      <c r="N1774" s="189">
        <v>800153993</v>
      </c>
      <c r="O1774" t="s">
        <v>2956</v>
      </c>
      <c r="P1774" s="187">
        <v>45129.5473726852</v>
      </c>
      <c r="Q1774" s="186">
        <v>12475</v>
      </c>
      <c r="R1774" s="185" t="s">
        <v>1814</v>
      </c>
      <c r="S1774" s="185" t="s">
        <v>1556</v>
      </c>
      <c r="T1774"/>
      <c r="U1774" t="str">
        <f>IF($L1774&gt;0,VLOOKUP($E1774,Valida!$A$1:$G$270,6,FALSE),IF($M1774&gt;=0,VLOOKUP($E1774,Valida!$A$1:$G$270,7,FALSE)))</f>
        <v>(+/-) Ganancia (pérdida)</v>
      </c>
      <c r="V1774" s="190" t="str">
        <f>VLOOKUP(E1774,Valida!$A$2:$K$271,4,FALSE)</f>
        <v>P&amp;L</v>
      </c>
      <c r="W1774" s="185" t="s">
        <v>1815</v>
      </c>
      <c r="X1774" s="185"/>
      <c r="Y1774" s="185" t="s">
        <v>1789</v>
      </c>
      <c r="Z1774"/>
    </row>
    <row r="1775" spans="1:26">
      <c r="A1775" s="185" t="s">
        <v>2950</v>
      </c>
      <c r="B1775" s="185" t="s">
        <v>2955</v>
      </c>
      <c r="C1775" s="185" t="s">
        <v>1792</v>
      </c>
      <c r="D1775" s="185" t="s">
        <v>2021</v>
      </c>
      <c r="E1775" s="185">
        <v>23355001</v>
      </c>
      <c r="F1775" s="185" t="s">
        <v>502</v>
      </c>
      <c r="G1775" s="185" t="s">
        <v>2814</v>
      </c>
      <c r="H1775" s="185" t="s">
        <v>1628</v>
      </c>
      <c r="I1775" s="258" t="str">
        <f t="shared" si="82"/>
        <v>2</v>
      </c>
      <c r="J1775" s="221">
        <f t="shared" si="83"/>
        <v>-48663.51</v>
      </c>
      <c r="K1775" s="258">
        <f t="shared" si="84"/>
        <v>7</v>
      </c>
      <c r="L1775" s="188">
        <v>0</v>
      </c>
      <c r="M1775" s="188">
        <v>48663.51</v>
      </c>
      <c r="N1775" s="189">
        <v>800153993</v>
      </c>
      <c r="O1775" t="s">
        <v>2956</v>
      </c>
      <c r="P1775" s="187">
        <v>45129.5473726852</v>
      </c>
      <c r="Q1775" s="186">
        <v>12476</v>
      </c>
      <c r="R1775" s="185" t="s">
        <v>1814</v>
      </c>
      <c r="S1775" s="185" t="s">
        <v>1556</v>
      </c>
      <c r="T1775"/>
      <c r="U1775" t="str">
        <f>IF($L1775&gt;0,VLOOKUP($E1775,Valida!$A$1:$G$270,6,FALSE),IF($M1775&gt;=0,VLOOKUP($E1775,Valida!$A$1:$G$270,7,FALSE)))</f>
        <v>(+/-) Ajustes por el incremento (disminución) de cuentas por pagar de origen comercial</v>
      </c>
      <c r="V1775" s="190" t="str">
        <f>VLOOKUP(E1775,Valida!$A$2:$K$271,4,FALSE)</f>
        <v>Trade and other payables</v>
      </c>
      <c r="W1775" s="185" t="s">
        <v>1815</v>
      </c>
      <c r="X1775" s="185"/>
      <c r="Y1775" s="185" t="s">
        <v>1789</v>
      </c>
      <c r="Z1775"/>
    </row>
    <row r="1776" spans="1:26">
      <c r="A1776" s="185" t="s">
        <v>2950</v>
      </c>
      <c r="B1776" s="185" t="s">
        <v>2955</v>
      </c>
      <c r="C1776" s="185" t="s">
        <v>1792</v>
      </c>
      <c r="D1776" s="185" t="s">
        <v>2021</v>
      </c>
      <c r="E1776" s="185">
        <v>51353501</v>
      </c>
      <c r="F1776" s="185" t="s">
        <v>502</v>
      </c>
      <c r="G1776" s="185" t="s">
        <v>2815</v>
      </c>
      <c r="H1776" s="185" t="s">
        <v>1515</v>
      </c>
      <c r="I1776" s="258" t="str">
        <f t="shared" si="82"/>
        <v>5</v>
      </c>
      <c r="J1776" s="221">
        <f t="shared" si="83"/>
        <v>6912.52</v>
      </c>
      <c r="K1776" s="258">
        <f t="shared" si="84"/>
        <v>7</v>
      </c>
      <c r="L1776" s="188">
        <v>6912.52</v>
      </c>
      <c r="M1776" s="188">
        <v>0</v>
      </c>
      <c r="N1776" s="189">
        <v>800153993</v>
      </c>
      <c r="O1776" t="s">
        <v>2956</v>
      </c>
      <c r="P1776" s="187">
        <v>45129.5473726852</v>
      </c>
      <c r="Q1776" s="186">
        <v>12477</v>
      </c>
      <c r="R1776" s="185" t="s">
        <v>1814</v>
      </c>
      <c r="S1776" s="185" t="s">
        <v>1556</v>
      </c>
      <c r="T1776"/>
      <c r="U1776" t="str">
        <f>IF($L1776&gt;0,VLOOKUP($E1776,Valida!$A$1:$G$270,6,FALSE),IF($M1776&gt;=0,VLOOKUP($E1776,Valida!$A$1:$G$270,7,FALSE)))</f>
        <v>(+/-) Ganancia (pérdida)</v>
      </c>
      <c r="V1776" s="190" t="str">
        <f>VLOOKUP(E1776,Valida!$A$2:$K$271,4,FALSE)</f>
        <v>P&amp;L</v>
      </c>
      <c r="W1776" s="185" t="s">
        <v>1815</v>
      </c>
      <c r="X1776" s="185"/>
      <c r="Y1776" s="185" t="s">
        <v>1789</v>
      </c>
      <c r="Z1776"/>
    </row>
    <row r="1777" spans="1:26">
      <c r="A1777" s="185" t="s">
        <v>2950</v>
      </c>
      <c r="B1777" s="185" t="s">
        <v>2955</v>
      </c>
      <c r="C1777" s="185" t="s">
        <v>1792</v>
      </c>
      <c r="D1777" s="185" t="s">
        <v>2021</v>
      </c>
      <c r="E1777" s="185">
        <v>24081002</v>
      </c>
      <c r="F1777" s="185" t="s">
        <v>1687</v>
      </c>
      <c r="G1777" s="185" t="s">
        <v>2814</v>
      </c>
      <c r="H1777" s="185" t="s">
        <v>1515</v>
      </c>
      <c r="I1777" s="258" t="str">
        <f t="shared" si="82"/>
        <v>2</v>
      </c>
      <c r="J1777" s="221">
        <f t="shared" si="83"/>
        <v>7725.76</v>
      </c>
      <c r="K1777" s="258">
        <f t="shared" si="84"/>
        <v>7</v>
      </c>
      <c r="L1777" s="188">
        <v>7725.76</v>
      </c>
      <c r="M1777" s="188">
        <v>0</v>
      </c>
      <c r="N1777" s="189">
        <v>800153993</v>
      </c>
      <c r="O1777" t="s">
        <v>2956</v>
      </c>
      <c r="P1777" s="187">
        <v>45129.5473726852</v>
      </c>
      <c r="Q1777" s="186">
        <v>12478</v>
      </c>
      <c r="R1777" s="185" t="s">
        <v>1814</v>
      </c>
      <c r="S1777" s="185" t="s">
        <v>1556</v>
      </c>
      <c r="T1777"/>
      <c r="U1777" t="str">
        <f>IF($L1777&gt;0,VLOOKUP($E1777,Valida!$A$1:$G$270,6,FALSE),IF($M1777&gt;=0,VLOOKUP($E1777,Valida!$A$1:$G$270,7,FALSE)))</f>
        <v>(+/-) Ajustes por el incremento (disminución) de cuentas por pagar de origen comercial</v>
      </c>
      <c r="V1777" s="190" t="str">
        <f>VLOOKUP(E1777,Valida!$A$2:$K$271,4,FALSE)</f>
        <v>Trade and other payables</v>
      </c>
      <c r="W1777" s="185" t="s">
        <v>1815</v>
      </c>
      <c r="X1777" s="185"/>
      <c r="Y1777" s="185" t="s">
        <v>1789</v>
      </c>
      <c r="Z1777"/>
    </row>
    <row r="1778" spans="1:26">
      <c r="A1778" s="185" t="s">
        <v>2950</v>
      </c>
      <c r="B1778" s="185" t="s">
        <v>2955</v>
      </c>
      <c r="C1778" s="185" t="s">
        <v>1792</v>
      </c>
      <c r="D1778" s="185" t="s">
        <v>2021</v>
      </c>
      <c r="E1778" s="185">
        <v>51159502</v>
      </c>
      <c r="F1778" s="185" t="s">
        <v>1736</v>
      </c>
      <c r="G1778" s="185" t="s">
        <v>2814</v>
      </c>
      <c r="H1778" s="185" t="s">
        <v>1515</v>
      </c>
      <c r="I1778" s="258" t="str">
        <f t="shared" si="82"/>
        <v>5</v>
      </c>
      <c r="J1778" s="221">
        <f t="shared" si="83"/>
        <v>275.83999999999997</v>
      </c>
      <c r="K1778" s="258">
        <f t="shared" si="84"/>
        <v>7</v>
      </c>
      <c r="L1778" s="188">
        <v>275.83999999999997</v>
      </c>
      <c r="M1778" s="188">
        <v>0</v>
      </c>
      <c r="N1778" s="189">
        <v>800153993</v>
      </c>
      <c r="O1778" t="s">
        <v>2956</v>
      </c>
      <c r="P1778" s="187">
        <v>45129.5473726852</v>
      </c>
      <c r="Q1778" s="186">
        <v>12479</v>
      </c>
      <c r="R1778" s="185" t="s">
        <v>1814</v>
      </c>
      <c r="S1778" s="185" t="s">
        <v>1556</v>
      </c>
      <c r="T1778"/>
      <c r="U1778" t="str">
        <f>IF($L1778&gt;0,VLOOKUP($E1778,Valida!$A$1:$G$270,6,FALSE),IF($M1778&gt;=0,VLOOKUP($E1778,Valida!$A$1:$G$270,7,FALSE)))</f>
        <v>(+/-) Ganancia (pérdida)</v>
      </c>
      <c r="V1778" s="190" t="str">
        <f>VLOOKUP(E1778,Valida!$A$2:$K$271,4,FALSE)</f>
        <v>P&amp;L</v>
      </c>
      <c r="W1778" s="185" t="s">
        <v>1815</v>
      </c>
      <c r="X1778" s="185"/>
      <c r="Y1778" s="185" t="s">
        <v>1789</v>
      </c>
      <c r="Z1778"/>
    </row>
    <row r="1779" spans="1:26">
      <c r="A1779" s="185" t="s">
        <v>2957</v>
      </c>
      <c r="B1779" s="185" t="s">
        <v>2958</v>
      </c>
      <c r="C1779" s="185" t="s">
        <v>1792</v>
      </c>
      <c r="D1779" s="185" t="s">
        <v>2023</v>
      </c>
      <c r="E1779" s="185">
        <v>51952501</v>
      </c>
      <c r="F1779" s="185" t="s">
        <v>1412</v>
      </c>
      <c r="G1779" s="185" t="s">
        <v>1412</v>
      </c>
      <c r="H1779" s="185" t="s">
        <v>1515</v>
      </c>
      <c r="I1779" s="258" t="str">
        <f t="shared" si="82"/>
        <v>5</v>
      </c>
      <c r="J1779" s="221">
        <f t="shared" si="83"/>
        <v>1537437</v>
      </c>
      <c r="K1779" s="258">
        <f t="shared" si="84"/>
        <v>7</v>
      </c>
      <c r="L1779" s="188">
        <v>1537437</v>
      </c>
      <c r="M1779" s="188">
        <v>0</v>
      </c>
      <c r="N1779" s="189">
        <v>830062853</v>
      </c>
      <c r="O1779" t="s">
        <v>2959</v>
      </c>
      <c r="P1779" s="187">
        <v>45129.663576388899</v>
      </c>
      <c r="Q1779" s="186">
        <v>12480</v>
      </c>
      <c r="R1779" s="185" t="s">
        <v>433</v>
      </c>
      <c r="S1779" s="185" t="s">
        <v>1564</v>
      </c>
      <c r="T1779"/>
      <c r="U1779" t="str">
        <f>IF($L1779&gt;0,VLOOKUP($E1779,Valida!$A$1:$G$270,6,FALSE),IF($M1779&gt;=0,VLOOKUP($E1779,Valida!$A$1:$G$270,7,FALSE)))</f>
        <v>(+/-) Ganancia (pérdida)</v>
      </c>
      <c r="V1779" s="190" t="str">
        <f>VLOOKUP(E1779,Valida!$A$2:$K$271,4,FALSE)</f>
        <v>P&amp;L</v>
      </c>
      <c r="W1779" s="185" t="s">
        <v>2024</v>
      </c>
      <c r="X1779" s="185" t="s">
        <v>2025</v>
      </c>
      <c r="Y1779" s="185" t="s">
        <v>1789</v>
      </c>
      <c r="Z1779"/>
    </row>
    <row r="1780" spans="1:26">
      <c r="A1780" s="185" t="s">
        <v>2957</v>
      </c>
      <c r="B1780" s="185" t="s">
        <v>2958</v>
      </c>
      <c r="C1780" s="185" t="s">
        <v>1792</v>
      </c>
      <c r="D1780" s="185" t="s">
        <v>2023</v>
      </c>
      <c r="E1780" s="185">
        <v>24081001</v>
      </c>
      <c r="F1780" s="185" t="s">
        <v>1670</v>
      </c>
      <c r="G1780" s="185" t="s">
        <v>1412</v>
      </c>
      <c r="H1780" s="185" t="s">
        <v>1515</v>
      </c>
      <c r="I1780" s="258" t="str">
        <f t="shared" si="82"/>
        <v>2</v>
      </c>
      <c r="J1780" s="221">
        <f t="shared" si="83"/>
        <v>292113</v>
      </c>
      <c r="K1780" s="258">
        <f t="shared" si="84"/>
        <v>7</v>
      </c>
      <c r="L1780" s="188">
        <v>292113</v>
      </c>
      <c r="M1780" s="188">
        <v>0</v>
      </c>
      <c r="N1780" s="189">
        <v>830062853</v>
      </c>
      <c r="O1780" t="s">
        <v>2959</v>
      </c>
      <c r="P1780" s="187">
        <v>45129.663587962998</v>
      </c>
      <c r="Q1780" s="186">
        <v>12481</v>
      </c>
      <c r="R1780" s="185" t="s">
        <v>433</v>
      </c>
      <c r="S1780" s="185" t="s">
        <v>1564</v>
      </c>
      <c r="T1780"/>
      <c r="U1780" t="str">
        <f>IF($L1780&gt;0,VLOOKUP($E1780,Valida!$A$1:$G$270,6,FALSE),IF($M1780&gt;=0,VLOOKUP($E1780,Valida!$A$1:$G$270,7,FALSE)))</f>
        <v>(+/-) Ajustes por el incremento (disminución) de cuentas por pagar de origen comercial</v>
      </c>
      <c r="V1780" s="190" t="str">
        <f>VLOOKUP(E1780,Valida!$A$2:$K$271,4,FALSE)</f>
        <v>Trade and other payables</v>
      </c>
      <c r="W1780" s="185" t="s">
        <v>2024</v>
      </c>
      <c r="X1780" s="185" t="s">
        <v>2025</v>
      </c>
      <c r="Y1780" s="185" t="s">
        <v>1789</v>
      </c>
      <c r="Z1780"/>
    </row>
    <row r="1781" spans="1:26">
      <c r="A1781" s="185" t="s">
        <v>2957</v>
      </c>
      <c r="B1781" s="185" t="s">
        <v>2958</v>
      </c>
      <c r="C1781" s="185" t="s">
        <v>1792</v>
      </c>
      <c r="D1781" s="185" t="s">
        <v>2023</v>
      </c>
      <c r="E1781" s="185">
        <v>51952502</v>
      </c>
      <c r="F1781" s="185" t="s">
        <v>1414</v>
      </c>
      <c r="G1781" s="185" t="s">
        <v>1414</v>
      </c>
      <c r="H1781" s="185" t="s">
        <v>1515</v>
      </c>
      <c r="I1781" s="258" t="str">
        <f t="shared" si="82"/>
        <v>5</v>
      </c>
      <c r="J1781" s="221">
        <f t="shared" si="83"/>
        <v>136416</v>
      </c>
      <c r="K1781" s="258">
        <f t="shared" si="84"/>
        <v>7</v>
      </c>
      <c r="L1781" s="188">
        <v>136416</v>
      </c>
      <c r="M1781" s="188">
        <v>0</v>
      </c>
      <c r="N1781" s="189">
        <v>830062853</v>
      </c>
      <c r="O1781" t="s">
        <v>2959</v>
      </c>
      <c r="P1781" s="187">
        <v>45129.663587962998</v>
      </c>
      <c r="Q1781" s="186">
        <v>12482</v>
      </c>
      <c r="R1781" s="185" t="s">
        <v>433</v>
      </c>
      <c r="S1781" s="185" t="s">
        <v>1564</v>
      </c>
      <c r="T1781"/>
      <c r="U1781" t="str">
        <f>IF($L1781&gt;0,VLOOKUP($E1781,Valida!$A$1:$G$270,6,FALSE),IF($M1781&gt;=0,VLOOKUP($E1781,Valida!$A$1:$G$270,7,FALSE)))</f>
        <v>(+/-) Ganancia (pérdida)</v>
      </c>
      <c r="V1781" s="190" t="str">
        <f>VLOOKUP(E1781,Valida!$A$2:$K$271,4,FALSE)</f>
        <v>P&amp;L</v>
      </c>
      <c r="W1781" s="185" t="s">
        <v>2024</v>
      </c>
      <c r="X1781" s="185" t="s">
        <v>2025</v>
      </c>
      <c r="Y1781" s="185" t="s">
        <v>1789</v>
      </c>
      <c r="Z1781"/>
    </row>
    <row r="1782" spans="1:26">
      <c r="A1782" s="185" t="s">
        <v>2957</v>
      </c>
      <c r="B1782" s="185" t="s">
        <v>2958</v>
      </c>
      <c r="C1782" s="185" t="s">
        <v>1792</v>
      </c>
      <c r="D1782" s="185" t="s">
        <v>2023</v>
      </c>
      <c r="E1782" s="185">
        <v>24081005</v>
      </c>
      <c r="F1782" s="185" t="s">
        <v>1688</v>
      </c>
      <c r="G1782" s="185" t="s">
        <v>1414</v>
      </c>
      <c r="H1782" s="185" t="s">
        <v>1515</v>
      </c>
      <c r="I1782" s="258" t="str">
        <f t="shared" si="82"/>
        <v>2</v>
      </c>
      <c r="J1782" s="221">
        <f t="shared" si="83"/>
        <v>6821</v>
      </c>
      <c r="K1782" s="258">
        <f t="shared" si="84"/>
        <v>7</v>
      </c>
      <c r="L1782" s="188">
        <v>6821</v>
      </c>
      <c r="M1782" s="188">
        <v>0</v>
      </c>
      <c r="N1782" s="189">
        <v>830062853</v>
      </c>
      <c r="O1782" t="s">
        <v>2959</v>
      </c>
      <c r="P1782" s="187">
        <v>45129.663587962998</v>
      </c>
      <c r="Q1782" s="186">
        <v>12483</v>
      </c>
      <c r="R1782" s="185" t="s">
        <v>433</v>
      </c>
      <c r="S1782" s="185" t="s">
        <v>1564</v>
      </c>
      <c r="T1782"/>
      <c r="U1782" t="str">
        <f>IF($L1782&gt;0,VLOOKUP($E1782,Valida!$A$1:$G$270,6,FALSE),IF($M1782&gt;=0,VLOOKUP($E1782,Valida!$A$1:$G$270,7,FALSE)))</f>
        <v>(+/-) Ajustes por el incremento (disminución) de cuentas por pagar de origen comercial</v>
      </c>
      <c r="V1782" s="190" t="str">
        <f>VLOOKUP(E1782,Valida!$A$2:$K$271,4,FALSE)</f>
        <v>Trade and other payables</v>
      </c>
      <c r="W1782" s="185" t="s">
        <v>2024</v>
      </c>
      <c r="X1782" s="185" t="s">
        <v>2025</v>
      </c>
      <c r="Y1782" s="185" t="s">
        <v>1789</v>
      </c>
      <c r="Z1782"/>
    </row>
    <row r="1783" spans="1:26">
      <c r="A1783" s="185" t="s">
        <v>2957</v>
      </c>
      <c r="B1783" s="185" t="s">
        <v>2958</v>
      </c>
      <c r="C1783" s="185" t="s">
        <v>1792</v>
      </c>
      <c r="D1783" s="185" t="s">
        <v>2023</v>
      </c>
      <c r="E1783" s="185">
        <v>51952502</v>
      </c>
      <c r="F1783" s="185" t="s">
        <v>1414</v>
      </c>
      <c r="G1783" s="185" t="s">
        <v>1414</v>
      </c>
      <c r="H1783" s="185" t="s">
        <v>1515</v>
      </c>
      <c r="I1783" s="258" t="str">
        <f t="shared" si="82"/>
        <v>5</v>
      </c>
      <c r="J1783" s="221">
        <f t="shared" si="83"/>
        <v>38880</v>
      </c>
      <c r="K1783" s="258">
        <f t="shared" si="84"/>
        <v>7</v>
      </c>
      <c r="L1783" s="188">
        <v>38880</v>
      </c>
      <c r="M1783" s="188">
        <v>0</v>
      </c>
      <c r="N1783" s="189">
        <v>830062853</v>
      </c>
      <c r="O1783" t="s">
        <v>2959</v>
      </c>
      <c r="P1783" s="187">
        <v>45129.663587962998</v>
      </c>
      <c r="Q1783" s="186">
        <v>12484</v>
      </c>
      <c r="R1783" s="185" t="s">
        <v>433</v>
      </c>
      <c r="S1783" s="185" t="s">
        <v>1564</v>
      </c>
      <c r="T1783"/>
      <c r="U1783" t="str">
        <f>IF($L1783&gt;0,VLOOKUP($E1783,Valida!$A$1:$G$270,6,FALSE),IF($M1783&gt;=0,VLOOKUP($E1783,Valida!$A$1:$G$270,7,FALSE)))</f>
        <v>(+/-) Ganancia (pérdida)</v>
      </c>
      <c r="V1783" s="190" t="str">
        <f>VLOOKUP(E1783,Valida!$A$2:$K$271,4,FALSE)</f>
        <v>P&amp;L</v>
      </c>
      <c r="W1783" s="185" t="s">
        <v>2024</v>
      </c>
      <c r="X1783" s="185" t="s">
        <v>2025</v>
      </c>
      <c r="Y1783" s="185" t="s">
        <v>1789</v>
      </c>
      <c r="Z1783"/>
    </row>
    <row r="1784" spans="1:26">
      <c r="A1784" s="185" t="s">
        <v>2957</v>
      </c>
      <c r="B1784" s="185" t="s">
        <v>2958</v>
      </c>
      <c r="C1784" s="185" t="s">
        <v>1792</v>
      </c>
      <c r="D1784" s="185" t="s">
        <v>2023</v>
      </c>
      <c r="E1784" s="185">
        <v>24081001</v>
      </c>
      <c r="F1784" s="185" t="s">
        <v>1670</v>
      </c>
      <c r="G1784" s="185" t="s">
        <v>1414</v>
      </c>
      <c r="H1784" s="185" t="s">
        <v>1515</v>
      </c>
      <c r="I1784" s="258" t="str">
        <f t="shared" si="82"/>
        <v>2</v>
      </c>
      <c r="J1784" s="221">
        <f t="shared" si="83"/>
        <v>7387</v>
      </c>
      <c r="K1784" s="258">
        <f t="shared" si="84"/>
        <v>7</v>
      </c>
      <c r="L1784" s="188">
        <v>7387</v>
      </c>
      <c r="M1784" s="188">
        <v>0</v>
      </c>
      <c r="N1784" s="189">
        <v>830062853</v>
      </c>
      <c r="O1784" t="s">
        <v>2959</v>
      </c>
      <c r="P1784" s="187">
        <v>45129.663587962998</v>
      </c>
      <c r="Q1784" s="186">
        <v>12485</v>
      </c>
      <c r="R1784" s="185" t="s">
        <v>433</v>
      </c>
      <c r="S1784" s="185" t="s">
        <v>1564</v>
      </c>
      <c r="T1784"/>
      <c r="U1784" t="str">
        <f>IF($L1784&gt;0,VLOOKUP($E1784,Valida!$A$1:$G$270,6,FALSE),IF($M1784&gt;=0,VLOOKUP($E1784,Valida!$A$1:$G$270,7,FALSE)))</f>
        <v>(+/-) Ajustes por el incremento (disminución) de cuentas por pagar de origen comercial</v>
      </c>
      <c r="V1784" s="190" t="str">
        <f>VLOOKUP(E1784,Valida!$A$2:$K$271,4,FALSE)</f>
        <v>Trade and other payables</v>
      </c>
      <c r="W1784" s="185" t="s">
        <v>2024</v>
      </c>
      <c r="X1784" s="185" t="s">
        <v>2025</v>
      </c>
      <c r="Y1784" s="185" t="s">
        <v>1789</v>
      </c>
      <c r="Z1784"/>
    </row>
    <row r="1785" spans="1:26">
      <c r="A1785" s="185" t="s">
        <v>2957</v>
      </c>
      <c r="B1785" s="185" t="s">
        <v>2958</v>
      </c>
      <c r="C1785" s="185" t="s">
        <v>1792</v>
      </c>
      <c r="D1785" s="185" t="s">
        <v>2023</v>
      </c>
      <c r="E1785" s="185">
        <v>23654001</v>
      </c>
      <c r="F1785" s="185" t="s">
        <v>622</v>
      </c>
      <c r="G1785" s="185" t="s">
        <v>622</v>
      </c>
      <c r="H1785" s="185" t="s">
        <v>1628</v>
      </c>
      <c r="I1785" s="258" t="str">
        <f t="shared" si="82"/>
        <v>2</v>
      </c>
      <c r="J1785" s="221">
        <f t="shared" si="83"/>
        <v>-42818</v>
      </c>
      <c r="K1785" s="258">
        <f t="shared" si="84"/>
        <v>7</v>
      </c>
      <c r="L1785" s="188">
        <v>0</v>
      </c>
      <c r="M1785" s="188">
        <v>42818</v>
      </c>
      <c r="N1785" s="189">
        <v>830062853</v>
      </c>
      <c r="O1785" t="s">
        <v>2959</v>
      </c>
      <c r="P1785" s="187">
        <v>45129.663587962998</v>
      </c>
      <c r="Q1785" s="186">
        <v>12486</v>
      </c>
      <c r="R1785" s="185" t="s">
        <v>433</v>
      </c>
      <c r="S1785" s="185" t="s">
        <v>1564</v>
      </c>
      <c r="T1785"/>
      <c r="U1785" t="str">
        <f>IF($L1785&gt;0,VLOOKUP($E1785,Valida!$A$1:$G$270,6,FALSE),IF($M1785&gt;=0,VLOOKUP($E1785,Valida!$A$1:$G$270,7,FALSE)))</f>
        <v>(+/-) Ajustes por el incremento (disminución) de cuentas por pagar de origen comercial</v>
      </c>
      <c r="V1785" s="190" t="str">
        <f>VLOOKUP(E1785,Valida!$A$2:$K$271,4,FALSE)</f>
        <v>Trade and other payables</v>
      </c>
      <c r="W1785" s="185" t="s">
        <v>2024</v>
      </c>
      <c r="X1785" s="185" t="s">
        <v>2025</v>
      </c>
      <c r="Y1785" s="185" t="s">
        <v>1789</v>
      </c>
      <c r="Z1785"/>
    </row>
    <row r="1786" spans="1:26">
      <c r="A1786" s="185" t="s">
        <v>2957</v>
      </c>
      <c r="B1786" s="185" t="s">
        <v>2958</v>
      </c>
      <c r="C1786" s="185" t="s">
        <v>1792</v>
      </c>
      <c r="D1786" s="185" t="s">
        <v>2023</v>
      </c>
      <c r="E1786" s="185">
        <v>23680504</v>
      </c>
      <c r="F1786" s="185" t="s">
        <v>668</v>
      </c>
      <c r="G1786" s="185" t="s">
        <v>547</v>
      </c>
      <c r="H1786" s="185" t="s">
        <v>1628</v>
      </c>
      <c r="I1786" s="258" t="str">
        <f t="shared" si="82"/>
        <v>2</v>
      </c>
      <c r="J1786" s="221">
        <f t="shared" si="83"/>
        <v>-18909</v>
      </c>
      <c r="K1786" s="258">
        <f t="shared" si="84"/>
        <v>7</v>
      </c>
      <c r="L1786" s="188">
        <v>0</v>
      </c>
      <c r="M1786" s="188">
        <v>18909</v>
      </c>
      <c r="N1786" s="189">
        <v>830062853</v>
      </c>
      <c r="O1786" t="s">
        <v>2959</v>
      </c>
      <c r="P1786" s="187">
        <v>45129.663587962998</v>
      </c>
      <c r="Q1786" s="186">
        <v>12487</v>
      </c>
      <c r="R1786" s="185" t="s">
        <v>433</v>
      </c>
      <c r="S1786" s="185" t="s">
        <v>1564</v>
      </c>
      <c r="T1786"/>
      <c r="U1786" t="str">
        <f>IF($L1786&gt;0,VLOOKUP($E1786,Valida!$A$1:$G$270,6,FALSE),IF($M1786&gt;=0,VLOOKUP($E1786,Valida!$A$1:$G$270,7,FALSE)))</f>
        <v>(+/-) Ajustes por el incremento (disminución) de cuentas por pagar de origen comercial</v>
      </c>
      <c r="V1786" s="190" t="str">
        <f>VLOOKUP(E1786,Valida!$A$2:$K$271,4,FALSE)</f>
        <v>Trade and other payables</v>
      </c>
      <c r="W1786" s="185" t="s">
        <v>2024</v>
      </c>
      <c r="X1786" s="185" t="s">
        <v>2025</v>
      </c>
      <c r="Y1786" s="185" t="s">
        <v>1789</v>
      </c>
      <c r="Z1786"/>
    </row>
    <row r="1787" spans="1:26">
      <c r="A1787" s="185" t="s">
        <v>2957</v>
      </c>
      <c r="B1787" s="185" t="s">
        <v>2958</v>
      </c>
      <c r="C1787" s="185" t="s">
        <v>1792</v>
      </c>
      <c r="D1787" s="185" t="s">
        <v>2023</v>
      </c>
      <c r="E1787" s="185">
        <v>23359502</v>
      </c>
      <c r="F1787" s="185" t="s">
        <v>547</v>
      </c>
      <c r="G1787" s="185" t="s">
        <v>547</v>
      </c>
      <c r="H1787" s="185" t="s">
        <v>1628</v>
      </c>
      <c r="I1787" s="258" t="str">
        <f t="shared" si="82"/>
        <v>2</v>
      </c>
      <c r="J1787" s="221">
        <f t="shared" si="83"/>
        <v>-1957327</v>
      </c>
      <c r="K1787" s="258">
        <f t="shared" si="84"/>
        <v>7</v>
      </c>
      <c r="L1787" s="188">
        <v>0</v>
      </c>
      <c r="M1787" s="188">
        <v>1957327</v>
      </c>
      <c r="N1787" s="189">
        <v>830062853</v>
      </c>
      <c r="O1787" t="s">
        <v>2959</v>
      </c>
      <c r="P1787" s="187">
        <v>45129.663587962998</v>
      </c>
      <c r="Q1787" s="186">
        <v>12488</v>
      </c>
      <c r="R1787" s="185" t="s">
        <v>433</v>
      </c>
      <c r="S1787" s="185" t="s">
        <v>1564</v>
      </c>
      <c r="T1787"/>
      <c r="U1787" t="str">
        <f>IF($L1787&gt;0,VLOOKUP($E1787,Valida!$A$1:$G$270,6,FALSE),IF($M1787&gt;=0,VLOOKUP($E1787,Valida!$A$1:$G$270,7,FALSE)))</f>
        <v>(+/-) Ajustes por el incremento (disminución) de cuentas por pagar de origen comercial</v>
      </c>
      <c r="V1787" s="190" t="str">
        <f>VLOOKUP(E1787,Valida!$A$2:$K$271,4,FALSE)</f>
        <v>Trade and other payables</v>
      </c>
      <c r="W1787" s="185" t="s">
        <v>2024</v>
      </c>
      <c r="X1787" s="185" t="s">
        <v>2025</v>
      </c>
      <c r="Y1787" s="185" t="s">
        <v>1789</v>
      </c>
      <c r="Z1787"/>
    </row>
    <row r="1788" spans="1:26">
      <c r="A1788" s="185" t="s">
        <v>2960</v>
      </c>
      <c r="B1788" s="185" t="s">
        <v>2961</v>
      </c>
      <c r="C1788" s="185" t="s">
        <v>1792</v>
      </c>
      <c r="D1788" s="185" t="s">
        <v>2027</v>
      </c>
      <c r="E1788" s="185">
        <v>51952502</v>
      </c>
      <c r="F1788" s="185" t="s">
        <v>1414</v>
      </c>
      <c r="G1788" s="185" t="s">
        <v>1862</v>
      </c>
      <c r="H1788" s="185" t="s">
        <v>1515</v>
      </c>
      <c r="I1788" s="258" t="str">
        <f t="shared" si="82"/>
        <v>5</v>
      </c>
      <c r="J1788" s="221">
        <f t="shared" si="83"/>
        <v>107000</v>
      </c>
      <c r="K1788" s="258">
        <f t="shared" si="84"/>
        <v>7</v>
      </c>
      <c r="L1788" s="188">
        <v>107000</v>
      </c>
      <c r="M1788" s="188">
        <v>0</v>
      </c>
      <c r="N1788" s="189">
        <v>900424409</v>
      </c>
      <c r="O1788" t="s">
        <v>2962</v>
      </c>
      <c r="P1788" s="187">
        <v>45129.6643287037</v>
      </c>
      <c r="Q1788" s="186">
        <v>12489</v>
      </c>
      <c r="R1788" s="185" t="s">
        <v>844</v>
      </c>
      <c r="S1788" s="185" t="s">
        <v>1598</v>
      </c>
      <c r="T1788"/>
      <c r="U1788" t="str">
        <f>IF($L1788&gt;0,VLOOKUP($E1788,Valida!$A$1:$G$270,6,FALSE),IF($M1788&gt;=0,VLOOKUP($E1788,Valida!$A$1:$G$270,7,FALSE)))</f>
        <v>(+/-) Ganancia (pérdida)</v>
      </c>
      <c r="V1788" s="190" t="str">
        <f>VLOOKUP(E1788,Valida!$A$2:$K$271,4,FALSE)</f>
        <v>P&amp;L</v>
      </c>
      <c r="W1788" s="185" t="s">
        <v>1864</v>
      </c>
      <c r="X1788" s="185" t="s">
        <v>1865</v>
      </c>
      <c r="Y1788" s="185" t="s">
        <v>1789</v>
      </c>
      <c r="Z1788"/>
    </row>
    <row r="1789" spans="1:26">
      <c r="A1789" s="185" t="s">
        <v>2960</v>
      </c>
      <c r="B1789" s="185" t="s">
        <v>2961</v>
      </c>
      <c r="C1789" s="185" t="s">
        <v>1792</v>
      </c>
      <c r="D1789" s="185" t="s">
        <v>2027</v>
      </c>
      <c r="E1789" s="185">
        <v>24081002</v>
      </c>
      <c r="F1789" s="185" t="s">
        <v>1687</v>
      </c>
      <c r="G1789" s="185" t="s">
        <v>1866</v>
      </c>
      <c r="H1789" s="185" t="s">
        <v>1515</v>
      </c>
      <c r="I1789" s="258" t="str">
        <f t="shared" si="82"/>
        <v>2</v>
      </c>
      <c r="J1789" s="221">
        <f t="shared" si="83"/>
        <v>20330</v>
      </c>
      <c r="K1789" s="258">
        <f t="shared" si="84"/>
        <v>7</v>
      </c>
      <c r="L1789" s="188">
        <v>20330</v>
      </c>
      <c r="M1789" s="188">
        <v>0</v>
      </c>
      <c r="N1789" s="189">
        <v>900424409</v>
      </c>
      <c r="O1789" t="s">
        <v>2962</v>
      </c>
      <c r="P1789" s="187">
        <v>45129.664340277799</v>
      </c>
      <c r="Q1789" s="186">
        <v>12490</v>
      </c>
      <c r="R1789" s="185" t="s">
        <v>844</v>
      </c>
      <c r="S1789" s="185" t="s">
        <v>1598</v>
      </c>
      <c r="T1789"/>
      <c r="U1789" t="str">
        <f>IF($L1789&gt;0,VLOOKUP($E1789,Valida!$A$1:$G$270,6,FALSE),IF($M1789&gt;=0,VLOOKUP($E1789,Valida!$A$1:$G$270,7,FALSE)))</f>
        <v>(+/-) Ajustes por el incremento (disminución) de cuentas por pagar de origen comercial</v>
      </c>
      <c r="V1789" s="190" t="str">
        <f>VLOOKUP(E1789,Valida!$A$2:$K$271,4,FALSE)</f>
        <v>Trade and other payables</v>
      </c>
      <c r="W1789" s="185" t="s">
        <v>1864</v>
      </c>
      <c r="X1789" s="185" t="s">
        <v>1865</v>
      </c>
      <c r="Y1789" s="185" t="s">
        <v>1789</v>
      </c>
      <c r="Z1789"/>
    </row>
    <row r="1790" spans="1:26">
      <c r="A1790" s="185" t="s">
        <v>2960</v>
      </c>
      <c r="B1790" s="185" t="s">
        <v>2961</v>
      </c>
      <c r="C1790" s="185" t="s">
        <v>1792</v>
      </c>
      <c r="D1790" s="185" t="s">
        <v>2027</v>
      </c>
      <c r="E1790" s="185">
        <v>23359502</v>
      </c>
      <c r="F1790" s="185" t="s">
        <v>547</v>
      </c>
      <c r="G1790" s="185" t="s">
        <v>1862</v>
      </c>
      <c r="H1790" s="185" t="s">
        <v>1628</v>
      </c>
      <c r="I1790" s="258" t="str">
        <f t="shared" si="82"/>
        <v>2</v>
      </c>
      <c r="J1790" s="221">
        <f t="shared" si="83"/>
        <v>-122016</v>
      </c>
      <c r="K1790" s="258">
        <f t="shared" si="84"/>
        <v>7</v>
      </c>
      <c r="L1790" s="188">
        <v>0</v>
      </c>
      <c r="M1790" s="188">
        <v>122016</v>
      </c>
      <c r="N1790" s="189">
        <v>900424409</v>
      </c>
      <c r="O1790" t="s">
        <v>2962</v>
      </c>
      <c r="P1790" s="187">
        <v>45129.664340277799</v>
      </c>
      <c r="Q1790" s="186">
        <v>12491</v>
      </c>
      <c r="R1790" s="185" t="s">
        <v>844</v>
      </c>
      <c r="S1790" s="185" t="s">
        <v>1598</v>
      </c>
      <c r="T1790"/>
      <c r="U1790" t="str">
        <f>IF($L1790&gt;0,VLOOKUP($E1790,Valida!$A$1:$G$270,6,FALSE),IF($M1790&gt;=0,VLOOKUP($E1790,Valida!$A$1:$G$270,7,FALSE)))</f>
        <v>(+/-) Ajustes por el incremento (disminución) de cuentas por pagar de origen comercial</v>
      </c>
      <c r="V1790" s="190" t="str">
        <f>VLOOKUP(E1790,Valida!$A$2:$K$271,4,FALSE)</f>
        <v>Trade and other payables</v>
      </c>
      <c r="W1790" s="185" t="s">
        <v>1864</v>
      </c>
      <c r="X1790" s="185" t="s">
        <v>1865</v>
      </c>
      <c r="Y1790" s="185" t="s">
        <v>1789</v>
      </c>
      <c r="Z1790"/>
    </row>
    <row r="1791" spans="1:26">
      <c r="A1791" s="185" t="s">
        <v>2960</v>
      </c>
      <c r="B1791" s="185" t="s">
        <v>2961</v>
      </c>
      <c r="C1791" s="185" t="s">
        <v>1792</v>
      </c>
      <c r="D1791" s="185" t="s">
        <v>2027</v>
      </c>
      <c r="E1791" s="185">
        <v>23653002</v>
      </c>
      <c r="F1791" s="185" t="s">
        <v>241</v>
      </c>
      <c r="G1791" s="185" t="s">
        <v>1867</v>
      </c>
      <c r="H1791" s="185" t="s">
        <v>1628</v>
      </c>
      <c r="I1791" s="258" t="str">
        <f t="shared" si="82"/>
        <v>2</v>
      </c>
      <c r="J1791" s="221">
        <f t="shared" si="83"/>
        <v>-4280</v>
      </c>
      <c r="K1791" s="258">
        <f t="shared" si="84"/>
        <v>7</v>
      </c>
      <c r="L1791" s="188">
        <v>0</v>
      </c>
      <c r="M1791" s="188">
        <v>4280</v>
      </c>
      <c r="N1791" s="189">
        <v>900424409</v>
      </c>
      <c r="O1791" t="s">
        <v>2962</v>
      </c>
      <c r="P1791" s="187">
        <v>45129.664340277799</v>
      </c>
      <c r="Q1791" s="186">
        <v>12492</v>
      </c>
      <c r="R1791" s="185" t="s">
        <v>844</v>
      </c>
      <c r="S1791" s="185" t="s">
        <v>1598</v>
      </c>
      <c r="T1791"/>
      <c r="U1791" t="str">
        <f>IF($L1791&gt;0,VLOOKUP($E1791,Valida!$A$1:$G$270,6,FALSE),IF($M1791&gt;=0,VLOOKUP($E1791,Valida!$A$1:$G$270,7,FALSE)))</f>
        <v>(+/-) Ajustes por el incremento (disminución) de cuentas por pagar de origen comercial</v>
      </c>
      <c r="V1791" s="190" t="str">
        <f>VLOOKUP(E1791,Valida!$A$2:$K$271,4,FALSE)</f>
        <v>Trade and other payables</v>
      </c>
      <c r="W1791" s="185" t="s">
        <v>1864</v>
      </c>
      <c r="X1791" s="185" t="s">
        <v>1865</v>
      </c>
      <c r="Y1791" s="185" t="s">
        <v>1789</v>
      </c>
      <c r="Z1791"/>
    </row>
    <row r="1792" spans="1:26">
      <c r="A1792" s="185" t="s">
        <v>2960</v>
      </c>
      <c r="B1792" s="185" t="s">
        <v>2961</v>
      </c>
      <c r="C1792" s="185" t="s">
        <v>1792</v>
      </c>
      <c r="D1792" s="185" t="s">
        <v>2027</v>
      </c>
      <c r="E1792" s="185">
        <v>23680503</v>
      </c>
      <c r="F1792" s="185" t="s">
        <v>665</v>
      </c>
      <c r="G1792" s="185" t="s">
        <v>1868</v>
      </c>
      <c r="H1792" s="185" t="s">
        <v>1628</v>
      </c>
      <c r="I1792" s="258" t="str">
        <f t="shared" si="82"/>
        <v>2</v>
      </c>
      <c r="J1792" s="221">
        <f t="shared" si="83"/>
        <v>-1034</v>
      </c>
      <c r="K1792" s="258">
        <f t="shared" si="84"/>
        <v>7</v>
      </c>
      <c r="L1792" s="188">
        <v>0</v>
      </c>
      <c r="M1792" s="188">
        <v>1034</v>
      </c>
      <c r="N1792" s="189">
        <v>900424409</v>
      </c>
      <c r="O1792" t="s">
        <v>2962</v>
      </c>
      <c r="P1792" s="187">
        <v>45129.664340277799</v>
      </c>
      <c r="Q1792" s="186">
        <v>12493</v>
      </c>
      <c r="R1792" s="185" t="s">
        <v>844</v>
      </c>
      <c r="S1792" s="185" t="s">
        <v>1598</v>
      </c>
      <c r="T1792"/>
      <c r="U1792" t="str">
        <f>IF($L1792&gt;0,VLOOKUP($E1792,Valida!$A$1:$G$270,6,FALSE),IF($M1792&gt;=0,VLOOKUP($E1792,Valida!$A$1:$G$270,7,FALSE)))</f>
        <v>(+/-) Ajustes por el incremento (disminución) de cuentas por pagar de origen comercial</v>
      </c>
      <c r="V1792" s="190" t="str">
        <f>VLOOKUP(E1792,Valida!$A$2:$K$271,4,FALSE)</f>
        <v>Trade and other payables</v>
      </c>
      <c r="W1792" s="185" t="s">
        <v>1864</v>
      </c>
      <c r="X1792" s="185" t="s">
        <v>1865</v>
      </c>
      <c r="Y1792" s="185" t="s">
        <v>1789</v>
      </c>
      <c r="Z1792"/>
    </row>
    <row r="1793" spans="1:26">
      <c r="A1793" s="185" t="s">
        <v>2960</v>
      </c>
      <c r="B1793" s="185" t="s">
        <v>2963</v>
      </c>
      <c r="C1793" s="185" t="s">
        <v>1792</v>
      </c>
      <c r="D1793" s="185" t="s">
        <v>2029</v>
      </c>
      <c r="E1793" s="185">
        <v>51352002</v>
      </c>
      <c r="F1793" s="185" t="s">
        <v>1270</v>
      </c>
      <c r="G1793" s="185" t="s">
        <v>1825</v>
      </c>
      <c r="H1793" s="185" t="s">
        <v>1515</v>
      </c>
      <c r="I1793" s="258" t="str">
        <f t="shared" si="82"/>
        <v>5</v>
      </c>
      <c r="J1793" s="221">
        <f t="shared" si="83"/>
        <v>3567540</v>
      </c>
      <c r="K1793" s="258">
        <f t="shared" si="84"/>
        <v>7</v>
      </c>
      <c r="L1793" s="188">
        <v>3567540</v>
      </c>
      <c r="M1793" s="188">
        <v>0</v>
      </c>
      <c r="N1793" s="189">
        <v>800153993</v>
      </c>
      <c r="O1793" t="s">
        <v>2964</v>
      </c>
      <c r="P1793" s="187">
        <v>45129.665358796301</v>
      </c>
      <c r="Q1793" s="186">
        <v>12494</v>
      </c>
      <c r="R1793" s="185" t="s">
        <v>1814</v>
      </c>
      <c r="S1793" s="185" t="s">
        <v>1556</v>
      </c>
      <c r="T1793"/>
      <c r="U1793" t="str">
        <f>IF($L1793&gt;0,VLOOKUP($E1793,Valida!$A$1:$G$270,6,FALSE),IF($M1793&gt;=0,VLOOKUP($E1793,Valida!$A$1:$G$270,7,FALSE)))</f>
        <v>(+/-) Ganancia (pérdida)</v>
      </c>
      <c r="V1793" s="190" t="str">
        <f>VLOOKUP(E1793,Valida!$A$2:$K$271,4,FALSE)</f>
        <v>P&amp;L</v>
      </c>
      <c r="W1793" s="185" t="s">
        <v>1815</v>
      </c>
      <c r="X1793" s="185"/>
      <c r="Y1793" s="185" t="s">
        <v>1789</v>
      </c>
      <c r="Z1793"/>
    </row>
    <row r="1794" spans="1:26">
      <c r="A1794" s="185" t="s">
        <v>2960</v>
      </c>
      <c r="B1794" s="185" t="s">
        <v>2963</v>
      </c>
      <c r="C1794" s="185" t="s">
        <v>1792</v>
      </c>
      <c r="D1794" s="185" t="s">
        <v>2029</v>
      </c>
      <c r="E1794" s="185">
        <v>24081002</v>
      </c>
      <c r="F1794" s="185" t="s">
        <v>1687</v>
      </c>
      <c r="G1794" s="185" t="s">
        <v>1830</v>
      </c>
      <c r="H1794" s="185" t="s">
        <v>1515</v>
      </c>
      <c r="I1794" s="258" t="str">
        <f t="shared" si="82"/>
        <v>2</v>
      </c>
      <c r="J1794" s="221">
        <f t="shared" si="83"/>
        <v>677832.6</v>
      </c>
      <c r="K1794" s="258">
        <f t="shared" si="84"/>
        <v>7</v>
      </c>
      <c r="L1794" s="188">
        <v>677832.6</v>
      </c>
      <c r="M1794" s="188">
        <v>0</v>
      </c>
      <c r="N1794" s="189">
        <v>800153993</v>
      </c>
      <c r="O1794" t="s">
        <v>2964</v>
      </c>
      <c r="P1794" s="187">
        <v>45129.665358796301</v>
      </c>
      <c r="Q1794" s="186">
        <v>12495</v>
      </c>
      <c r="R1794" s="185" t="s">
        <v>1814</v>
      </c>
      <c r="S1794" s="185" t="s">
        <v>1556</v>
      </c>
      <c r="T1794"/>
      <c r="U1794" t="str">
        <f>IF($L1794&gt;0,VLOOKUP($E1794,Valida!$A$1:$G$270,6,FALSE),IF($M1794&gt;=0,VLOOKUP($E1794,Valida!$A$1:$G$270,7,FALSE)))</f>
        <v>(+/-) Ajustes por el incremento (disminución) de cuentas por pagar de origen comercial</v>
      </c>
      <c r="V1794" s="190" t="str">
        <f>VLOOKUP(E1794,Valida!$A$2:$K$271,4,FALSE)</f>
        <v>Trade and other payables</v>
      </c>
      <c r="W1794" s="185" t="s">
        <v>1815</v>
      </c>
      <c r="X1794" s="185"/>
      <c r="Y1794" s="185" t="s">
        <v>1789</v>
      </c>
      <c r="Z1794"/>
    </row>
    <row r="1795" spans="1:26">
      <c r="A1795" s="185" t="s">
        <v>2960</v>
      </c>
      <c r="B1795" s="185" t="s">
        <v>2963</v>
      </c>
      <c r="C1795" s="185" t="s">
        <v>1792</v>
      </c>
      <c r="D1795" s="185" t="s">
        <v>2029</v>
      </c>
      <c r="E1795" s="185">
        <v>23355006</v>
      </c>
      <c r="F1795" s="185" t="s">
        <v>519</v>
      </c>
      <c r="G1795" s="185" t="s">
        <v>1825</v>
      </c>
      <c r="H1795" s="185" t="s">
        <v>1628</v>
      </c>
      <c r="I1795" s="258" t="str">
        <f t="shared" ref="I1795:I1858" si="85">LEFT(E1795,1)</f>
        <v>2</v>
      </c>
      <c r="J1795" s="221">
        <f t="shared" ref="J1795:J1858" si="86">L1795-M1795</f>
        <v>-4245373</v>
      </c>
      <c r="K1795" s="258">
        <f t="shared" ref="K1795:K1858" si="87">MONTH(A1795)</f>
        <v>7</v>
      </c>
      <c r="L1795" s="188">
        <v>0</v>
      </c>
      <c r="M1795" s="188">
        <v>4245373</v>
      </c>
      <c r="N1795" s="189">
        <v>800153993</v>
      </c>
      <c r="O1795" t="s">
        <v>2964</v>
      </c>
      <c r="P1795" s="187">
        <v>45129.665358796301</v>
      </c>
      <c r="Q1795" s="186">
        <v>12496</v>
      </c>
      <c r="R1795" s="185" t="s">
        <v>1814</v>
      </c>
      <c r="S1795" s="185" t="s">
        <v>1556</v>
      </c>
      <c r="T1795"/>
      <c r="U1795" t="str">
        <f>IF($L1795&gt;0,VLOOKUP($E1795,Valida!$A$1:$G$270,6,FALSE),IF($M1795&gt;=0,VLOOKUP($E1795,Valida!$A$1:$G$270,7,FALSE)))</f>
        <v>(+/-) Ajustes por el incremento (disminución) de cuentas por pagar de origen comercial</v>
      </c>
      <c r="V1795" s="190" t="str">
        <f>VLOOKUP(E1795,Valida!$A$2:$K$271,4,FALSE)</f>
        <v>Trade and other payables</v>
      </c>
      <c r="W1795" s="185" t="s">
        <v>1815</v>
      </c>
      <c r="X1795" s="185"/>
      <c r="Y1795" s="185" t="s">
        <v>1789</v>
      </c>
      <c r="Z1795"/>
    </row>
    <row r="1796" spans="1:26">
      <c r="A1796" s="185" t="s">
        <v>2960</v>
      </c>
      <c r="B1796" s="185" t="s">
        <v>2963</v>
      </c>
      <c r="C1796" s="185" t="s">
        <v>1792</v>
      </c>
      <c r="D1796" s="185" t="s">
        <v>2029</v>
      </c>
      <c r="E1796" s="185">
        <v>53059510</v>
      </c>
      <c r="F1796" s="185" t="s">
        <v>1065</v>
      </c>
      <c r="G1796" s="185" t="s">
        <v>1825</v>
      </c>
      <c r="H1796" s="185" t="s">
        <v>1515</v>
      </c>
      <c r="I1796" s="258" t="str">
        <f t="shared" si="85"/>
        <v>5</v>
      </c>
      <c r="J1796" s="221">
        <f t="shared" si="86"/>
        <v>0.4</v>
      </c>
      <c r="K1796" s="258">
        <f t="shared" si="87"/>
        <v>7</v>
      </c>
      <c r="L1796" s="188">
        <v>0.4</v>
      </c>
      <c r="M1796" s="188">
        <v>0</v>
      </c>
      <c r="N1796" s="189">
        <v>800153993</v>
      </c>
      <c r="O1796" t="s">
        <v>2964</v>
      </c>
      <c r="P1796" s="187">
        <v>45129.665358796301</v>
      </c>
      <c r="Q1796" s="186">
        <v>12497</v>
      </c>
      <c r="R1796" s="185" t="s">
        <v>1814</v>
      </c>
      <c r="S1796" s="185" t="s">
        <v>1556</v>
      </c>
      <c r="T1796"/>
      <c r="U1796" t="str">
        <f>IF($L1796&gt;0,VLOOKUP($E1796,Valida!$A$1:$G$270,6,FALSE),IF($M1796&gt;=0,VLOOKUP($E1796,Valida!$A$1:$G$270,7,FALSE)))</f>
        <v>(+/-) Ganancia (pérdida)</v>
      </c>
      <c r="V1796" s="190" t="str">
        <f>VLOOKUP(E1796,Valida!$A$2:$K$271,4,FALSE)</f>
        <v>P&amp;L</v>
      </c>
      <c r="W1796" s="185" t="s">
        <v>1815</v>
      </c>
      <c r="X1796" s="185"/>
      <c r="Y1796" s="185" t="s">
        <v>1789</v>
      </c>
      <c r="Z1796"/>
    </row>
    <row r="1797" spans="1:26">
      <c r="A1797" s="185" t="s">
        <v>2965</v>
      </c>
      <c r="B1797" s="185" t="s">
        <v>2966</v>
      </c>
      <c r="C1797" s="185" t="s">
        <v>1792</v>
      </c>
      <c r="D1797" s="185" t="s">
        <v>2034</v>
      </c>
      <c r="E1797" s="185">
        <v>51401002</v>
      </c>
      <c r="F1797" s="185" t="s">
        <v>1303</v>
      </c>
      <c r="G1797" s="185" t="s">
        <v>2487</v>
      </c>
      <c r="H1797" s="185" t="s">
        <v>1515</v>
      </c>
      <c r="I1797" s="258" t="str">
        <f t="shared" si="85"/>
        <v>5</v>
      </c>
      <c r="J1797" s="221">
        <f t="shared" si="86"/>
        <v>7200</v>
      </c>
      <c r="K1797" s="258">
        <f t="shared" si="87"/>
        <v>7</v>
      </c>
      <c r="L1797" s="188">
        <v>7200</v>
      </c>
      <c r="M1797" s="188">
        <v>0</v>
      </c>
      <c r="N1797" s="189">
        <v>860007322</v>
      </c>
      <c r="O1797" t="s">
        <v>2967</v>
      </c>
      <c r="P1797" s="187">
        <v>45129.666377314803</v>
      </c>
      <c r="Q1797" s="186">
        <v>12498</v>
      </c>
      <c r="R1797" s="185" t="s">
        <v>1841</v>
      </c>
      <c r="S1797" s="185" t="s">
        <v>1566</v>
      </c>
      <c r="T1797"/>
      <c r="U1797" t="str">
        <f>IF($L1797&gt;0,VLOOKUP($E1797,Valida!$A$1:$G$270,6,FALSE),IF($M1797&gt;=0,VLOOKUP($E1797,Valida!$A$1:$G$270,7,FALSE)))</f>
        <v>(+/-) Ganancia (pérdida)</v>
      </c>
      <c r="V1797" s="190" t="str">
        <f>VLOOKUP(E1797,Valida!$A$2:$K$271,4,FALSE)</f>
        <v>P&amp;L</v>
      </c>
      <c r="W1797" s="185" t="s">
        <v>2306</v>
      </c>
      <c r="X1797" s="185"/>
      <c r="Y1797" s="185" t="s">
        <v>1789</v>
      </c>
      <c r="Z1797"/>
    </row>
    <row r="1798" spans="1:26">
      <c r="A1798" s="185" t="s">
        <v>2965</v>
      </c>
      <c r="B1798" s="185" t="s">
        <v>2966</v>
      </c>
      <c r="C1798" s="185" t="s">
        <v>1792</v>
      </c>
      <c r="D1798" s="185" t="s">
        <v>2034</v>
      </c>
      <c r="E1798" s="185">
        <v>23351001</v>
      </c>
      <c r="F1798" s="185" t="s">
        <v>453</v>
      </c>
      <c r="G1798" s="185" t="s">
        <v>2487</v>
      </c>
      <c r="H1798" s="185" t="s">
        <v>1628</v>
      </c>
      <c r="I1798" s="258" t="str">
        <f t="shared" si="85"/>
        <v>2</v>
      </c>
      <c r="J1798" s="221">
        <f t="shared" si="86"/>
        <v>-7200</v>
      </c>
      <c r="K1798" s="258">
        <f t="shared" si="87"/>
        <v>7</v>
      </c>
      <c r="L1798" s="188">
        <v>0</v>
      </c>
      <c r="M1798" s="188">
        <v>7200</v>
      </c>
      <c r="N1798" s="189">
        <v>860007322</v>
      </c>
      <c r="O1798" t="s">
        <v>2967</v>
      </c>
      <c r="P1798" s="187">
        <v>45129.666377314803</v>
      </c>
      <c r="Q1798" s="186">
        <v>12499</v>
      </c>
      <c r="R1798" s="185" t="s">
        <v>1841</v>
      </c>
      <c r="S1798" s="185" t="s">
        <v>1566</v>
      </c>
      <c r="T1798"/>
      <c r="U1798" t="str">
        <f>IF($L1798&gt;0,VLOOKUP($E1798,Valida!$A$1:$G$270,6,FALSE),IF($M1798&gt;=0,VLOOKUP($E1798,Valida!$A$1:$G$270,7,FALSE)))</f>
        <v>(+/-) Ajustes por el incremento (disminución) de cuentas por pagar de origen comercial</v>
      </c>
      <c r="V1798" s="190" t="str">
        <f>VLOOKUP(E1798,Valida!$A$2:$K$271,4,FALSE)</f>
        <v>Trade and other payables</v>
      </c>
      <c r="W1798" s="185" t="s">
        <v>2306</v>
      </c>
      <c r="X1798" s="185"/>
      <c r="Y1798" s="185" t="s">
        <v>1789</v>
      </c>
      <c r="Z1798"/>
    </row>
    <row r="1799" spans="1:26">
      <c r="A1799" s="185" t="s">
        <v>2965</v>
      </c>
      <c r="B1799" s="185" t="s">
        <v>2968</v>
      </c>
      <c r="C1799" s="185" t="s">
        <v>1792</v>
      </c>
      <c r="D1799" s="185" t="s">
        <v>2038</v>
      </c>
      <c r="E1799" s="185">
        <v>51352002</v>
      </c>
      <c r="F1799" s="185" t="s">
        <v>1270</v>
      </c>
      <c r="G1799" s="185" t="s">
        <v>1825</v>
      </c>
      <c r="H1799" s="185" t="s">
        <v>1515</v>
      </c>
      <c r="I1799" s="258" t="str">
        <f t="shared" si="85"/>
        <v>5</v>
      </c>
      <c r="J1799" s="221">
        <f t="shared" si="86"/>
        <v>1224400</v>
      </c>
      <c r="K1799" s="258">
        <f t="shared" si="87"/>
        <v>7</v>
      </c>
      <c r="L1799" s="188">
        <v>1224400</v>
      </c>
      <c r="M1799" s="188">
        <v>0</v>
      </c>
      <c r="N1799" s="189">
        <v>899999115</v>
      </c>
      <c r="O1799" t="s">
        <v>2969</v>
      </c>
      <c r="P1799" s="187">
        <v>45129.667199074102</v>
      </c>
      <c r="Q1799" s="186">
        <v>12500</v>
      </c>
      <c r="R1799" s="185" t="s">
        <v>1827</v>
      </c>
      <c r="S1799" s="185" t="s">
        <v>1586</v>
      </c>
      <c r="T1799"/>
      <c r="U1799" t="str">
        <f>IF($L1799&gt;0,VLOOKUP($E1799,Valida!$A$1:$G$270,6,FALSE),IF($M1799&gt;=0,VLOOKUP($E1799,Valida!$A$1:$G$270,7,FALSE)))</f>
        <v>(+/-) Ganancia (pérdida)</v>
      </c>
      <c r="V1799" s="190" t="str">
        <f>VLOOKUP(E1799,Valida!$A$2:$K$271,4,FALSE)</f>
        <v>P&amp;L</v>
      </c>
      <c r="W1799" s="185" t="s">
        <v>1828</v>
      </c>
      <c r="X1799" s="185" t="s">
        <v>1829</v>
      </c>
      <c r="Y1799" s="185" t="s">
        <v>1789</v>
      </c>
      <c r="Z1799"/>
    </row>
    <row r="1800" spans="1:26">
      <c r="A1800" s="185" t="s">
        <v>2965</v>
      </c>
      <c r="B1800" s="185" t="s">
        <v>2968</v>
      </c>
      <c r="C1800" s="185" t="s">
        <v>1792</v>
      </c>
      <c r="D1800" s="185" t="s">
        <v>2038</v>
      </c>
      <c r="E1800" s="185">
        <v>24081002</v>
      </c>
      <c r="F1800" s="185" t="s">
        <v>1687</v>
      </c>
      <c r="G1800" s="185" t="s">
        <v>1830</v>
      </c>
      <c r="H1800" s="185" t="s">
        <v>1515</v>
      </c>
      <c r="I1800" s="258" t="str">
        <f t="shared" si="85"/>
        <v>2</v>
      </c>
      <c r="J1800" s="221">
        <f t="shared" si="86"/>
        <v>232636</v>
      </c>
      <c r="K1800" s="258">
        <f t="shared" si="87"/>
        <v>7</v>
      </c>
      <c r="L1800" s="188">
        <v>232636</v>
      </c>
      <c r="M1800" s="188">
        <v>0</v>
      </c>
      <c r="N1800" s="189">
        <v>899999115</v>
      </c>
      <c r="O1800" t="s">
        <v>2969</v>
      </c>
      <c r="P1800" s="187">
        <v>45129.667199074102</v>
      </c>
      <c r="Q1800" s="186">
        <v>12501</v>
      </c>
      <c r="R1800" s="185" t="s">
        <v>1827</v>
      </c>
      <c r="S1800" s="185" t="s">
        <v>1586</v>
      </c>
      <c r="T1800"/>
      <c r="U1800" t="str">
        <f>IF($L1800&gt;0,VLOOKUP($E1800,Valida!$A$1:$G$270,6,FALSE),IF($M1800&gt;=0,VLOOKUP($E1800,Valida!$A$1:$G$270,7,FALSE)))</f>
        <v>(+/-) Ajustes por el incremento (disminución) de cuentas por pagar de origen comercial</v>
      </c>
      <c r="V1800" s="190" t="str">
        <f>VLOOKUP(E1800,Valida!$A$2:$K$271,4,FALSE)</f>
        <v>Trade and other payables</v>
      </c>
      <c r="W1800" s="185" t="s">
        <v>1828</v>
      </c>
      <c r="X1800" s="185" t="s">
        <v>1829</v>
      </c>
      <c r="Y1800" s="185" t="s">
        <v>1789</v>
      </c>
      <c r="Z1800"/>
    </row>
    <row r="1801" spans="1:26">
      <c r="A1801" s="185" t="s">
        <v>2965</v>
      </c>
      <c r="B1801" s="185" t="s">
        <v>2968</v>
      </c>
      <c r="C1801" s="185" t="s">
        <v>1792</v>
      </c>
      <c r="D1801" s="185" t="s">
        <v>2038</v>
      </c>
      <c r="E1801" s="185">
        <v>23355006</v>
      </c>
      <c r="F1801" s="185" t="s">
        <v>519</v>
      </c>
      <c r="G1801" s="185" t="s">
        <v>1825</v>
      </c>
      <c r="H1801" s="185" t="s">
        <v>1628</v>
      </c>
      <c r="I1801" s="258" t="str">
        <f t="shared" si="85"/>
        <v>2</v>
      </c>
      <c r="J1801" s="221">
        <f t="shared" si="86"/>
        <v>-1457040</v>
      </c>
      <c r="K1801" s="258">
        <f t="shared" si="87"/>
        <v>7</v>
      </c>
      <c r="L1801" s="188">
        <v>0</v>
      </c>
      <c r="M1801" s="188">
        <v>1457040</v>
      </c>
      <c r="N1801" s="189">
        <v>899999115</v>
      </c>
      <c r="O1801" t="s">
        <v>2969</v>
      </c>
      <c r="P1801" s="187">
        <v>45129.667199074102</v>
      </c>
      <c r="Q1801" s="186">
        <v>12502</v>
      </c>
      <c r="R1801" s="185" t="s">
        <v>1827</v>
      </c>
      <c r="S1801" s="185" t="s">
        <v>1586</v>
      </c>
      <c r="T1801"/>
      <c r="U1801" t="str">
        <f>IF($L1801&gt;0,VLOOKUP($E1801,Valida!$A$1:$G$270,6,FALSE),IF($M1801&gt;=0,VLOOKUP($E1801,Valida!$A$1:$G$270,7,FALSE)))</f>
        <v>(+/-) Ajustes por el incremento (disminución) de cuentas por pagar de origen comercial</v>
      </c>
      <c r="V1801" s="190" t="str">
        <f>VLOOKUP(E1801,Valida!$A$2:$K$271,4,FALSE)</f>
        <v>Trade and other payables</v>
      </c>
      <c r="W1801" s="185" t="s">
        <v>1828</v>
      </c>
      <c r="X1801" s="185" t="s">
        <v>1829</v>
      </c>
      <c r="Y1801" s="185" t="s">
        <v>1789</v>
      </c>
      <c r="Z1801"/>
    </row>
    <row r="1802" spans="1:26">
      <c r="A1802" s="185" t="s">
        <v>2965</v>
      </c>
      <c r="B1802" s="185" t="s">
        <v>2968</v>
      </c>
      <c r="C1802" s="185" t="s">
        <v>1792</v>
      </c>
      <c r="D1802" s="185" t="s">
        <v>2038</v>
      </c>
      <c r="E1802" s="185">
        <v>53059510</v>
      </c>
      <c r="F1802" s="185" t="s">
        <v>1065</v>
      </c>
      <c r="G1802" s="185" t="s">
        <v>1825</v>
      </c>
      <c r="H1802" s="185" t="s">
        <v>1515</v>
      </c>
      <c r="I1802" s="258" t="str">
        <f t="shared" si="85"/>
        <v>5</v>
      </c>
      <c r="J1802" s="221">
        <f t="shared" si="86"/>
        <v>4</v>
      </c>
      <c r="K1802" s="258">
        <f t="shared" si="87"/>
        <v>7</v>
      </c>
      <c r="L1802" s="188">
        <v>4</v>
      </c>
      <c r="M1802" s="188">
        <v>0</v>
      </c>
      <c r="N1802" s="189">
        <v>899999115</v>
      </c>
      <c r="O1802" t="s">
        <v>2969</v>
      </c>
      <c r="P1802" s="187">
        <v>45129.667199074102</v>
      </c>
      <c r="Q1802" s="186">
        <v>12503</v>
      </c>
      <c r="R1802" s="185" t="s">
        <v>1827</v>
      </c>
      <c r="S1802" s="185" t="s">
        <v>1586</v>
      </c>
      <c r="T1802"/>
      <c r="U1802" t="str">
        <f>IF($L1802&gt;0,VLOOKUP($E1802,Valida!$A$1:$G$270,6,FALSE),IF($M1802&gt;=0,VLOOKUP($E1802,Valida!$A$1:$G$270,7,FALSE)))</f>
        <v>(+/-) Ganancia (pérdida)</v>
      </c>
      <c r="V1802" s="190" t="str">
        <f>VLOOKUP(E1802,Valida!$A$2:$K$271,4,FALSE)</f>
        <v>P&amp;L</v>
      </c>
      <c r="W1802" s="185" t="s">
        <v>1828</v>
      </c>
      <c r="X1802" s="185" t="s">
        <v>1829</v>
      </c>
      <c r="Y1802" s="185" t="s">
        <v>1789</v>
      </c>
      <c r="Z1802"/>
    </row>
    <row r="1803" spans="1:26">
      <c r="A1803" s="185" t="s">
        <v>2970</v>
      </c>
      <c r="B1803" s="185" t="s">
        <v>2971</v>
      </c>
      <c r="C1803" s="185" t="s">
        <v>1792</v>
      </c>
      <c r="D1803" s="185" t="s">
        <v>1891</v>
      </c>
      <c r="E1803" s="185">
        <v>51350501</v>
      </c>
      <c r="F1803" s="185" t="s">
        <v>1256</v>
      </c>
      <c r="G1803" s="185" t="s">
        <v>1794</v>
      </c>
      <c r="H1803" s="185" t="s">
        <v>1515</v>
      </c>
      <c r="I1803" s="258" t="str">
        <f t="shared" si="85"/>
        <v>5</v>
      </c>
      <c r="J1803" s="221">
        <f t="shared" si="86"/>
        <v>2280608</v>
      </c>
      <c r="K1803" s="258">
        <f t="shared" si="87"/>
        <v>7</v>
      </c>
      <c r="L1803" s="188">
        <v>2280608</v>
      </c>
      <c r="M1803" s="188">
        <v>0</v>
      </c>
      <c r="N1803" s="189">
        <v>900994552</v>
      </c>
      <c r="O1803" t="s">
        <v>2972</v>
      </c>
      <c r="P1803" s="187">
        <v>45129.6712037037</v>
      </c>
      <c r="Q1803" s="186">
        <v>12504</v>
      </c>
      <c r="R1803" s="185" t="s">
        <v>844</v>
      </c>
      <c r="S1803" s="185" t="s">
        <v>1606</v>
      </c>
      <c r="T1803"/>
      <c r="U1803" t="str">
        <f>IF($L1803&gt;0,VLOOKUP($E1803,Valida!$A$1:$G$270,6,FALSE),IF($M1803&gt;=0,VLOOKUP($E1803,Valida!$A$1:$G$270,7,FALSE)))</f>
        <v>(+/-) Ganancia (pérdida)</v>
      </c>
      <c r="V1803" s="190" t="str">
        <f>VLOOKUP(E1803,Valida!$A$2:$K$271,4,FALSE)</f>
        <v>P&amp;L</v>
      </c>
      <c r="W1803" s="185" t="s">
        <v>1796</v>
      </c>
      <c r="X1803" s="185" t="s">
        <v>1797</v>
      </c>
      <c r="Y1803" s="185" t="s">
        <v>1789</v>
      </c>
      <c r="Z1803"/>
    </row>
    <row r="1804" spans="1:26">
      <c r="A1804" s="185" t="s">
        <v>2970</v>
      </c>
      <c r="B1804" s="185" t="s">
        <v>2971</v>
      </c>
      <c r="C1804" s="185" t="s">
        <v>1792</v>
      </c>
      <c r="D1804" s="185" t="s">
        <v>1891</v>
      </c>
      <c r="E1804" s="185">
        <v>51350501</v>
      </c>
      <c r="F1804" s="185" t="s">
        <v>1256</v>
      </c>
      <c r="G1804" s="185" t="s">
        <v>1794</v>
      </c>
      <c r="H1804" s="185" t="s">
        <v>1515</v>
      </c>
      <c r="I1804" s="258" t="str">
        <f t="shared" si="85"/>
        <v>5</v>
      </c>
      <c r="J1804" s="221">
        <f t="shared" si="86"/>
        <v>228061</v>
      </c>
      <c r="K1804" s="258">
        <f t="shared" si="87"/>
        <v>7</v>
      </c>
      <c r="L1804" s="188">
        <v>228061</v>
      </c>
      <c r="M1804" s="188">
        <v>0</v>
      </c>
      <c r="N1804" s="189">
        <v>900994552</v>
      </c>
      <c r="O1804" t="s">
        <v>2972</v>
      </c>
      <c r="P1804" s="187">
        <v>45129.6712037037</v>
      </c>
      <c r="Q1804" s="186">
        <v>12505</v>
      </c>
      <c r="R1804" s="185" t="s">
        <v>844</v>
      </c>
      <c r="S1804" s="185" t="s">
        <v>1606</v>
      </c>
      <c r="T1804"/>
      <c r="U1804" t="str">
        <f>IF($L1804&gt;0,VLOOKUP($E1804,Valida!$A$1:$G$270,6,FALSE),IF($M1804&gt;=0,VLOOKUP($E1804,Valida!$A$1:$G$270,7,FALSE)))</f>
        <v>(+/-) Ganancia (pérdida)</v>
      </c>
      <c r="V1804" s="190" t="str">
        <f>VLOOKUP(E1804,Valida!$A$2:$K$271,4,FALSE)</f>
        <v>P&amp;L</v>
      </c>
      <c r="W1804" s="185" t="s">
        <v>1796</v>
      </c>
      <c r="X1804" s="185" t="s">
        <v>1797</v>
      </c>
      <c r="Y1804" s="185" t="s">
        <v>1789</v>
      </c>
      <c r="Z1804"/>
    </row>
    <row r="1805" spans="1:26">
      <c r="A1805" s="185" t="s">
        <v>2970</v>
      </c>
      <c r="B1805" s="185" t="s">
        <v>2971</v>
      </c>
      <c r="C1805" s="185" t="s">
        <v>1792</v>
      </c>
      <c r="D1805" s="185" t="s">
        <v>1891</v>
      </c>
      <c r="E1805" s="185">
        <v>24081002</v>
      </c>
      <c r="F1805" s="185" t="s">
        <v>1687</v>
      </c>
      <c r="G1805" s="185" t="s">
        <v>1794</v>
      </c>
      <c r="H1805" s="185" t="s">
        <v>1515</v>
      </c>
      <c r="I1805" s="258" t="str">
        <f t="shared" si="85"/>
        <v>2</v>
      </c>
      <c r="J1805" s="221">
        <f t="shared" si="86"/>
        <v>43331</v>
      </c>
      <c r="K1805" s="258">
        <f t="shared" si="87"/>
        <v>7</v>
      </c>
      <c r="L1805" s="188">
        <v>43331</v>
      </c>
      <c r="M1805" s="188">
        <v>0</v>
      </c>
      <c r="N1805" s="189">
        <v>900994552</v>
      </c>
      <c r="O1805" t="s">
        <v>2972</v>
      </c>
      <c r="P1805" s="187">
        <v>45129.6712037037</v>
      </c>
      <c r="Q1805" s="186">
        <v>12506</v>
      </c>
      <c r="R1805" s="185" t="s">
        <v>844</v>
      </c>
      <c r="S1805" s="185" t="s">
        <v>1606</v>
      </c>
      <c r="T1805"/>
      <c r="U1805" t="str">
        <f>IF($L1805&gt;0,VLOOKUP($E1805,Valida!$A$1:$G$270,6,FALSE),IF($M1805&gt;=0,VLOOKUP($E1805,Valida!$A$1:$G$270,7,FALSE)))</f>
        <v>(+/-) Ajustes por el incremento (disminución) de cuentas por pagar de origen comercial</v>
      </c>
      <c r="V1805" s="190" t="str">
        <f>VLOOKUP(E1805,Valida!$A$2:$K$271,4,FALSE)</f>
        <v>Trade and other payables</v>
      </c>
      <c r="W1805" s="185" t="s">
        <v>1796</v>
      </c>
      <c r="X1805" s="185" t="s">
        <v>1797</v>
      </c>
      <c r="Y1805" s="185" t="s">
        <v>1789</v>
      </c>
      <c r="Z1805"/>
    </row>
    <row r="1806" spans="1:26">
      <c r="A1806" s="185" t="s">
        <v>2970</v>
      </c>
      <c r="B1806" s="185" t="s">
        <v>2971</v>
      </c>
      <c r="C1806" s="185" t="s">
        <v>1792</v>
      </c>
      <c r="D1806" s="185" t="s">
        <v>1891</v>
      </c>
      <c r="E1806" s="185">
        <v>23355004</v>
      </c>
      <c r="F1806" s="185" t="s">
        <v>513</v>
      </c>
      <c r="G1806" s="185" t="s">
        <v>1794</v>
      </c>
      <c r="H1806" s="185" t="s">
        <v>1628</v>
      </c>
      <c r="I1806" s="258" t="str">
        <f t="shared" si="85"/>
        <v>2</v>
      </c>
      <c r="J1806" s="221">
        <f t="shared" si="86"/>
        <v>-2552000</v>
      </c>
      <c r="K1806" s="258">
        <f t="shared" si="87"/>
        <v>7</v>
      </c>
      <c r="L1806" s="188">
        <v>0</v>
      </c>
      <c r="M1806" s="188">
        <v>2552000</v>
      </c>
      <c r="N1806" s="189">
        <v>900994552</v>
      </c>
      <c r="O1806" t="s">
        <v>2972</v>
      </c>
      <c r="P1806" s="187">
        <v>45129.6712037037</v>
      </c>
      <c r="Q1806" s="186">
        <v>12507</v>
      </c>
      <c r="R1806" s="185" t="s">
        <v>844</v>
      </c>
      <c r="S1806" s="185" t="s">
        <v>1606</v>
      </c>
      <c r="T1806"/>
      <c r="U1806" t="str">
        <f>IF($L1806&gt;0,VLOOKUP($E1806,Valida!$A$1:$G$270,6,FALSE),IF($M1806&gt;=0,VLOOKUP($E1806,Valida!$A$1:$G$270,7,FALSE)))</f>
        <v>(+/-) Ajustes por el incremento (disminución) de cuentas por pagar de origen comercial</v>
      </c>
      <c r="V1806" s="190" t="str">
        <f>VLOOKUP(E1806,Valida!$A$2:$K$271,4,FALSE)</f>
        <v>Trade and other payables</v>
      </c>
      <c r="W1806" s="185" t="s">
        <v>1796</v>
      </c>
      <c r="X1806" s="185" t="s">
        <v>1797</v>
      </c>
      <c r="Y1806" s="185" t="s">
        <v>1789</v>
      </c>
      <c r="Z1806"/>
    </row>
    <row r="1807" spans="1:26">
      <c r="A1807" s="185" t="s">
        <v>2973</v>
      </c>
      <c r="B1807" s="185" t="s">
        <v>2974</v>
      </c>
      <c r="C1807" s="185" t="s">
        <v>2045</v>
      </c>
      <c r="D1807" s="185" t="s">
        <v>727</v>
      </c>
      <c r="E1807" s="185">
        <v>23355007</v>
      </c>
      <c r="F1807" s="185" t="s">
        <v>1638</v>
      </c>
      <c r="G1807" s="185" t="s">
        <v>2975</v>
      </c>
      <c r="H1807" s="185" t="s">
        <v>1628</v>
      </c>
      <c r="I1807" s="258" t="str">
        <f t="shared" si="85"/>
        <v>2</v>
      </c>
      <c r="J1807" s="221">
        <f t="shared" si="86"/>
        <v>-101163.87</v>
      </c>
      <c r="K1807" s="258">
        <f t="shared" si="87"/>
        <v>7</v>
      </c>
      <c r="L1807" s="188">
        <v>0</v>
      </c>
      <c r="M1807" s="188">
        <v>101163.87</v>
      </c>
      <c r="N1807" s="189">
        <v>444444001</v>
      </c>
      <c r="O1807" t="s">
        <v>2976</v>
      </c>
      <c r="P1807" s="187">
        <v>45129.727476851898</v>
      </c>
      <c r="Q1807" s="186">
        <v>12508</v>
      </c>
      <c r="R1807" s="185"/>
      <c r="S1807" s="185" t="s">
        <v>1548</v>
      </c>
      <c r="T1807"/>
      <c r="U1807" t="str">
        <f>IF($L1807&gt;0,VLOOKUP($E1807,Valida!$A$1:$G$270,6,FALSE),IF($M1807&gt;=0,VLOOKUP($E1807,Valida!$A$1:$G$270,7,FALSE)))</f>
        <v>(+/-) Ajustes por el incremento (disminución) de cuentas por pagar de origen comercial</v>
      </c>
      <c r="V1807" s="190" t="str">
        <f>VLOOKUP(E1807,Valida!$A$2:$K$271,4,FALSE)</f>
        <v>Trade and other payables</v>
      </c>
      <c r="W1807" s="185"/>
      <c r="X1807" s="185"/>
      <c r="Y1807" s="185"/>
      <c r="Z1807"/>
    </row>
    <row r="1808" spans="1:26">
      <c r="A1808" s="185" t="s">
        <v>2973</v>
      </c>
      <c r="B1808" s="185" t="s">
        <v>2974</v>
      </c>
      <c r="C1808" s="185" t="s">
        <v>2045</v>
      </c>
      <c r="D1808" s="185" t="s">
        <v>727</v>
      </c>
      <c r="E1808" s="185">
        <v>51350504</v>
      </c>
      <c r="F1808" s="185" t="s">
        <v>1638</v>
      </c>
      <c r="G1808" s="185" t="s">
        <v>2977</v>
      </c>
      <c r="H1808" s="185" t="s">
        <v>1515</v>
      </c>
      <c r="I1808" s="258" t="str">
        <f t="shared" si="85"/>
        <v>5</v>
      </c>
      <c r="J1808" s="221">
        <f t="shared" si="86"/>
        <v>101163.87</v>
      </c>
      <c r="K1808" s="258">
        <f t="shared" si="87"/>
        <v>7</v>
      </c>
      <c r="L1808" s="188">
        <v>101163.87</v>
      </c>
      <c r="M1808" s="188">
        <v>0</v>
      </c>
      <c r="N1808" s="189">
        <v>444444001</v>
      </c>
      <c r="O1808" t="s">
        <v>2976</v>
      </c>
      <c r="P1808" s="187">
        <v>45129.727476851898</v>
      </c>
      <c r="Q1808" s="186">
        <v>12509</v>
      </c>
      <c r="R1808" s="185"/>
      <c r="S1808" s="185" t="s">
        <v>1548</v>
      </c>
      <c r="T1808"/>
      <c r="U1808" t="str">
        <f>IF($L1808&gt;0,VLOOKUP($E1808,Valida!$A$1:$G$270,6,FALSE),IF($M1808&gt;=0,VLOOKUP($E1808,Valida!$A$1:$G$270,7,FALSE)))</f>
        <v>(+/-) Ganancia (pérdida)</v>
      </c>
      <c r="V1808" s="190" t="str">
        <f>VLOOKUP(E1808,Valida!$A$2:$K$271,4,FALSE)</f>
        <v>P&amp;L</v>
      </c>
      <c r="W1808" s="185"/>
      <c r="X1808" s="185"/>
      <c r="Y1808" s="185"/>
      <c r="Z1808"/>
    </row>
    <row r="1809" spans="1:26">
      <c r="A1809" s="185" t="s">
        <v>2879</v>
      </c>
      <c r="B1809" s="185" t="s">
        <v>2978</v>
      </c>
      <c r="C1809" s="185" t="s">
        <v>2045</v>
      </c>
      <c r="D1809" s="185" t="s">
        <v>435</v>
      </c>
      <c r="E1809" s="185">
        <v>23355002</v>
      </c>
      <c r="F1809" s="185" t="s">
        <v>506</v>
      </c>
      <c r="G1809" s="185" t="s">
        <v>2979</v>
      </c>
      <c r="H1809" s="185" t="s">
        <v>1628</v>
      </c>
      <c r="I1809" s="258" t="str">
        <f t="shared" si="85"/>
        <v>2</v>
      </c>
      <c r="J1809" s="221">
        <f t="shared" si="86"/>
        <v>-101051.76</v>
      </c>
      <c r="K1809" s="258">
        <f t="shared" si="87"/>
        <v>6</v>
      </c>
      <c r="L1809" s="188">
        <v>0</v>
      </c>
      <c r="M1809" s="188">
        <v>101051.76</v>
      </c>
      <c r="N1809" s="189">
        <v>440493581</v>
      </c>
      <c r="O1809" t="s">
        <v>2980</v>
      </c>
      <c r="P1809" s="187">
        <v>45131.306157407402</v>
      </c>
      <c r="Q1809" s="186">
        <v>12510</v>
      </c>
      <c r="R1809" s="185"/>
      <c r="S1809" s="185" t="s">
        <v>1546</v>
      </c>
      <c r="T1809"/>
      <c r="U1809" t="str">
        <f>IF($L1809&gt;0,VLOOKUP($E1809,Valida!$A$1:$G$270,6,FALSE),IF($M1809&gt;=0,VLOOKUP($E1809,Valida!$A$1:$G$270,7,FALSE)))</f>
        <v>(+/-) Ajustes por el incremento (disminución) de cuentas por pagar de origen comercial</v>
      </c>
      <c r="V1809" s="190" t="str">
        <f>VLOOKUP(E1809,Valida!$A$2:$K$271,4,FALSE)</f>
        <v>Trade and other payables</v>
      </c>
      <c r="W1809" s="185" t="s">
        <v>1808</v>
      </c>
      <c r="X1809" s="185"/>
      <c r="Y1809" s="185"/>
      <c r="Z1809"/>
    </row>
    <row r="1810" spans="1:26">
      <c r="A1810" s="185" t="s">
        <v>2879</v>
      </c>
      <c r="B1810" s="185" t="s">
        <v>2978</v>
      </c>
      <c r="C1810" s="185" t="s">
        <v>2045</v>
      </c>
      <c r="D1810" s="185" t="s">
        <v>435</v>
      </c>
      <c r="E1810" s="185">
        <v>51352001</v>
      </c>
      <c r="F1810" s="185" t="s">
        <v>1267</v>
      </c>
      <c r="G1810" s="185" t="s">
        <v>2981</v>
      </c>
      <c r="H1810" s="185" t="s">
        <v>1515</v>
      </c>
      <c r="I1810" s="258" t="str">
        <f t="shared" si="85"/>
        <v>5</v>
      </c>
      <c r="J1810" s="221">
        <f t="shared" si="86"/>
        <v>101051.76</v>
      </c>
      <c r="K1810" s="258">
        <f t="shared" si="87"/>
        <v>6</v>
      </c>
      <c r="L1810" s="188">
        <v>101051.76</v>
      </c>
      <c r="M1810" s="188">
        <v>0</v>
      </c>
      <c r="N1810" s="189">
        <v>440493581</v>
      </c>
      <c r="O1810" t="s">
        <v>2980</v>
      </c>
      <c r="P1810" s="187">
        <v>45131.306157407402</v>
      </c>
      <c r="Q1810" s="186">
        <v>12511</v>
      </c>
      <c r="R1810" s="185"/>
      <c r="S1810" s="185" t="s">
        <v>1546</v>
      </c>
      <c r="T1810"/>
      <c r="U1810" t="str">
        <f>IF($L1810&gt;0,VLOOKUP($E1810,Valida!$A$1:$G$270,6,FALSE),IF($M1810&gt;=0,VLOOKUP($E1810,Valida!$A$1:$G$270,7,FALSE)))</f>
        <v>(+/-) Ganancia (pérdida)</v>
      </c>
      <c r="V1810" s="190" t="str">
        <f>VLOOKUP(E1810,Valida!$A$2:$K$271,4,FALSE)</f>
        <v>P&amp;L</v>
      </c>
      <c r="W1810" s="185" t="s">
        <v>1808</v>
      </c>
      <c r="X1810" s="185"/>
      <c r="Y1810" s="185"/>
      <c r="Z1810"/>
    </row>
    <row r="1811" spans="1:26">
      <c r="A1811" s="185" t="s">
        <v>2982</v>
      </c>
      <c r="B1811" s="185" t="s">
        <v>2983</v>
      </c>
      <c r="C1811" s="185" t="s">
        <v>1792</v>
      </c>
      <c r="D1811" s="185" t="s">
        <v>2183</v>
      </c>
      <c r="E1811" s="185">
        <v>51350501</v>
      </c>
      <c r="F1811" s="185" t="s">
        <v>1256</v>
      </c>
      <c r="G1811" s="185" t="s">
        <v>1794</v>
      </c>
      <c r="H1811" s="185" t="s">
        <v>1515</v>
      </c>
      <c r="I1811" s="258" t="str">
        <f t="shared" si="85"/>
        <v>5</v>
      </c>
      <c r="J1811" s="221">
        <f t="shared" si="86"/>
        <v>1457432</v>
      </c>
      <c r="K1811" s="258">
        <f t="shared" si="87"/>
        <v>7</v>
      </c>
      <c r="L1811" s="188">
        <v>1457432</v>
      </c>
      <c r="M1811" s="188">
        <v>0</v>
      </c>
      <c r="N1811" s="189">
        <v>900736537</v>
      </c>
      <c r="O1811" t="s">
        <v>2984</v>
      </c>
      <c r="P1811" s="187">
        <v>45133.317048611098</v>
      </c>
      <c r="Q1811" s="186">
        <v>12512</v>
      </c>
      <c r="R1811" s="185" t="s">
        <v>1814</v>
      </c>
      <c r="S1811" s="185" t="s">
        <v>1602</v>
      </c>
      <c r="T1811"/>
      <c r="U1811" t="str">
        <f>IF($L1811&gt;0,VLOOKUP($E1811,Valida!$A$1:$G$270,6,FALSE),IF($M1811&gt;=0,VLOOKUP($E1811,Valida!$A$1:$G$270,7,FALSE)))</f>
        <v>(+/-) Ganancia (pérdida)</v>
      </c>
      <c r="V1811" s="190" t="str">
        <f>VLOOKUP(E1811,Valida!$A$2:$K$271,4,FALSE)</f>
        <v>P&amp;L</v>
      </c>
      <c r="W1811" s="185" t="s">
        <v>2985</v>
      </c>
      <c r="X1811" s="185" t="s">
        <v>2986</v>
      </c>
      <c r="Y1811" s="185" t="s">
        <v>1789</v>
      </c>
      <c r="Z1811"/>
    </row>
    <row r="1812" spans="1:26">
      <c r="A1812" s="185" t="s">
        <v>2982</v>
      </c>
      <c r="B1812" s="185" t="s">
        <v>2983</v>
      </c>
      <c r="C1812" s="185" t="s">
        <v>1792</v>
      </c>
      <c r="D1812" s="185" t="s">
        <v>2183</v>
      </c>
      <c r="E1812" s="185">
        <v>51350501</v>
      </c>
      <c r="F1812" s="185" t="s">
        <v>1256</v>
      </c>
      <c r="G1812" s="185" t="s">
        <v>1794</v>
      </c>
      <c r="H1812" s="185" t="s">
        <v>1515</v>
      </c>
      <c r="I1812" s="258" t="str">
        <f t="shared" si="85"/>
        <v>5</v>
      </c>
      <c r="J1812" s="221">
        <f t="shared" si="86"/>
        <v>145743</v>
      </c>
      <c r="K1812" s="258">
        <f t="shared" si="87"/>
        <v>7</v>
      </c>
      <c r="L1812" s="188">
        <v>145743</v>
      </c>
      <c r="M1812" s="188">
        <v>0</v>
      </c>
      <c r="N1812" s="189">
        <v>900736537</v>
      </c>
      <c r="O1812" t="s">
        <v>2984</v>
      </c>
      <c r="P1812" s="187">
        <v>45133.317048611098</v>
      </c>
      <c r="Q1812" s="186">
        <v>12513</v>
      </c>
      <c r="R1812" s="185" t="s">
        <v>1814</v>
      </c>
      <c r="S1812" s="185" t="s">
        <v>1602</v>
      </c>
      <c r="T1812"/>
      <c r="U1812" t="str">
        <f>IF($L1812&gt;0,VLOOKUP($E1812,Valida!$A$1:$G$270,6,FALSE),IF($M1812&gt;=0,VLOOKUP($E1812,Valida!$A$1:$G$270,7,FALSE)))</f>
        <v>(+/-) Ganancia (pérdida)</v>
      </c>
      <c r="V1812" s="190" t="str">
        <f>VLOOKUP(E1812,Valida!$A$2:$K$271,4,FALSE)</f>
        <v>P&amp;L</v>
      </c>
      <c r="W1812" s="185" t="s">
        <v>2985</v>
      </c>
      <c r="X1812" s="185" t="s">
        <v>2986</v>
      </c>
      <c r="Y1812" s="185" t="s">
        <v>1789</v>
      </c>
      <c r="Z1812"/>
    </row>
    <row r="1813" spans="1:26">
      <c r="A1813" s="185" t="s">
        <v>2982</v>
      </c>
      <c r="B1813" s="185" t="s">
        <v>2983</v>
      </c>
      <c r="C1813" s="185" t="s">
        <v>1792</v>
      </c>
      <c r="D1813" s="185" t="s">
        <v>2183</v>
      </c>
      <c r="E1813" s="185">
        <v>24081002</v>
      </c>
      <c r="F1813" s="185" t="s">
        <v>1687</v>
      </c>
      <c r="G1813" s="185" t="s">
        <v>1794</v>
      </c>
      <c r="H1813" s="185" t="s">
        <v>1515</v>
      </c>
      <c r="I1813" s="258" t="str">
        <f t="shared" si="85"/>
        <v>2</v>
      </c>
      <c r="J1813" s="221">
        <f t="shared" si="86"/>
        <v>27691</v>
      </c>
      <c r="K1813" s="258">
        <f t="shared" si="87"/>
        <v>7</v>
      </c>
      <c r="L1813" s="188">
        <v>27691</v>
      </c>
      <c r="M1813" s="188">
        <v>0</v>
      </c>
      <c r="N1813" s="189">
        <v>900736537</v>
      </c>
      <c r="O1813" t="s">
        <v>2984</v>
      </c>
      <c r="P1813" s="187">
        <v>45133.317060185203</v>
      </c>
      <c r="Q1813" s="186">
        <v>12514</v>
      </c>
      <c r="R1813" s="185" t="s">
        <v>1814</v>
      </c>
      <c r="S1813" s="185" t="s">
        <v>1602</v>
      </c>
      <c r="T1813"/>
      <c r="U1813" t="str">
        <f>IF($L1813&gt;0,VLOOKUP($E1813,Valida!$A$1:$G$270,6,FALSE),IF($M1813&gt;=0,VLOOKUP($E1813,Valida!$A$1:$G$270,7,FALSE)))</f>
        <v>(+/-) Ajustes por el incremento (disminución) de cuentas por pagar de origen comercial</v>
      </c>
      <c r="V1813" s="190" t="str">
        <f>VLOOKUP(E1813,Valida!$A$2:$K$271,4,FALSE)</f>
        <v>Trade and other payables</v>
      </c>
      <c r="W1813" s="185" t="s">
        <v>2985</v>
      </c>
      <c r="X1813" s="185" t="s">
        <v>2986</v>
      </c>
      <c r="Y1813" s="185" t="s">
        <v>1789</v>
      </c>
      <c r="Z1813"/>
    </row>
    <row r="1814" spans="1:26">
      <c r="A1814" s="185" t="s">
        <v>2982</v>
      </c>
      <c r="B1814" s="185" t="s">
        <v>2983</v>
      </c>
      <c r="C1814" s="185" t="s">
        <v>1792</v>
      </c>
      <c r="D1814" s="185" t="s">
        <v>2183</v>
      </c>
      <c r="E1814" s="185">
        <v>23355004</v>
      </c>
      <c r="F1814" s="185" t="s">
        <v>513</v>
      </c>
      <c r="G1814" s="185" t="s">
        <v>1794</v>
      </c>
      <c r="H1814" s="185" t="s">
        <v>1628</v>
      </c>
      <c r="I1814" s="258" t="str">
        <f t="shared" si="85"/>
        <v>2</v>
      </c>
      <c r="J1814" s="221">
        <f t="shared" si="86"/>
        <v>-1630866</v>
      </c>
      <c r="K1814" s="258">
        <f t="shared" si="87"/>
        <v>7</v>
      </c>
      <c r="L1814" s="188">
        <v>0</v>
      </c>
      <c r="M1814" s="188">
        <v>1630866</v>
      </c>
      <c r="N1814" s="189">
        <v>900736537</v>
      </c>
      <c r="O1814" t="s">
        <v>2984</v>
      </c>
      <c r="P1814" s="187">
        <v>45133.317060185203</v>
      </c>
      <c r="Q1814" s="186">
        <v>12515</v>
      </c>
      <c r="R1814" s="185" t="s">
        <v>1814</v>
      </c>
      <c r="S1814" s="185" t="s">
        <v>1602</v>
      </c>
      <c r="T1814"/>
      <c r="U1814" t="str">
        <f>IF($L1814&gt;0,VLOOKUP($E1814,Valida!$A$1:$G$270,6,FALSE),IF($M1814&gt;=0,VLOOKUP($E1814,Valida!$A$1:$G$270,7,FALSE)))</f>
        <v>(+/-) Ajustes por el incremento (disminución) de cuentas por pagar de origen comercial</v>
      </c>
      <c r="V1814" s="190" t="str">
        <f>VLOOKUP(E1814,Valida!$A$2:$K$271,4,FALSE)</f>
        <v>Trade and other payables</v>
      </c>
      <c r="W1814" s="185" t="s">
        <v>2985</v>
      </c>
      <c r="X1814" s="185" t="s">
        <v>2986</v>
      </c>
      <c r="Y1814" s="185" t="s">
        <v>1789</v>
      </c>
      <c r="Z1814"/>
    </row>
    <row r="1815" spans="1:26">
      <c r="A1815" s="185" t="s">
        <v>2957</v>
      </c>
      <c r="B1815" s="185" t="s">
        <v>2987</v>
      </c>
      <c r="C1815" s="185" t="s">
        <v>1949</v>
      </c>
      <c r="D1815" s="185" t="s">
        <v>2221</v>
      </c>
      <c r="E1815" s="185">
        <v>130510</v>
      </c>
      <c r="F1815" s="185" t="s">
        <v>64</v>
      </c>
      <c r="G1815" s="185" t="s">
        <v>1921</v>
      </c>
      <c r="H1815" s="185" t="s">
        <v>1628</v>
      </c>
      <c r="I1815" s="258" t="str">
        <f t="shared" si="85"/>
        <v>1</v>
      </c>
      <c r="J1815" s="221">
        <f t="shared" si="86"/>
        <v>-66542880</v>
      </c>
      <c r="K1815" s="258">
        <f t="shared" si="87"/>
        <v>7</v>
      </c>
      <c r="L1815" s="188">
        <v>0</v>
      </c>
      <c r="M1815" s="188">
        <v>66542880</v>
      </c>
      <c r="N1815" s="189">
        <v>374795</v>
      </c>
      <c r="O1815"/>
      <c r="P1815" s="187">
        <v>45133.710150462997</v>
      </c>
      <c r="Q1815" s="186">
        <v>12642</v>
      </c>
      <c r="R1815" s="185"/>
      <c r="S1815" s="185" t="s">
        <v>1544</v>
      </c>
      <c r="T1815"/>
      <c r="U1815" t="str">
        <f>IF($L1815&gt;0,VLOOKUP($E1815,Valida!$A$1:$G$270,6,FALSE),IF($M1815&gt;=0,VLOOKUP($E1815,Valida!$A$1:$G$270,7,FALSE)))</f>
        <v>(+/-) Ajustes por la disminución (incremento) de cuentas por cobrar de origen comercial</v>
      </c>
      <c r="V1815" s="190" t="str">
        <f>VLOOKUP(E1815,Valida!$A$2:$K$271,4,FALSE)</f>
        <v>Trade and other receivables</v>
      </c>
      <c r="W1815" s="185" t="s">
        <v>1803</v>
      </c>
      <c r="X1815" s="185"/>
      <c r="Y1815" s="185"/>
      <c r="Z1815"/>
    </row>
    <row r="1816" spans="1:26">
      <c r="A1816" s="185" t="s">
        <v>2957</v>
      </c>
      <c r="B1816" s="185" t="s">
        <v>2987</v>
      </c>
      <c r="C1816" s="185" t="s">
        <v>1949</v>
      </c>
      <c r="D1816" s="185" t="s">
        <v>2221</v>
      </c>
      <c r="E1816" s="185">
        <v>112005</v>
      </c>
      <c r="F1816" s="185" t="s">
        <v>24</v>
      </c>
      <c r="G1816" s="185" t="s">
        <v>1921</v>
      </c>
      <c r="H1816" s="185" t="s">
        <v>1515</v>
      </c>
      <c r="I1816" s="258" t="str">
        <f t="shared" si="85"/>
        <v>1</v>
      </c>
      <c r="J1816" s="221">
        <f t="shared" si="86"/>
        <v>67104300</v>
      </c>
      <c r="K1816" s="258">
        <f t="shared" si="87"/>
        <v>7</v>
      </c>
      <c r="L1816" s="188">
        <v>67104300</v>
      </c>
      <c r="M1816" s="188">
        <v>0</v>
      </c>
      <c r="N1816" s="189">
        <v>374795</v>
      </c>
      <c r="O1816"/>
      <c r="P1816" s="187">
        <v>45133.710150462997</v>
      </c>
      <c r="Q1816" s="186">
        <v>12643</v>
      </c>
      <c r="R1816" s="185"/>
      <c r="S1816" s="185" t="s">
        <v>1544</v>
      </c>
      <c r="T1816" t="s">
        <v>1894</v>
      </c>
      <c r="U1816" t="str">
        <f>IF($L1816&gt;0,VLOOKUP($E1816,Valida!$A$1:$G$270,6,FALSE),IF($M1816&gt;=0,VLOOKUP($E1816,Valida!$A$1:$G$270,7,FALSE)))</f>
        <v>Disponible</v>
      </c>
      <c r="V1816" s="190" t="str">
        <f>VLOOKUP(E1816,Valida!$A$2:$K$271,4,FALSE)</f>
        <v>Cash and equivalents</v>
      </c>
      <c r="W1816" s="185" t="s">
        <v>1803</v>
      </c>
      <c r="X1816" s="185"/>
      <c r="Y1816" s="185"/>
      <c r="Z1816"/>
    </row>
    <row r="1817" spans="1:26">
      <c r="A1817" s="185" t="s">
        <v>2957</v>
      </c>
      <c r="B1817" s="185" t="s">
        <v>2987</v>
      </c>
      <c r="C1817" s="185" t="s">
        <v>1949</v>
      </c>
      <c r="D1817" s="185" t="s">
        <v>2221</v>
      </c>
      <c r="E1817" s="185">
        <v>42102001</v>
      </c>
      <c r="F1817" s="185" t="s">
        <v>1712</v>
      </c>
      <c r="G1817" s="185" t="s">
        <v>1921</v>
      </c>
      <c r="H1817" s="185" t="s">
        <v>1628</v>
      </c>
      <c r="I1817" s="258" t="str">
        <f t="shared" si="85"/>
        <v>4</v>
      </c>
      <c r="J1817" s="221">
        <f t="shared" si="86"/>
        <v>-561420</v>
      </c>
      <c r="K1817" s="258">
        <f t="shared" si="87"/>
        <v>7</v>
      </c>
      <c r="L1817" s="188">
        <v>0</v>
      </c>
      <c r="M1817" s="188">
        <v>561420</v>
      </c>
      <c r="N1817" s="189">
        <v>374795</v>
      </c>
      <c r="O1817"/>
      <c r="P1817" s="187">
        <v>45133.710150462997</v>
      </c>
      <c r="Q1817" s="186">
        <v>12644</v>
      </c>
      <c r="R1817" s="185"/>
      <c r="S1817" s="185" t="s">
        <v>1544</v>
      </c>
      <c r="T1817"/>
      <c r="U1817" t="str">
        <f>IF($L1817&gt;0,VLOOKUP($E1817,Valida!$A$1:$G$270,6,FALSE),IF($M1817&gt;=0,VLOOKUP($E1817,Valida!$A$1:$G$270,7,FALSE)))</f>
        <v>(+/-) Ganancia (pérdida)</v>
      </c>
      <c r="V1817" s="190" t="str">
        <f>VLOOKUP(E1817,Valida!$A$2:$K$271,4,FALSE)</f>
        <v>P&amp;L</v>
      </c>
      <c r="W1817" s="185" t="s">
        <v>1803</v>
      </c>
      <c r="X1817" s="185"/>
      <c r="Y1817" s="185"/>
      <c r="Z1817"/>
    </row>
    <row r="1818" spans="1:26">
      <c r="A1818" s="185" t="s">
        <v>2988</v>
      </c>
      <c r="B1818" s="185" t="s">
        <v>2989</v>
      </c>
      <c r="C1818" s="185" t="s">
        <v>1890</v>
      </c>
      <c r="D1818" s="185" t="s">
        <v>2990</v>
      </c>
      <c r="E1818" s="185">
        <v>23359502</v>
      </c>
      <c r="F1818" s="185" t="s">
        <v>547</v>
      </c>
      <c r="G1818" s="185" t="s">
        <v>2991</v>
      </c>
      <c r="H1818" s="185" t="s">
        <v>1515</v>
      </c>
      <c r="I1818" s="258" t="str">
        <f t="shared" si="85"/>
        <v>2</v>
      </c>
      <c r="J1818" s="221">
        <f t="shared" si="86"/>
        <v>1957327</v>
      </c>
      <c r="K1818" s="258">
        <f t="shared" si="87"/>
        <v>7</v>
      </c>
      <c r="L1818" s="188">
        <v>1957327</v>
      </c>
      <c r="M1818" s="188">
        <v>0</v>
      </c>
      <c r="N1818" s="189">
        <v>830062853</v>
      </c>
      <c r="O1818"/>
      <c r="P1818" s="187">
        <v>45133.711064814801</v>
      </c>
      <c r="Q1818" s="186">
        <v>12645</v>
      </c>
      <c r="R1818" s="185" t="s">
        <v>433</v>
      </c>
      <c r="S1818" s="185" t="s">
        <v>1564</v>
      </c>
      <c r="T1818"/>
      <c r="U1818" t="str">
        <f>IF($L1818&gt;0,VLOOKUP($E1818,Valida!$A$1:$G$270,6,FALSE),IF($M1818&gt;=0,VLOOKUP($E1818,Valida!$A$1:$G$270,7,FALSE)))</f>
        <v>(+/-) Ajustes por el incremento (disminución) de cuentas por pagar de origen comercial</v>
      </c>
      <c r="V1818" s="190" t="str">
        <f>VLOOKUP(E1818,Valida!$A$2:$K$271,4,FALSE)</f>
        <v>Trade and other payables</v>
      </c>
      <c r="W1818" s="185" t="s">
        <v>2024</v>
      </c>
      <c r="X1818" s="185" t="s">
        <v>2025</v>
      </c>
      <c r="Y1818" s="185" t="s">
        <v>1789</v>
      </c>
      <c r="Z1818"/>
    </row>
    <row r="1819" spans="1:26">
      <c r="A1819" s="185" t="s">
        <v>2988</v>
      </c>
      <c r="B1819" s="185" t="s">
        <v>2989</v>
      </c>
      <c r="C1819" s="185" t="s">
        <v>1890</v>
      </c>
      <c r="D1819" s="185" t="s">
        <v>2990</v>
      </c>
      <c r="E1819" s="185">
        <v>112005</v>
      </c>
      <c r="F1819" s="185" t="s">
        <v>24</v>
      </c>
      <c r="G1819" s="185" t="s">
        <v>2991</v>
      </c>
      <c r="H1819" s="185" t="s">
        <v>1628</v>
      </c>
      <c r="I1819" s="258" t="str">
        <f t="shared" si="85"/>
        <v>1</v>
      </c>
      <c r="J1819" s="221">
        <f t="shared" si="86"/>
        <v>-1957327</v>
      </c>
      <c r="K1819" s="258">
        <f t="shared" si="87"/>
        <v>7</v>
      </c>
      <c r="L1819" s="188">
        <v>0</v>
      </c>
      <c r="M1819" s="188">
        <v>1957327</v>
      </c>
      <c r="N1819" s="189">
        <v>830062853</v>
      </c>
      <c r="O1819"/>
      <c r="P1819" s="187">
        <v>45133.711064814801</v>
      </c>
      <c r="Q1819" s="186">
        <v>12646</v>
      </c>
      <c r="R1819" s="185" t="s">
        <v>433</v>
      </c>
      <c r="S1819" s="185" t="s">
        <v>1564</v>
      </c>
      <c r="T1819" t="s">
        <v>1894</v>
      </c>
      <c r="U1819" t="str">
        <f>IF($L1819&gt;0,VLOOKUP($E1819,Valida!$A$1:$G$270,6,FALSE),IF($M1819&gt;=0,VLOOKUP($E1819,Valida!$A$1:$G$270,7,FALSE)))</f>
        <v>Disponible</v>
      </c>
      <c r="V1819" s="190" t="str">
        <f>VLOOKUP(E1819,Valida!$A$2:$K$271,4,FALSE)</f>
        <v>Cash and equivalents</v>
      </c>
      <c r="W1819" s="185" t="s">
        <v>2024</v>
      </c>
      <c r="X1819" s="185" t="s">
        <v>2025</v>
      </c>
      <c r="Y1819" s="185" t="s">
        <v>1789</v>
      </c>
      <c r="Z1819"/>
    </row>
    <row r="1820" spans="1:26">
      <c r="A1820" s="185" t="s">
        <v>2988</v>
      </c>
      <c r="B1820" s="185" t="s">
        <v>2992</v>
      </c>
      <c r="C1820" s="185" t="s">
        <v>1890</v>
      </c>
      <c r="D1820" s="185" t="s">
        <v>2993</v>
      </c>
      <c r="E1820" s="185">
        <v>23355002</v>
      </c>
      <c r="F1820" s="185" t="s">
        <v>506</v>
      </c>
      <c r="G1820" s="185" t="s">
        <v>2994</v>
      </c>
      <c r="H1820" s="185" t="s">
        <v>1515</v>
      </c>
      <c r="I1820" s="258" t="str">
        <f t="shared" si="85"/>
        <v>2</v>
      </c>
      <c r="J1820" s="221">
        <f t="shared" si="86"/>
        <v>101051.76</v>
      </c>
      <c r="K1820" s="258">
        <f t="shared" si="87"/>
        <v>7</v>
      </c>
      <c r="L1820" s="188">
        <v>101051.76</v>
      </c>
      <c r="M1820" s="188">
        <v>0</v>
      </c>
      <c r="N1820" s="189">
        <v>440493581</v>
      </c>
      <c r="O1820"/>
      <c r="P1820" s="187">
        <v>45133.713831018496</v>
      </c>
      <c r="Q1820" s="186">
        <v>12647</v>
      </c>
      <c r="R1820" s="185"/>
      <c r="S1820" s="185" t="s">
        <v>1546</v>
      </c>
      <c r="T1820"/>
      <c r="U1820" t="str">
        <f>IF($L1820&gt;0,VLOOKUP($E1820,Valida!$A$1:$G$270,6,FALSE),IF($M1820&gt;=0,VLOOKUP($E1820,Valida!$A$1:$G$270,7,FALSE)))</f>
        <v>(+/-) Ajustes por el incremento (disminución) de cuentas por pagar de origen comercial</v>
      </c>
      <c r="V1820" s="190" t="str">
        <f>VLOOKUP(E1820,Valida!$A$2:$K$271,4,FALSE)</f>
        <v>Trade and other payables</v>
      </c>
      <c r="W1820" s="185" t="s">
        <v>1808</v>
      </c>
      <c r="X1820" s="185"/>
      <c r="Y1820" s="185"/>
      <c r="Z1820"/>
    </row>
    <row r="1821" spans="1:26">
      <c r="A1821" s="185" t="s">
        <v>2988</v>
      </c>
      <c r="B1821" s="185" t="s">
        <v>2992</v>
      </c>
      <c r="C1821" s="185" t="s">
        <v>1890</v>
      </c>
      <c r="D1821" s="185" t="s">
        <v>2993</v>
      </c>
      <c r="E1821" s="185">
        <v>112005</v>
      </c>
      <c r="F1821" s="185" t="s">
        <v>24</v>
      </c>
      <c r="G1821" s="185" t="s">
        <v>2994</v>
      </c>
      <c r="H1821" s="185" t="s">
        <v>1628</v>
      </c>
      <c r="I1821" s="258" t="str">
        <f t="shared" si="85"/>
        <v>1</v>
      </c>
      <c r="J1821" s="221">
        <f t="shared" si="86"/>
        <v>-101051.76</v>
      </c>
      <c r="K1821" s="258">
        <f t="shared" si="87"/>
        <v>7</v>
      </c>
      <c r="L1821" s="188">
        <v>0</v>
      </c>
      <c r="M1821" s="188">
        <v>101051.76</v>
      </c>
      <c r="N1821" s="189">
        <v>440493581</v>
      </c>
      <c r="O1821"/>
      <c r="P1821" s="187">
        <v>45133.713831018496</v>
      </c>
      <c r="Q1821" s="186">
        <v>12648</v>
      </c>
      <c r="R1821" s="185"/>
      <c r="S1821" s="185" t="s">
        <v>1546</v>
      </c>
      <c r="T1821" t="s">
        <v>1894</v>
      </c>
      <c r="U1821" t="str">
        <f>IF($L1821&gt;0,VLOOKUP($E1821,Valida!$A$1:$G$270,6,FALSE),IF($M1821&gt;=0,VLOOKUP($E1821,Valida!$A$1:$G$270,7,FALSE)))</f>
        <v>Disponible</v>
      </c>
      <c r="V1821" s="190" t="str">
        <f>VLOOKUP(E1821,Valida!$A$2:$K$271,4,FALSE)</f>
        <v>Cash and equivalents</v>
      </c>
      <c r="W1821" s="185" t="s">
        <v>1808</v>
      </c>
      <c r="X1821" s="185"/>
      <c r="Y1821" s="185"/>
      <c r="Z1821"/>
    </row>
    <row r="1822" spans="1:26">
      <c r="A1822" s="185" t="s">
        <v>2941</v>
      </c>
      <c r="B1822" s="185" t="s">
        <v>2995</v>
      </c>
      <c r="C1822" s="185" t="s">
        <v>1890</v>
      </c>
      <c r="D1822" s="185" t="s">
        <v>2996</v>
      </c>
      <c r="E1822" s="185">
        <v>237095</v>
      </c>
      <c r="F1822" s="185" t="s">
        <v>150</v>
      </c>
      <c r="G1822" s="185" t="s">
        <v>2997</v>
      </c>
      <c r="H1822" s="185" t="s">
        <v>1515</v>
      </c>
      <c r="I1822" s="258" t="str">
        <f t="shared" si="85"/>
        <v>2</v>
      </c>
      <c r="J1822" s="221">
        <f t="shared" si="86"/>
        <v>2205000</v>
      </c>
      <c r="K1822" s="258">
        <f t="shared" si="87"/>
        <v>7</v>
      </c>
      <c r="L1822" s="188">
        <v>2205000</v>
      </c>
      <c r="M1822" s="188">
        <v>0</v>
      </c>
      <c r="N1822" s="189">
        <v>860066942</v>
      </c>
      <c r="O1822"/>
      <c r="P1822" s="187">
        <v>45133.714664351799</v>
      </c>
      <c r="Q1822" s="186">
        <v>12649</v>
      </c>
      <c r="R1822" s="185" t="s">
        <v>1814</v>
      </c>
      <c r="S1822" s="185" t="s">
        <v>1574</v>
      </c>
      <c r="T1822"/>
      <c r="U1822" t="str">
        <f>IF($L1822&gt;0,VLOOKUP($E1822,Valida!$A$1:$G$270,6,FALSE),IF($M1822&gt;=0,VLOOKUP($E1822,Valida!$A$1:$G$270,7,FALSE)))</f>
        <v>(+/-) Ajustes por el incremento (disminución) de cuentas por pagar de origen comercial</v>
      </c>
      <c r="V1822" s="190" t="str">
        <f>VLOOKUP(E1822,Valida!$A$2:$K$271,4,FALSE)</f>
        <v>Trade and other payables</v>
      </c>
      <c r="W1822" s="185" t="s">
        <v>1914</v>
      </c>
      <c r="X1822" s="185" t="s">
        <v>1915</v>
      </c>
      <c r="Y1822" s="185" t="s">
        <v>1789</v>
      </c>
      <c r="Z1822"/>
    </row>
    <row r="1823" spans="1:26">
      <c r="A1823" s="185" t="s">
        <v>2941</v>
      </c>
      <c r="B1823" s="185" t="s">
        <v>2995</v>
      </c>
      <c r="C1823" s="185" t="s">
        <v>1890</v>
      </c>
      <c r="D1823" s="185" t="s">
        <v>2996</v>
      </c>
      <c r="E1823" s="185">
        <v>112005</v>
      </c>
      <c r="F1823" s="185" t="s">
        <v>24</v>
      </c>
      <c r="G1823" s="185" t="s">
        <v>2997</v>
      </c>
      <c r="H1823" s="185" t="s">
        <v>1628</v>
      </c>
      <c r="I1823" s="258" t="str">
        <f t="shared" si="85"/>
        <v>1</v>
      </c>
      <c r="J1823" s="221">
        <f t="shared" si="86"/>
        <v>-2205000</v>
      </c>
      <c r="K1823" s="258">
        <f t="shared" si="87"/>
        <v>7</v>
      </c>
      <c r="L1823" s="188">
        <v>0</v>
      </c>
      <c r="M1823" s="188">
        <v>2205000</v>
      </c>
      <c r="N1823" s="189">
        <v>860066942</v>
      </c>
      <c r="O1823"/>
      <c r="P1823" s="187">
        <v>45133.714687500003</v>
      </c>
      <c r="Q1823" s="186">
        <v>12650</v>
      </c>
      <c r="R1823" s="185" t="s">
        <v>1814</v>
      </c>
      <c r="S1823" s="185" t="s">
        <v>1574</v>
      </c>
      <c r="T1823" t="s">
        <v>1894</v>
      </c>
      <c r="U1823" t="str">
        <f>IF($L1823&gt;0,VLOOKUP($E1823,Valida!$A$1:$G$270,6,FALSE),IF($M1823&gt;=0,VLOOKUP($E1823,Valida!$A$1:$G$270,7,FALSE)))</f>
        <v>Disponible</v>
      </c>
      <c r="V1823" s="190" t="str">
        <f>VLOOKUP(E1823,Valida!$A$2:$K$271,4,FALSE)</f>
        <v>Cash and equivalents</v>
      </c>
      <c r="W1823" s="185" t="s">
        <v>1914</v>
      </c>
      <c r="X1823" s="185" t="s">
        <v>1915</v>
      </c>
      <c r="Y1823" s="185" t="s">
        <v>1789</v>
      </c>
      <c r="Z1823"/>
    </row>
    <row r="1824" spans="1:26">
      <c r="A1824" s="185" t="s">
        <v>2941</v>
      </c>
      <c r="B1824" s="185" t="s">
        <v>2998</v>
      </c>
      <c r="C1824" s="185" t="s">
        <v>1890</v>
      </c>
      <c r="D1824" s="185" t="s">
        <v>2999</v>
      </c>
      <c r="E1824" s="185">
        <v>23355007</v>
      </c>
      <c r="F1824" s="185" t="s">
        <v>1638</v>
      </c>
      <c r="G1824" s="185" t="s">
        <v>3000</v>
      </c>
      <c r="H1824" s="185" t="s">
        <v>1515</v>
      </c>
      <c r="I1824" s="258" t="str">
        <f t="shared" si="85"/>
        <v>2</v>
      </c>
      <c r="J1824" s="221">
        <f t="shared" si="86"/>
        <v>49743.360000000001</v>
      </c>
      <c r="K1824" s="258">
        <f t="shared" si="87"/>
        <v>7</v>
      </c>
      <c r="L1824" s="188">
        <v>49743.360000000001</v>
      </c>
      <c r="M1824" s="188">
        <v>0</v>
      </c>
      <c r="N1824" s="189">
        <v>444444001</v>
      </c>
      <c r="O1824"/>
      <c r="P1824" s="187">
        <v>45133.717523148101</v>
      </c>
      <c r="Q1824" s="186">
        <v>12651</v>
      </c>
      <c r="R1824" s="185"/>
      <c r="S1824" s="185" t="s">
        <v>1548</v>
      </c>
      <c r="T1824"/>
      <c r="U1824" t="str">
        <f>IF($L1824&gt;0,VLOOKUP($E1824,Valida!$A$1:$G$270,6,FALSE),IF($M1824&gt;=0,VLOOKUP($E1824,Valida!$A$1:$G$270,7,FALSE)))</f>
        <v>(+/-) Ajustes por el incremento (disminución) de cuentas por pagar de origen comercial</v>
      </c>
      <c r="V1824" s="190" t="str">
        <f>VLOOKUP(E1824,Valida!$A$2:$K$271,4,FALSE)</f>
        <v>Trade and other payables</v>
      </c>
      <c r="W1824" s="185"/>
      <c r="X1824" s="185"/>
      <c r="Y1824" s="185"/>
      <c r="Z1824"/>
    </row>
    <row r="1825" spans="1:26">
      <c r="A1825" s="185" t="s">
        <v>3001</v>
      </c>
      <c r="B1825" s="185" t="s">
        <v>3002</v>
      </c>
      <c r="C1825" s="185" t="s">
        <v>1890</v>
      </c>
      <c r="D1825" s="185" t="s">
        <v>3003</v>
      </c>
      <c r="E1825" s="185">
        <v>250505</v>
      </c>
      <c r="F1825" s="185" t="s">
        <v>767</v>
      </c>
      <c r="G1825" s="185" t="s">
        <v>3004</v>
      </c>
      <c r="H1825" s="185" t="s">
        <v>1515</v>
      </c>
      <c r="I1825" s="258" t="str">
        <f t="shared" si="85"/>
        <v>2</v>
      </c>
      <c r="J1825" s="221">
        <f t="shared" si="86"/>
        <v>1122007</v>
      </c>
      <c r="K1825" s="258">
        <f t="shared" si="87"/>
        <v>7</v>
      </c>
      <c r="L1825" s="188">
        <v>1122007</v>
      </c>
      <c r="M1825" s="188">
        <v>0</v>
      </c>
      <c r="N1825" s="189">
        <v>1100623759</v>
      </c>
      <c r="O1825"/>
      <c r="P1825" s="187">
        <v>45133.741249999999</v>
      </c>
      <c r="Q1825" s="186">
        <v>12771</v>
      </c>
      <c r="R1825" s="185"/>
      <c r="S1825" s="185" t="s">
        <v>1536</v>
      </c>
      <c r="T1825"/>
      <c r="U1825" t="str">
        <f>IF($L1825&gt;0,VLOOKUP($E1825,Valida!$A$1:$G$270,6,FALSE),IF($M1825&gt;=0,VLOOKUP($E1825,Valida!$A$1:$G$270,7,FALSE)))</f>
        <v>(+/-) Ajustes por el incremento (disminución) de cuentas por pagar de origen comercial</v>
      </c>
      <c r="V1825" s="190" t="str">
        <f>VLOOKUP(E1825,Valida!$A$2:$K$271,4,FALSE)</f>
        <v>Trade and other payables</v>
      </c>
      <c r="W1825" s="185" t="s">
        <v>2730</v>
      </c>
      <c r="X1825" s="185"/>
      <c r="Y1825" s="185" t="s">
        <v>1789</v>
      </c>
      <c r="Z1825"/>
    </row>
    <row r="1826" spans="1:26">
      <c r="A1826" s="185" t="s">
        <v>2941</v>
      </c>
      <c r="B1826" s="185" t="s">
        <v>2998</v>
      </c>
      <c r="C1826" s="185" t="s">
        <v>1890</v>
      </c>
      <c r="D1826" s="185" t="s">
        <v>2999</v>
      </c>
      <c r="E1826" s="185">
        <v>112005</v>
      </c>
      <c r="F1826" s="185" t="s">
        <v>24</v>
      </c>
      <c r="G1826" s="185" t="s">
        <v>3000</v>
      </c>
      <c r="H1826" s="185" t="s">
        <v>1628</v>
      </c>
      <c r="I1826" s="258" t="str">
        <f t="shared" si="85"/>
        <v>1</v>
      </c>
      <c r="J1826" s="221">
        <f t="shared" si="86"/>
        <v>-49743.360000000001</v>
      </c>
      <c r="K1826" s="258">
        <f t="shared" si="87"/>
        <v>7</v>
      </c>
      <c r="L1826" s="188">
        <v>0</v>
      </c>
      <c r="M1826" s="188">
        <v>49743.360000000001</v>
      </c>
      <c r="N1826" s="189">
        <v>444444001</v>
      </c>
      <c r="O1826"/>
      <c r="P1826" s="187">
        <v>45133.717523148101</v>
      </c>
      <c r="Q1826" s="186">
        <v>12652</v>
      </c>
      <c r="R1826" s="185"/>
      <c r="S1826" s="185" t="s">
        <v>1548</v>
      </c>
      <c r="T1826" t="s">
        <v>1894</v>
      </c>
      <c r="U1826" t="str">
        <f>IF($L1826&gt;0,VLOOKUP($E1826,Valida!$A$1:$G$270,6,FALSE),IF($M1826&gt;=0,VLOOKUP($E1826,Valida!$A$1:$G$270,7,FALSE)))</f>
        <v>Disponible</v>
      </c>
      <c r="V1826" s="190" t="str">
        <f>VLOOKUP(E1826,Valida!$A$2:$K$271,4,FALSE)</f>
        <v>Cash and equivalents</v>
      </c>
      <c r="W1826" s="185"/>
      <c r="X1826" s="185"/>
      <c r="Y1826" s="185"/>
      <c r="Z1826"/>
    </row>
    <row r="1827" spans="1:26">
      <c r="A1827" s="185" t="s">
        <v>2950</v>
      </c>
      <c r="B1827" s="185" t="s">
        <v>3005</v>
      </c>
      <c r="C1827" s="185" t="s">
        <v>1890</v>
      </c>
      <c r="D1827" s="185" t="s">
        <v>3006</v>
      </c>
      <c r="E1827" s="185">
        <v>23354001</v>
      </c>
      <c r="F1827" s="185" t="s">
        <v>484</v>
      </c>
      <c r="G1827" s="185" t="s">
        <v>3007</v>
      </c>
      <c r="H1827" s="185" t="s">
        <v>1515</v>
      </c>
      <c r="I1827" s="258" t="str">
        <f t="shared" si="85"/>
        <v>2</v>
      </c>
      <c r="J1827" s="221">
        <f t="shared" si="86"/>
        <v>3955088</v>
      </c>
      <c r="K1827" s="258">
        <f t="shared" si="87"/>
        <v>7</v>
      </c>
      <c r="L1827" s="188">
        <v>3955088</v>
      </c>
      <c r="M1827" s="188">
        <v>0</v>
      </c>
      <c r="N1827" s="189">
        <v>860044821</v>
      </c>
      <c r="O1827"/>
      <c r="P1827" s="187">
        <v>45133.721284722204</v>
      </c>
      <c r="Q1827" s="186">
        <v>12653</v>
      </c>
      <c r="R1827" s="185" t="s">
        <v>6</v>
      </c>
      <c r="S1827" s="185" t="s">
        <v>1570</v>
      </c>
      <c r="T1827"/>
      <c r="U1827" t="str">
        <f>IF($L1827&gt;0,VLOOKUP($E1827,Valida!$A$1:$G$270,6,FALSE),IF($M1827&gt;=0,VLOOKUP($E1827,Valida!$A$1:$G$270,7,FALSE)))</f>
        <v>(+/-) Ajustes por el incremento (disminución) de cuentas por pagar de origen comercial</v>
      </c>
      <c r="V1827" s="190" t="str">
        <f>VLOOKUP(E1827,Valida!$A$2:$K$271,4,FALSE)</f>
        <v>Trade and other payables</v>
      </c>
      <c r="W1827" s="185" t="s">
        <v>2048</v>
      </c>
      <c r="X1827" s="185"/>
      <c r="Y1827" s="185" t="s">
        <v>1789</v>
      </c>
      <c r="Z1827"/>
    </row>
    <row r="1828" spans="1:26">
      <c r="A1828" s="185" t="s">
        <v>2950</v>
      </c>
      <c r="B1828" s="185" t="s">
        <v>3005</v>
      </c>
      <c r="C1828" s="185" t="s">
        <v>1890</v>
      </c>
      <c r="D1828" s="185" t="s">
        <v>3006</v>
      </c>
      <c r="E1828" s="185">
        <v>112005</v>
      </c>
      <c r="F1828" s="185" t="s">
        <v>24</v>
      </c>
      <c r="G1828" s="185" t="s">
        <v>3007</v>
      </c>
      <c r="H1828" s="185" t="s">
        <v>1628</v>
      </c>
      <c r="I1828" s="258" t="str">
        <f t="shared" si="85"/>
        <v>1</v>
      </c>
      <c r="J1828" s="221">
        <f t="shared" si="86"/>
        <v>-3955088</v>
      </c>
      <c r="K1828" s="258">
        <f t="shared" si="87"/>
        <v>7</v>
      </c>
      <c r="L1828" s="188">
        <v>0</v>
      </c>
      <c r="M1828" s="188">
        <v>3955088</v>
      </c>
      <c r="N1828" s="189">
        <v>860044821</v>
      </c>
      <c r="O1828"/>
      <c r="P1828" s="187">
        <v>45133.721284722204</v>
      </c>
      <c r="Q1828" s="186">
        <v>12654</v>
      </c>
      <c r="R1828" s="185" t="s">
        <v>6</v>
      </c>
      <c r="S1828" s="185" t="s">
        <v>1570</v>
      </c>
      <c r="T1828" t="s">
        <v>1894</v>
      </c>
      <c r="U1828" t="str">
        <f>IF($L1828&gt;0,VLOOKUP($E1828,Valida!$A$1:$G$270,6,FALSE),IF($M1828&gt;=0,VLOOKUP($E1828,Valida!$A$1:$G$270,7,FALSE)))</f>
        <v>Disponible</v>
      </c>
      <c r="V1828" s="190" t="str">
        <f>VLOOKUP(E1828,Valida!$A$2:$K$271,4,FALSE)</f>
        <v>Cash and equivalents</v>
      </c>
      <c r="W1828" s="185" t="s">
        <v>2048</v>
      </c>
      <c r="X1828" s="185"/>
      <c r="Y1828" s="185" t="s">
        <v>1789</v>
      </c>
      <c r="Z1828"/>
    </row>
    <row r="1829" spans="1:26">
      <c r="A1829" s="185" t="s">
        <v>2950</v>
      </c>
      <c r="B1829" s="185" t="s">
        <v>3008</v>
      </c>
      <c r="C1829" s="185" t="s">
        <v>1890</v>
      </c>
      <c r="D1829" s="185" t="s">
        <v>3009</v>
      </c>
      <c r="E1829" s="185">
        <v>23355005</v>
      </c>
      <c r="F1829" s="185" t="s">
        <v>516</v>
      </c>
      <c r="G1829" s="185" t="s">
        <v>3010</v>
      </c>
      <c r="H1829" s="185" t="s">
        <v>1515</v>
      </c>
      <c r="I1829" s="258" t="str">
        <f t="shared" si="85"/>
        <v>2</v>
      </c>
      <c r="J1829" s="221">
        <f t="shared" si="86"/>
        <v>6623220</v>
      </c>
      <c r="K1829" s="258">
        <f t="shared" si="87"/>
        <v>7</v>
      </c>
      <c r="L1829" s="188">
        <v>6623220</v>
      </c>
      <c r="M1829" s="188">
        <v>0</v>
      </c>
      <c r="N1829" s="189">
        <v>860063875</v>
      </c>
      <c r="O1829"/>
      <c r="P1829" s="187">
        <v>45133.721828703703</v>
      </c>
      <c r="Q1829" s="186">
        <v>12655</v>
      </c>
      <c r="R1829" s="185" t="s">
        <v>1827</v>
      </c>
      <c r="S1829" s="185" t="s">
        <v>1572</v>
      </c>
      <c r="T1829"/>
      <c r="U1829" t="str">
        <f>IF($L1829&gt;0,VLOOKUP($E1829,Valida!$A$1:$G$270,6,FALSE),IF($M1829&gt;=0,VLOOKUP($E1829,Valida!$A$1:$G$270,7,FALSE)))</f>
        <v>(+/-) Ajustes por el incremento (disminución) de cuentas por pagar de origen comercial</v>
      </c>
      <c r="V1829" s="190" t="str">
        <f>VLOOKUP(E1829,Valida!$A$2:$K$271,4,FALSE)</f>
        <v>Trade and other payables</v>
      </c>
      <c r="W1829" s="185" t="s">
        <v>1835</v>
      </c>
      <c r="X1829" s="185"/>
      <c r="Y1829" s="185" t="s">
        <v>1789</v>
      </c>
      <c r="Z1829"/>
    </row>
    <row r="1830" spans="1:26">
      <c r="A1830" s="185" t="s">
        <v>2950</v>
      </c>
      <c r="B1830" s="185" t="s">
        <v>3008</v>
      </c>
      <c r="C1830" s="185" t="s">
        <v>1890</v>
      </c>
      <c r="D1830" s="185" t="s">
        <v>3009</v>
      </c>
      <c r="E1830" s="185">
        <v>112005</v>
      </c>
      <c r="F1830" s="185" t="s">
        <v>24</v>
      </c>
      <c r="G1830" s="185" t="s">
        <v>3010</v>
      </c>
      <c r="H1830" s="185" t="s">
        <v>1628</v>
      </c>
      <c r="I1830" s="258" t="str">
        <f t="shared" si="85"/>
        <v>1</v>
      </c>
      <c r="J1830" s="221">
        <f t="shared" si="86"/>
        <v>-6623220</v>
      </c>
      <c r="K1830" s="258">
        <f t="shared" si="87"/>
        <v>7</v>
      </c>
      <c r="L1830" s="188">
        <v>0</v>
      </c>
      <c r="M1830" s="188">
        <v>6623220</v>
      </c>
      <c r="N1830" s="189">
        <v>860063875</v>
      </c>
      <c r="O1830"/>
      <c r="P1830" s="187">
        <v>45133.721828703703</v>
      </c>
      <c r="Q1830" s="186">
        <v>12656</v>
      </c>
      <c r="R1830" s="185" t="s">
        <v>1827</v>
      </c>
      <c r="S1830" s="185" t="s">
        <v>1572</v>
      </c>
      <c r="T1830" t="s">
        <v>1894</v>
      </c>
      <c r="U1830" t="str">
        <f>IF($L1830&gt;0,VLOOKUP($E1830,Valida!$A$1:$G$270,6,FALSE),IF($M1830&gt;=0,VLOOKUP($E1830,Valida!$A$1:$G$270,7,FALSE)))</f>
        <v>Disponible</v>
      </c>
      <c r="V1830" s="190" t="str">
        <f>VLOOKUP(E1830,Valida!$A$2:$K$271,4,FALSE)</f>
        <v>Cash and equivalents</v>
      </c>
      <c r="W1830" s="185" t="s">
        <v>1835</v>
      </c>
      <c r="X1830" s="185"/>
      <c r="Y1830" s="185" t="s">
        <v>1789</v>
      </c>
      <c r="Z1830"/>
    </row>
    <row r="1831" spans="1:26">
      <c r="A1831" s="185" t="s">
        <v>2950</v>
      </c>
      <c r="B1831" s="185" t="s">
        <v>3011</v>
      </c>
      <c r="C1831" s="185" t="s">
        <v>1890</v>
      </c>
      <c r="D1831" s="185" t="s">
        <v>3012</v>
      </c>
      <c r="E1831" s="185">
        <v>23359504</v>
      </c>
      <c r="F1831" s="185" t="s">
        <v>553</v>
      </c>
      <c r="G1831" s="185" t="s">
        <v>3013</v>
      </c>
      <c r="H1831" s="185" t="s">
        <v>1515</v>
      </c>
      <c r="I1831" s="258" t="str">
        <f t="shared" si="85"/>
        <v>2</v>
      </c>
      <c r="J1831" s="221">
        <f t="shared" si="86"/>
        <v>330000</v>
      </c>
      <c r="K1831" s="258">
        <f t="shared" si="87"/>
        <v>7</v>
      </c>
      <c r="L1831" s="188">
        <v>330000</v>
      </c>
      <c r="M1831" s="188">
        <v>0</v>
      </c>
      <c r="N1831" s="189">
        <v>800042928</v>
      </c>
      <c r="O1831"/>
      <c r="P1831" s="187">
        <v>45133.722546296303</v>
      </c>
      <c r="Q1831" s="186">
        <v>12657</v>
      </c>
      <c r="R1831" s="185" t="s">
        <v>6</v>
      </c>
      <c r="S1831" s="185" t="s">
        <v>1554</v>
      </c>
      <c r="T1831"/>
      <c r="U1831" t="str">
        <f>IF($L1831&gt;0,VLOOKUP($E1831,Valida!$A$1:$G$270,6,FALSE),IF($M1831&gt;=0,VLOOKUP($E1831,Valida!$A$1:$G$270,7,FALSE)))</f>
        <v>(+/-) Ajustes por el incremento (disminución) de cuentas por pagar de origen comercial</v>
      </c>
      <c r="V1831" s="190" t="str">
        <f>VLOOKUP(E1831,Valida!$A$2:$K$271,4,FALSE)</f>
        <v>Trade and other payables</v>
      </c>
      <c r="W1831" s="185" t="s">
        <v>1820</v>
      </c>
      <c r="X1831" s="185" t="s">
        <v>1821</v>
      </c>
      <c r="Y1831" s="185" t="s">
        <v>1789</v>
      </c>
      <c r="Z1831"/>
    </row>
    <row r="1832" spans="1:26">
      <c r="A1832" s="185" t="s">
        <v>2950</v>
      </c>
      <c r="B1832" s="185" t="s">
        <v>3011</v>
      </c>
      <c r="C1832" s="185" t="s">
        <v>1890</v>
      </c>
      <c r="D1832" s="185" t="s">
        <v>3012</v>
      </c>
      <c r="E1832" s="185">
        <v>112005</v>
      </c>
      <c r="F1832" s="185" t="s">
        <v>24</v>
      </c>
      <c r="G1832" s="185" t="s">
        <v>3013</v>
      </c>
      <c r="H1832" s="185" t="s">
        <v>1628</v>
      </c>
      <c r="I1832" s="258" t="str">
        <f t="shared" si="85"/>
        <v>1</v>
      </c>
      <c r="J1832" s="221">
        <f t="shared" si="86"/>
        <v>-330000</v>
      </c>
      <c r="K1832" s="258">
        <f t="shared" si="87"/>
        <v>7</v>
      </c>
      <c r="L1832" s="188">
        <v>0</v>
      </c>
      <c r="M1832" s="188">
        <v>330000</v>
      </c>
      <c r="N1832" s="189">
        <v>800042928</v>
      </c>
      <c r="O1832"/>
      <c r="P1832" s="187">
        <v>45133.722546296303</v>
      </c>
      <c r="Q1832" s="186">
        <v>12658</v>
      </c>
      <c r="R1832" s="185" t="s">
        <v>6</v>
      </c>
      <c r="S1832" s="185" t="s">
        <v>1554</v>
      </c>
      <c r="T1832" t="s">
        <v>1894</v>
      </c>
      <c r="U1832" t="str">
        <f>IF($L1832&gt;0,VLOOKUP($E1832,Valida!$A$1:$G$270,6,FALSE),IF($M1832&gt;=0,VLOOKUP($E1832,Valida!$A$1:$G$270,7,FALSE)))</f>
        <v>Disponible</v>
      </c>
      <c r="V1832" s="190" t="str">
        <f>VLOOKUP(E1832,Valida!$A$2:$K$271,4,FALSE)</f>
        <v>Cash and equivalents</v>
      </c>
      <c r="W1832" s="185" t="s">
        <v>1820</v>
      </c>
      <c r="X1832" s="185" t="s">
        <v>1821</v>
      </c>
      <c r="Y1832" s="185" t="s">
        <v>1789</v>
      </c>
      <c r="Z1832"/>
    </row>
    <row r="1833" spans="1:26">
      <c r="A1833" s="185" t="s">
        <v>2973</v>
      </c>
      <c r="B1833" s="185" t="s">
        <v>3014</v>
      </c>
      <c r="C1833" s="185" t="s">
        <v>1890</v>
      </c>
      <c r="D1833" s="185" t="s">
        <v>3015</v>
      </c>
      <c r="E1833" s="185">
        <v>23355007</v>
      </c>
      <c r="F1833" s="185" t="s">
        <v>1638</v>
      </c>
      <c r="G1833" s="185" t="s">
        <v>3016</v>
      </c>
      <c r="H1833" s="185" t="s">
        <v>1515</v>
      </c>
      <c r="I1833" s="258" t="str">
        <f t="shared" si="85"/>
        <v>2</v>
      </c>
      <c r="J1833" s="221">
        <f t="shared" si="86"/>
        <v>101163.87</v>
      </c>
      <c r="K1833" s="258">
        <f t="shared" si="87"/>
        <v>7</v>
      </c>
      <c r="L1833" s="188">
        <v>101163.87</v>
      </c>
      <c r="M1833" s="188">
        <v>0</v>
      </c>
      <c r="N1833" s="189">
        <v>444444001</v>
      </c>
      <c r="O1833"/>
      <c r="P1833" s="187">
        <v>45133.723310185203</v>
      </c>
      <c r="Q1833" s="186">
        <v>12659</v>
      </c>
      <c r="R1833" s="185"/>
      <c r="S1833" s="185" t="s">
        <v>1548</v>
      </c>
      <c r="T1833"/>
      <c r="U1833" t="str">
        <f>IF($L1833&gt;0,VLOOKUP($E1833,Valida!$A$1:$G$270,6,FALSE),IF($M1833&gt;=0,VLOOKUP($E1833,Valida!$A$1:$G$270,7,FALSE)))</f>
        <v>(+/-) Ajustes por el incremento (disminución) de cuentas por pagar de origen comercial</v>
      </c>
      <c r="V1833" s="190" t="str">
        <f>VLOOKUP(E1833,Valida!$A$2:$K$271,4,FALSE)</f>
        <v>Trade and other payables</v>
      </c>
      <c r="W1833" s="185"/>
      <c r="X1833" s="185"/>
      <c r="Y1833" s="185"/>
      <c r="Z1833"/>
    </row>
    <row r="1834" spans="1:26">
      <c r="A1834" s="185" t="s">
        <v>2973</v>
      </c>
      <c r="B1834" s="185" t="s">
        <v>3014</v>
      </c>
      <c r="C1834" s="185" t="s">
        <v>1890</v>
      </c>
      <c r="D1834" s="185" t="s">
        <v>3015</v>
      </c>
      <c r="E1834" s="185">
        <v>112005</v>
      </c>
      <c r="F1834" s="185" t="s">
        <v>24</v>
      </c>
      <c r="G1834" s="185" t="s">
        <v>3016</v>
      </c>
      <c r="H1834" s="185" t="s">
        <v>1628</v>
      </c>
      <c r="I1834" s="258" t="str">
        <f t="shared" si="85"/>
        <v>1</v>
      </c>
      <c r="J1834" s="221">
        <f t="shared" si="86"/>
        <v>-101163.87</v>
      </c>
      <c r="K1834" s="258">
        <f t="shared" si="87"/>
        <v>7</v>
      </c>
      <c r="L1834" s="188">
        <v>0</v>
      </c>
      <c r="M1834" s="188">
        <v>101163.87</v>
      </c>
      <c r="N1834" s="189">
        <v>444444001</v>
      </c>
      <c r="O1834"/>
      <c r="P1834" s="187">
        <v>45133.723321759302</v>
      </c>
      <c r="Q1834" s="186">
        <v>12660</v>
      </c>
      <c r="R1834" s="185"/>
      <c r="S1834" s="185" t="s">
        <v>1548</v>
      </c>
      <c r="T1834" t="s">
        <v>1894</v>
      </c>
      <c r="U1834" t="str">
        <f>IF($L1834&gt;0,VLOOKUP($E1834,Valida!$A$1:$G$270,6,FALSE),IF($M1834&gt;=0,VLOOKUP($E1834,Valida!$A$1:$G$270,7,FALSE)))</f>
        <v>Disponible</v>
      </c>
      <c r="V1834" s="190" t="str">
        <f>VLOOKUP(E1834,Valida!$A$2:$K$271,4,FALSE)</f>
        <v>Cash and equivalents</v>
      </c>
      <c r="W1834" s="185"/>
      <c r="X1834" s="185"/>
      <c r="Y1834" s="185"/>
      <c r="Z1834"/>
    </row>
    <row r="1835" spans="1:26">
      <c r="A1835" s="185" t="s">
        <v>2957</v>
      </c>
      <c r="B1835" s="185" t="s">
        <v>3017</v>
      </c>
      <c r="C1835" s="185" t="s">
        <v>1890</v>
      </c>
      <c r="D1835" s="185" t="s">
        <v>3018</v>
      </c>
      <c r="E1835" s="185">
        <v>23354001</v>
      </c>
      <c r="F1835" s="185" t="s">
        <v>484</v>
      </c>
      <c r="G1835" s="185" t="s">
        <v>3019</v>
      </c>
      <c r="H1835" s="185" t="s">
        <v>1515</v>
      </c>
      <c r="I1835" s="258" t="str">
        <f t="shared" si="85"/>
        <v>2</v>
      </c>
      <c r="J1835" s="221">
        <f t="shared" si="86"/>
        <v>14603085</v>
      </c>
      <c r="K1835" s="258">
        <f t="shared" si="87"/>
        <v>7</v>
      </c>
      <c r="L1835" s="188">
        <v>14603085</v>
      </c>
      <c r="M1835" s="188">
        <v>0</v>
      </c>
      <c r="N1835" s="189">
        <v>900471482</v>
      </c>
      <c r="O1835"/>
      <c r="P1835" s="187">
        <v>45133.724155092597</v>
      </c>
      <c r="Q1835" s="186">
        <v>12661</v>
      </c>
      <c r="R1835" s="185" t="s">
        <v>6</v>
      </c>
      <c r="S1835" s="185" t="s">
        <v>1600</v>
      </c>
      <c r="T1835"/>
      <c r="U1835" t="str">
        <f>IF($L1835&gt;0,VLOOKUP($E1835,Valida!$A$1:$G$270,6,FALSE),IF($M1835&gt;=0,VLOOKUP($E1835,Valida!$A$1:$G$270,7,FALSE)))</f>
        <v>(+/-) Ajustes por el incremento (disminución) de cuentas por pagar de origen comercial</v>
      </c>
      <c r="V1835" s="190" t="str">
        <f>VLOOKUP(E1835,Valida!$A$2:$K$271,4,FALSE)</f>
        <v>Trade and other payables</v>
      </c>
      <c r="W1835" s="185" t="s">
        <v>1853</v>
      </c>
      <c r="X1835" s="185" t="s">
        <v>1854</v>
      </c>
      <c r="Y1835" s="185" t="s">
        <v>1789</v>
      </c>
      <c r="Z1835"/>
    </row>
    <row r="1836" spans="1:26">
      <c r="A1836" s="185" t="s">
        <v>2957</v>
      </c>
      <c r="B1836" s="185" t="s">
        <v>3017</v>
      </c>
      <c r="C1836" s="185" t="s">
        <v>1890</v>
      </c>
      <c r="D1836" s="185" t="s">
        <v>3018</v>
      </c>
      <c r="E1836" s="185">
        <v>112005</v>
      </c>
      <c r="F1836" s="185" t="s">
        <v>24</v>
      </c>
      <c r="G1836" s="185" t="s">
        <v>3019</v>
      </c>
      <c r="H1836" s="185" t="s">
        <v>1628</v>
      </c>
      <c r="I1836" s="258" t="str">
        <f t="shared" si="85"/>
        <v>1</v>
      </c>
      <c r="J1836" s="221">
        <f t="shared" si="86"/>
        <v>-14603085</v>
      </c>
      <c r="K1836" s="258">
        <f t="shared" si="87"/>
        <v>7</v>
      </c>
      <c r="L1836" s="188">
        <v>0</v>
      </c>
      <c r="M1836" s="188">
        <v>14603085</v>
      </c>
      <c r="N1836" s="189">
        <v>900471482</v>
      </c>
      <c r="O1836"/>
      <c r="P1836" s="187">
        <v>45133.724155092597</v>
      </c>
      <c r="Q1836" s="186">
        <v>12662</v>
      </c>
      <c r="R1836" s="185" t="s">
        <v>6</v>
      </c>
      <c r="S1836" s="185" t="s">
        <v>1600</v>
      </c>
      <c r="T1836" t="s">
        <v>1894</v>
      </c>
      <c r="U1836" t="str">
        <f>IF($L1836&gt;0,VLOOKUP($E1836,Valida!$A$1:$G$270,6,FALSE),IF($M1836&gt;=0,VLOOKUP($E1836,Valida!$A$1:$G$270,7,FALSE)))</f>
        <v>Disponible</v>
      </c>
      <c r="V1836" s="190" t="str">
        <f>VLOOKUP(E1836,Valida!$A$2:$K$271,4,FALSE)</f>
        <v>Cash and equivalents</v>
      </c>
      <c r="W1836" s="185" t="s">
        <v>1853</v>
      </c>
      <c r="X1836" s="185" t="s">
        <v>1854</v>
      </c>
      <c r="Y1836" s="185" t="s">
        <v>1789</v>
      </c>
      <c r="Z1836"/>
    </row>
    <row r="1837" spans="1:26">
      <c r="A1837" s="185" t="s">
        <v>3020</v>
      </c>
      <c r="B1837" s="185" t="s">
        <v>3021</v>
      </c>
      <c r="C1837" s="185" t="s">
        <v>1890</v>
      </c>
      <c r="D1837" s="185" t="s">
        <v>3022</v>
      </c>
      <c r="E1837" s="185">
        <v>236595</v>
      </c>
      <c r="F1837" s="185" t="s">
        <v>648</v>
      </c>
      <c r="G1837" s="185" t="s">
        <v>3023</v>
      </c>
      <c r="H1837" s="185" t="s">
        <v>1515</v>
      </c>
      <c r="I1837" s="258" t="str">
        <f t="shared" si="85"/>
        <v>2</v>
      </c>
      <c r="J1837" s="221">
        <f t="shared" si="86"/>
        <v>2435000</v>
      </c>
      <c r="K1837" s="258">
        <f t="shared" si="87"/>
        <v>7</v>
      </c>
      <c r="L1837" s="188">
        <v>2435000</v>
      </c>
      <c r="M1837" s="188">
        <v>0</v>
      </c>
      <c r="N1837" s="189">
        <v>800197268</v>
      </c>
      <c r="O1837"/>
      <c r="P1837" s="187">
        <v>45133.724641203698</v>
      </c>
      <c r="Q1837" s="186">
        <v>12663</v>
      </c>
      <c r="R1837" s="185" t="s">
        <v>983</v>
      </c>
      <c r="S1837" s="185" t="s">
        <v>1558</v>
      </c>
      <c r="T1837"/>
      <c r="U1837" t="str">
        <f>IF($L1837&gt;0,VLOOKUP($E1837,Valida!$A$1:$G$270,6,FALSE),IF($M1837&gt;=0,VLOOKUP($E1837,Valida!$A$1:$G$270,7,FALSE)))</f>
        <v>(+/-) Ajustes por el incremento (disminución) de cuentas por pagar de origen comercial</v>
      </c>
      <c r="V1837" s="190" t="str">
        <f>VLOOKUP(E1837,Valida!$A$2:$K$271,4,FALSE)</f>
        <v>Trade and other payables</v>
      </c>
      <c r="W1837" s="185" t="s">
        <v>1944</v>
      </c>
      <c r="X1837" s="185"/>
      <c r="Y1837" s="185" t="s">
        <v>1789</v>
      </c>
      <c r="Z1837"/>
    </row>
    <row r="1838" spans="1:26">
      <c r="A1838" s="185" t="s">
        <v>3020</v>
      </c>
      <c r="B1838" s="185" t="s">
        <v>3021</v>
      </c>
      <c r="C1838" s="185" t="s">
        <v>1890</v>
      </c>
      <c r="D1838" s="185" t="s">
        <v>3022</v>
      </c>
      <c r="E1838" s="185">
        <v>112005</v>
      </c>
      <c r="F1838" s="185" t="s">
        <v>24</v>
      </c>
      <c r="G1838" s="185" t="s">
        <v>3023</v>
      </c>
      <c r="H1838" s="185" t="s">
        <v>1628</v>
      </c>
      <c r="I1838" s="258" t="str">
        <f t="shared" si="85"/>
        <v>1</v>
      </c>
      <c r="J1838" s="221">
        <f t="shared" si="86"/>
        <v>-2435000</v>
      </c>
      <c r="K1838" s="258">
        <f t="shared" si="87"/>
        <v>7</v>
      </c>
      <c r="L1838" s="188">
        <v>0</v>
      </c>
      <c r="M1838" s="188">
        <v>2435000</v>
      </c>
      <c r="N1838" s="189">
        <v>800197268</v>
      </c>
      <c r="O1838"/>
      <c r="P1838" s="187">
        <v>45133.724641203698</v>
      </c>
      <c r="Q1838" s="186">
        <v>12664</v>
      </c>
      <c r="R1838" s="185" t="s">
        <v>983</v>
      </c>
      <c r="S1838" s="185" t="s">
        <v>1558</v>
      </c>
      <c r="T1838" t="s">
        <v>1894</v>
      </c>
      <c r="U1838" t="str">
        <f>IF($L1838&gt;0,VLOOKUP($E1838,Valida!$A$1:$G$270,6,FALSE),IF($M1838&gt;=0,VLOOKUP($E1838,Valida!$A$1:$G$270,7,FALSE)))</f>
        <v>Disponible</v>
      </c>
      <c r="V1838" s="190" t="str">
        <f>VLOOKUP(E1838,Valida!$A$2:$K$271,4,FALSE)</f>
        <v>Cash and equivalents</v>
      </c>
      <c r="W1838" s="185" t="s">
        <v>1944</v>
      </c>
      <c r="X1838" s="185"/>
      <c r="Y1838" s="185" t="s">
        <v>1789</v>
      </c>
      <c r="Z1838"/>
    </row>
    <row r="1839" spans="1:26">
      <c r="A1839" s="185" t="s">
        <v>2965</v>
      </c>
      <c r="B1839" s="185" t="s">
        <v>3024</v>
      </c>
      <c r="C1839" s="185" t="s">
        <v>1890</v>
      </c>
      <c r="D1839" s="185" t="s">
        <v>3025</v>
      </c>
      <c r="E1839" s="185">
        <v>23351001</v>
      </c>
      <c r="F1839" s="185" t="s">
        <v>453</v>
      </c>
      <c r="G1839" s="185" t="s">
        <v>3026</v>
      </c>
      <c r="H1839" s="185" t="s">
        <v>1515</v>
      </c>
      <c r="I1839" s="258" t="str">
        <f t="shared" si="85"/>
        <v>2</v>
      </c>
      <c r="J1839" s="221">
        <f t="shared" si="86"/>
        <v>7200</v>
      </c>
      <c r="K1839" s="258">
        <f t="shared" si="87"/>
        <v>7</v>
      </c>
      <c r="L1839" s="188">
        <v>7200</v>
      </c>
      <c r="M1839" s="188">
        <v>0</v>
      </c>
      <c r="N1839" s="189">
        <v>860007322</v>
      </c>
      <c r="O1839"/>
      <c r="P1839" s="187">
        <v>45133.725231481498</v>
      </c>
      <c r="Q1839" s="186">
        <v>12665</v>
      </c>
      <c r="R1839" s="185" t="s">
        <v>1841</v>
      </c>
      <c r="S1839" s="185" t="s">
        <v>1566</v>
      </c>
      <c r="T1839"/>
      <c r="U1839" t="str">
        <f>IF($L1839&gt;0,VLOOKUP($E1839,Valida!$A$1:$G$270,6,FALSE),IF($M1839&gt;=0,VLOOKUP($E1839,Valida!$A$1:$G$270,7,FALSE)))</f>
        <v>(+/-) Ajustes por el incremento (disminución) de cuentas por pagar de origen comercial</v>
      </c>
      <c r="V1839" s="190" t="str">
        <f>VLOOKUP(E1839,Valida!$A$2:$K$271,4,FALSE)</f>
        <v>Trade and other payables</v>
      </c>
      <c r="W1839" s="185" t="s">
        <v>2306</v>
      </c>
      <c r="X1839" s="185"/>
      <c r="Y1839" s="185" t="s">
        <v>1789</v>
      </c>
      <c r="Z1839"/>
    </row>
    <row r="1840" spans="1:26">
      <c r="A1840" s="185" t="s">
        <v>2965</v>
      </c>
      <c r="B1840" s="185" t="s">
        <v>3024</v>
      </c>
      <c r="C1840" s="185" t="s">
        <v>1890</v>
      </c>
      <c r="D1840" s="185" t="s">
        <v>3025</v>
      </c>
      <c r="E1840" s="185">
        <v>112005</v>
      </c>
      <c r="F1840" s="185" t="s">
        <v>24</v>
      </c>
      <c r="G1840" s="185" t="s">
        <v>3026</v>
      </c>
      <c r="H1840" s="185" t="s">
        <v>1628</v>
      </c>
      <c r="I1840" s="258" t="str">
        <f t="shared" si="85"/>
        <v>1</v>
      </c>
      <c r="J1840" s="221">
        <f t="shared" si="86"/>
        <v>-7200</v>
      </c>
      <c r="K1840" s="258">
        <f t="shared" si="87"/>
        <v>7</v>
      </c>
      <c r="L1840" s="188">
        <v>0</v>
      </c>
      <c r="M1840" s="188">
        <v>7200</v>
      </c>
      <c r="N1840" s="189">
        <v>860007322</v>
      </c>
      <c r="O1840"/>
      <c r="P1840" s="187">
        <v>45133.725231481498</v>
      </c>
      <c r="Q1840" s="186">
        <v>12666</v>
      </c>
      <c r="R1840" s="185" t="s">
        <v>1841</v>
      </c>
      <c r="S1840" s="185" t="s">
        <v>1566</v>
      </c>
      <c r="T1840" t="s">
        <v>1894</v>
      </c>
      <c r="U1840" t="str">
        <f>IF($L1840&gt;0,VLOOKUP($E1840,Valida!$A$1:$G$270,6,FALSE),IF($M1840&gt;=0,VLOOKUP($E1840,Valida!$A$1:$G$270,7,FALSE)))</f>
        <v>Disponible</v>
      </c>
      <c r="V1840" s="190" t="str">
        <f>VLOOKUP(E1840,Valida!$A$2:$K$271,4,FALSE)</f>
        <v>Cash and equivalents</v>
      </c>
      <c r="W1840" s="185" t="s">
        <v>2306</v>
      </c>
      <c r="X1840" s="185"/>
      <c r="Y1840" s="185" t="s">
        <v>1789</v>
      </c>
      <c r="Z1840"/>
    </row>
    <row r="1841" spans="1:26">
      <c r="A1841" s="185" t="s">
        <v>3001</v>
      </c>
      <c r="B1841" s="185" t="s">
        <v>3002</v>
      </c>
      <c r="C1841" s="185" t="s">
        <v>1890</v>
      </c>
      <c r="D1841" s="185" t="s">
        <v>3003</v>
      </c>
      <c r="E1841" s="185">
        <v>112005</v>
      </c>
      <c r="F1841" s="185" t="s">
        <v>24</v>
      </c>
      <c r="G1841" s="185" t="s">
        <v>3004</v>
      </c>
      <c r="H1841" s="185" t="s">
        <v>1628</v>
      </c>
      <c r="I1841" s="258" t="str">
        <f t="shared" si="85"/>
        <v>1</v>
      </c>
      <c r="J1841" s="221">
        <f t="shared" si="86"/>
        <v>-1122007</v>
      </c>
      <c r="K1841" s="258">
        <f t="shared" si="87"/>
        <v>7</v>
      </c>
      <c r="L1841" s="188">
        <v>0</v>
      </c>
      <c r="M1841" s="188">
        <v>1122007</v>
      </c>
      <c r="N1841" s="189">
        <v>1100623759</v>
      </c>
      <c r="O1841"/>
      <c r="P1841" s="187">
        <v>45133.741249999999</v>
      </c>
      <c r="Q1841" s="186">
        <v>12772</v>
      </c>
      <c r="R1841" s="185"/>
      <c r="S1841" s="185" t="s">
        <v>1536</v>
      </c>
      <c r="T1841" t="s">
        <v>1894</v>
      </c>
      <c r="U1841" t="str">
        <f>IF($L1841&gt;0,VLOOKUP($E1841,Valida!$A$1:$G$270,6,FALSE),IF($M1841&gt;=0,VLOOKUP($E1841,Valida!$A$1:$G$270,7,FALSE)))</f>
        <v>Disponible</v>
      </c>
      <c r="V1841" s="190" t="str">
        <f>VLOOKUP(E1841,Valida!$A$2:$K$271,4,FALSE)</f>
        <v>Cash and equivalents</v>
      </c>
      <c r="W1841" s="185" t="s">
        <v>2730</v>
      </c>
      <c r="X1841" s="185"/>
      <c r="Y1841" s="185" t="s">
        <v>1789</v>
      </c>
      <c r="Z1841"/>
    </row>
    <row r="1842" spans="1:26">
      <c r="A1842" s="185" t="s">
        <v>2982</v>
      </c>
      <c r="B1842" s="185" t="s">
        <v>3027</v>
      </c>
      <c r="C1842" s="185" t="s">
        <v>1890</v>
      </c>
      <c r="D1842" s="185" t="s">
        <v>3028</v>
      </c>
      <c r="E1842" s="185">
        <v>23355001</v>
      </c>
      <c r="F1842" s="185" t="s">
        <v>502</v>
      </c>
      <c r="G1842" s="185" t="s">
        <v>3029</v>
      </c>
      <c r="H1842" s="185" t="s">
        <v>1515</v>
      </c>
      <c r="I1842" s="258" t="str">
        <f t="shared" si="85"/>
        <v>2</v>
      </c>
      <c r="J1842" s="221">
        <f t="shared" si="86"/>
        <v>48663.51</v>
      </c>
      <c r="K1842" s="258">
        <f t="shared" si="87"/>
        <v>7</v>
      </c>
      <c r="L1842" s="188">
        <v>48663.51</v>
      </c>
      <c r="M1842" s="188">
        <v>0</v>
      </c>
      <c r="N1842" s="189">
        <v>800153993</v>
      </c>
      <c r="O1842"/>
      <c r="P1842" s="187">
        <v>45133.7421412037</v>
      </c>
      <c r="Q1842" s="186">
        <v>12773</v>
      </c>
      <c r="R1842" s="185" t="s">
        <v>1814</v>
      </c>
      <c r="S1842" s="185" t="s">
        <v>1556</v>
      </c>
      <c r="T1842"/>
      <c r="U1842" t="str">
        <f>IF($L1842&gt;0,VLOOKUP($E1842,Valida!$A$1:$G$270,6,FALSE),IF($M1842&gt;=0,VLOOKUP($E1842,Valida!$A$1:$G$270,7,FALSE)))</f>
        <v>(+/-) Ajustes por el incremento (disminución) de cuentas por pagar de origen comercial</v>
      </c>
      <c r="V1842" s="190" t="str">
        <f>VLOOKUP(E1842,Valida!$A$2:$K$271,4,FALSE)</f>
        <v>Trade and other payables</v>
      </c>
      <c r="W1842" s="185" t="s">
        <v>1815</v>
      </c>
      <c r="X1842" s="185"/>
      <c r="Y1842" s="185" t="s">
        <v>1789</v>
      </c>
      <c r="Z1842"/>
    </row>
    <row r="1843" spans="1:26">
      <c r="A1843" s="185" t="s">
        <v>2982</v>
      </c>
      <c r="B1843" s="185" t="s">
        <v>3027</v>
      </c>
      <c r="C1843" s="185" t="s">
        <v>1890</v>
      </c>
      <c r="D1843" s="185" t="s">
        <v>3028</v>
      </c>
      <c r="E1843" s="185">
        <v>112005</v>
      </c>
      <c r="F1843" s="185" t="s">
        <v>24</v>
      </c>
      <c r="G1843" s="185" t="s">
        <v>3029</v>
      </c>
      <c r="H1843" s="185" t="s">
        <v>1628</v>
      </c>
      <c r="I1843" s="258" t="str">
        <f t="shared" si="85"/>
        <v>1</v>
      </c>
      <c r="J1843" s="221">
        <f t="shared" si="86"/>
        <v>-48663</v>
      </c>
      <c r="K1843" s="258">
        <f t="shared" si="87"/>
        <v>7</v>
      </c>
      <c r="L1843" s="188">
        <v>0</v>
      </c>
      <c r="M1843" s="188">
        <v>48663</v>
      </c>
      <c r="N1843" s="189">
        <v>800153993</v>
      </c>
      <c r="O1843"/>
      <c r="P1843" s="187">
        <v>45133.7421412037</v>
      </c>
      <c r="Q1843" s="186">
        <v>12774</v>
      </c>
      <c r="R1843" s="185" t="s">
        <v>1814</v>
      </c>
      <c r="S1843" s="185" t="s">
        <v>1556</v>
      </c>
      <c r="T1843" t="s">
        <v>1894</v>
      </c>
      <c r="U1843" t="str">
        <f>IF($L1843&gt;0,VLOOKUP($E1843,Valida!$A$1:$G$270,6,FALSE),IF($M1843&gt;=0,VLOOKUP($E1843,Valida!$A$1:$G$270,7,FALSE)))</f>
        <v>Disponible</v>
      </c>
      <c r="V1843" s="190" t="str">
        <f>VLOOKUP(E1843,Valida!$A$2:$K$271,4,FALSE)</f>
        <v>Cash and equivalents</v>
      </c>
      <c r="W1843" s="185" t="s">
        <v>1815</v>
      </c>
      <c r="X1843" s="185"/>
      <c r="Y1843" s="185" t="s">
        <v>1789</v>
      </c>
      <c r="Z1843"/>
    </row>
    <row r="1844" spans="1:26">
      <c r="A1844" s="185" t="s">
        <v>2982</v>
      </c>
      <c r="B1844" s="185" t="s">
        <v>3027</v>
      </c>
      <c r="C1844" s="185" t="s">
        <v>1890</v>
      </c>
      <c r="D1844" s="185" t="s">
        <v>3028</v>
      </c>
      <c r="E1844" s="185">
        <v>42109502</v>
      </c>
      <c r="F1844" s="185" t="s">
        <v>1714</v>
      </c>
      <c r="G1844" s="185" t="s">
        <v>3029</v>
      </c>
      <c r="H1844" s="185" t="s">
        <v>1628</v>
      </c>
      <c r="I1844" s="258" t="str">
        <f t="shared" si="85"/>
        <v>4</v>
      </c>
      <c r="J1844" s="221">
        <f t="shared" si="86"/>
        <v>-0.51</v>
      </c>
      <c r="K1844" s="258">
        <f t="shared" si="87"/>
        <v>7</v>
      </c>
      <c r="L1844" s="188">
        <v>0</v>
      </c>
      <c r="M1844" s="188">
        <v>0.51</v>
      </c>
      <c r="N1844" s="189">
        <v>800153993</v>
      </c>
      <c r="O1844"/>
      <c r="P1844" s="187">
        <v>45133.7421412037</v>
      </c>
      <c r="Q1844" s="186">
        <v>12775</v>
      </c>
      <c r="R1844" s="185" t="s">
        <v>1814</v>
      </c>
      <c r="S1844" s="185" t="s">
        <v>1556</v>
      </c>
      <c r="T1844"/>
      <c r="U1844" t="str">
        <f>IF($L1844&gt;0,VLOOKUP($E1844,Valida!$A$1:$G$270,6,FALSE),IF($M1844&gt;=0,VLOOKUP($E1844,Valida!$A$1:$G$270,7,FALSE)))</f>
        <v>(+/-) Ganancia (pérdida)</v>
      </c>
      <c r="V1844" s="190" t="str">
        <f>VLOOKUP(E1844,Valida!$A$2:$K$271,4,FALSE)</f>
        <v>P&amp;L</v>
      </c>
      <c r="W1844" s="185" t="s">
        <v>1815</v>
      </c>
      <c r="X1844" s="185"/>
      <c r="Y1844" s="185" t="s">
        <v>1789</v>
      </c>
      <c r="Z1844"/>
    </row>
    <row r="1845" spans="1:26">
      <c r="A1845" s="185" t="s">
        <v>3030</v>
      </c>
      <c r="B1845" s="185" t="s">
        <v>3031</v>
      </c>
      <c r="C1845" s="185" t="s">
        <v>1890</v>
      </c>
      <c r="D1845" s="185" t="s">
        <v>3032</v>
      </c>
      <c r="E1845" s="185">
        <v>250505</v>
      </c>
      <c r="F1845" s="185" t="s">
        <v>767</v>
      </c>
      <c r="G1845" s="185" t="s">
        <v>3033</v>
      </c>
      <c r="H1845" s="185" t="s">
        <v>1515</v>
      </c>
      <c r="I1845" s="258" t="str">
        <f t="shared" si="85"/>
        <v>2</v>
      </c>
      <c r="J1845" s="221">
        <f t="shared" si="86"/>
        <v>1314526</v>
      </c>
      <c r="K1845" s="258">
        <f t="shared" si="87"/>
        <v>7</v>
      </c>
      <c r="L1845" s="188">
        <v>1314526</v>
      </c>
      <c r="M1845" s="188">
        <v>0</v>
      </c>
      <c r="N1845" s="189">
        <v>1000018061</v>
      </c>
      <c r="O1845"/>
      <c r="P1845" s="187">
        <v>45133.742673611101</v>
      </c>
      <c r="Q1845" s="186">
        <v>12776</v>
      </c>
      <c r="R1845" s="185"/>
      <c r="S1845" s="185" t="s">
        <v>1522</v>
      </c>
      <c r="T1845"/>
      <c r="U1845" t="str">
        <f>IF($L1845&gt;0,VLOOKUP($E1845,Valida!$A$1:$G$270,6,FALSE),IF($M1845&gt;=0,VLOOKUP($E1845,Valida!$A$1:$G$270,7,FALSE)))</f>
        <v>(+/-) Ajustes por el incremento (disminución) de cuentas por pagar de origen comercial</v>
      </c>
      <c r="V1845" s="190" t="str">
        <f>VLOOKUP(E1845,Valida!$A$2:$K$271,4,FALSE)</f>
        <v>Trade and other payables</v>
      </c>
      <c r="W1845" s="185" t="s">
        <v>1978</v>
      </c>
      <c r="X1845" s="185"/>
      <c r="Y1845" s="185" t="s">
        <v>1789</v>
      </c>
      <c r="Z1845"/>
    </row>
    <row r="1846" spans="1:26">
      <c r="A1846" s="185" t="s">
        <v>3030</v>
      </c>
      <c r="B1846" s="185" t="s">
        <v>3031</v>
      </c>
      <c r="C1846" s="185" t="s">
        <v>1890</v>
      </c>
      <c r="D1846" s="185" t="s">
        <v>3032</v>
      </c>
      <c r="E1846" s="185">
        <v>112005</v>
      </c>
      <c r="F1846" s="185" t="s">
        <v>24</v>
      </c>
      <c r="G1846" s="185" t="s">
        <v>3033</v>
      </c>
      <c r="H1846" s="185" t="s">
        <v>1628</v>
      </c>
      <c r="I1846" s="258" t="str">
        <f t="shared" si="85"/>
        <v>1</v>
      </c>
      <c r="J1846" s="221">
        <f t="shared" si="86"/>
        <v>-1314526</v>
      </c>
      <c r="K1846" s="258">
        <f t="shared" si="87"/>
        <v>7</v>
      </c>
      <c r="L1846" s="188">
        <v>0</v>
      </c>
      <c r="M1846" s="188">
        <v>1314526</v>
      </c>
      <c r="N1846" s="189">
        <v>1000018061</v>
      </c>
      <c r="O1846"/>
      <c r="P1846" s="187">
        <v>45133.742673611101</v>
      </c>
      <c r="Q1846" s="186">
        <v>12777</v>
      </c>
      <c r="R1846" s="185"/>
      <c r="S1846" s="185" t="s">
        <v>1522</v>
      </c>
      <c r="T1846" t="s">
        <v>1894</v>
      </c>
      <c r="U1846" t="str">
        <f>IF($L1846&gt;0,VLOOKUP($E1846,Valida!$A$1:$G$270,6,FALSE),IF($M1846&gt;=0,VLOOKUP($E1846,Valida!$A$1:$G$270,7,FALSE)))</f>
        <v>Disponible</v>
      </c>
      <c r="V1846" s="190" t="str">
        <f>VLOOKUP(E1846,Valida!$A$2:$K$271,4,FALSE)</f>
        <v>Cash and equivalents</v>
      </c>
      <c r="W1846" s="185" t="s">
        <v>1978</v>
      </c>
      <c r="X1846" s="185"/>
      <c r="Y1846" s="185" t="s">
        <v>1789</v>
      </c>
      <c r="Z1846"/>
    </row>
    <row r="1847" spans="1:26">
      <c r="A1847" s="185" t="s">
        <v>3030</v>
      </c>
      <c r="B1847" s="185" t="s">
        <v>3034</v>
      </c>
      <c r="C1847" s="185" t="s">
        <v>1890</v>
      </c>
      <c r="D1847" s="185" t="s">
        <v>3035</v>
      </c>
      <c r="E1847" s="185">
        <v>250505</v>
      </c>
      <c r="F1847" s="185" t="s">
        <v>767</v>
      </c>
      <c r="G1847" s="185" t="s">
        <v>3033</v>
      </c>
      <c r="H1847" s="185" t="s">
        <v>1515</v>
      </c>
      <c r="I1847" s="258" t="str">
        <f t="shared" si="85"/>
        <v>2</v>
      </c>
      <c r="J1847" s="221">
        <f t="shared" si="86"/>
        <v>2454356</v>
      </c>
      <c r="K1847" s="258">
        <f t="shared" si="87"/>
        <v>7</v>
      </c>
      <c r="L1847" s="188">
        <v>2454356</v>
      </c>
      <c r="M1847" s="188">
        <v>0</v>
      </c>
      <c r="N1847" s="189">
        <v>1000036375</v>
      </c>
      <c r="O1847"/>
      <c r="P1847" s="187">
        <v>45133.744155092601</v>
      </c>
      <c r="Q1847" s="186">
        <v>12778</v>
      </c>
      <c r="R1847" s="185"/>
      <c r="S1847" s="185" t="s">
        <v>1524</v>
      </c>
      <c r="T1847"/>
      <c r="U1847" t="str">
        <f>IF($L1847&gt;0,VLOOKUP($E1847,Valida!$A$1:$G$270,6,FALSE),IF($M1847&gt;=0,VLOOKUP($E1847,Valida!$A$1:$G$270,7,FALSE)))</f>
        <v>(+/-) Ajustes por el incremento (disminución) de cuentas por pagar de origen comercial</v>
      </c>
      <c r="V1847" s="190" t="str">
        <f>VLOOKUP(E1847,Valida!$A$2:$K$271,4,FALSE)</f>
        <v>Trade and other payables</v>
      </c>
      <c r="W1847" s="185" t="s">
        <v>1983</v>
      </c>
      <c r="X1847" s="185"/>
      <c r="Y1847" s="185" t="s">
        <v>1789</v>
      </c>
      <c r="Z1847"/>
    </row>
    <row r="1848" spans="1:26">
      <c r="A1848" s="185" t="s">
        <v>3030</v>
      </c>
      <c r="B1848" s="185" t="s">
        <v>3034</v>
      </c>
      <c r="C1848" s="185" t="s">
        <v>1890</v>
      </c>
      <c r="D1848" s="185" t="s">
        <v>3035</v>
      </c>
      <c r="E1848" s="185">
        <v>112005</v>
      </c>
      <c r="F1848" s="185" t="s">
        <v>24</v>
      </c>
      <c r="G1848" s="185" t="s">
        <v>3033</v>
      </c>
      <c r="H1848" s="185" t="s">
        <v>1628</v>
      </c>
      <c r="I1848" s="258" t="str">
        <f t="shared" si="85"/>
        <v>1</v>
      </c>
      <c r="J1848" s="221">
        <f t="shared" si="86"/>
        <v>-2454374</v>
      </c>
      <c r="K1848" s="258">
        <f t="shared" si="87"/>
        <v>7</v>
      </c>
      <c r="L1848" s="188">
        <v>0</v>
      </c>
      <c r="M1848" s="188">
        <v>2454374</v>
      </c>
      <c r="N1848" s="189">
        <v>1000036375</v>
      </c>
      <c r="O1848"/>
      <c r="P1848" s="187">
        <v>45133.744155092601</v>
      </c>
      <c r="Q1848" s="186">
        <v>12779</v>
      </c>
      <c r="R1848" s="185"/>
      <c r="S1848" s="185" t="s">
        <v>1524</v>
      </c>
      <c r="T1848" t="s">
        <v>1894</v>
      </c>
      <c r="U1848" t="str">
        <f>IF($L1848&gt;0,VLOOKUP($E1848,Valida!$A$1:$G$270,6,FALSE),IF($M1848&gt;=0,VLOOKUP($E1848,Valida!$A$1:$G$270,7,FALSE)))</f>
        <v>Disponible</v>
      </c>
      <c r="V1848" s="190" t="str">
        <f>VLOOKUP(E1848,Valida!$A$2:$K$271,4,FALSE)</f>
        <v>Cash and equivalents</v>
      </c>
      <c r="W1848" s="185" t="s">
        <v>1983</v>
      </c>
      <c r="X1848" s="185"/>
      <c r="Y1848" s="185" t="s">
        <v>1789</v>
      </c>
      <c r="Z1848"/>
    </row>
    <row r="1849" spans="1:26">
      <c r="A1849" s="185" t="s">
        <v>3030</v>
      </c>
      <c r="B1849" s="185" t="s">
        <v>3034</v>
      </c>
      <c r="C1849" s="185" t="s">
        <v>1890</v>
      </c>
      <c r="D1849" s="185" t="s">
        <v>3035</v>
      </c>
      <c r="E1849" s="185">
        <v>42109502</v>
      </c>
      <c r="F1849" s="185" t="s">
        <v>1714</v>
      </c>
      <c r="G1849" s="185" t="s">
        <v>3033</v>
      </c>
      <c r="H1849" s="185" t="s">
        <v>1515</v>
      </c>
      <c r="I1849" s="258" t="str">
        <f t="shared" si="85"/>
        <v>4</v>
      </c>
      <c r="J1849" s="221">
        <f t="shared" si="86"/>
        <v>18</v>
      </c>
      <c r="K1849" s="258">
        <f t="shared" si="87"/>
        <v>7</v>
      </c>
      <c r="L1849" s="188">
        <v>18</v>
      </c>
      <c r="M1849" s="188">
        <v>0</v>
      </c>
      <c r="N1849" s="189">
        <v>1000036375</v>
      </c>
      <c r="O1849"/>
      <c r="P1849" s="187">
        <v>45133.744155092601</v>
      </c>
      <c r="Q1849" s="186">
        <v>12780</v>
      </c>
      <c r="R1849" s="185"/>
      <c r="S1849" s="185" t="s">
        <v>1524</v>
      </c>
      <c r="T1849"/>
      <c r="U1849" t="str">
        <f>IF($L1849&gt;0,VLOOKUP($E1849,Valida!$A$1:$G$270,6,FALSE),IF($M1849&gt;=0,VLOOKUP($E1849,Valida!$A$1:$G$270,7,FALSE)))</f>
        <v>(+/-) Ganancia (pérdida)</v>
      </c>
      <c r="V1849" s="190" t="str">
        <f>VLOOKUP(E1849,Valida!$A$2:$K$271,4,FALSE)</f>
        <v>P&amp;L</v>
      </c>
      <c r="W1849" s="185" t="s">
        <v>1983</v>
      </c>
      <c r="X1849" s="185"/>
      <c r="Y1849" s="185" t="s">
        <v>1789</v>
      </c>
      <c r="Z1849"/>
    </row>
    <row r="1850" spans="1:26">
      <c r="A1850" s="185" t="s">
        <v>3030</v>
      </c>
      <c r="B1850" s="185" t="s">
        <v>3036</v>
      </c>
      <c r="C1850" s="185" t="s">
        <v>1890</v>
      </c>
      <c r="D1850" s="185" t="s">
        <v>3037</v>
      </c>
      <c r="E1850" s="185">
        <v>250505</v>
      </c>
      <c r="F1850" s="185" t="s">
        <v>767</v>
      </c>
      <c r="G1850" s="185" t="s">
        <v>3033</v>
      </c>
      <c r="H1850" s="185" t="s">
        <v>1515</v>
      </c>
      <c r="I1850" s="258" t="str">
        <f t="shared" si="85"/>
        <v>2</v>
      </c>
      <c r="J1850" s="221">
        <f t="shared" si="86"/>
        <v>1074637</v>
      </c>
      <c r="K1850" s="258">
        <f t="shared" si="87"/>
        <v>7</v>
      </c>
      <c r="L1850" s="188">
        <v>1074637</v>
      </c>
      <c r="M1850" s="188">
        <v>0</v>
      </c>
      <c r="N1850" s="189">
        <v>1020842223</v>
      </c>
      <c r="O1850"/>
      <c r="P1850" s="187">
        <v>45133.744814814803</v>
      </c>
      <c r="Q1850" s="186">
        <v>12781</v>
      </c>
      <c r="R1850" s="185"/>
      <c r="S1850" s="185" t="s">
        <v>1532</v>
      </c>
      <c r="T1850"/>
      <c r="U1850" t="str">
        <f>IF($L1850&gt;0,VLOOKUP($E1850,Valida!$A$1:$G$270,6,FALSE),IF($M1850&gt;=0,VLOOKUP($E1850,Valida!$A$1:$G$270,7,FALSE)))</f>
        <v>(+/-) Ajustes por el incremento (disminución) de cuentas por pagar de origen comercial</v>
      </c>
      <c r="V1850" s="190" t="str">
        <f>VLOOKUP(E1850,Valida!$A$2:$K$271,4,FALSE)</f>
        <v>Trade and other payables</v>
      </c>
      <c r="W1850" s="185" t="s">
        <v>1900</v>
      </c>
      <c r="X1850" s="185"/>
      <c r="Y1850" s="185" t="s">
        <v>1789</v>
      </c>
      <c r="Z1850"/>
    </row>
    <row r="1851" spans="1:26">
      <c r="A1851" s="185" t="s">
        <v>3030</v>
      </c>
      <c r="B1851" s="185" t="s">
        <v>3036</v>
      </c>
      <c r="C1851" s="185" t="s">
        <v>1890</v>
      </c>
      <c r="D1851" s="185" t="s">
        <v>3037</v>
      </c>
      <c r="E1851" s="185">
        <v>112005</v>
      </c>
      <c r="F1851" s="185" t="s">
        <v>24</v>
      </c>
      <c r="G1851" s="185" t="s">
        <v>3033</v>
      </c>
      <c r="H1851" s="185" t="s">
        <v>1628</v>
      </c>
      <c r="I1851" s="258" t="str">
        <f t="shared" si="85"/>
        <v>1</v>
      </c>
      <c r="J1851" s="221">
        <f t="shared" si="86"/>
        <v>-1074637</v>
      </c>
      <c r="K1851" s="258">
        <f t="shared" si="87"/>
        <v>7</v>
      </c>
      <c r="L1851" s="188">
        <v>0</v>
      </c>
      <c r="M1851" s="188">
        <v>1074637</v>
      </c>
      <c r="N1851" s="189">
        <v>1020842223</v>
      </c>
      <c r="O1851"/>
      <c r="P1851" s="187">
        <v>45133.744814814803</v>
      </c>
      <c r="Q1851" s="186">
        <v>12782</v>
      </c>
      <c r="R1851" s="185"/>
      <c r="S1851" s="185" t="s">
        <v>1532</v>
      </c>
      <c r="T1851" t="s">
        <v>1894</v>
      </c>
      <c r="U1851" t="str">
        <f>IF($L1851&gt;0,VLOOKUP($E1851,Valida!$A$1:$G$270,6,FALSE),IF($M1851&gt;=0,VLOOKUP($E1851,Valida!$A$1:$G$270,7,FALSE)))</f>
        <v>Disponible</v>
      </c>
      <c r="V1851" s="190" t="str">
        <f>VLOOKUP(E1851,Valida!$A$2:$K$271,4,FALSE)</f>
        <v>Cash and equivalents</v>
      </c>
      <c r="W1851" s="185" t="s">
        <v>1900</v>
      </c>
      <c r="X1851" s="185"/>
      <c r="Y1851" s="185" t="s">
        <v>1789</v>
      </c>
      <c r="Z1851"/>
    </row>
    <row r="1852" spans="1:26">
      <c r="A1852" s="185" t="s">
        <v>3030</v>
      </c>
      <c r="B1852" s="185" t="s">
        <v>3038</v>
      </c>
      <c r="C1852" s="185" t="s">
        <v>1890</v>
      </c>
      <c r="D1852" s="185" t="s">
        <v>3039</v>
      </c>
      <c r="E1852" s="185">
        <v>250505</v>
      </c>
      <c r="F1852" s="185" t="s">
        <v>767</v>
      </c>
      <c r="G1852" s="185" t="s">
        <v>3033</v>
      </c>
      <c r="H1852" s="185" t="s">
        <v>1515</v>
      </c>
      <c r="I1852" s="258" t="str">
        <f t="shared" si="85"/>
        <v>2</v>
      </c>
      <c r="J1852" s="221">
        <f t="shared" si="86"/>
        <v>1207806</v>
      </c>
      <c r="K1852" s="258">
        <f t="shared" si="87"/>
        <v>7</v>
      </c>
      <c r="L1852" s="188">
        <v>1207806</v>
      </c>
      <c r="M1852" s="188">
        <v>0</v>
      </c>
      <c r="N1852" s="189">
        <v>1130744136</v>
      </c>
      <c r="O1852"/>
      <c r="P1852" s="187">
        <v>45133.745671296303</v>
      </c>
      <c r="Q1852" s="186">
        <v>12783</v>
      </c>
      <c r="R1852" s="185"/>
      <c r="S1852" s="185" t="s">
        <v>1538</v>
      </c>
      <c r="T1852"/>
      <c r="U1852" t="str">
        <f>IF($L1852&gt;0,VLOOKUP($E1852,Valida!$A$1:$G$270,6,FALSE),IF($M1852&gt;=0,VLOOKUP($E1852,Valida!$A$1:$G$270,7,FALSE)))</f>
        <v>(+/-) Ajustes por el incremento (disminución) de cuentas por pagar de origen comercial</v>
      </c>
      <c r="V1852" s="190" t="str">
        <f>VLOOKUP(E1852,Valida!$A$2:$K$271,4,FALSE)</f>
        <v>Trade and other payables</v>
      </c>
      <c r="W1852" s="185" t="s">
        <v>1909</v>
      </c>
      <c r="X1852" s="185" t="s">
        <v>1910</v>
      </c>
      <c r="Y1852" s="185" t="s">
        <v>1789</v>
      </c>
      <c r="Z1852"/>
    </row>
    <row r="1853" spans="1:26">
      <c r="A1853" s="185" t="s">
        <v>3030</v>
      </c>
      <c r="B1853" s="185" t="s">
        <v>3038</v>
      </c>
      <c r="C1853" s="185" t="s">
        <v>1890</v>
      </c>
      <c r="D1853" s="185" t="s">
        <v>3039</v>
      </c>
      <c r="E1853" s="185">
        <v>112005</v>
      </c>
      <c r="F1853" s="185" t="s">
        <v>24</v>
      </c>
      <c r="G1853" s="185" t="s">
        <v>3033</v>
      </c>
      <c r="H1853" s="185" t="s">
        <v>1628</v>
      </c>
      <c r="I1853" s="258" t="str">
        <f t="shared" si="85"/>
        <v>1</v>
      </c>
      <c r="J1853" s="221">
        <f t="shared" si="86"/>
        <v>-1207806</v>
      </c>
      <c r="K1853" s="258">
        <f t="shared" si="87"/>
        <v>7</v>
      </c>
      <c r="L1853" s="188">
        <v>0</v>
      </c>
      <c r="M1853" s="188">
        <v>1207806</v>
      </c>
      <c r="N1853" s="189">
        <v>1130744136</v>
      </c>
      <c r="O1853"/>
      <c r="P1853" s="187">
        <v>45133.745671296303</v>
      </c>
      <c r="Q1853" s="186">
        <v>12784</v>
      </c>
      <c r="R1853" s="185"/>
      <c r="S1853" s="185" t="s">
        <v>1538</v>
      </c>
      <c r="T1853" t="s">
        <v>1894</v>
      </c>
      <c r="U1853" t="str">
        <f>IF($L1853&gt;0,VLOOKUP($E1853,Valida!$A$1:$G$270,6,FALSE),IF($M1853&gt;=0,VLOOKUP($E1853,Valida!$A$1:$G$270,7,FALSE)))</f>
        <v>Disponible</v>
      </c>
      <c r="V1853" s="190" t="str">
        <f>VLOOKUP(E1853,Valida!$A$2:$K$271,4,FALSE)</f>
        <v>Cash and equivalents</v>
      </c>
      <c r="W1853" s="185" t="s">
        <v>1909</v>
      </c>
      <c r="X1853" s="185" t="s">
        <v>1910</v>
      </c>
      <c r="Y1853" s="185" t="s">
        <v>1789</v>
      </c>
      <c r="Z1853"/>
    </row>
    <row r="1854" spans="1:26">
      <c r="A1854" s="185" t="s">
        <v>3030</v>
      </c>
      <c r="B1854" s="185" t="s">
        <v>3040</v>
      </c>
      <c r="C1854" s="185" t="s">
        <v>1890</v>
      </c>
      <c r="D1854" s="185" t="s">
        <v>3041</v>
      </c>
      <c r="E1854" s="185">
        <v>250505</v>
      </c>
      <c r="F1854" s="185" t="s">
        <v>767</v>
      </c>
      <c r="G1854" s="185" t="s">
        <v>3033</v>
      </c>
      <c r="H1854" s="185" t="s">
        <v>1515</v>
      </c>
      <c r="I1854" s="258" t="str">
        <f t="shared" si="85"/>
        <v>2</v>
      </c>
      <c r="J1854" s="221">
        <f t="shared" si="86"/>
        <v>1520606</v>
      </c>
      <c r="K1854" s="258">
        <f t="shared" si="87"/>
        <v>7</v>
      </c>
      <c r="L1854" s="188">
        <v>1520606</v>
      </c>
      <c r="M1854" s="188">
        <v>0</v>
      </c>
      <c r="N1854" s="189">
        <v>1010101811</v>
      </c>
      <c r="O1854"/>
      <c r="P1854" s="187">
        <v>45133.745983796303</v>
      </c>
      <c r="Q1854" s="186">
        <v>12785</v>
      </c>
      <c r="R1854" s="185"/>
      <c r="S1854" s="185" t="s">
        <v>1528</v>
      </c>
      <c r="T1854"/>
      <c r="U1854" t="str">
        <f>IF($L1854&gt;0,VLOOKUP($E1854,Valida!$A$1:$G$270,6,FALSE),IF($M1854&gt;=0,VLOOKUP($E1854,Valida!$A$1:$G$270,7,FALSE)))</f>
        <v>(+/-) Ajustes por el incremento (disminución) de cuentas por pagar de origen comercial</v>
      </c>
      <c r="V1854" s="190" t="str">
        <f>VLOOKUP(E1854,Valida!$A$2:$K$271,4,FALSE)</f>
        <v>Trade and other payables</v>
      </c>
      <c r="W1854" s="185" t="s">
        <v>1967</v>
      </c>
      <c r="X1854" s="185"/>
      <c r="Y1854" s="185" t="s">
        <v>1789</v>
      </c>
      <c r="Z1854"/>
    </row>
    <row r="1855" spans="1:26">
      <c r="A1855" s="185" t="s">
        <v>3030</v>
      </c>
      <c r="B1855" s="185" t="s">
        <v>3040</v>
      </c>
      <c r="C1855" s="185" t="s">
        <v>1890</v>
      </c>
      <c r="D1855" s="185" t="s">
        <v>3041</v>
      </c>
      <c r="E1855" s="185">
        <v>112005</v>
      </c>
      <c r="F1855" s="185" t="s">
        <v>24</v>
      </c>
      <c r="G1855" s="185" t="s">
        <v>3033</v>
      </c>
      <c r="H1855" s="185" t="s">
        <v>1628</v>
      </c>
      <c r="I1855" s="258" t="str">
        <f t="shared" si="85"/>
        <v>1</v>
      </c>
      <c r="J1855" s="221">
        <f t="shared" si="86"/>
        <v>-1520606</v>
      </c>
      <c r="K1855" s="258">
        <f t="shared" si="87"/>
        <v>7</v>
      </c>
      <c r="L1855" s="188">
        <v>0</v>
      </c>
      <c r="M1855" s="188">
        <v>1520606</v>
      </c>
      <c r="N1855" s="189">
        <v>1010101811</v>
      </c>
      <c r="O1855"/>
      <c r="P1855" s="187">
        <v>45133.745983796303</v>
      </c>
      <c r="Q1855" s="186">
        <v>12786</v>
      </c>
      <c r="R1855" s="185"/>
      <c r="S1855" s="185" t="s">
        <v>1528</v>
      </c>
      <c r="T1855" t="s">
        <v>1894</v>
      </c>
      <c r="U1855" t="str">
        <f>IF($L1855&gt;0,VLOOKUP($E1855,Valida!$A$1:$G$270,6,FALSE),IF($M1855&gt;=0,VLOOKUP($E1855,Valida!$A$1:$G$270,7,FALSE)))</f>
        <v>Disponible</v>
      </c>
      <c r="V1855" s="190" t="str">
        <f>VLOOKUP(E1855,Valida!$A$2:$K$271,4,FALSE)</f>
        <v>Cash and equivalents</v>
      </c>
      <c r="W1855" s="185" t="s">
        <v>1967</v>
      </c>
      <c r="X1855" s="185"/>
      <c r="Y1855" s="185" t="s">
        <v>1789</v>
      </c>
      <c r="Z1855"/>
    </row>
    <row r="1856" spans="1:26">
      <c r="A1856" s="185" t="s">
        <v>3042</v>
      </c>
      <c r="B1856" s="185" t="s">
        <v>3043</v>
      </c>
      <c r="C1856" s="185" t="s">
        <v>1785</v>
      </c>
      <c r="D1856" s="185" t="s">
        <v>2041</v>
      </c>
      <c r="E1856" s="185">
        <v>237095</v>
      </c>
      <c r="F1856" s="185" t="s">
        <v>150</v>
      </c>
      <c r="G1856" s="185" t="s">
        <v>2207</v>
      </c>
      <c r="H1856" s="185" t="s">
        <v>1628</v>
      </c>
      <c r="I1856" s="258" t="str">
        <f t="shared" si="85"/>
        <v>2</v>
      </c>
      <c r="J1856" s="221">
        <f t="shared" si="86"/>
        <v>-332400</v>
      </c>
      <c r="K1856" s="258">
        <f t="shared" si="87"/>
        <v>7</v>
      </c>
      <c r="L1856" s="188">
        <v>0</v>
      </c>
      <c r="M1856" s="188">
        <v>332400</v>
      </c>
      <c r="N1856" s="189">
        <v>860066942</v>
      </c>
      <c r="O1856"/>
      <c r="P1856" s="187">
        <v>45134.410312499997</v>
      </c>
      <c r="Q1856" s="186">
        <v>12787</v>
      </c>
      <c r="R1856" s="185" t="s">
        <v>1814</v>
      </c>
      <c r="S1856" s="185" t="s">
        <v>1574</v>
      </c>
      <c r="T1856"/>
      <c r="U1856" t="str">
        <f>IF($L1856&gt;0,VLOOKUP($E1856,Valida!$A$1:$G$270,6,FALSE),IF($M1856&gt;=0,VLOOKUP($E1856,Valida!$A$1:$G$270,7,FALSE)))</f>
        <v>(+/-) Ajustes por el incremento (disminución) de cuentas por pagar de origen comercial</v>
      </c>
      <c r="V1856" s="190" t="str">
        <f>VLOOKUP(E1856,Valida!$A$2:$K$271,4,FALSE)</f>
        <v>Trade and other payables</v>
      </c>
      <c r="W1856" s="185" t="s">
        <v>1914</v>
      </c>
      <c r="X1856" s="185" t="s">
        <v>1915</v>
      </c>
      <c r="Y1856" s="185" t="s">
        <v>1789</v>
      </c>
      <c r="Z1856"/>
    </row>
    <row r="1857" spans="1:26">
      <c r="A1857" s="185" t="s">
        <v>3042</v>
      </c>
      <c r="B1857" s="185" t="s">
        <v>3043</v>
      </c>
      <c r="C1857" s="185" t="s">
        <v>1785</v>
      </c>
      <c r="D1857" s="185" t="s">
        <v>2041</v>
      </c>
      <c r="E1857" s="185">
        <v>237005</v>
      </c>
      <c r="F1857" s="185" t="s">
        <v>676</v>
      </c>
      <c r="G1857" s="185" t="s">
        <v>2207</v>
      </c>
      <c r="H1857" s="185" t="s">
        <v>1515</v>
      </c>
      <c r="I1857" s="258" t="str">
        <f t="shared" si="85"/>
        <v>2</v>
      </c>
      <c r="J1857" s="221">
        <f t="shared" si="86"/>
        <v>125000</v>
      </c>
      <c r="K1857" s="258">
        <f t="shared" si="87"/>
        <v>7</v>
      </c>
      <c r="L1857" s="188">
        <v>125000</v>
      </c>
      <c r="M1857" s="188">
        <v>0</v>
      </c>
      <c r="N1857" s="189">
        <v>800251440</v>
      </c>
      <c r="O1857"/>
      <c r="P1857" s="187">
        <v>45134.410312499997</v>
      </c>
      <c r="Q1857" s="186">
        <v>12788</v>
      </c>
      <c r="R1857" s="185" t="s">
        <v>1901</v>
      </c>
      <c r="S1857" s="185" t="s">
        <v>1560</v>
      </c>
      <c r="T1857"/>
      <c r="U1857" t="str">
        <f>IF($L1857&gt;0,VLOOKUP($E1857,Valida!$A$1:$G$270,6,FALSE),IF($M1857&gt;=0,VLOOKUP($E1857,Valida!$A$1:$G$270,7,FALSE)))</f>
        <v>(+/-) Ajustes por el incremento (disminución) de cuentas por pagar de origen comercial</v>
      </c>
      <c r="V1857" s="190" t="str">
        <f>VLOOKUP(E1857,Valida!$A$2:$K$271,4,FALSE)</f>
        <v>Trade and other payables</v>
      </c>
      <c r="W1857" s="185" t="s">
        <v>1902</v>
      </c>
      <c r="X1857" s="185" t="s">
        <v>1903</v>
      </c>
      <c r="Y1857" s="185" t="s">
        <v>1789</v>
      </c>
      <c r="Z1857"/>
    </row>
    <row r="1858" spans="1:26">
      <c r="A1858" s="185" t="s">
        <v>3042</v>
      </c>
      <c r="B1858" s="185" t="s">
        <v>3043</v>
      </c>
      <c r="C1858" s="185" t="s">
        <v>1785</v>
      </c>
      <c r="D1858" s="185" t="s">
        <v>2041</v>
      </c>
      <c r="E1858" s="185">
        <v>237005</v>
      </c>
      <c r="F1858" s="185" t="s">
        <v>676</v>
      </c>
      <c r="G1858" s="185" t="s">
        <v>2207</v>
      </c>
      <c r="H1858" s="185" t="s">
        <v>1515</v>
      </c>
      <c r="I1858" s="258" t="str">
        <f t="shared" si="85"/>
        <v>2</v>
      </c>
      <c r="J1858" s="221">
        <f t="shared" si="86"/>
        <v>51100</v>
      </c>
      <c r="K1858" s="258">
        <f t="shared" si="87"/>
        <v>7</v>
      </c>
      <c r="L1858" s="188">
        <v>51100</v>
      </c>
      <c r="M1858" s="188">
        <v>0</v>
      </c>
      <c r="N1858" s="189">
        <v>830003564</v>
      </c>
      <c r="O1858"/>
      <c r="P1858" s="187">
        <v>45134.410312499997</v>
      </c>
      <c r="Q1858" s="186">
        <v>12789</v>
      </c>
      <c r="R1858" s="185" t="s">
        <v>1814</v>
      </c>
      <c r="S1858" s="185" t="s">
        <v>1652</v>
      </c>
      <c r="T1858"/>
      <c r="U1858" t="str">
        <f>IF($L1858&gt;0,VLOOKUP($E1858,Valida!$A$1:$G$270,6,FALSE),IF($M1858&gt;=0,VLOOKUP($E1858,Valida!$A$1:$G$270,7,FALSE)))</f>
        <v>(+/-) Ajustes por el incremento (disminución) de cuentas por pagar de origen comercial</v>
      </c>
      <c r="V1858" s="190" t="str">
        <f>VLOOKUP(E1858,Valida!$A$2:$K$271,4,FALSE)</f>
        <v>Trade and other payables</v>
      </c>
      <c r="W1858" s="185" t="s">
        <v>1973</v>
      </c>
      <c r="X1858" s="185" t="s">
        <v>1974</v>
      </c>
      <c r="Y1858" s="185" t="s">
        <v>1789</v>
      </c>
      <c r="Z1858"/>
    </row>
    <row r="1859" spans="1:26">
      <c r="A1859" s="185" t="s">
        <v>3042</v>
      </c>
      <c r="B1859" s="185" t="s">
        <v>3043</v>
      </c>
      <c r="C1859" s="185" t="s">
        <v>1785</v>
      </c>
      <c r="D1859" s="185" t="s">
        <v>2041</v>
      </c>
      <c r="E1859" s="185">
        <v>237005</v>
      </c>
      <c r="F1859" s="185" t="s">
        <v>676</v>
      </c>
      <c r="G1859" s="185" t="s">
        <v>2207</v>
      </c>
      <c r="H1859" s="185" t="s">
        <v>1515</v>
      </c>
      <c r="I1859" s="258" t="str">
        <f t="shared" ref="I1859:I1922" si="88">LEFT(E1859,1)</f>
        <v>2</v>
      </c>
      <c r="J1859" s="221">
        <f t="shared" ref="J1859:J1922" si="89">L1859-M1859</f>
        <v>60000</v>
      </c>
      <c r="K1859" s="258">
        <f t="shared" ref="K1859:K1922" si="90">MONTH(A1859)</f>
        <v>7</v>
      </c>
      <c r="L1859" s="188">
        <v>60000</v>
      </c>
      <c r="M1859" s="188">
        <v>0</v>
      </c>
      <c r="N1859" s="189">
        <v>860066942</v>
      </c>
      <c r="O1859"/>
      <c r="P1859" s="187">
        <v>45134.410312499997</v>
      </c>
      <c r="Q1859" s="186">
        <v>12790</v>
      </c>
      <c r="R1859" s="185" t="s">
        <v>1814</v>
      </c>
      <c r="S1859" s="185" t="s">
        <v>1574</v>
      </c>
      <c r="T1859"/>
      <c r="U1859" t="str">
        <f>IF($L1859&gt;0,VLOOKUP($E1859,Valida!$A$1:$G$270,6,FALSE),IF($M1859&gt;=0,VLOOKUP($E1859,Valida!$A$1:$G$270,7,FALSE)))</f>
        <v>(+/-) Ajustes por el incremento (disminución) de cuentas por pagar de origen comercial</v>
      </c>
      <c r="V1859" s="190" t="str">
        <f>VLOOKUP(E1859,Valida!$A$2:$K$271,4,FALSE)</f>
        <v>Trade and other payables</v>
      </c>
      <c r="W1859" s="185" t="s">
        <v>1914</v>
      </c>
      <c r="X1859" s="185" t="s">
        <v>1915</v>
      </c>
      <c r="Y1859" s="185" t="s">
        <v>1789</v>
      </c>
      <c r="Z1859"/>
    </row>
    <row r="1860" spans="1:26">
      <c r="A1860" s="185" t="s">
        <v>3042</v>
      </c>
      <c r="B1860" s="185" t="s">
        <v>3043</v>
      </c>
      <c r="C1860" s="185" t="s">
        <v>1785</v>
      </c>
      <c r="D1860" s="185" t="s">
        <v>2041</v>
      </c>
      <c r="E1860" s="185">
        <v>237005</v>
      </c>
      <c r="F1860" s="185" t="s">
        <v>676</v>
      </c>
      <c r="G1860" s="185" t="s">
        <v>2207</v>
      </c>
      <c r="H1860" s="185" t="s">
        <v>1515</v>
      </c>
      <c r="I1860" s="258" t="str">
        <f t="shared" si="88"/>
        <v>2</v>
      </c>
      <c r="J1860" s="221">
        <f t="shared" si="89"/>
        <v>96300</v>
      </c>
      <c r="K1860" s="258">
        <f t="shared" si="90"/>
        <v>7</v>
      </c>
      <c r="L1860" s="188">
        <v>96300</v>
      </c>
      <c r="M1860" s="188">
        <v>0</v>
      </c>
      <c r="N1860" s="189">
        <v>900156264</v>
      </c>
      <c r="O1860"/>
      <c r="P1860" s="187">
        <v>45134.410312499997</v>
      </c>
      <c r="Q1860" s="186">
        <v>12791</v>
      </c>
      <c r="R1860" s="185" t="s">
        <v>433</v>
      </c>
      <c r="S1860" s="185" t="s">
        <v>1654</v>
      </c>
      <c r="T1860"/>
      <c r="U1860" t="str">
        <f>IF($L1860&gt;0,VLOOKUP($E1860,Valida!$A$1:$G$270,6,FALSE),IF($M1860&gt;=0,VLOOKUP($E1860,Valida!$A$1:$G$270,7,FALSE)))</f>
        <v>(+/-) Ajustes por el incremento (disminución) de cuentas por pagar de origen comercial</v>
      </c>
      <c r="V1860" s="190" t="str">
        <f>VLOOKUP(E1860,Valida!$A$2:$K$271,4,FALSE)</f>
        <v>Trade and other payables</v>
      </c>
      <c r="W1860" s="185" t="s">
        <v>1926</v>
      </c>
      <c r="X1860" s="185" t="s">
        <v>1927</v>
      </c>
      <c r="Y1860" s="185" t="s">
        <v>1789</v>
      </c>
      <c r="Z1860"/>
    </row>
    <row r="1861" spans="1:26">
      <c r="A1861" s="185" t="s">
        <v>3042</v>
      </c>
      <c r="B1861" s="185" t="s">
        <v>3044</v>
      </c>
      <c r="C1861" s="185" t="s">
        <v>1785</v>
      </c>
      <c r="D1861" s="185" t="s">
        <v>2382</v>
      </c>
      <c r="E1861" s="185">
        <v>237095</v>
      </c>
      <c r="F1861" s="185" t="s">
        <v>150</v>
      </c>
      <c r="G1861" s="185" t="s">
        <v>1986</v>
      </c>
      <c r="H1861" s="185" t="s">
        <v>1628</v>
      </c>
      <c r="I1861" s="258" t="str">
        <f t="shared" si="88"/>
        <v>2</v>
      </c>
      <c r="J1861" s="221">
        <f t="shared" si="89"/>
        <v>-1331000</v>
      </c>
      <c r="K1861" s="258">
        <f t="shared" si="90"/>
        <v>7</v>
      </c>
      <c r="L1861" s="188">
        <v>0</v>
      </c>
      <c r="M1861" s="188">
        <v>1331000</v>
      </c>
      <c r="N1861" s="189">
        <v>860066942</v>
      </c>
      <c r="O1861"/>
      <c r="P1861" s="187">
        <v>45134.414953703701</v>
      </c>
      <c r="Q1861" s="186">
        <v>12792</v>
      </c>
      <c r="R1861" s="185" t="s">
        <v>1814</v>
      </c>
      <c r="S1861" s="185" t="s">
        <v>1574</v>
      </c>
      <c r="T1861"/>
      <c r="U1861" t="str">
        <f>IF($L1861&gt;0,VLOOKUP($E1861,Valida!$A$1:$G$270,6,FALSE),IF($M1861&gt;=0,VLOOKUP($E1861,Valida!$A$1:$G$270,7,FALSE)))</f>
        <v>(+/-) Ajustes por el incremento (disminución) de cuentas por pagar de origen comercial</v>
      </c>
      <c r="V1861" s="190" t="str">
        <f>VLOOKUP(E1861,Valida!$A$2:$K$271,4,FALSE)</f>
        <v>Trade and other payables</v>
      </c>
      <c r="W1861" s="185" t="s">
        <v>1914</v>
      </c>
      <c r="X1861" s="185" t="s">
        <v>1915</v>
      </c>
      <c r="Y1861" s="185" t="s">
        <v>1789</v>
      </c>
      <c r="Z1861"/>
    </row>
    <row r="1862" spans="1:26">
      <c r="A1862" s="185" t="s">
        <v>3042</v>
      </c>
      <c r="B1862" s="185" t="s">
        <v>3044</v>
      </c>
      <c r="C1862" s="185" t="s">
        <v>1785</v>
      </c>
      <c r="D1862" s="185" t="s">
        <v>2382</v>
      </c>
      <c r="E1862" s="185">
        <v>238030</v>
      </c>
      <c r="F1862" s="185" t="s">
        <v>721</v>
      </c>
      <c r="G1862" s="185" t="s">
        <v>1986</v>
      </c>
      <c r="H1862" s="185" t="s">
        <v>1515</v>
      </c>
      <c r="I1862" s="258" t="str">
        <f t="shared" si="88"/>
        <v>2</v>
      </c>
      <c r="J1862" s="221">
        <f t="shared" si="89"/>
        <v>1126523</v>
      </c>
      <c r="K1862" s="258">
        <f t="shared" si="90"/>
        <v>7</v>
      </c>
      <c r="L1862" s="188">
        <v>1126523</v>
      </c>
      <c r="M1862" s="188">
        <v>0</v>
      </c>
      <c r="N1862" s="189">
        <v>800224808</v>
      </c>
      <c r="O1862"/>
      <c r="P1862" s="187">
        <v>45134.414953703701</v>
      </c>
      <c r="Q1862" s="186">
        <v>12793</v>
      </c>
      <c r="R1862" s="185" t="s">
        <v>1827</v>
      </c>
      <c r="S1862" s="185" t="s">
        <v>1662</v>
      </c>
      <c r="T1862"/>
      <c r="U1862" t="str">
        <f>IF($L1862&gt;0,VLOOKUP($E1862,Valida!$A$1:$G$270,6,FALSE),IF($M1862&gt;=0,VLOOKUP($E1862,Valida!$A$1:$G$270,7,FALSE)))</f>
        <v>(+/-) Ajustes por el incremento (disminución) de cuentas por pagar de origen comercial</v>
      </c>
      <c r="V1862" s="190" t="str">
        <f>VLOOKUP(E1862,Valida!$A$2:$K$271,4,FALSE)</f>
        <v>Trade and other payables</v>
      </c>
      <c r="W1862" s="185" t="s">
        <v>1911</v>
      </c>
      <c r="X1862" s="185"/>
      <c r="Y1862" s="185" t="s">
        <v>1789</v>
      </c>
      <c r="Z1862"/>
    </row>
    <row r="1863" spans="1:26">
      <c r="A1863" s="185" t="s">
        <v>3042</v>
      </c>
      <c r="B1863" s="185" t="s">
        <v>3044</v>
      </c>
      <c r="C1863" s="185" t="s">
        <v>1785</v>
      </c>
      <c r="D1863" s="185" t="s">
        <v>2382</v>
      </c>
      <c r="E1863" s="185">
        <v>238030</v>
      </c>
      <c r="F1863" s="185" t="s">
        <v>721</v>
      </c>
      <c r="G1863" s="185" t="s">
        <v>1986</v>
      </c>
      <c r="H1863" s="185" t="s">
        <v>1515</v>
      </c>
      <c r="I1863" s="258" t="str">
        <f t="shared" si="88"/>
        <v>2</v>
      </c>
      <c r="J1863" s="221">
        <f t="shared" si="89"/>
        <v>204200</v>
      </c>
      <c r="K1863" s="258">
        <f t="shared" si="90"/>
        <v>7</v>
      </c>
      <c r="L1863" s="188">
        <v>204200</v>
      </c>
      <c r="M1863" s="188">
        <v>0</v>
      </c>
      <c r="N1863" s="189">
        <v>800227940</v>
      </c>
      <c r="O1863"/>
      <c r="P1863" s="187">
        <v>45134.414953703701</v>
      </c>
      <c r="Q1863" s="186">
        <v>12794</v>
      </c>
      <c r="R1863" s="185"/>
      <c r="S1863" s="185" t="s">
        <v>1664</v>
      </c>
      <c r="T1863"/>
      <c r="U1863" t="str">
        <f>IF($L1863&gt;0,VLOOKUP($E1863,Valida!$A$1:$G$270,6,FALSE),IF($M1863&gt;=0,VLOOKUP($E1863,Valida!$A$1:$G$270,7,FALSE)))</f>
        <v>(+/-) Ajustes por el incremento (disminución) de cuentas por pagar de origen comercial</v>
      </c>
      <c r="V1863" s="190" t="str">
        <f>VLOOKUP(E1863,Valida!$A$2:$K$271,4,FALSE)</f>
        <v>Trade and other payables</v>
      </c>
      <c r="W1863" s="185"/>
      <c r="X1863" s="185"/>
      <c r="Y1863" s="185"/>
      <c r="Z1863"/>
    </row>
    <row r="1864" spans="1:26">
      <c r="A1864" s="185" t="s">
        <v>3042</v>
      </c>
      <c r="B1864" s="185" t="s">
        <v>3045</v>
      </c>
      <c r="C1864" s="185" t="s">
        <v>1785</v>
      </c>
      <c r="D1864" s="185" t="s">
        <v>2385</v>
      </c>
      <c r="E1864" s="185">
        <v>237010</v>
      </c>
      <c r="F1864" s="185" t="s">
        <v>683</v>
      </c>
      <c r="G1864" s="185" t="s">
        <v>1989</v>
      </c>
      <c r="H1864" s="185" t="s">
        <v>1515</v>
      </c>
      <c r="I1864" s="258" t="str">
        <f t="shared" si="88"/>
        <v>2</v>
      </c>
      <c r="J1864" s="221">
        <f t="shared" si="89"/>
        <v>164400</v>
      </c>
      <c r="K1864" s="258">
        <f t="shared" si="90"/>
        <v>7</v>
      </c>
      <c r="L1864" s="188">
        <v>164400</v>
      </c>
      <c r="M1864" s="188">
        <v>0</v>
      </c>
      <c r="N1864" s="189">
        <v>860066942</v>
      </c>
      <c r="O1864"/>
      <c r="P1864" s="187">
        <v>45134.416250000002</v>
      </c>
      <c r="Q1864" s="186">
        <v>12795</v>
      </c>
      <c r="R1864" s="185" t="s">
        <v>1814</v>
      </c>
      <c r="S1864" s="185" t="s">
        <v>1574</v>
      </c>
      <c r="T1864"/>
      <c r="U1864" t="str">
        <f>IF($L1864&gt;0,VLOOKUP($E1864,Valida!$A$1:$G$270,6,FALSE),IF($M1864&gt;=0,VLOOKUP($E1864,Valida!$A$1:$G$270,7,FALSE)))</f>
        <v>(+/-) Ajustes por el incremento (disminución) de cuentas por pagar de origen comercial</v>
      </c>
      <c r="V1864" s="190" t="str">
        <f>VLOOKUP(E1864,Valida!$A$2:$K$271,4,FALSE)</f>
        <v>Trade and other payables</v>
      </c>
      <c r="W1864" s="185" t="s">
        <v>1914</v>
      </c>
      <c r="X1864" s="185" t="s">
        <v>1915</v>
      </c>
      <c r="Y1864" s="185" t="s">
        <v>1789</v>
      </c>
      <c r="Z1864"/>
    </row>
    <row r="1865" spans="1:26">
      <c r="A1865" s="185" t="s">
        <v>3042</v>
      </c>
      <c r="B1865" s="185" t="s">
        <v>3045</v>
      </c>
      <c r="C1865" s="185" t="s">
        <v>1785</v>
      </c>
      <c r="D1865" s="185" t="s">
        <v>2385</v>
      </c>
      <c r="E1865" s="185">
        <v>237006</v>
      </c>
      <c r="F1865" s="185" t="s">
        <v>680</v>
      </c>
      <c r="G1865" s="185" t="s">
        <v>1989</v>
      </c>
      <c r="H1865" s="185" t="s">
        <v>1515</v>
      </c>
      <c r="I1865" s="258" t="str">
        <f t="shared" si="88"/>
        <v>2</v>
      </c>
      <c r="J1865" s="221">
        <f t="shared" si="89"/>
        <v>36000</v>
      </c>
      <c r="K1865" s="258">
        <f t="shared" si="90"/>
        <v>7</v>
      </c>
      <c r="L1865" s="188">
        <v>36000</v>
      </c>
      <c r="M1865" s="188">
        <v>0</v>
      </c>
      <c r="N1865" s="189">
        <v>860002503</v>
      </c>
      <c r="O1865"/>
      <c r="P1865" s="187">
        <v>45134.416250000002</v>
      </c>
      <c r="Q1865" s="186">
        <v>12796</v>
      </c>
      <c r="R1865" s="185" t="s">
        <v>433</v>
      </c>
      <c r="S1865" s="185" t="s">
        <v>1656</v>
      </c>
      <c r="T1865"/>
      <c r="U1865" t="str">
        <f>IF($L1865&gt;0,VLOOKUP($E1865,Valida!$A$1:$G$270,6,FALSE),IF($M1865&gt;=0,VLOOKUP($E1865,Valida!$A$1:$G$270,7,FALSE)))</f>
        <v>(+/-) Ajustes por el incremento (disminución) de cuentas por pagar de origen comercial</v>
      </c>
      <c r="V1865" s="190" t="str">
        <f>VLOOKUP(E1865,Valida!$A$2:$K$271,4,FALSE)</f>
        <v>Trade and other payables</v>
      </c>
      <c r="W1865" s="185" t="s">
        <v>1912</v>
      </c>
      <c r="X1865" s="185" t="s">
        <v>1913</v>
      </c>
      <c r="Y1865" s="185" t="s">
        <v>1789</v>
      </c>
      <c r="Z1865"/>
    </row>
    <row r="1866" spans="1:26">
      <c r="A1866" s="185" t="s">
        <v>3042</v>
      </c>
      <c r="B1866" s="185" t="s">
        <v>3045</v>
      </c>
      <c r="C1866" s="185" t="s">
        <v>1785</v>
      </c>
      <c r="D1866" s="185" t="s">
        <v>2385</v>
      </c>
      <c r="E1866" s="185">
        <v>237095</v>
      </c>
      <c r="F1866" s="185" t="s">
        <v>150</v>
      </c>
      <c r="G1866" s="185" t="s">
        <v>1989</v>
      </c>
      <c r="H1866" s="185" t="s">
        <v>1628</v>
      </c>
      <c r="I1866" s="258" t="str">
        <f t="shared" si="88"/>
        <v>2</v>
      </c>
      <c r="J1866" s="221">
        <f t="shared" si="89"/>
        <v>-200400</v>
      </c>
      <c r="K1866" s="258">
        <f t="shared" si="90"/>
        <v>7</v>
      </c>
      <c r="L1866" s="188">
        <v>0</v>
      </c>
      <c r="M1866" s="188">
        <v>200400</v>
      </c>
      <c r="N1866" s="189">
        <v>860066942</v>
      </c>
      <c r="O1866"/>
      <c r="P1866" s="187">
        <v>45134.416250000002</v>
      </c>
      <c r="Q1866" s="186">
        <v>12797</v>
      </c>
      <c r="R1866" s="185" t="s">
        <v>1814</v>
      </c>
      <c r="S1866" s="185" t="s">
        <v>1574</v>
      </c>
      <c r="T1866"/>
      <c r="U1866" t="str">
        <f>IF($L1866&gt;0,VLOOKUP($E1866,Valida!$A$1:$G$270,6,FALSE),IF($M1866&gt;=0,VLOOKUP($E1866,Valida!$A$1:$G$270,7,FALSE)))</f>
        <v>(+/-) Ajustes por el incremento (disminución) de cuentas por pagar de origen comercial</v>
      </c>
      <c r="V1866" s="190" t="str">
        <f>VLOOKUP(E1866,Valida!$A$2:$K$271,4,FALSE)</f>
        <v>Trade and other payables</v>
      </c>
      <c r="W1866" s="185" t="s">
        <v>1914</v>
      </c>
      <c r="X1866" s="185" t="s">
        <v>1915</v>
      </c>
      <c r="Y1866" s="185" t="s">
        <v>1789</v>
      </c>
      <c r="Z1866"/>
    </row>
    <row r="1867" spans="1:26">
      <c r="A1867" s="185" t="s">
        <v>2879</v>
      </c>
      <c r="B1867" s="185" t="s">
        <v>2895</v>
      </c>
      <c r="C1867" s="185" t="s">
        <v>1897</v>
      </c>
      <c r="D1867" s="185" t="s">
        <v>2896</v>
      </c>
      <c r="E1867" s="185">
        <v>237005</v>
      </c>
      <c r="F1867" s="185" t="s">
        <v>676</v>
      </c>
      <c r="G1867" s="185" t="s">
        <v>2897</v>
      </c>
      <c r="H1867" s="185" t="s">
        <v>1628</v>
      </c>
      <c r="I1867" s="258" t="str">
        <f t="shared" si="88"/>
        <v>2</v>
      </c>
      <c r="J1867" s="221">
        <f t="shared" si="89"/>
        <v>-7073</v>
      </c>
      <c r="K1867" s="258">
        <f t="shared" si="90"/>
        <v>6</v>
      </c>
      <c r="L1867" s="188">
        <v>0</v>
      </c>
      <c r="M1867" s="188">
        <v>7073</v>
      </c>
      <c r="N1867" s="189">
        <v>800251440</v>
      </c>
      <c r="O1867" t="s">
        <v>2895</v>
      </c>
      <c r="P1867" s="187">
        <v>45134</v>
      </c>
      <c r="Q1867" s="186">
        <v>12798</v>
      </c>
      <c r="R1867" s="185" t="s">
        <v>1901</v>
      </c>
      <c r="S1867" s="185" t="s">
        <v>1560</v>
      </c>
      <c r="T1867"/>
      <c r="U1867" t="str">
        <f>IF($L1867&gt;0,VLOOKUP($E1867,Valida!$A$1:$G$270,6,FALSE),IF($M1867&gt;=0,VLOOKUP($E1867,Valida!$A$1:$G$270,7,FALSE)))</f>
        <v>(+/-) Ajustes por el incremento (disminución) de cuentas por pagar de origen comercial</v>
      </c>
      <c r="V1867" s="190" t="str">
        <f>VLOOKUP(E1867,Valida!$A$2:$K$271,4,FALSE)</f>
        <v>Trade and other payables</v>
      </c>
      <c r="W1867" s="185" t="s">
        <v>1902</v>
      </c>
      <c r="X1867" s="185" t="s">
        <v>1903</v>
      </c>
      <c r="Y1867" s="185" t="s">
        <v>1789</v>
      </c>
      <c r="Z1867"/>
    </row>
    <row r="1868" spans="1:26">
      <c r="A1868" s="185" t="s">
        <v>3042</v>
      </c>
      <c r="B1868" s="185" t="s">
        <v>3046</v>
      </c>
      <c r="C1868" s="185" t="s">
        <v>1785</v>
      </c>
      <c r="D1868" s="185" t="s">
        <v>2556</v>
      </c>
      <c r="E1868" s="185">
        <v>51602001</v>
      </c>
      <c r="F1868" s="185" t="s">
        <v>416</v>
      </c>
      <c r="G1868" s="185" t="s">
        <v>2232</v>
      </c>
      <c r="H1868" s="185" t="s">
        <v>1515</v>
      </c>
      <c r="I1868" s="258" t="str">
        <f t="shared" si="88"/>
        <v>5</v>
      </c>
      <c r="J1868" s="221">
        <f t="shared" si="89"/>
        <v>1596762</v>
      </c>
      <c r="K1868" s="258">
        <f t="shared" si="90"/>
        <v>7</v>
      </c>
      <c r="L1868" s="188">
        <v>1596762</v>
      </c>
      <c r="M1868" s="188">
        <v>0</v>
      </c>
      <c r="N1868" s="189">
        <v>901513634</v>
      </c>
      <c r="O1868"/>
      <c r="P1868" s="187">
        <v>45149.374618055597</v>
      </c>
      <c r="Q1868" s="186">
        <v>12804</v>
      </c>
      <c r="R1868" s="185" t="s">
        <v>6</v>
      </c>
      <c r="S1868" s="185" t="s">
        <v>1518</v>
      </c>
      <c r="T1868"/>
      <c r="U1868" t="str">
        <f>IF($L1868&gt;0,VLOOKUP($E1868,Valida!$A$1:$G$270,6,FALSE),IF($M1868&gt;=0,VLOOKUP($E1868,Valida!$A$1:$G$270,7,FALSE)))</f>
        <v>(+/-) Ganancia (pérdida)</v>
      </c>
      <c r="V1868" s="190" t="str">
        <f>VLOOKUP(E1868,Valida!$A$2:$K$271,4,FALSE)</f>
        <v>P&amp;L</v>
      </c>
      <c r="W1868" s="185" t="s">
        <v>1787</v>
      </c>
      <c r="X1868" s="185" t="s">
        <v>1788</v>
      </c>
      <c r="Y1868" s="185" t="s">
        <v>1789</v>
      </c>
      <c r="Z1868"/>
    </row>
    <row r="1869" spans="1:26">
      <c r="A1869" s="185" t="s">
        <v>3042</v>
      </c>
      <c r="B1869" s="185" t="s">
        <v>3046</v>
      </c>
      <c r="C1869" s="185" t="s">
        <v>1785</v>
      </c>
      <c r="D1869" s="185" t="s">
        <v>2556</v>
      </c>
      <c r="E1869" s="185">
        <v>15922001</v>
      </c>
      <c r="F1869" s="185" t="s">
        <v>416</v>
      </c>
      <c r="G1869" s="185" t="s">
        <v>2232</v>
      </c>
      <c r="H1869" s="185" t="s">
        <v>1628</v>
      </c>
      <c r="I1869" s="258" t="str">
        <f t="shared" si="88"/>
        <v>1</v>
      </c>
      <c r="J1869" s="221">
        <f t="shared" si="89"/>
        <v>-1596762</v>
      </c>
      <c r="K1869" s="258">
        <f t="shared" si="90"/>
        <v>7</v>
      </c>
      <c r="L1869" s="188">
        <v>0</v>
      </c>
      <c r="M1869" s="188">
        <v>1596762</v>
      </c>
      <c r="N1869" s="189">
        <v>901513634</v>
      </c>
      <c r="O1869"/>
      <c r="P1869" s="187">
        <v>45149.374618055597</v>
      </c>
      <c r="Q1869" s="186">
        <v>12805</v>
      </c>
      <c r="R1869" s="185" t="s">
        <v>6</v>
      </c>
      <c r="S1869" s="185" t="s">
        <v>1518</v>
      </c>
      <c r="T1869"/>
      <c r="U1869" t="str">
        <f>IF($L1869&gt;0,VLOOKUP($E1869,Valida!$A$1:$G$270,6,FALSE),IF($M1869&gt;=0,VLOOKUP($E1869,Valida!$A$1:$G$270,7,FALSE)))</f>
        <v>( + ) Ajustes por gastos de depreciación</v>
      </c>
      <c r="V1869" s="190" t="str">
        <f>VLOOKUP(E1869,Valida!$A$2:$K$271,4,FALSE)</f>
        <v>Depreciation</v>
      </c>
      <c r="W1869" s="185" t="s">
        <v>1787</v>
      </c>
      <c r="X1869" s="185" t="s">
        <v>1788</v>
      </c>
      <c r="Y1869" s="185" t="s">
        <v>1789</v>
      </c>
      <c r="Z1869"/>
    </row>
    <row r="1870" spans="1:26">
      <c r="A1870" s="185" t="s">
        <v>3042</v>
      </c>
      <c r="B1870" s="185" t="s">
        <v>3046</v>
      </c>
      <c r="C1870" s="185" t="s">
        <v>1785</v>
      </c>
      <c r="D1870" s="185" t="s">
        <v>2556</v>
      </c>
      <c r="E1870" s="185">
        <v>51602004</v>
      </c>
      <c r="F1870" s="185" t="s">
        <v>404</v>
      </c>
      <c r="G1870" s="185" t="s">
        <v>2236</v>
      </c>
      <c r="H1870" s="185" t="s">
        <v>1515</v>
      </c>
      <c r="I1870" s="258" t="str">
        <f t="shared" si="88"/>
        <v>5</v>
      </c>
      <c r="J1870" s="221">
        <f t="shared" si="89"/>
        <v>163793</v>
      </c>
      <c r="K1870" s="258">
        <f t="shared" si="90"/>
        <v>7</v>
      </c>
      <c r="L1870" s="188">
        <v>163793</v>
      </c>
      <c r="M1870" s="188">
        <v>0</v>
      </c>
      <c r="N1870" s="189">
        <v>901513634</v>
      </c>
      <c r="O1870"/>
      <c r="P1870" s="187">
        <v>45149.374618055597</v>
      </c>
      <c r="Q1870" s="186">
        <v>12806</v>
      </c>
      <c r="R1870" s="185" t="s">
        <v>6</v>
      </c>
      <c r="S1870" s="185" t="s">
        <v>1518</v>
      </c>
      <c r="T1870"/>
      <c r="U1870" t="str">
        <f>IF($L1870&gt;0,VLOOKUP($E1870,Valida!$A$1:$G$270,6,FALSE),IF($M1870&gt;=0,VLOOKUP($E1870,Valida!$A$1:$G$270,7,FALSE)))</f>
        <v>(+/-) Ganancia (pérdida)</v>
      </c>
      <c r="V1870" s="190" t="str">
        <f>VLOOKUP(E1870,Valida!$A$2:$K$271,4,FALSE)</f>
        <v>P&amp;L</v>
      </c>
      <c r="W1870" s="185" t="s">
        <v>1787</v>
      </c>
      <c r="X1870" s="185" t="s">
        <v>1788</v>
      </c>
      <c r="Y1870" s="185" t="s">
        <v>1789</v>
      </c>
      <c r="Z1870"/>
    </row>
    <row r="1871" spans="1:26">
      <c r="A1871" s="185" t="s">
        <v>2265</v>
      </c>
      <c r="B1871" s="185" t="s">
        <v>2402</v>
      </c>
      <c r="C1871" s="185" t="s">
        <v>1785</v>
      </c>
      <c r="D1871" s="185" t="s">
        <v>1965</v>
      </c>
      <c r="E1871" s="185">
        <v>237005</v>
      </c>
      <c r="F1871" s="185" t="s">
        <v>676</v>
      </c>
      <c r="G1871" s="185" t="s">
        <v>2207</v>
      </c>
      <c r="H1871" s="185" t="s">
        <v>1515</v>
      </c>
      <c r="I1871" s="258" t="str">
        <f t="shared" si="88"/>
        <v>2</v>
      </c>
      <c r="J1871" s="221">
        <f t="shared" si="89"/>
        <v>60000</v>
      </c>
      <c r="K1871" s="258">
        <f t="shared" si="90"/>
        <v>3</v>
      </c>
      <c r="L1871" s="188">
        <v>60000</v>
      </c>
      <c r="M1871" s="188">
        <v>0</v>
      </c>
      <c r="N1871" s="189">
        <v>860066942</v>
      </c>
      <c r="O1871" t="s">
        <v>2402</v>
      </c>
      <c r="P1871" s="187">
        <v>45134</v>
      </c>
      <c r="Q1871" s="186">
        <v>12801</v>
      </c>
      <c r="R1871" s="185" t="s">
        <v>1814</v>
      </c>
      <c r="S1871" s="185" t="s">
        <v>1574</v>
      </c>
      <c r="T1871"/>
      <c r="U1871" t="str">
        <f>IF($L1871&gt;0,VLOOKUP($E1871,Valida!$A$1:$G$270,6,FALSE),IF($M1871&gt;=0,VLOOKUP($E1871,Valida!$A$1:$G$270,7,FALSE)))</f>
        <v>(+/-) Ajustes por el incremento (disminución) de cuentas por pagar de origen comercial</v>
      </c>
      <c r="V1871" s="190" t="str">
        <f>VLOOKUP(E1871,Valida!$A$2:$K$271,4,FALSE)</f>
        <v>Trade and other payables</v>
      </c>
      <c r="W1871" s="185" t="s">
        <v>1914</v>
      </c>
      <c r="X1871" s="185" t="s">
        <v>1915</v>
      </c>
      <c r="Y1871" s="185" t="s">
        <v>1789</v>
      </c>
      <c r="Z1871"/>
    </row>
    <row r="1872" spans="1:26">
      <c r="A1872" s="185" t="s">
        <v>3047</v>
      </c>
      <c r="B1872" s="185" t="s">
        <v>3048</v>
      </c>
      <c r="C1872" s="185" t="s">
        <v>1801</v>
      </c>
      <c r="D1872" s="185" t="s">
        <v>2823</v>
      </c>
      <c r="E1872" s="185">
        <v>130510</v>
      </c>
      <c r="F1872" s="185" t="s">
        <v>64</v>
      </c>
      <c r="G1872" s="185" t="s">
        <v>3049</v>
      </c>
      <c r="H1872" s="185" t="s">
        <v>1515</v>
      </c>
      <c r="I1872" s="258" t="str">
        <f t="shared" si="88"/>
        <v>1</v>
      </c>
      <c r="J1872" s="221">
        <f t="shared" si="89"/>
        <v>86189200</v>
      </c>
      <c r="K1872" s="258">
        <f t="shared" si="90"/>
        <v>7</v>
      </c>
      <c r="L1872" s="188">
        <v>86189200</v>
      </c>
      <c r="M1872" s="188">
        <v>0</v>
      </c>
      <c r="N1872" s="189">
        <v>374795</v>
      </c>
      <c r="O1872"/>
      <c r="P1872" s="187">
        <v>45138.397546296299</v>
      </c>
      <c r="Q1872" s="186">
        <v>12802</v>
      </c>
      <c r="R1872" s="185"/>
      <c r="S1872" s="185" t="s">
        <v>1544</v>
      </c>
      <c r="T1872"/>
      <c r="U1872" t="str">
        <f>IF($L1872&gt;0,VLOOKUP($E1872,Valida!$A$1:$G$270,6,FALSE),IF($M1872&gt;=0,VLOOKUP($E1872,Valida!$A$1:$G$270,7,FALSE)))</f>
        <v>(+/-) Ajustes por la disminución (incremento) de cuentas por cobrar de origen comercial</v>
      </c>
      <c r="V1872" s="190" t="str">
        <f>VLOOKUP(E1872,Valida!$A$2:$K$271,4,FALSE)</f>
        <v>Trade and other receivables</v>
      </c>
      <c r="W1872" s="185" t="s">
        <v>1803</v>
      </c>
      <c r="X1872" s="185"/>
      <c r="Y1872" s="185"/>
      <c r="Z1872"/>
    </row>
    <row r="1873" spans="1:26">
      <c r="A1873" s="185" t="s">
        <v>3047</v>
      </c>
      <c r="B1873" s="185" t="s">
        <v>3048</v>
      </c>
      <c r="C1873" s="185" t="s">
        <v>1801</v>
      </c>
      <c r="D1873" s="185" t="s">
        <v>2823</v>
      </c>
      <c r="E1873" s="185">
        <v>41559505</v>
      </c>
      <c r="F1873" s="185" t="s">
        <v>1708</v>
      </c>
      <c r="G1873" s="185" t="s">
        <v>3050</v>
      </c>
      <c r="H1873" s="185" t="s">
        <v>1628</v>
      </c>
      <c r="I1873" s="258" t="str">
        <f t="shared" si="88"/>
        <v>4</v>
      </c>
      <c r="J1873" s="221">
        <f t="shared" si="89"/>
        <v>-86189200</v>
      </c>
      <c r="K1873" s="258">
        <f t="shared" si="90"/>
        <v>7</v>
      </c>
      <c r="L1873" s="188">
        <v>0</v>
      </c>
      <c r="M1873" s="188">
        <v>86189200</v>
      </c>
      <c r="N1873" s="189">
        <v>374795</v>
      </c>
      <c r="O1873"/>
      <c r="P1873" s="187">
        <v>45138.397546296299</v>
      </c>
      <c r="Q1873" s="186">
        <v>12803</v>
      </c>
      <c r="R1873" s="185"/>
      <c r="S1873" s="185" t="s">
        <v>1544</v>
      </c>
      <c r="T1873"/>
      <c r="U1873" t="str">
        <f>IF($L1873&gt;0,VLOOKUP($E1873,Valida!$A$1:$G$270,6,FALSE),IF($M1873&gt;=0,VLOOKUP($E1873,Valida!$A$1:$G$270,7,FALSE)))</f>
        <v>(+/-) Ganancia (pérdida)</v>
      </c>
      <c r="V1873" s="190" t="str">
        <f>VLOOKUP(E1873,Valida!$A$2:$K$271,4,FALSE)</f>
        <v>P&amp;L</v>
      </c>
      <c r="W1873" s="185" t="s">
        <v>1803</v>
      </c>
      <c r="X1873" s="185"/>
      <c r="Y1873" s="185"/>
      <c r="Z1873"/>
    </row>
    <row r="1874" spans="1:26">
      <c r="A1874" s="185" t="s">
        <v>3042</v>
      </c>
      <c r="B1874" s="185" t="s">
        <v>3046</v>
      </c>
      <c r="C1874" s="185" t="s">
        <v>1785</v>
      </c>
      <c r="D1874" s="185" t="s">
        <v>2556</v>
      </c>
      <c r="E1874" s="185">
        <v>15922004</v>
      </c>
      <c r="F1874" s="185" t="s">
        <v>404</v>
      </c>
      <c r="G1874" s="185" t="s">
        <v>2236</v>
      </c>
      <c r="H1874" s="185" t="s">
        <v>1628</v>
      </c>
      <c r="I1874" s="258" t="str">
        <f t="shared" si="88"/>
        <v>1</v>
      </c>
      <c r="J1874" s="221">
        <f t="shared" si="89"/>
        <v>-163793</v>
      </c>
      <c r="K1874" s="258">
        <f t="shared" si="90"/>
        <v>7</v>
      </c>
      <c r="L1874" s="188">
        <v>0</v>
      </c>
      <c r="M1874" s="188">
        <v>163793</v>
      </c>
      <c r="N1874" s="189">
        <v>901513634</v>
      </c>
      <c r="O1874"/>
      <c r="P1874" s="187">
        <v>45149.374618055597</v>
      </c>
      <c r="Q1874" s="186">
        <v>12807</v>
      </c>
      <c r="R1874" s="185" t="s">
        <v>6</v>
      </c>
      <c r="S1874" s="185" t="s">
        <v>1518</v>
      </c>
      <c r="T1874"/>
      <c r="U1874" t="str">
        <f>IF($L1874&gt;0,VLOOKUP($E1874,Valida!$A$1:$G$270,6,FALSE),IF($M1874&gt;=0,VLOOKUP($E1874,Valida!$A$1:$G$270,7,FALSE)))</f>
        <v>( + ) Ajustes por gastos de depreciación</v>
      </c>
      <c r="V1874" s="190" t="str">
        <f>VLOOKUP(E1874,Valida!$A$2:$K$271,4,FALSE)</f>
        <v>Depreciation</v>
      </c>
      <c r="W1874" s="185" t="s">
        <v>1787</v>
      </c>
      <c r="X1874" s="185" t="s">
        <v>1788</v>
      </c>
      <c r="Y1874" s="185" t="s">
        <v>1789</v>
      </c>
      <c r="Z1874"/>
    </row>
    <row r="1875" spans="1:26">
      <c r="A1875" s="185" t="s">
        <v>3047</v>
      </c>
      <c r="B1875" s="185" t="s">
        <v>3051</v>
      </c>
      <c r="C1875" s="185" t="s">
        <v>2045</v>
      </c>
      <c r="D1875" s="185" t="s">
        <v>764</v>
      </c>
      <c r="E1875" s="185">
        <v>23355002</v>
      </c>
      <c r="F1875" s="185" t="s">
        <v>506</v>
      </c>
      <c r="G1875" s="185" t="s">
        <v>3052</v>
      </c>
      <c r="H1875" s="185" t="s">
        <v>1628</v>
      </c>
      <c r="I1875" s="258" t="str">
        <f t="shared" si="88"/>
        <v>2</v>
      </c>
      <c r="J1875" s="221">
        <f t="shared" si="89"/>
        <v>-93992.35</v>
      </c>
      <c r="K1875" s="258">
        <f t="shared" si="90"/>
        <v>7</v>
      </c>
      <c r="L1875" s="188">
        <v>0</v>
      </c>
      <c r="M1875" s="188">
        <v>93992.35</v>
      </c>
      <c r="N1875" s="189">
        <v>440493581</v>
      </c>
      <c r="O1875" t="s">
        <v>3053</v>
      </c>
      <c r="P1875" s="187">
        <v>45149.380023148202</v>
      </c>
      <c r="Q1875" s="186">
        <v>12808</v>
      </c>
      <c r="R1875" s="185"/>
      <c r="S1875" s="185" t="s">
        <v>1546</v>
      </c>
      <c r="T1875"/>
      <c r="U1875" t="str">
        <f>IF($L1875&gt;0,VLOOKUP($E1875,Valida!$A$1:$G$270,6,FALSE),IF($M1875&gt;=0,VLOOKUP($E1875,Valida!$A$1:$G$270,7,FALSE)))</f>
        <v>(+/-) Ajustes por el incremento (disminución) de cuentas por pagar de origen comercial</v>
      </c>
      <c r="V1875" s="190" t="str">
        <f>VLOOKUP(E1875,Valida!$A$2:$K$271,4,FALSE)</f>
        <v>Trade and other payables</v>
      </c>
      <c r="W1875" s="185" t="s">
        <v>1808</v>
      </c>
      <c r="X1875" s="185"/>
      <c r="Y1875" s="185"/>
      <c r="Z1875"/>
    </row>
    <row r="1876" spans="1:26">
      <c r="A1876" s="185" t="s">
        <v>3047</v>
      </c>
      <c r="B1876" s="185" t="s">
        <v>3051</v>
      </c>
      <c r="C1876" s="185" t="s">
        <v>2045</v>
      </c>
      <c r="D1876" s="185" t="s">
        <v>764</v>
      </c>
      <c r="E1876" s="185">
        <v>51352001</v>
      </c>
      <c r="F1876" s="185" t="s">
        <v>1267</v>
      </c>
      <c r="G1876" s="185" t="s">
        <v>3054</v>
      </c>
      <c r="H1876" s="185" t="s">
        <v>1515</v>
      </c>
      <c r="I1876" s="258" t="str">
        <f t="shared" si="88"/>
        <v>5</v>
      </c>
      <c r="J1876" s="221">
        <f t="shared" si="89"/>
        <v>93992.35</v>
      </c>
      <c r="K1876" s="258">
        <f t="shared" si="90"/>
        <v>7</v>
      </c>
      <c r="L1876" s="188">
        <v>93992.35</v>
      </c>
      <c r="M1876" s="188">
        <v>0</v>
      </c>
      <c r="N1876" s="189">
        <v>440493581</v>
      </c>
      <c r="O1876" t="s">
        <v>3053</v>
      </c>
      <c r="P1876" s="187">
        <v>45149.380023148202</v>
      </c>
      <c r="Q1876" s="186">
        <v>12809</v>
      </c>
      <c r="R1876" s="185"/>
      <c r="S1876" s="185" t="s">
        <v>1546</v>
      </c>
      <c r="T1876"/>
      <c r="U1876" t="str">
        <f>IF($L1876&gt;0,VLOOKUP($E1876,Valida!$A$1:$G$270,6,FALSE),IF($M1876&gt;=0,VLOOKUP($E1876,Valida!$A$1:$G$270,7,FALSE)))</f>
        <v>(+/-) Ganancia (pérdida)</v>
      </c>
      <c r="V1876" s="190" t="str">
        <f>VLOOKUP(E1876,Valida!$A$2:$K$271,4,FALSE)</f>
        <v>P&amp;L</v>
      </c>
      <c r="W1876" s="185" t="s">
        <v>1808</v>
      </c>
      <c r="X1876" s="185"/>
      <c r="Y1876" s="185"/>
      <c r="Z1876"/>
    </row>
    <row r="1877" spans="1:26">
      <c r="A1877" s="185" t="s">
        <v>3047</v>
      </c>
      <c r="B1877" s="185" t="s">
        <v>3055</v>
      </c>
      <c r="C1877" s="185" t="s">
        <v>2045</v>
      </c>
      <c r="D1877" s="185" t="s">
        <v>808</v>
      </c>
      <c r="E1877" s="185">
        <v>23355007</v>
      </c>
      <c r="F1877" s="185" t="s">
        <v>1638</v>
      </c>
      <c r="G1877" s="185" t="s">
        <v>3056</v>
      </c>
      <c r="H1877" s="185" t="s">
        <v>1628</v>
      </c>
      <c r="I1877" s="258" t="str">
        <f t="shared" si="88"/>
        <v>2</v>
      </c>
      <c r="J1877" s="221">
        <f t="shared" si="89"/>
        <v>-143874.49</v>
      </c>
      <c r="K1877" s="258">
        <f t="shared" si="90"/>
        <v>7</v>
      </c>
      <c r="L1877" s="188">
        <v>0</v>
      </c>
      <c r="M1877" s="188">
        <v>143874.49</v>
      </c>
      <c r="N1877" s="189">
        <v>444444001</v>
      </c>
      <c r="O1877" t="s">
        <v>3057</v>
      </c>
      <c r="P1877" s="187">
        <v>45149.441273148099</v>
      </c>
      <c r="Q1877" s="186">
        <v>12810</v>
      </c>
      <c r="R1877" s="185"/>
      <c r="S1877" s="185" t="s">
        <v>1548</v>
      </c>
      <c r="T1877"/>
      <c r="U1877" t="str">
        <f>IF($L1877&gt;0,VLOOKUP($E1877,Valida!$A$1:$G$270,6,FALSE),IF($M1877&gt;=0,VLOOKUP($E1877,Valida!$A$1:$G$270,7,FALSE)))</f>
        <v>(+/-) Ajustes por el incremento (disminución) de cuentas por pagar de origen comercial</v>
      </c>
      <c r="V1877" s="190" t="str">
        <f>VLOOKUP(E1877,Valida!$A$2:$K$271,4,FALSE)</f>
        <v>Trade and other payables</v>
      </c>
      <c r="W1877" s="185"/>
      <c r="X1877" s="185"/>
      <c r="Y1877" s="185"/>
      <c r="Z1877"/>
    </row>
    <row r="1878" spans="1:26">
      <c r="A1878" s="185" t="s">
        <v>3047</v>
      </c>
      <c r="B1878" s="185" t="s">
        <v>3055</v>
      </c>
      <c r="C1878" s="185" t="s">
        <v>2045</v>
      </c>
      <c r="D1878" s="185" t="s">
        <v>808</v>
      </c>
      <c r="E1878" s="185">
        <v>51350504</v>
      </c>
      <c r="F1878" s="185" t="s">
        <v>1638</v>
      </c>
      <c r="G1878" s="185" t="s">
        <v>3058</v>
      </c>
      <c r="H1878" s="185" t="s">
        <v>1515</v>
      </c>
      <c r="I1878" s="258" t="str">
        <f t="shared" si="88"/>
        <v>5</v>
      </c>
      <c r="J1878" s="221">
        <f t="shared" si="89"/>
        <v>143874.49</v>
      </c>
      <c r="K1878" s="258">
        <f t="shared" si="90"/>
        <v>7</v>
      </c>
      <c r="L1878" s="188">
        <v>143874.49</v>
      </c>
      <c r="M1878" s="188">
        <v>0</v>
      </c>
      <c r="N1878" s="189">
        <v>444444001</v>
      </c>
      <c r="O1878" t="s">
        <v>3057</v>
      </c>
      <c r="P1878" s="187">
        <v>45149.441273148099</v>
      </c>
      <c r="Q1878" s="186">
        <v>12811</v>
      </c>
      <c r="R1878" s="185"/>
      <c r="S1878" s="185" t="s">
        <v>1548</v>
      </c>
      <c r="T1878"/>
      <c r="U1878" t="str">
        <f>IF($L1878&gt;0,VLOOKUP($E1878,Valida!$A$1:$G$270,6,FALSE),IF($M1878&gt;=0,VLOOKUP($E1878,Valida!$A$1:$G$270,7,FALSE)))</f>
        <v>(+/-) Ganancia (pérdida)</v>
      </c>
      <c r="V1878" s="190" t="str">
        <f>VLOOKUP(E1878,Valida!$A$2:$K$271,4,FALSE)</f>
        <v>P&amp;L</v>
      </c>
      <c r="W1878" s="185"/>
      <c r="X1878" s="185"/>
      <c r="Y1878" s="185"/>
      <c r="Z1878"/>
    </row>
    <row r="1879" spans="1:26">
      <c r="A1879" s="185" t="s">
        <v>3047</v>
      </c>
      <c r="B1879" s="185" t="s">
        <v>3059</v>
      </c>
      <c r="C1879" s="185" t="s">
        <v>1952</v>
      </c>
      <c r="D1879" s="185" t="s">
        <v>2870</v>
      </c>
      <c r="E1879" s="185">
        <v>53050501</v>
      </c>
      <c r="F1879" s="185" t="s">
        <v>1462</v>
      </c>
      <c r="G1879" s="185" t="s">
        <v>1954</v>
      </c>
      <c r="H1879" s="185" t="s">
        <v>1515</v>
      </c>
      <c r="I1879" s="258" t="str">
        <f t="shared" si="88"/>
        <v>5</v>
      </c>
      <c r="J1879" s="221">
        <f t="shared" si="89"/>
        <v>69200</v>
      </c>
      <c r="K1879" s="258">
        <f t="shared" si="90"/>
        <v>7</v>
      </c>
      <c r="L1879" s="188">
        <v>69200</v>
      </c>
      <c r="M1879" s="188">
        <v>0</v>
      </c>
      <c r="N1879" s="189">
        <v>890903938</v>
      </c>
      <c r="O1879"/>
      <c r="P1879" s="187">
        <v>45149.450972222199</v>
      </c>
      <c r="Q1879" s="186">
        <v>12812</v>
      </c>
      <c r="R1879" s="185" t="s">
        <v>1827</v>
      </c>
      <c r="S1879" s="185" t="s">
        <v>1580</v>
      </c>
      <c r="T1879"/>
      <c r="U1879" t="str">
        <f>IF($L1879&gt;0,VLOOKUP($E1879,Valida!$A$1:$G$270,6,FALSE),IF($M1879&gt;=0,VLOOKUP($E1879,Valida!$A$1:$G$270,7,FALSE)))</f>
        <v>(+/-) Ganancia (pérdida)</v>
      </c>
      <c r="V1879" s="190" t="str">
        <f>VLOOKUP(E1879,Valida!$A$2:$K$271,4,FALSE)</f>
        <v>P&amp;L</v>
      </c>
      <c r="W1879" s="185" t="s">
        <v>1955</v>
      </c>
      <c r="X1879" s="185"/>
      <c r="Y1879" s="185" t="s">
        <v>1844</v>
      </c>
      <c r="Z1879"/>
    </row>
    <row r="1880" spans="1:26">
      <c r="A1880" s="185" t="s">
        <v>3047</v>
      </c>
      <c r="B1880" s="185" t="s">
        <v>3059</v>
      </c>
      <c r="C1880" s="185" t="s">
        <v>1952</v>
      </c>
      <c r="D1880" s="185" t="s">
        <v>2870</v>
      </c>
      <c r="E1880" s="185">
        <v>24081002</v>
      </c>
      <c r="F1880" s="185" t="s">
        <v>1687</v>
      </c>
      <c r="G1880" s="185" t="s">
        <v>1954</v>
      </c>
      <c r="H1880" s="185" t="s">
        <v>1515</v>
      </c>
      <c r="I1880" s="258" t="str">
        <f t="shared" si="88"/>
        <v>2</v>
      </c>
      <c r="J1880" s="221">
        <f t="shared" si="89"/>
        <v>13148</v>
      </c>
      <c r="K1880" s="258">
        <f t="shared" si="90"/>
        <v>7</v>
      </c>
      <c r="L1880" s="188">
        <v>13148</v>
      </c>
      <c r="M1880" s="188">
        <v>0</v>
      </c>
      <c r="N1880" s="189">
        <v>890903938</v>
      </c>
      <c r="O1880"/>
      <c r="P1880" s="187">
        <v>45149.450972222199</v>
      </c>
      <c r="Q1880" s="186">
        <v>12813</v>
      </c>
      <c r="R1880" s="185" t="s">
        <v>1827</v>
      </c>
      <c r="S1880" s="185" t="s">
        <v>1580</v>
      </c>
      <c r="T1880"/>
      <c r="U1880" t="str">
        <f>IF($L1880&gt;0,VLOOKUP($E1880,Valida!$A$1:$G$270,6,FALSE),IF($M1880&gt;=0,VLOOKUP($E1880,Valida!$A$1:$G$270,7,FALSE)))</f>
        <v>(+/-) Ajustes por el incremento (disminución) de cuentas por pagar de origen comercial</v>
      </c>
      <c r="V1880" s="190" t="str">
        <f>VLOOKUP(E1880,Valida!$A$2:$K$271,4,FALSE)</f>
        <v>Trade and other payables</v>
      </c>
      <c r="W1880" s="185" t="s">
        <v>1955</v>
      </c>
      <c r="X1880" s="185"/>
      <c r="Y1880" s="185" t="s">
        <v>1844</v>
      </c>
      <c r="Z1880"/>
    </row>
    <row r="1881" spans="1:26">
      <c r="A1881" s="185" t="s">
        <v>3047</v>
      </c>
      <c r="B1881" s="185" t="s">
        <v>3059</v>
      </c>
      <c r="C1881" s="185" t="s">
        <v>1952</v>
      </c>
      <c r="D1881" s="185" t="s">
        <v>2870</v>
      </c>
      <c r="E1881" s="185">
        <v>112005</v>
      </c>
      <c r="F1881" s="185" t="s">
        <v>24</v>
      </c>
      <c r="G1881" s="185" t="s">
        <v>1954</v>
      </c>
      <c r="H1881" s="185" t="s">
        <v>1628</v>
      </c>
      <c r="I1881" s="258" t="str">
        <f t="shared" si="88"/>
        <v>1</v>
      </c>
      <c r="J1881" s="221">
        <f t="shared" si="89"/>
        <v>-82348</v>
      </c>
      <c r="K1881" s="258">
        <f t="shared" si="90"/>
        <v>7</v>
      </c>
      <c r="L1881" s="188">
        <v>0</v>
      </c>
      <c r="M1881" s="188">
        <v>82348</v>
      </c>
      <c r="N1881" s="189">
        <v>890903938</v>
      </c>
      <c r="O1881"/>
      <c r="P1881" s="187">
        <v>45149.450972222199</v>
      </c>
      <c r="Q1881" s="186">
        <v>12814</v>
      </c>
      <c r="R1881" s="185" t="s">
        <v>1827</v>
      </c>
      <c r="S1881" s="185" t="s">
        <v>1580</v>
      </c>
      <c r="T1881" t="s">
        <v>1894</v>
      </c>
      <c r="U1881" t="str">
        <f>IF($L1881&gt;0,VLOOKUP($E1881,Valida!$A$1:$G$270,6,FALSE),IF($M1881&gt;=0,VLOOKUP($E1881,Valida!$A$1:$G$270,7,FALSE)))</f>
        <v>Disponible</v>
      </c>
      <c r="V1881" s="190" t="str">
        <f>VLOOKUP(E1881,Valida!$A$2:$K$271,4,FALSE)</f>
        <v>Cash and equivalents</v>
      </c>
      <c r="W1881" s="185" t="s">
        <v>1955</v>
      </c>
      <c r="X1881" s="185"/>
      <c r="Y1881" s="185" t="s">
        <v>1844</v>
      </c>
      <c r="Z1881"/>
    </row>
    <row r="1882" spans="1:26">
      <c r="A1882" s="185" t="s">
        <v>3047</v>
      </c>
      <c r="B1882" s="185" t="s">
        <v>3059</v>
      </c>
      <c r="C1882" s="185" t="s">
        <v>1952</v>
      </c>
      <c r="D1882" s="185" t="s">
        <v>2870</v>
      </c>
      <c r="E1882" s="185">
        <v>53050503</v>
      </c>
      <c r="F1882" s="185" t="s">
        <v>1468</v>
      </c>
      <c r="G1882" s="185" t="s">
        <v>1957</v>
      </c>
      <c r="H1882" s="185" t="s">
        <v>1628</v>
      </c>
      <c r="I1882" s="258" t="str">
        <f t="shared" si="88"/>
        <v>5</v>
      </c>
      <c r="J1882" s="221">
        <f t="shared" si="89"/>
        <v>0</v>
      </c>
      <c r="K1882" s="258">
        <f t="shared" si="90"/>
        <v>7</v>
      </c>
      <c r="L1882" s="188">
        <v>0</v>
      </c>
      <c r="M1882" s="188">
        <v>0</v>
      </c>
      <c r="N1882" s="189">
        <v>890903938</v>
      </c>
      <c r="O1882"/>
      <c r="P1882" s="187">
        <v>45149.450972222199</v>
      </c>
      <c r="Q1882" s="186">
        <v>12815</v>
      </c>
      <c r="R1882" s="185" t="s">
        <v>1827</v>
      </c>
      <c r="S1882" s="185" t="s">
        <v>1580</v>
      </c>
      <c r="T1882"/>
      <c r="U1882" t="str">
        <f>IF($L1882&gt;0,VLOOKUP($E1882,Valida!$A$1:$G$270,6,FALSE),IF($M1882&gt;=0,VLOOKUP($E1882,Valida!$A$1:$G$270,7,FALSE)))</f>
        <v>(+/-) Ganancia (pérdida)</v>
      </c>
      <c r="V1882" s="190" t="str">
        <f>VLOOKUP(E1882,Valida!$A$2:$K$271,4,FALSE)</f>
        <v>P&amp;L</v>
      </c>
      <c r="W1882" s="185" t="s">
        <v>1955</v>
      </c>
      <c r="X1882" s="185"/>
      <c r="Y1882" s="185" t="s">
        <v>1844</v>
      </c>
      <c r="Z1882"/>
    </row>
    <row r="1883" spans="1:26">
      <c r="A1883" s="185" t="s">
        <v>3047</v>
      </c>
      <c r="B1883" s="185" t="s">
        <v>3059</v>
      </c>
      <c r="C1883" s="185" t="s">
        <v>1952</v>
      </c>
      <c r="D1883" s="185" t="s">
        <v>2870</v>
      </c>
      <c r="E1883" s="185">
        <v>24081002</v>
      </c>
      <c r="F1883" s="185" t="s">
        <v>1687</v>
      </c>
      <c r="G1883" s="185" t="s">
        <v>1957</v>
      </c>
      <c r="H1883" s="185" t="s">
        <v>1628</v>
      </c>
      <c r="I1883" s="258" t="str">
        <f t="shared" si="88"/>
        <v>2</v>
      </c>
      <c r="J1883" s="221">
        <f t="shared" si="89"/>
        <v>0</v>
      </c>
      <c r="K1883" s="258">
        <f t="shared" si="90"/>
        <v>7</v>
      </c>
      <c r="L1883" s="188">
        <v>0</v>
      </c>
      <c r="M1883" s="188">
        <v>0</v>
      </c>
      <c r="N1883" s="189">
        <v>890903938</v>
      </c>
      <c r="O1883"/>
      <c r="P1883" s="187">
        <v>45149.450983796298</v>
      </c>
      <c r="Q1883" s="186">
        <v>12816</v>
      </c>
      <c r="R1883" s="185" t="s">
        <v>1827</v>
      </c>
      <c r="S1883" s="185" t="s">
        <v>1580</v>
      </c>
      <c r="T1883"/>
      <c r="U1883" t="str">
        <f>IF($L1883&gt;0,VLOOKUP($E1883,Valida!$A$1:$G$270,6,FALSE),IF($M1883&gt;=0,VLOOKUP($E1883,Valida!$A$1:$G$270,7,FALSE)))</f>
        <v>(+/-) Ajustes por el incremento (disminución) de cuentas por pagar de origen comercial</v>
      </c>
      <c r="V1883" s="190" t="str">
        <f>VLOOKUP(E1883,Valida!$A$2:$K$271,4,FALSE)</f>
        <v>Trade and other payables</v>
      </c>
      <c r="W1883" s="185" t="s">
        <v>1955</v>
      </c>
      <c r="X1883" s="185"/>
      <c r="Y1883" s="185" t="s">
        <v>1844</v>
      </c>
      <c r="Z1883"/>
    </row>
    <row r="1884" spans="1:26">
      <c r="A1884" s="185" t="s">
        <v>3047</v>
      </c>
      <c r="B1884" s="185" t="s">
        <v>3059</v>
      </c>
      <c r="C1884" s="185" t="s">
        <v>1952</v>
      </c>
      <c r="D1884" s="185" t="s">
        <v>2870</v>
      </c>
      <c r="E1884" s="185">
        <v>112005</v>
      </c>
      <c r="F1884" s="185" t="s">
        <v>24</v>
      </c>
      <c r="G1884" s="185" t="s">
        <v>1957</v>
      </c>
      <c r="H1884" s="185" t="s">
        <v>1628</v>
      </c>
      <c r="I1884" s="258" t="str">
        <f t="shared" si="88"/>
        <v>1</v>
      </c>
      <c r="J1884" s="221">
        <f t="shared" si="89"/>
        <v>0</v>
      </c>
      <c r="K1884" s="258">
        <f t="shared" si="90"/>
        <v>7</v>
      </c>
      <c r="L1884" s="188">
        <v>0</v>
      </c>
      <c r="M1884" s="188">
        <v>0</v>
      </c>
      <c r="N1884" s="189">
        <v>890903938</v>
      </c>
      <c r="O1884"/>
      <c r="P1884" s="187">
        <v>45149.450983796298</v>
      </c>
      <c r="Q1884" s="186">
        <v>12817</v>
      </c>
      <c r="R1884" s="185" t="s">
        <v>1827</v>
      </c>
      <c r="S1884" s="185" t="s">
        <v>1580</v>
      </c>
      <c r="T1884" t="s">
        <v>1894</v>
      </c>
      <c r="U1884" t="str">
        <f>IF($L1884&gt;0,VLOOKUP($E1884,Valida!$A$1:$G$270,6,FALSE),IF($M1884&gt;=0,VLOOKUP($E1884,Valida!$A$1:$G$270,7,FALSE)))</f>
        <v>Disponible</v>
      </c>
      <c r="V1884" s="190" t="str">
        <f>VLOOKUP(E1884,Valida!$A$2:$K$271,4,FALSE)</f>
        <v>Cash and equivalents</v>
      </c>
      <c r="W1884" s="185" t="s">
        <v>1955</v>
      </c>
      <c r="X1884" s="185"/>
      <c r="Y1884" s="185" t="s">
        <v>1844</v>
      </c>
      <c r="Z1884"/>
    </row>
    <row r="1885" spans="1:26">
      <c r="A1885" s="185" t="s">
        <v>3047</v>
      </c>
      <c r="B1885" s="185" t="s">
        <v>3059</v>
      </c>
      <c r="C1885" s="185" t="s">
        <v>1952</v>
      </c>
      <c r="D1885" s="185" t="s">
        <v>2870</v>
      </c>
      <c r="E1885" s="185">
        <v>53050502</v>
      </c>
      <c r="F1885" s="185" t="s">
        <v>1465</v>
      </c>
      <c r="G1885" s="185" t="s">
        <v>1466</v>
      </c>
      <c r="H1885" s="185" t="s">
        <v>1515</v>
      </c>
      <c r="I1885" s="258" t="str">
        <f t="shared" si="88"/>
        <v>5</v>
      </c>
      <c r="J1885" s="221">
        <f t="shared" si="89"/>
        <v>12990</v>
      </c>
      <c r="K1885" s="258">
        <f t="shared" si="90"/>
        <v>7</v>
      </c>
      <c r="L1885" s="188">
        <v>12990</v>
      </c>
      <c r="M1885" s="188">
        <v>0</v>
      </c>
      <c r="N1885" s="189">
        <v>890903938</v>
      </c>
      <c r="O1885"/>
      <c r="P1885" s="187">
        <v>45149.450983796298</v>
      </c>
      <c r="Q1885" s="186">
        <v>12818</v>
      </c>
      <c r="R1885" s="185" t="s">
        <v>1827</v>
      </c>
      <c r="S1885" s="185" t="s">
        <v>1580</v>
      </c>
      <c r="T1885"/>
      <c r="U1885" t="str">
        <f>IF($L1885&gt;0,VLOOKUP($E1885,Valida!$A$1:$G$270,6,FALSE),IF($M1885&gt;=0,VLOOKUP($E1885,Valida!$A$1:$G$270,7,FALSE)))</f>
        <v>(+/-) Ganancia (pérdida)</v>
      </c>
      <c r="V1885" s="190" t="str">
        <f>VLOOKUP(E1885,Valida!$A$2:$K$271,4,FALSE)</f>
        <v>P&amp;L</v>
      </c>
      <c r="W1885" s="185" t="s">
        <v>1955</v>
      </c>
      <c r="X1885" s="185"/>
      <c r="Y1885" s="185" t="s">
        <v>1844</v>
      </c>
      <c r="Z1885"/>
    </row>
    <row r="1886" spans="1:26">
      <c r="A1886" s="185" t="s">
        <v>3047</v>
      </c>
      <c r="B1886" s="185" t="s">
        <v>3059</v>
      </c>
      <c r="C1886" s="185" t="s">
        <v>1952</v>
      </c>
      <c r="D1886" s="185" t="s">
        <v>2870</v>
      </c>
      <c r="E1886" s="185">
        <v>112005</v>
      </c>
      <c r="F1886" s="185" t="s">
        <v>24</v>
      </c>
      <c r="G1886" s="185" t="s">
        <v>1466</v>
      </c>
      <c r="H1886" s="185" t="s">
        <v>1628</v>
      </c>
      <c r="I1886" s="258" t="str">
        <f t="shared" si="88"/>
        <v>1</v>
      </c>
      <c r="J1886" s="221">
        <f t="shared" si="89"/>
        <v>-12990</v>
      </c>
      <c r="K1886" s="258">
        <f t="shared" si="90"/>
        <v>7</v>
      </c>
      <c r="L1886" s="188">
        <v>0</v>
      </c>
      <c r="M1886" s="188">
        <v>12990</v>
      </c>
      <c r="N1886" s="189">
        <v>890903938</v>
      </c>
      <c r="O1886"/>
      <c r="P1886" s="187">
        <v>45149.450983796298</v>
      </c>
      <c r="Q1886" s="186">
        <v>12819</v>
      </c>
      <c r="R1886" s="185" t="s">
        <v>1827</v>
      </c>
      <c r="S1886" s="185" t="s">
        <v>1580</v>
      </c>
      <c r="T1886" t="s">
        <v>1894</v>
      </c>
      <c r="U1886" t="str">
        <f>IF($L1886&gt;0,VLOOKUP($E1886,Valida!$A$1:$G$270,6,FALSE),IF($M1886&gt;=0,VLOOKUP($E1886,Valida!$A$1:$G$270,7,FALSE)))</f>
        <v>Disponible</v>
      </c>
      <c r="V1886" s="190" t="str">
        <f>VLOOKUP(E1886,Valida!$A$2:$K$271,4,FALSE)</f>
        <v>Cash and equivalents</v>
      </c>
      <c r="W1886" s="185" t="s">
        <v>1955</v>
      </c>
      <c r="X1886" s="185"/>
      <c r="Y1886" s="185" t="s">
        <v>1844</v>
      </c>
      <c r="Z1886"/>
    </row>
    <row r="1887" spans="1:26">
      <c r="A1887" s="185" t="s">
        <v>3047</v>
      </c>
      <c r="B1887" s="185" t="s">
        <v>3059</v>
      </c>
      <c r="C1887" s="185" t="s">
        <v>1952</v>
      </c>
      <c r="D1887" s="185" t="s">
        <v>2870</v>
      </c>
      <c r="E1887" s="185">
        <v>51159501</v>
      </c>
      <c r="F1887" s="185" t="s">
        <v>1181</v>
      </c>
      <c r="G1887" s="185" t="s">
        <v>1958</v>
      </c>
      <c r="H1887" s="185" t="s">
        <v>1515</v>
      </c>
      <c r="I1887" s="258" t="str">
        <f t="shared" si="88"/>
        <v>5</v>
      </c>
      <c r="J1887" s="221">
        <f t="shared" si="89"/>
        <v>214242.87</v>
      </c>
      <c r="K1887" s="258">
        <f t="shared" si="90"/>
        <v>7</v>
      </c>
      <c r="L1887" s="188">
        <v>214242.87</v>
      </c>
      <c r="M1887" s="188">
        <v>0</v>
      </c>
      <c r="N1887" s="189">
        <v>890903938</v>
      </c>
      <c r="O1887"/>
      <c r="P1887" s="187">
        <v>45149.450983796298</v>
      </c>
      <c r="Q1887" s="186">
        <v>12820</v>
      </c>
      <c r="R1887" s="185" t="s">
        <v>1827</v>
      </c>
      <c r="S1887" s="185" t="s">
        <v>1580</v>
      </c>
      <c r="T1887"/>
      <c r="U1887" t="str">
        <f>IF($L1887&gt;0,VLOOKUP($E1887,Valida!$A$1:$G$270,6,FALSE),IF($M1887&gt;=0,VLOOKUP($E1887,Valida!$A$1:$G$270,7,FALSE)))</f>
        <v>(+/-) Ganancia (pérdida)</v>
      </c>
      <c r="V1887" s="190" t="str">
        <f>VLOOKUP(E1887,Valida!$A$2:$K$271,4,FALSE)</f>
        <v>P&amp;L</v>
      </c>
      <c r="W1887" s="185" t="s">
        <v>1955</v>
      </c>
      <c r="X1887" s="185"/>
      <c r="Y1887" s="185" t="s">
        <v>1844</v>
      </c>
      <c r="Z1887"/>
    </row>
    <row r="1888" spans="1:26">
      <c r="A1888" s="185" t="s">
        <v>3047</v>
      </c>
      <c r="B1888" s="185" t="s">
        <v>3059</v>
      </c>
      <c r="C1888" s="185" t="s">
        <v>1952</v>
      </c>
      <c r="D1888" s="185" t="s">
        <v>2870</v>
      </c>
      <c r="E1888" s="185">
        <v>112005</v>
      </c>
      <c r="F1888" s="185" t="s">
        <v>24</v>
      </c>
      <c r="G1888" s="185" t="s">
        <v>1958</v>
      </c>
      <c r="H1888" s="185" t="s">
        <v>1628</v>
      </c>
      <c r="I1888" s="258" t="str">
        <f t="shared" si="88"/>
        <v>1</v>
      </c>
      <c r="J1888" s="221">
        <f t="shared" si="89"/>
        <v>-214242.87</v>
      </c>
      <c r="K1888" s="258">
        <f t="shared" si="90"/>
        <v>7</v>
      </c>
      <c r="L1888" s="188">
        <v>0</v>
      </c>
      <c r="M1888" s="188">
        <v>214242.87</v>
      </c>
      <c r="N1888" s="189">
        <v>890903938</v>
      </c>
      <c r="O1888"/>
      <c r="P1888" s="187">
        <v>45149.450983796298</v>
      </c>
      <c r="Q1888" s="186">
        <v>12821</v>
      </c>
      <c r="R1888" s="185" t="s">
        <v>1827</v>
      </c>
      <c r="S1888" s="185" t="s">
        <v>1580</v>
      </c>
      <c r="T1888" t="s">
        <v>1894</v>
      </c>
      <c r="U1888" t="str">
        <f>IF($L1888&gt;0,VLOOKUP($E1888,Valida!$A$1:$G$270,6,FALSE),IF($M1888&gt;=0,VLOOKUP($E1888,Valida!$A$1:$G$270,7,FALSE)))</f>
        <v>Disponible</v>
      </c>
      <c r="V1888" s="190" t="str">
        <f>VLOOKUP(E1888,Valida!$A$2:$K$271,4,FALSE)</f>
        <v>Cash and equivalents</v>
      </c>
      <c r="W1888" s="185" t="s">
        <v>1955</v>
      </c>
      <c r="X1888" s="185"/>
      <c r="Y1888" s="185" t="s">
        <v>1844</v>
      </c>
      <c r="Z1888"/>
    </row>
    <row r="1889" spans="1:26">
      <c r="A1889" s="185" t="s">
        <v>3047</v>
      </c>
      <c r="B1889" s="185" t="s">
        <v>3060</v>
      </c>
      <c r="C1889" s="185" t="s">
        <v>1960</v>
      </c>
      <c r="D1889" s="185" t="s">
        <v>3061</v>
      </c>
      <c r="E1889" s="185">
        <v>112005</v>
      </c>
      <c r="F1889" s="185" t="s">
        <v>24</v>
      </c>
      <c r="G1889" s="185" t="s">
        <v>1961</v>
      </c>
      <c r="H1889" s="185" t="s">
        <v>1515</v>
      </c>
      <c r="I1889" s="258" t="str">
        <f t="shared" si="88"/>
        <v>1</v>
      </c>
      <c r="J1889" s="221">
        <f t="shared" si="89"/>
        <v>4899.87</v>
      </c>
      <c r="K1889" s="258">
        <f t="shared" si="90"/>
        <v>7</v>
      </c>
      <c r="L1889" s="188">
        <v>4899.87</v>
      </c>
      <c r="M1889" s="188">
        <v>0</v>
      </c>
      <c r="N1889" s="189">
        <v>890903938</v>
      </c>
      <c r="O1889"/>
      <c r="P1889" s="187">
        <v>45149.4518171296</v>
      </c>
      <c r="Q1889" s="186">
        <v>12822</v>
      </c>
      <c r="R1889" s="185" t="s">
        <v>1827</v>
      </c>
      <c r="S1889" s="185" t="s">
        <v>1580</v>
      </c>
      <c r="T1889" t="s">
        <v>1894</v>
      </c>
      <c r="U1889" t="str">
        <f>IF($L1889&gt;0,VLOOKUP($E1889,Valida!$A$1:$G$270,6,FALSE),IF($M1889&gt;=0,VLOOKUP($E1889,Valida!$A$1:$G$270,7,FALSE)))</f>
        <v>Disponible</v>
      </c>
      <c r="V1889" s="190" t="str">
        <f>VLOOKUP(E1889,Valida!$A$2:$K$271,4,FALSE)</f>
        <v>Cash and equivalents</v>
      </c>
      <c r="W1889" s="185" t="s">
        <v>1955</v>
      </c>
      <c r="X1889" s="185"/>
      <c r="Y1889" s="185" t="s">
        <v>1844</v>
      </c>
      <c r="Z1889"/>
    </row>
    <row r="1890" spans="1:26">
      <c r="A1890" s="185" t="s">
        <v>3047</v>
      </c>
      <c r="B1890" s="185" t="s">
        <v>3060</v>
      </c>
      <c r="C1890" s="185" t="s">
        <v>1960</v>
      </c>
      <c r="D1890" s="185" t="s">
        <v>3061</v>
      </c>
      <c r="E1890" s="185">
        <v>42100501</v>
      </c>
      <c r="F1890" s="185" t="s">
        <v>1039</v>
      </c>
      <c r="G1890" s="185" t="s">
        <v>1961</v>
      </c>
      <c r="H1890" s="185" t="s">
        <v>1628</v>
      </c>
      <c r="I1890" s="258" t="str">
        <f t="shared" si="88"/>
        <v>4</v>
      </c>
      <c r="J1890" s="221">
        <f t="shared" si="89"/>
        <v>-4899.87</v>
      </c>
      <c r="K1890" s="258">
        <f t="shared" si="90"/>
        <v>7</v>
      </c>
      <c r="L1890" s="188">
        <v>0</v>
      </c>
      <c r="M1890" s="188">
        <v>4899.87</v>
      </c>
      <c r="N1890" s="189">
        <v>890903938</v>
      </c>
      <c r="O1890"/>
      <c r="P1890" s="187">
        <v>45149.4518171296</v>
      </c>
      <c r="Q1890" s="186">
        <v>12823</v>
      </c>
      <c r="R1890" s="185" t="s">
        <v>1827</v>
      </c>
      <c r="S1890" s="185" t="s">
        <v>1580</v>
      </c>
      <c r="T1890"/>
      <c r="U1890" t="str">
        <f>IF($L1890&gt;0,VLOOKUP($E1890,Valida!$A$1:$G$270,6,FALSE),IF($M1890&gt;=0,VLOOKUP($E1890,Valida!$A$1:$G$270,7,FALSE)))</f>
        <v>(+/-) Ganancia (pérdida)</v>
      </c>
      <c r="V1890" s="190" t="str">
        <f>VLOOKUP(E1890,Valida!$A$2:$K$271,4,FALSE)</f>
        <v>P&amp;L</v>
      </c>
      <c r="W1890" s="185" t="s">
        <v>1955</v>
      </c>
      <c r="X1890" s="185"/>
      <c r="Y1890" s="185" t="s">
        <v>1844</v>
      </c>
      <c r="Z1890"/>
    </row>
    <row r="1891" spans="1:26">
      <c r="A1891" s="185" t="s">
        <v>3030</v>
      </c>
      <c r="B1891" s="185" t="s">
        <v>3062</v>
      </c>
      <c r="C1891" s="185" t="s">
        <v>1890</v>
      </c>
      <c r="D1891" s="185" t="s">
        <v>3063</v>
      </c>
      <c r="E1891" s="185">
        <v>112005</v>
      </c>
      <c r="F1891" s="185" t="s">
        <v>24</v>
      </c>
      <c r="G1891" s="185" t="s">
        <v>1921</v>
      </c>
      <c r="H1891" s="185" t="s">
        <v>1628</v>
      </c>
      <c r="I1891" s="258" t="str">
        <f t="shared" si="88"/>
        <v>1</v>
      </c>
      <c r="J1891" s="221">
        <f t="shared" si="89"/>
        <v>-143874.49</v>
      </c>
      <c r="K1891" s="258">
        <f t="shared" si="90"/>
        <v>7</v>
      </c>
      <c r="L1891" s="188">
        <v>0</v>
      </c>
      <c r="M1891" s="188">
        <v>143874.49</v>
      </c>
      <c r="N1891" s="189">
        <v>444444001</v>
      </c>
      <c r="O1891"/>
      <c r="P1891" s="187">
        <v>45149.452847222201</v>
      </c>
      <c r="Q1891" s="186">
        <v>12824</v>
      </c>
      <c r="R1891" s="185"/>
      <c r="S1891" s="185" t="s">
        <v>1548</v>
      </c>
      <c r="T1891" t="s">
        <v>1894</v>
      </c>
      <c r="U1891" t="str">
        <f>IF($L1891&gt;0,VLOOKUP($E1891,Valida!$A$1:$G$270,6,FALSE),IF($M1891&gt;=0,VLOOKUP($E1891,Valida!$A$1:$G$270,7,FALSE)))</f>
        <v>Disponible</v>
      </c>
      <c r="V1891" s="190" t="str">
        <f>VLOOKUP(E1891,Valida!$A$2:$K$271,4,FALSE)</f>
        <v>Cash and equivalents</v>
      </c>
      <c r="W1891" s="185"/>
      <c r="X1891" s="185"/>
      <c r="Y1891" s="185"/>
      <c r="Z1891"/>
    </row>
    <row r="1892" spans="1:26">
      <c r="A1892" s="185" t="s">
        <v>3030</v>
      </c>
      <c r="B1892" s="185" t="s">
        <v>3062</v>
      </c>
      <c r="C1892" s="185" t="s">
        <v>1890</v>
      </c>
      <c r="D1892" s="185" t="s">
        <v>3063</v>
      </c>
      <c r="E1892" s="185">
        <v>23355007</v>
      </c>
      <c r="F1892" s="185" t="s">
        <v>1638</v>
      </c>
      <c r="G1892" s="185" t="s">
        <v>1921</v>
      </c>
      <c r="H1892" s="185" t="s">
        <v>1515</v>
      </c>
      <c r="I1892" s="258" t="str">
        <f t="shared" si="88"/>
        <v>2</v>
      </c>
      <c r="J1892" s="221">
        <f t="shared" si="89"/>
        <v>143874.49</v>
      </c>
      <c r="K1892" s="258">
        <f t="shared" si="90"/>
        <v>7</v>
      </c>
      <c r="L1892" s="188">
        <v>143874.49</v>
      </c>
      <c r="M1892" s="188">
        <v>0</v>
      </c>
      <c r="N1892" s="189">
        <v>444444001</v>
      </c>
      <c r="O1892"/>
      <c r="P1892" s="187">
        <v>45149.452847222201</v>
      </c>
      <c r="Q1892" s="186">
        <v>12825</v>
      </c>
      <c r="R1892" s="185"/>
      <c r="S1892" s="185" t="s">
        <v>1548</v>
      </c>
      <c r="T1892"/>
      <c r="U1892" t="str">
        <f>IF($L1892&gt;0,VLOOKUP($E1892,Valida!$A$1:$G$270,6,FALSE),IF($M1892&gt;=0,VLOOKUP($E1892,Valida!$A$1:$G$270,7,FALSE)))</f>
        <v>(+/-) Ajustes por el incremento (disminución) de cuentas por pagar de origen comercial</v>
      </c>
      <c r="V1892" s="190" t="str">
        <f>VLOOKUP(E1892,Valida!$A$2:$K$271,4,FALSE)</f>
        <v>Trade and other payables</v>
      </c>
      <c r="W1892" s="185"/>
      <c r="X1892" s="185"/>
      <c r="Y1892" s="185"/>
      <c r="Z1892"/>
    </row>
    <row r="1893" spans="1:26">
      <c r="A1893" s="185" t="s">
        <v>3064</v>
      </c>
      <c r="B1893" s="185" t="s">
        <v>3065</v>
      </c>
      <c r="C1893" s="185" t="s">
        <v>1890</v>
      </c>
      <c r="D1893" s="185" t="s">
        <v>3066</v>
      </c>
      <c r="E1893" s="185">
        <v>112005</v>
      </c>
      <c r="F1893" s="185" t="s">
        <v>24</v>
      </c>
      <c r="G1893" s="185" t="s">
        <v>1921</v>
      </c>
      <c r="H1893" s="185" t="s">
        <v>1628</v>
      </c>
      <c r="I1893" s="258" t="str">
        <f t="shared" si="88"/>
        <v>1</v>
      </c>
      <c r="J1893" s="221">
        <f t="shared" si="89"/>
        <v>-1457040</v>
      </c>
      <c r="K1893" s="258">
        <f t="shared" si="90"/>
        <v>7</v>
      </c>
      <c r="L1893" s="188">
        <v>0</v>
      </c>
      <c r="M1893" s="188">
        <v>1457040</v>
      </c>
      <c r="N1893" s="189">
        <v>899999115</v>
      </c>
      <c r="O1893"/>
      <c r="P1893" s="187">
        <v>45149.454016203701</v>
      </c>
      <c r="Q1893" s="186">
        <v>12826</v>
      </c>
      <c r="R1893" s="185" t="s">
        <v>1827</v>
      </c>
      <c r="S1893" s="185" t="s">
        <v>1586</v>
      </c>
      <c r="T1893" t="s">
        <v>1894</v>
      </c>
      <c r="U1893" t="str">
        <f>IF($L1893&gt;0,VLOOKUP($E1893,Valida!$A$1:$G$270,6,FALSE),IF($M1893&gt;=0,VLOOKUP($E1893,Valida!$A$1:$G$270,7,FALSE)))</f>
        <v>Disponible</v>
      </c>
      <c r="V1893" s="190" t="str">
        <f>VLOOKUP(E1893,Valida!$A$2:$K$271,4,FALSE)</f>
        <v>Cash and equivalents</v>
      </c>
      <c r="W1893" s="185" t="s">
        <v>1828</v>
      </c>
      <c r="X1893" s="185" t="s">
        <v>1829</v>
      </c>
      <c r="Y1893" s="185" t="s">
        <v>1789</v>
      </c>
      <c r="Z1893"/>
    </row>
    <row r="1894" spans="1:26">
      <c r="A1894" s="185" t="s">
        <v>3064</v>
      </c>
      <c r="B1894" s="185" t="s">
        <v>3065</v>
      </c>
      <c r="C1894" s="185" t="s">
        <v>1890</v>
      </c>
      <c r="D1894" s="185" t="s">
        <v>3066</v>
      </c>
      <c r="E1894" s="185">
        <v>23355006</v>
      </c>
      <c r="F1894" s="185" t="s">
        <v>519</v>
      </c>
      <c r="G1894" s="185" t="s">
        <v>1921</v>
      </c>
      <c r="H1894" s="185" t="s">
        <v>1515</v>
      </c>
      <c r="I1894" s="258" t="str">
        <f t="shared" si="88"/>
        <v>2</v>
      </c>
      <c r="J1894" s="221">
        <f t="shared" si="89"/>
        <v>1457040</v>
      </c>
      <c r="K1894" s="258">
        <f t="shared" si="90"/>
        <v>7</v>
      </c>
      <c r="L1894" s="188">
        <v>1457040</v>
      </c>
      <c r="M1894" s="188">
        <v>0</v>
      </c>
      <c r="N1894" s="189">
        <v>899999115</v>
      </c>
      <c r="O1894"/>
      <c r="P1894" s="187">
        <v>45149.454016203701</v>
      </c>
      <c r="Q1894" s="186">
        <v>12827</v>
      </c>
      <c r="R1894" s="185" t="s">
        <v>1827</v>
      </c>
      <c r="S1894" s="185" t="s">
        <v>1586</v>
      </c>
      <c r="T1894"/>
      <c r="U1894" t="str">
        <f>IF($L1894&gt;0,VLOOKUP($E1894,Valida!$A$1:$G$270,6,FALSE),IF($M1894&gt;=0,VLOOKUP($E1894,Valida!$A$1:$G$270,7,FALSE)))</f>
        <v>(+/-) Ajustes por el incremento (disminución) de cuentas por pagar de origen comercial</v>
      </c>
      <c r="V1894" s="190" t="str">
        <f>VLOOKUP(E1894,Valida!$A$2:$K$271,4,FALSE)</f>
        <v>Trade and other payables</v>
      </c>
      <c r="W1894" s="185" t="s">
        <v>1828</v>
      </c>
      <c r="X1894" s="185" t="s">
        <v>1829</v>
      </c>
      <c r="Y1894" s="185" t="s">
        <v>1789</v>
      </c>
      <c r="Z1894"/>
    </row>
    <row r="1895" spans="1:26">
      <c r="A1895" s="185" t="s">
        <v>3064</v>
      </c>
      <c r="B1895" s="185" t="s">
        <v>3067</v>
      </c>
      <c r="C1895" s="185" t="s">
        <v>1890</v>
      </c>
      <c r="D1895" s="185" t="s">
        <v>3068</v>
      </c>
      <c r="E1895" s="185">
        <v>236890</v>
      </c>
      <c r="F1895" s="185" t="s">
        <v>1648</v>
      </c>
      <c r="G1895" s="185" t="s">
        <v>2174</v>
      </c>
      <c r="H1895" s="185" t="s">
        <v>1515</v>
      </c>
      <c r="I1895" s="258" t="str">
        <f t="shared" si="88"/>
        <v>2</v>
      </c>
      <c r="J1895" s="221">
        <f t="shared" si="89"/>
        <v>339000</v>
      </c>
      <c r="K1895" s="258">
        <f t="shared" si="90"/>
        <v>7</v>
      </c>
      <c r="L1895" s="188">
        <v>339000</v>
      </c>
      <c r="M1895" s="188">
        <v>0</v>
      </c>
      <c r="N1895" s="189">
        <v>899999061</v>
      </c>
      <c r="O1895"/>
      <c r="P1895" s="187">
        <v>45149.4554166667</v>
      </c>
      <c r="Q1895" s="186">
        <v>12828</v>
      </c>
      <c r="R1895" s="185"/>
      <c r="S1895" s="185" t="s">
        <v>1584</v>
      </c>
      <c r="T1895"/>
      <c r="U1895" t="str">
        <f>IF($L1895&gt;0,VLOOKUP($E1895,Valida!$A$1:$G$270,6,FALSE),IF($M1895&gt;=0,VLOOKUP($E1895,Valida!$A$1:$G$270,7,FALSE)))</f>
        <v>(+/-) Ajustes por el incremento (disminución) de cuentas por pagar de origen comercial</v>
      </c>
      <c r="V1895" s="190" t="str">
        <f>VLOOKUP(E1895,Valida!$A$2:$K$271,4,FALSE)</f>
        <v>Trade and other payables</v>
      </c>
      <c r="W1895" s="185" t="s">
        <v>1893</v>
      </c>
      <c r="X1895" s="185"/>
      <c r="Y1895" s="185" t="s">
        <v>1789</v>
      </c>
      <c r="Z1895"/>
    </row>
    <row r="1896" spans="1:26">
      <c r="A1896" s="185" t="s">
        <v>3064</v>
      </c>
      <c r="B1896" s="185" t="s">
        <v>3067</v>
      </c>
      <c r="C1896" s="185" t="s">
        <v>1890</v>
      </c>
      <c r="D1896" s="185" t="s">
        <v>3068</v>
      </c>
      <c r="E1896" s="185">
        <v>112005</v>
      </c>
      <c r="F1896" s="185" t="s">
        <v>24</v>
      </c>
      <c r="G1896" s="185" t="s">
        <v>2174</v>
      </c>
      <c r="H1896" s="185" t="s">
        <v>1628</v>
      </c>
      <c r="I1896" s="258" t="str">
        <f t="shared" si="88"/>
        <v>1</v>
      </c>
      <c r="J1896" s="221">
        <f t="shared" si="89"/>
        <v>-340000</v>
      </c>
      <c r="K1896" s="258">
        <f t="shared" si="90"/>
        <v>7</v>
      </c>
      <c r="L1896" s="188">
        <v>0</v>
      </c>
      <c r="M1896" s="188">
        <v>340000</v>
      </c>
      <c r="N1896" s="189">
        <v>899999061</v>
      </c>
      <c r="O1896"/>
      <c r="P1896" s="187">
        <v>45149.4554166667</v>
      </c>
      <c r="Q1896" s="186">
        <v>12829</v>
      </c>
      <c r="R1896" s="185"/>
      <c r="S1896" s="185" t="s">
        <v>1584</v>
      </c>
      <c r="T1896" t="s">
        <v>1894</v>
      </c>
      <c r="U1896" t="str">
        <f>IF($L1896&gt;0,VLOOKUP($E1896,Valida!$A$1:$G$270,6,FALSE),IF($M1896&gt;=0,VLOOKUP($E1896,Valida!$A$1:$G$270,7,FALSE)))</f>
        <v>Disponible</v>
      </c>
      <c r="V1896" s="190" t="str">
        <f>VLOOKUP(E1896,Valida!$A$2:$K$271,4,FALSE)</f>
        <v>Cash and equivalents</v>
      </c>
      <c r="W1896" s="185" t="s">
        <v>1893</v>
      </c>
      <c r="X1896" s="185"/>
      <c r="Y1896" s="185" t="s">
        <v>1789</v>
      </c>
      <c r="Z1896"/>
    </row>
    <row r="1897" spans="1:26">
      <c r="A1897" s="185" t="s">
        <v>3064</v>
      </c>
      <c r="B1897" s="185" t="s">
        <v>3067</v>
      </c>
      <c r="C1897" s="185" t="s">
        <v>1890</v>
      </c>
      <c r="D1897" s="185" t="s">
        <v>3068</v>
      </c>
      <c r="E1897" s="185">
        <v>53059510</v>
      </c>
      <c r="F1897" s="185" t="s">
        <v>1065</v>
      </c>
      <c r="G1897" s="185" t="s">
        <v>2174</v>
      </c>
      <c r="H1897" s="185" t="s">
        <v>1515</v>
      </c>
      <c r="I1897" s="258" t="str">
        <f t="shared" si="88"/>
        <v>5</v>
      </c>
      <c r="J1897" s="221">
        <f t="shared" si="89"/>
        <v>1000</v>
      </c>
      <c r="K1897" s="258">
        <f t="shared" si="90"/>
        <v>7</v>
      </c>
      <c r="L1897" s="188">
        <v>1000</v>
      </c>
      <c r="M1897" s="188">
        <v>0</v>
      </c>
      <c r="N1897" s="189">
        <v>899999061</v>
      </c>
      <c r="O1897"/>
      <c r="P1897" s="187">
        <v>45149.4554166667</v>
      </c>
      <c r="Q1897" s="186">
        <v>12830</v>
      </c>
      <c r="R1897" s="185"/>
      <c r="S1897" s="185" t="s">
        <v>1584</v>
      </c>
      <c r="T1897"/>
      <c r="U1897" t="str">
        <f>IF($L1897&gt;0,VLOOKUP($E1897,Valida!$A$1:$G$270,6,FALSE),IF($M1897&gt;=0,VLOOKUP($E1897,Valida!$A$1:$G$270,7,FALSE)))</f>
        <v>(+/-) Ganancia (pérdida)</v>
      </c>
      <c r="V1897" s="190" t="str">
        <f>VLOOKUP(E1897,Valida!$A$2:$K$271,4,FALSE)</f>
        <v>P&amp;L</v>
      </c>
      <c r="W1897" s="185" t="s">
        <v>1893</v>
      </c>
      <c r="X1897" s="185"/>
      <c r="Y1897" s="185" t="s">
        <v>1789</v>
      </c>
      <c r="Z1897"/>
    </row>
    <row r="1898" spans="1:26">
      <c r="A1898" s="185" t="s">
        <v>3064</v>
      </c>
      <c r="B1898" s="185" t="s">
        <v>3069</v>
      </c>
      <c r="C1898" s="185" t="s">
        <v>1890</v>
      </c>
      <c r="D1898" s="185" t="s">
        <v>3070</v>
      </c>
      <c r="E1898" s="185">
        <v>23359502</v>
      </c>
      <c r="F1898" s="185" t="s">
        <v>547</v>
      </c>
      <c r="G1898" s="185" t="s">
        <v>1921</v>
      </c>
      <c r="H1898" s="185" t="s">
        <v>1515</v>
      </c>
      <c r="I1898" s="258" t="str">
        <f t="shared" si="88"/>
        <v>2</v>
      </c>
      <c r="J1898" s="221">
        <f t="shared" si="89"/>
        <v>122016</v>
      </c>
      <c r="K1898" s="258">
        <f t="shared" si="90"/>
        <v>7</v>
      </c>
      <c r="L1898" s="188">
        <v>122016</v>
      </c>
      <c r="M1898" s="188">
        <v>0</v>
      </c>
      <c r="N1898" s="189">
        <v>900424409</v>
      </c>
      <c r="O1898"/>
      <c r="P1898" s="187">
        <v>45149.455925925897</v>
      </c>
      <c r="Q1898" s="186">
        <v>12831</v>
      </c>
      <c r="R1898" s="185" t="s">
        <v>844</v>
      </c>
      <c r="S1898" s="185" t="s">
        <v>1598</v>
      </c>
      <c r="T1898"/>
      <c r="U1898" t="str">
        <f>IF($L1898&gt;0,VLOOKUP($E1898,Valida!$A$1:$G$270,6,FALSE),IF($M1898&gt;=0,VLOOKUP($E1898,Valida!$A$1:$G$270,7,FALSE)))</f>
        <v>(+/-) Ajustes por el incremento (disminución) de cuentas por pagar de origen comercial</v>
      </c>
      <c r="V1898" s="190" t="str">
        <f>VLOOKUP(E1898,Valida!$A$2:$K$271,4,FALSE)</f>
        <v>Trade and other payables</v>
      </c>
      <c r="W1898" s="185" t="s">
        <v>1864</v>
      </c>
      <c r="X1898" s="185" t="s">
        <v>1865</v>
      </c>
      <c r="Y1898" s="185" t="s">
        <v>1789</v>
      </c>
      <c r="Z1898"/>
    </row>
    <row r="1899" spans="1:26">
      <c r="A1899" s="185" t="s">
        <v>3064</v>
      </c>
      <c r="B1899" s="185" t="s">
        <v>3069</v>
      </c>
      <c r="C1899" s="185" t="s">
        <v>1890</v>
      </c>
      <c r="D1899" s="185" t="s">
        <v>3070</v>
      </c>
      <c r="E1899" s="185">
        <v>112005</v>
      </c>
      <c r="F1899" s="185" t="s">
        <v>24</v>
      </c>
      <c r="G1899" s="185" t="s">
        <v>1921</v>
      </c>
      <c r="H1899" s="185" t="s">
        <v>1628</v>
      </c>
      <c r="I1899" s="258" t="str">
        <f t="shared" si="88"/>
        <v>1</v>
      </c>
      <c r="J1899" s="221">
        <f t="shared" si="89"/>
        <v>-122016</v>
      </c>
      <c r="K1899" s="258">
        <f t="shared" si="90"/>
        <v>7</v>
      </c>
      <c r="L1899" s="188">
        <v>0</v>
      </c>
      <c r="M1899" s="188">
        <v>122016</v>
      </c>
      <c r="N1899" s="189">
        <v>900424409</v>
      </c>
      <c r="O1899"/>
      <c r="P1899" s="187">
        <v>45149.455925925897</v>
      </c>
      <c r="Q1899" s="186">
        <v>12832</v>
      </c>
      <c r="R1899" s="185" t="s">
        <v>844</v>
      </c>
      <c r="S1899" s="185" t="s">
        <v>1598</v>
      </c>
      <c r="T1899" t="s">
        <v>1894</v>
      </c>
      <c r="U1899" t="str">
        <f>IF($L1899&gt;0,VLOOKUP($E1899,Valida!$A$1:$G$270,6,FALSE),IF($M1899&gt;=0,VLOOKUP($E1899,Valida!$A$1:$G$270,7,FALSE)))</f>
        <v>Disponible</v>
      </c>
      <c r="V1899" s="190" t="str">
        <f>VLOOKUP(E1899,Valida!$A$2:$K$271,4,FALSE)</f>
        <v>Cash and equivalents</v>
      </c>
      <c r="W1899" s="185" t="s">
        <v>1864</v>
      </c>
      <c r="X1899" s="185" t="s">
        <v>1865</v>
      </c>
      <c r="Y1899" s="185" t="s">
        <v>1789</v>
      </c>
      <c r="Z1899"/>
    </row>
    <row r="1900" spans="1:26">
      <c r="A1900" s="185" t="s">
        <v>3071</v>
      </c>
      <c r="B1900" s="185" t="s">
        <v>3072</v>
      </c>
      <c r="C1900" s="185" t="s">
        <v>1890</v>
      </c>
      <c r="D1900" s="185" t="s">
        <v>3073</v>
      </c>
      <c r="E1900" s="185">
        <v>23355004</v>
      </c>
      <c r="F1900" s="185" t="s">
        <v>513</v>
      </c>
      <c r="G1900" s="185" t="s">
        <v>1921</v>
      </c>
      <c r="H1900" s="185" t="s">
        <v>1515</v>
      </c>
      <c r="I1900" s="258" t="str">
        <f t="shared" si="88"/>
        <v>2</v>
      </c>
      <c r="J1900" s="221">
        <f t="shared" si="89"/>
        <v>2552000</v>
      </c>
      <c r="K1900" s="258">
        <f t="shared" si="90"/>
        <v>7</v>
      </c>
      <c r="L1900" s="188">
        <v>2552000</v>
      </c>
      <c r="M1900" s="188">
        <v>0</v>
      </c>
      <c r="N1900" s="189">
        <v>900994552</v>
      </c>
      <c r="O1900"/>
      <c r="P1900" s="187">
        <v>45149.456365740698</v>
      </c>
      <c r="Q1900" s="186">
        <v>12833</v>
      </c>
      <c r="R1900" s="185" t="s">
        <v>844</v>
      </c>
      <c r="S1900" s="185" t="s">
        <v>1606</v>
      </c>
      <c r="T1900"/>
      <c r="U1900" t="str">
        <f>IF($L1900&gt;0,VLOOKUP($E1900,Valida!$A$1:$G$270,6,FALSE),IF($M1900&gt;=0,VLOOKUP($E1900,Valida!$A$1:$G$270,7,FALSE)))</f>
        <v>(+/-) Ajustes por el incremento (disminución) de cuentas por pagar de origen comercial</v>
      </c>
      <c r="V1900" s="190" t="str">
        <f>VLOOKUP(E1900,Valida!$A$2:$K$271,4,FALSE)</f>
        <v>Trade and other payables</v>
      </c>
      <c r="W1900" s="185" t="s">
        <v>1796</v>
      </c>
      <c r="X1900" s="185" t="s">
        <v>1797</v>
      </c>
      <c r="Y1900" s="185" t="s">
        <v>1789</v>
      </c>
      <c r="Z1900"/>
    </row>
    <row r="1901" spans="1:26">
      <c r="A1901" s="185" t="s">
        <v>3071</v>
      </c>
      <c r="B1901" s="185" t="s">
        <v>3072</v>
      </c>
      <c r="C1901" s="185" t="s">
        <v>1890</v>
      </c>
      <c r="D1901" s="185" t="s">
        <v>3073</v>
      </c>
      <c r="E1901" s="185">
        <v>112005</v>
      </c>
      <c r="F1901" s="185" t="s">
        <v>24</v>
      </c>
      <c r="G1901" s="185" t="s">
        <v>1921</v>
      </c>
      <c r="H1901" s="185" t="s">
        <v>1628</v>
      </c>
      <c r="I1901" s="258" t="str">
        <f t="shared" si="88"/>
        <v>1</v>
      </c>
      <c r="J1901" s="221">
        <f t="shared" si="89"/>
        <v>-2552000</v>
      </c>
      <c r="K1901" s="258">
        <f t="shared" si="90"/>
        <v>7</v>
      </c>
      <c r="L1901" s="188">
        <v>0</v>
      </c>
      <c r="M1901" s="188">
        <v>2552000</v>
      </c>
      <c r="N1901" s="189">
        <v>900994552</v>
      </c>
      <c r="O1901"/>
      <c r="P1901" s="187">
        <v>45149.456365740698</v>
      </c>
      <c r="Q1901" s="186">
        <v>12834</v>
      </c>
      <c r="R1901" s="185" t="s">
        <v>844</v>
      </c>
      <c r="S1901" s="185" t="s">
        <v>1606</v>
      </c>
      <c r="T1901" t="s">
        <v>1894</v>
      </c>
      <c r="U1901" t="str">
        <f>IF($L1901&gt;0,VLOOKUP($E1901,Valida!$A$1:$G$270,6,FALSE),IF($M1901&gt;=0,VLOOKUP($E1901,Valida!$A$1:$G$270,7,FALSE)))</f>
        <v>Disponible</v>
      </c>
      <c r="V1901" s="190" t="str">
        <f>VLOOKUP(E1901,Valida!$A$2:$K$271,4,FALSE)</f>
        <v>Cash and equivalents</v>
      </c>
      <c r="W1901" s="185" t="s">
        <v>1796</v>
      </c>
      <c r="X1901" s="185" t="s">
        <v>1797</v>
      </c>
      <c r="Y1901" s="185" t="s">
        <v>1789</v>
      </c>
      <c r="Z1901"/>
    </row>
    <row r="1902" spans="1:26">
      <c r="A1902" s="185" t="s">
        <v>3071</v>
      </c>
      <c r="B1902" s="185" t="s">
        <v>3074</v>
      </c>
      <c r="C1902" s="185" t="s">
        <v>1890</v>
      </c>
      <c r="D1902" s="185" t="s">
        <v>3075</v>
      </c>
      <c r="E1902" s="185">
        <v>23355004</v>
      </c>
      <c r="F1902" s="185" t="s">
        <v>513</v>
      </c>
      <c r="G1902" s="185" t="s">
        <v>1921</v>
      </c>
      <c r="H1902" s="185" t="s">
        <v>1515</v>
      </c>
      <c r="I1902" s="258" t="str">
        <f t="shared" si="88"/>
        <v>2</v>
      </c>
      <c r="J1902" s="221">
        <f t="shared" si="89"/>
        <v>1630866</v>
      </c>
      <c r="K1902" s="258">
        <f t="shared" si="90"/>
        <v>7</v>
      </c>
      <c r="L1902" s="188">
        <v>1630866</v>
      </c>
      <c r="M1902" s="188">
        <v>0</v>
      </c>
      <c r="N1902" s="189">
        <v>900736537</v>
      </c>
      <c r="O1902"/>
      <c r="P1902" s="187">
        <v>45149.456759259301</v>
      </c>
      <c r="Q1902" s="186">
        <v>12835</v>
      </c>
      <c r="R1902" s="185" t="s">
        <v>1814</v>
      </c>
      <c r="S1902" s="185" t="s">
        <v>1602</v>
      </c>
      <c r="T1902"/>
      <c r="U1902" t="str">
        <f>IF($L1902&gt;0,VLOOKUP($E1902,Valida!$A$1:$G$270,6,FALSE),IF($M1902&gt;=0,VLOOKUP($E1902,Valida!$A$1:$G$270,7,FALSE)))</f>
        <v>(+/-) Ajustes por el incremento (disminución) de cuentas por pagar de origen comercial</v>
      </c>
      <c r="V1902" s="190" t="str">
        <f>VLOOKUP(E1902,Valida!$A$2:$K$271,4,FALSE)</f>
        <v>Trade and other payables</v>
      </c>
      <c r="W1902" s="185" t="s">
        <v>2985</v>
      </c>
      <c r="X1902" s="185" t="s">
        <v>2986</v>
      </c>
      <c r="Y1902" s="185" t="s">
        <v>1789</v>
      </c>
      <c r="Z1902"/>
    </row>
    <row r="1903" spans="1:26">
      <c r="A1903" s="185" t="s">
        <v>3071</v>
      </c>
      <c r="B1903" s="185" t="s">
        <v>3074</v>
      </c>
      <c r="C1903" s="185" t="s">
        <v>1890</v>
      </c>
      <c r="D1903" s="185" t="s">
        <v>3075</v>
      </c>
      <c r="E1903" s="185">
        <v>112005</v>
      </c>
      <c r="F1903" s="185" t="s">
        <v>24</v>
      </c>
      <c r="G1903" s="185" t="s">
        <v>1921</v>
      </c>
      <c r="H1903" s="185" t="s">
        <v>1628</v>
      </c>
      <c r="I1903" s="258" t="str">
        <f t="shared" si="88"/>
        <v>1</v>
      </c>
      <c r="J1903" s="221">
        <f t="shared" si="89"/>
        <v>-1630886</v>
      </c>
      <c r="K1903" s="258">
        <f t="shared" si="90"/>
        <v>7</v>
      </c>
      <c r="L1903" s="188">
        <v>0</v>
      </c>
      <c r="M1903" s="188">
        <v>1630886</v>
      </c>
      <c r="N1903" s="189">
        <v>900736537</v>
      </c>
      <c r="O1903"/>
      <c r="P1903" s="187">
        <v>45149.456770833298</v>
      </c>
      <c r="Q1903" s="186">
        <v>12836</v>
      </c>
      <c r="R1903" s="185" t="s">
        <v>1814</v>
      </c>
      <c r="S1903" s="185" t="s">
        <v>1602</v>
      </c>
      <c r="T1903" t="s">
        <v>1894</v>
      </c>
      <c r="U1903" t="str">
        <f>IF($L1903&gt;0,VLOOKUP($E1903,Valida!$A$1:$G$270,6,FALSE),IF($M1903&gt;=0,VLOOKUP($E1903,Valida!$A$1:$G$270,7,FALSE)))</f>
        <v>Disponible</v>
      </c>
      <c r="V1903" s="190" t="str">
        <f>VLOOKUP(E1903,Valida!$A$2:$K$271,4,FALSE)</f>
        <v>Cash and equivalents</v>
      </c>
      <c r="W1903" s="185" t="s">
        <v>2985</v>
      </c>
      <c r="X1903" s="185" t="s">
        <v>2986</v>
      </c>
      <c r="Y1903" s="185" t="s">
        <v>1789</v>
      </c>
      <c r="Z1903"/>
    </row>
    <row r="1904" spans="1:26">
      <c r="A1904" s="185" t="s">
        <v>3071</v>
      </c>
      <c r="B1904" s="185" t="s">
        <v>3076</v>
      </c>
      <c r="C1904" s="185" t="s">
        <v>1890</v>
      </c>
      <c r="D1904" s="185" t="s">
        <v>3077</v>
      </c>
      <c r="E1904" s="185">
        <v>237095</v>
      </c>
      <c r="F1904" s="185" t="s">
        <v>150</v>
      </c>
      <c r="G1904" s="185" t="s">
        <v>3078</v>
      </c>
      <c r="H1904" s="185" t="s">
        <v>1515</v>
      </c>
      <c r="I1904" s="258" t="str">
        <f t="shared" si="88"/>
        <v>2</v>
      </c>
      <c r="J1904" s="221">
        <f t="shared" si="89"/>
        <v>1863800</v>
      </c>
      <c r="K1904" s="258">
        <f t="shared" si="90"/>
        <v>7</v>
      </c>
      <c r="L1904" s="188">
        <v>1863800</v>
      </c>
      <c r="M1904" s="188">
        <v>0</v>
      </c>
      <c r="N1904" s="189">
        <v>860066942</v>
      </c>
      <c r="O1904"/>
      <c r="P1904" s="187">
        <v>45149.459189814799</v>
      </c>
      <c r="Q1904" s="186">
        <v>12837</v>
      </c>
      <c r="R1904" s="185" t="s">
        <v>1814</v>
      </c>
      <c r="S1904" s="185" t="s">
        <v>1574</v>
      </c>
      <c r="T1904"/>
      <c r="U1904" t="str">
        <f>IF($L1904&gt;0,VLOOKUP($E1904,Valida!$A$1:$G$270,6,FALSE),IF($M1904&gt;=0,VLOOKUP($E1904,Valida!$A$1:$G$270,7,FALSE)))</f>
        <v>(+/-) Ajustes por el incremento (disminución) de cuentas por pagar de origen comercial</v>
      </c>
      <c r="V1904" s="190" t="str">
        <f>VLOOKUP(E1904,Valida!$A$2:$K$271,4,FALSE)</f>
        <v>Trade and other payables</v>
      </c>
      <c r="W1904" s="185" t="s">
        <v>1914</v>
      </c>
      <c r="X1904" s="185" t="s">
        <v>1915</v>
      </c>
      <c r="Y1904" s="185" t="s">
        <v>1789</v>
      </c>
      <c r="Z1904"/>
    </row>
    <row r="1905" spans="1:26">
      <c r="A1905" s="185" t="s">
        <v>3071</v>
      </c>
      <c r="B1905" s="185" t="s">
        <v>3076</v>
      </c>
      <c r="C1905" s="185" t="s">
        <v>1890</v>
      </c>
      <c r="D1905" s="185" t="s">
        <v>3077</v>
      </c>
      <c r="E1905" s="185">
        <v>112005</v>
      </c>
      <c r="F1905" s="185" t="s">
        <v>24</v>
      </c>
      <c r="G1905" s="185" t="s">
        <v>3078</v>
      </c>
      <c r="H1905" s="185" t="s">
        <v>1628</v>
      </c>
      <c r="I1905" s="258" t="str">
        <f t="shared" si="88"/>
        <v>1</v>
      </c>
      <c r="J1905" s="221">
        <f t="shared" si="89"/>
        <v>-1863700</v>
      </c>
      <c r="K1905" s="258">
        <f t="shared" si="90"/>
        <v>7</v>
      </c>
      <c r="L1905" s="188">
        <v>0</v>
      </c>
      <c r="M1905" s="188">
        <v>1863700</v>
      </c>
      <c r="N1905" s="189">
        <v>860066942</v>
      </c>
      <c r="O1905"/>
      <c r="P1905" s="187">
        <v>45149.459189814799</v>
      </c>
      <c r="Q1905" s="186">
        <v>12838</v>
      </c>
      <c r="R1905" s="185" t="s">
        <v>1814</v>
      </c>
      <c r="S1905" s="185" t="s">
        <v>1574</v>
      </c>
      <c r="T1905" t="s">
        <v>1894</v>
      </c>
      <c r="U1905" t="str">
        <f>IF($L1905&gt;0,VLOOKUP($E1905,Valida!$A$1:$G$270,6,FALSE),IF($M1905&gt;=0,VLOOKUP($E1905,Valida!$A$1:$G$270,7,FALSE)))</f>
        <v>Disponible</v>
      </c>
      <c r="V1905" s="190" t="str">
        <f>VLOOKUP(E1905,Valida!$A$2:$K$271,4,FALSE)</f>
        <v>Cash and equivalents</v>
      </c>
      <c r="W1905" s="185" t="s">
        <v>1914</v>
      </c>
      <c r="X1905" s="185" t="s">
        <v>1915</v>
      </c>
      <c r="Y1905" s="185" t="s">
        <v>1789</v>
      </c>
      <c r="Z1905"/>
    </row>
    <row r="1906" spans="1:26">
      <c r="A1906" s="185" t="s">
        <v>3071</v>
      </c>
      <c r="B1906" s="185" t="s">
        <v>3076</v>
      </c>
      <c r="C1906" s="185" t="s">
        <v>1890</v>
      </c>
      <c r="D1906" s="185" t="s">
        <v>3077</v>
      </c>
      <c r="E1906" s="185">
        <v>53059510</v>
      </c>
      <c r="F1906" s="185" t="s">
        <v>1065</v>
      </c>
      <c r="G1906" s="185" t="s">
        <v>3078</v>
      </c>
      <c r="H1906" s="185" t="s">
        <v>1628</v>
      </c>
      <c r="I1906" s="258" t="str">
        <f t="shared" si="88"/>
        <v>5</v>
      </c>
      <c r="J1906" s="221">
        <f t="shared" si="89"/>
        <v>-100</v>
      </c>
      <c r="K1906" s="258">
        <f t="shared" si="90"/>
        <v>7</v>
      </c>
      <c r="L1906" s="188">
        <v>0</v>
      </c>
      <c r="M1906" s="188">
        <v>100</v>
      </c>
      <c r="N1906" s="189">
        <v>860066942</v>
      </c>
      <c r="O1906"/>
      <c r="P1906" s="187">
        <v>45149.459189814799</v>
      </c>
      <c r="Q1906" s="186">
        <v>12839</v>
      </c>
      <c r="R1906" s="185" t="s">
        <v>1814</v>
      </c>
      <c r="S1906" s="185" t="s">
        <v>1574</v>
      </c>
      <c r="T1906"/>
      <c r="U1906" t="str">
        <f>IF($L1906&gt;0,VLOOKUP($E1906,Valida!$A$1:$G$270,6,FALSE),IF($M1906&gt;=0,VLOOKUP($E1906,Valida!$A$1:$G$270,7,FALSE)))</f>
        <v>(+/-) Ganancia (pérdida)</v>
      </c>
      <c r="V1906" s="190" t="str">
        <f>VLOOKUP(E1906,Valida!$A$2:$K$271,4,FALSE)</f>
        <v>P&amp;L</v>
      </c>
      <c r="W1906" s="185" t="s">
        <v>1914</v>
      </c>
      <c r="X1906" s="185" t="s">
        <v>1915</v>
      </c>
      <c r="Y1906" s="185" t="s">
        <v>1789</v>
      </c>
      <c r="Z1906"/>
    </row>
    <row r="1907" spans="1:26">
      <c r="A1907" s="185" t="s">
        <v>3042</v>
      </c>
      <c r="B1907" s="185" t="s">
        <v>3044</v>
      </c>
      <c r="C1907" s="185" t="s">
        <v>1785</v>
      </c>
      <c r="D1907" s="185" t="s">
        <v>2382</v>
      </c>
      <c r="E1907" s="185">
        <v>53059510</v>
      </c>
      <c r="F1907" s="185" t="s">
        <v>1065</v>
      </c>
      <c r="G1907" s="185" t="s">
        <v>1986</v>
      </c>
      <c r="H1907" s="185" t="s">
        <v>1515</v>
      </c>
      <c r="I1907" s="258" t="str">
        <f t="shared" si="88"/>
        <v>5</v>
      </c>
      <c r="J1907" s="221">
        <f t="shared" si="89"/>
        <v>277</v>
      </c>
      <c r="K1907" s="258">
        <f t="shared" si="90"/>
        <v>7</v>
      </c>
      <c r="L1907" s="188">
        <v>277</v>
      </c>
      <c r="M1907" s="188">
        <v>0</v>
      </c>
      <c r="N1907" s="189">
        <v>860066942</v>
      </c>
      <c r="O1907"/>
      <c r="P1907" s="187">
        <v>45149</v>
      </c>
      <c r="Q1907" s="186">
        <v>12840</v>
      </c>
      <c r="R1907" s="185" t="s">
        <v>1814</v>
      </c>
      <c r="S1907" s="185" t="s">
        <v>1574</v>
      </c>
      <c r="T1907"/>
      <c r="U1907" t="str">
        <f>IF($L1907&gt;0,VLOOKUP($E1907,Valida!$A$1:$G$270,6,FALSE),IF($M1907&gt;=0,VLOOKUP($E1907,Valida!$A$1:$G$270,7,FALSE)))</f>
        <v>(+/-) Ganancia (pérdida)</v>
      </c>
      <c r="V1907" s="190" t="str">
        <f>VLOOKUP(E1907,Valida!$A$2:$K$271,4,FALSE)</f>
        <v>P&amp;L</v>
      </c>
      <c r="W1907" s="185" t="s">
        <v>1914</v>
      </c>
      <c r="X1907" s="185" t="s">
        <v>1915</v>
      </c>
      <c r="Y1907" s="185" t="s">
        <v>1789</v>
      </c>
      <c r="Z1907"/>
    </row>
    <row r="1908" spans="1:26">
      <c r="A1908" s="185" t="s">
        <v>2907</v>
      </c>
      <c r="B1908" s="185" t="s">
        <v>2908</v>
      </c>
      <c r="C1908" s="185" t="s">
        <v>1890</v>
      </c>
      <c r="D1908" s="185" t="s">
        <v>2909</v>
      </c>
      <c r="E1908" s="185">
        <v>53059510</v>
      </c>
      <c r="F1908" s="185" t="s">
        <v>1065</v>
      </c>
      <c r="G1908" s="185" t="s">
        <v>2906</v>
      </c>
      <c r="H1908" s="185" t="s">
        <v>1515</v>
      </c>
      <c r="I1908" s="258" t="str">
        <f t="shared" si="88"/>
        <v>5</v>
      </c>
      <c r="J1908" s="221">
        <f t="shared" si="89"/>
        <v>10</v>
      </c>
      <c r="K1908" s="258">
        <f t="shared" si="90"/>
        <v>6</v>
      </c>
      <c r="L1908" s="188">
        <v>10</v>
      </c>
      <c r="M1908" s="188">
        <v>0</v>
      </c>
      <c r="N1908" s="189">
        <v>1000036375</v>
      </c>
      <c r="O1908" t="s">
        <v>2908</v>
      </c>
      <c r="P1908" s="187">
        <v>45149</v>
      </c>
      <c r="Q1908" s="186">
        <v>12841</v>
      </c>
      <c r="R1908" s="185"/>
      <c r="S1908" s="185" t="s">
        <v>1524</v>
      </c>
      <c r="T1908"/>
      <c r="U1908" t="str">
        <f>IF($L1908&gt;0,VLOOKUP($E1908,Valida!$A$1:$G$270,6,FALSE),IF($M1908&gt;=0,VLOOKUP($E1908,Valida!$A$1:$G$270,7,FALSE)))</f>
        <v>(+/-) Ganancia (pérdida)</v>
      </c>
      <c r="V1908" s="190" t="str">
        <f>VLOOKUP(E1908,Valida!$A$2:$K$271,4,FALSE)</f>
        <v>P&amp;L</v>
      </c>
      <c r="W1908" s="185" t="s">
        <v>1983</v>
      </c>
      <c r="X1908" s="185"/>
      <c r="Y1908" s="185" t="s">
        <v>1789</v>
      </c>
      <c r="Z1908"/>
    </row>
    <row r="1909" spans="1:26">
      <c r="A1909" s="185" t="s">
        <v>3071</v>
      </c>
      <c r="B1909" s="185" t="s">
        <v>3074</v>
      </c>
      <c r="C1909" s="185" t="s">
        <v>1890</v>
      </c>
      <c r="D1909" s="185" t="s">
        <v>3075</v>
      </c>
      <c r="E1909" s="185">
        <v>53059510</v>
      </c>
      <c r="F1909" s="185" t="s">
        <v>1065</v>
      </c>
      <c r="G1909" s="185" t="s">
        <v>1921</v>
      </c>
      <c r="H1909" s="185" t="s">
        <v>1515</v>
      </c>
      <c r="I1909" s="258" t="str">
        <f t="shared" si="88"/>
        <v>5</v>
      </c>
      <c r="J1909" s="221">
        <f t="shared" si="89"/>
        <v>20</v>
      </c>
      <c r="K1909" s="258">
        <f t="shared" si="90"/>
        <v>7</v>
      </c>
      <c r="L1909" s="188">
        <v>20</v>
      </c>
      <c r="M1909" s="188">
        <v>0</v>
      </c>
      <c r="N1909" s="189">
        <v>900736537</v>
      </c>
      <c r="O1909"/>
      <c r="P1909" s="187">
        <v>45149</v>
      </c>
      <c r="Q1909" s="186">
        <v>12842</v>
      </c>
      <c r="R1909" s="185" t="s">
        <v>1814</v>
      </c>
      <c r="S1909" s="185" t="s">
        <v>1602</v>
      </c>
      <c r="T1909"/>
      <c r="U1909" t="str">
        <f>IF($L1909&gt;0,VLOOKUP($E1909,Valida!$A$1:$G$270,6,FALSE),IF($M1909&gt;=0,VLOOKUP($E1909,Valida!$A$1:$G$270,7,FALSE)))</f>
        <v>(+/-) Ganancia (pérdida)</v>
      </c>
      <c r="V1909" s="190" t="str">
        <f>VLOOKUP(E1909,Valida!$A$2:$K$271,4,FALSE)</f>
        <v>P&amp;L</v>
      </c>
      <c r="W1909" s="185" t="s">
        <v>2985</v>
      </c>
      <c r="X1909" s="185" t="s">
        <v>2986</v>
      </c>
      <c r="Y1909" s="185" t="s">
        <v>1789</v>
      </c>
      <c r="Z1909"/>
    </row>
    <row r="1910" spans="1:26">
      <c r="A1910" s="185" t="s">
        <v>3042</v>
      </c>
      <c r="B1910" s="185" t="s">
        <v>3079</v>
      </c>
      <c r="C1910" s="185" t="s">
        <v>1991</v>
      </c>
      <c r="D1910" s="185" t="s">
        <v>3080</v>
      </c>
      <c r="E1910" s="185">
        <v>23657502</v>
      </c>
      <c r="F1910" s="185" t="s">
        <v>1646</v>
      </c>
      <c r="G1910" s="185" t="s">
        <v>646</v>
      </c>
      <c r="H1910" s="185" t="s">
        <v>1628</v>
      </c>
      <c r="I1910" s="258" t="str">
        <f t="shared" si="88"/>
        <v>2</v>
      </c>
      <c r="J1910" s="221">
        <f t="shared" si="89"/>
        <v>-947565</v>
      </c>
      <c r="K1910" s="258">
        <f t="shared" si="90"/>
        <v>7</v>
      </c>
      <c r="L1910" s="188">
        <v>0</v>
      </c>
      <c r="M1910" s="188">
        <v>947565</v>
      </c>
      <c r="N1910" s="189">
        <v>800197268</v>
      </c>
      <c r="O1910"/>
      <c r="P1910" s="187">
        <v>45152.414305555598</v>
      </c>
      <c r="Q1910" s="186">
        <v>12843</v>
      </c>
      <c r="R1910" s="185" t="s">
        <v>983</v>
      </c>
      <c r="S1910" s="185" t="s">
        <v>1558</v>
      </c>
      <c r="T1910"/>
      <c r="U1910" t="str">
        <f>IF($L1910&gt;0,VLOOKUP($E1910,Valida!$A$1:$G$270,6,FALSE),IF($M1910&gt;=0,VLOOKUP($E1910,Valida!$A$1:$G$270,7,FALSE)))</f>
        <v>(+/-) Ajustes por el incremento (disminución) de cuentas por pagar de origen comercial</v>
      </c>
      <c r="V1910" s="190" t="str">
        <f>VLOOKUP(E1910,Valida!$A$2:$K$271,4,FALSE)</f>
        <v>Trade and other payables</v>
      </c>
      <c r="W1910" s="185" t="s">
        <v>1944</v>
      </c>
      <c r="X1910" s="185"/>
      <c r="Y1910" s="185" t="s">
        <v>1789</v>
      </c>
      <c r="Z1910"/>
    </row>
    <row r="1911" spans="1:26">
      <c r="A1911" s="185" t="s">
        <v>3042</v>
      </c>
      <c r="B1911" s="185" t="s">
        <v>3079</v>
      </c>
      <c r="C1911" s="185" t="s">
        <v>1991</v>
      </c>
      <c r="D1911" s="185" t="s">
        <v>3080</v>
      </c>
      <c r="E1911" s="185">
        <v>13551901</v>
      </c>
      <c r="F1911" s="185" t="s">
        <v>271</v>
      </c>
      <c r="G1911" s="185" t="s">
        <v>646</v>
      </c>
      <c r="H1911" s="185" t="s">
        <v>1515</v>
      </c>
      <c r="I1911" s="258" t="str">
        <f t="shared" si="88"/>
        <v>1</v>
      </c>
      <c r="J1911" s="221">
        <f t="shared" si="89"/>
        <v>947565</v>
      </c>
      <c r="K1911" s="258">
        <f t="shared" si="90"/>
        <v>7</v>
      </c>
      <c r="L1911" s="188">
        <v>947565</v>
      </c>
      <c r="M1911" s="188">
        <v>0</v>
      </c>
      <c r="N1911" s="189">
        <v>800197268</v>
      </c>
      <c r="O1911"/>
      <c r="P1911" s="187">
        <v>45152.414305555598</v>
      </c>
      <c r="Q1911" s="186">
        <v>12844</v>
      </c>
      <c r="R1911" s="185" t="s">
        <v>983</v>
      </c>
      <c r="S1911" s="185" t="s">
        <v>1558</v>
      </c>
      <c r="T1911"/>
      <c r="U1911" t="str">
        <f>IF($L1911&gt;0,VLOOKUP($E1911,Valida!$A$1:$G$270,6,FALSE),IF($M1911&gt;=0,VLOOKUP($E1911,Valida!$A$1:$G$270,7,FALSE)))</f>
        <v>(+/-) Ajustes por disminuciones (incrementos) en otras cuentas por cobrar derivadas de las actividades de operación</v>
      </c>
      <c r="V1911" s="190" t="str">
        <f>VLOOKUP(E1911,Valida!$A$2:$K$271,4,FALSE)</f>
        <v>Prepayments: Taxes</v>
      </c>
      <c r="W1911" s="185" t="s">
        <v>1944</v>
      </c>
      <c r="X1911" s="185"/>
      <c r="Y1911" s="185" t="s">
        <v>1789</v>
      </c>
      <c r="Z1911"/>
    </row>
    <row r="1912" spans="1:26">
      <c r="A1912" s="185" t="s">
        <v>3047</v>
      </c>
      <c r="B1912" s="185" t="s">
        <v>3081</v>
      </c>
      <c r="C1912" s="185" t="s">
        <v>1785</v>
      </c>
      <c r="D1912" s="185" t="s">
        <v>2727</v>
      </c>
      <c r="E1912" s="185">
        <v>236595</v>
      </c>
      <c r="F1912" s="185" t="s">
        <v>648</v>
      </c>
      <c r="G1912" s="185" t="s">
        <v>3082</v>
      </c>
      <c r="H1912" s="185" t="s">
        <v>1628</v>
      </c>
      <c r="I1912" s="258" t="str">
        <f t="shared" si="88"/>
        <v>2</v>
      </c>
      <c r="J1912" s="221">
        <f t="shared" si="89"/>
        <v>-2309</v>
      </c>
      <c r="K1912" s="258">
        <f t="shared" si="90"/>
        <v>7</v>
      </c>
      <c r="L1912" s="188">
        <v>0</v>
      </c>
      <c r="M1912" s="188">
        <v>2309</v>
      </c>
      <c r="N1912" s="189">
        <v>800197268</v>
      </c>
      <c r="O1912"/>
      <c r="P1912" s="187">
        <v>45152.430983796301</v>
      </c>
      <c r="Q1912" s="186">
        <v>12845</v>
      </c>
      <c r="R1912" s="185" t="s">
        <v>983</v>
      </c>
      <c r="S1912" s="185" t="s">
        <v>1558</v>
      </c>
      <c r="T1912"/>
      <c r="U1912" t="str">
        <f>IF($L1912&gt;0,VLOOKUP($E1912,Valida!$A$1:$G$270,6,FALSE),IF($M1912&gt;=0,VLOOKUP($E1912,Valida!$A$1:$G$270,7,FALSE)))</f>
        <v>(+/-) Ajustes por el incremento (disminución) de cuentas por pagar de origen comercial</v>
      </c>
      <c r="V1912" s="190" t="str">
        <f>VLOOKUP(E1912,Valida!$A$2:$K$271,4,FALSE)</f>
        <v>Trade and other payables</v>
      </c>
      <c r="W1912" s="185" t="s">
        <v>1944</v>
      </c>
      <c r="X1912" s="185"/>
      <c r="Y1912" s="185" t="s">
        <v>1789</v>
      </c>
      <c r="Z1912"/>
    </row>
    <row r="1913" spans="1:26">
      <c r="A1913" s="185" t="s">
        <v>3047</v>
      </c>
      <c r="B1913" s="185" t="s">
        <v>3081</v>
      </c>
      <c r="C1913" s="185" t="s">
        <v>1785</v>
      </c>
      <c r="D1913" s="185" t="s">
        <v>2727</v>
      </c>
      <c r="E1913" s="185">
        <v>53059510</v>
      </c>
      <c r="F1913" s="185" t="s">
        <v>1065</v>
      </c>
      <c r="G1913" s="185" t="s">
        <v>3082</v>
      </c>
      <c r="H1913" s="185" t="s">
        <v>1515</v>
      </c>
      <c r="I1913" s="258" t="str">
        <f t="shared" si="88"/>
        <v>5</v>
      </c>
      <c r="J1913" s="221">
        <f t="shared" si="89"/>
        <v>2309</v>
      </c>
      <c r="K1913" s="258">
        <f t="shared" si="90"/>
        <v>7</v>
      </c>
      <c r="L1913" s="188">
        <v>2309</v>
      </c>
      <c r="M1913" s="188">
        <v>0</v>
      </c>
      <c r="N1913" s="189">
        <v>800197268</v>
      </c>
      <c r="O1913"/>
      <c r="P1913" s="187">
        <v>45152.430983796301</v>
      </c>
      <c r="Q1913" s="186">
        <v>12846</v>
      </c>
      <c r="R1913" s="185" t="s">
        <v>983</v>
      </c>
      <c r="S1913" s="185" t="s">
        <v>1558</v>
      </c>
      <c r="T1913"/>
      <c r="U1913" t="str">
        <f>IF($L1913&gt;0,VLOOKUP($E1913,Valida!$A$1:$G$270,6,FALSE),IF($M1913&gt;=0,VLOOKUP($E1913,Valida!$A$1:$G$270,7,FALSE)))</f>
        <v>(+/-) Ganancia (pérdida)</v>
      </c>
      <c r="V1913" s="190" t="str">
        <f>VLOOKUP(E1913,Valida!$A$2:$K$271,4,FALSE)</f>
        <v>P&amp;L</v>
      </c>
      <c r="W1913" s="185" t="s">
        <v>1944</v>
      </c>
      <c r="X1913" s="185"/>
      <c r="Y1913" s="185" t="s">
        <v>1789</v>
      </c>
      <c r="Z1913"/>
    </row>
    <row r="1914" spans="1:26">
      <c r="A1914" s="185" t="s">
        <v>3047</v>
      </c>
      <c r="B1914" s="185" t="s">
        <v>3083</v>
      </c>
      <c r="C1914" s="185" t="s">
        <v>1991</v>
      </c>
      <c r="D1914" s="185" t="s">
        <v>3084</v>
      </c>
      <c r="E1914" s="185">
        <v>23653001</v>
      </c>
      <c r="F1914" s="185" t="s">
        <v>611</v>
      </c>
      <c r="G1914" s="185" t="s">
        <v>3085</v>
      </c>
      <c r="H1914" s="185" t="s">
        <v>1515</v>
      </c>
      <c r="I1914" s="258" t="str">
        <f t="shared" si="88"/>
        <v>2</v>
      </c>
      <c r="J1914" s="221">
        <f t="shared" si="89"/>
        <v>446250</v>
      </c>
      <c r="K1914" s="258">
        <f t="shared" si="90"/>
        <v>7</v>
      </c>
      <c r="L1914" s="188">
        <v>446250</v>
      </c>
      <c r="M1914" s="188">
        <v>0</v>
      </c>
      <c r="N1914" s="189">
        <v>800197268</v>
      </c>
      <c r="O1914"/>
      <c r="P1914" s="187">
        <v>45152.432847222197</v>
      </c>
      <c r="Q1914" s="186">
        <v>12847</v>
      </c>
      <c r="R1914" s="185" t="s">
        <v>983</v>
      </c>
      <c r="S1914" s="185" t="s">
        <v>1558</v>
      </c>
      <c r="T1914"/>
      <c r="U1914" t="str">
        <f>IF($L1914&gt;0,VLOOKUP($E1914,Valida!$A$1:$G$270,6,FALSE),IF($M1914&gt;=0,VLOOKUP($E1914,Valida!$A$1:$G$270,7,FALSE)))</f>
        <v>(+/-) Ajustes por el incremento (disminución) de cuentas por pagar de origen comercial</v>
      </c>
      <c r="V1914" s="190" t="str">
        <f>VLOOKUP(E1914,Valida!$A$2:$K$271,4,FALSE)</f>
        <v>Trade and other payables</v>
      </c>
      <c r="W1914" s="185" t="s">
        <v>1944</v>
      </c>
      <c r="X1914" s="185"/>
      <c r="Y1914" s="185" t="s">
        <v>1789</v>
      </c>
      <c r="Z1914"/>
    </row>
    <row r="1915" spans="1:26">
      <c r="A1915" s="185" t="s">
        <v>3047</v>
      </c>
      <c r="B1915" s="185" t="s">
        <v>3083</v>
      </c>
      <c r="C1915" s="185" t="s">
        <v>1991</v>
      </c>
      <c r="D1915" s="185" t="s">
        <v>3084</v>
      </c>
      <c r="E1915" s="185">
        <v>23653002</v>
      </c>
      <c r="F1915" s="185" t="s">
        <v>241</v>
      </c>
      <c r="G1915" s="185" t="s">
        <v>3085</v>
      </c>
      <c r="H1915" s="185" t="s">
        <v>1515</v>
      </c>
      <c r="I1915" s="258" t="str">
        <f t="shared" si="88"/>
        <v>2</v>
      </c>
      <c r="J1915" s="221">
        <f t="shared" si="89"/>
        <v>4280</v>
      </c>
      <c r="K1915" s="258">
        <f t="shared" si="90"/>
        <v>7</v>
      </c>
      <c r="L1915" s="188">
        <v>4280</v>
      </c>
      <c r="M1915" s="188">
        <v>0</v>
      </c>
      <c r="N1915" s="189">
        <v>800197268</v>
      </c>
      <c r="O1915"/>
      <c r="P1915" s="187">
        <v>45152.432847222197</v>
      </c>
      <c r="Q1915" s="186">
        <v>12848</v>
      </c>
      <c r="R1915" s="185" t="s">
        <v>983</v>
      </c>
      <c r="S1915" s="185" t="s">
        <v>1558</v>
      </c>
      <c r="T1915"/>
      <c r="U1915" t="str">
        <f>IF($L1915&gt;0,VLOOKUP($E1915,Valida!$A$1:$G$270,6,FALSE),IF($M1915&gt;=0,VLOOKUP($E1915,Valida!$A$1:$G$270,7,FALSE)))</f>
        <v>(+/-) Ajustes por el incremento (disminución) de cuentas por pagar de origen comercial</v>
      </c>
      <c r="V1915" s="190" t="str">
        <f>VLOOKUP(E1915,Valida!$A$2:$K$271,4,FALSE)</f>
        <v>Trade and other payables</v>
      </c>
      <c r="W1915" s="185" t="s">
        <v>1944</v>
      </c>
      <c r="X1915" s="185"/>
      <c r="Y1915" s="185" t="s">
        <v>1789</v>
      </c>
      <c r="Z1915"/>
    </row>
    <row r="1916" spans="1:26">
      <c r="A1916" s="185" t="s">
        <v>3047</v>
      </c>
      <c r="B1916" s="185" t="s">
        <v>3083</v>
      </c>
      <c r="C1916" s="185" t="s">
        <v>1991</v>
      </c>
      <c r="D1916" s="185" t="s">
        <v>3084</v>
      </c>
      <c r="E1916" s="185">
        <v>23654001</v>
      </c>
      <c r="F1916" s="185" t="s">
        <v>622</v>
      </c>
      <c r="G1916" s="185" t="s">
        <v>3085</v>
      </c>
      <c r="H1916" s="185" t="s">
        <v>1515</v>
      </c>
      <c r="I1916" s="258" t="str">
        <f t="shared" si="88"/>
        <v>2</v>
      </c>
      <c r="J1916" s="221">
        <f t="shared" si="89"/>
        <v>42818</v>
      </c>
      <c r="K1916" s="258">
        <f t="shared" si="90"/>
        <v>7</v>
      </c>
      <c r="L1916" s="188">
        <v>42818</v>
      </c>
      <c r="M1916" s="188">
        <v>0</v>
      </c>
      <c r="N1916" s="189">
        <v>800197268</v>
      </c>
      <c r="O1916"/>
      <c r="P1916" s="187">
        <v>45152.432847222197</v>
      </c>
      <c r="Q1916" s="186">
        <v>12849</v>
      </c>
      <c r="R1916" s="185" t="s">
        <v>983</v>
      </c>
      <c r="S1916" s="185" t="s">
        <v>1558</v>
      </c>
      <c r="T1916"/>
      <c r="U1916" t="str">
        <f>IF($L1916&gt;0,VLOOKUP($E1916,Valida!$A$1:$G$270,6,FALSE),IF($M1916&gt;=0,VLOOKUP($E1916,Valida!$A$1:$G$270,7,FALSE)))</f>
        <v>(+/-) Ajustes por el incremento (disminución) de cuentas por pagar de origen comercial</v>
      </c>
      <c r="V1916" s="190" t="str">
        <f>VLOOKUP(E1916,Valida!$A$2:$K$271,4,FALSE)</f>
        <v>Trade and other payables</v>
      </c>
      <c r="W1916" s="185" t="s">
        <v>1944</v>
      </c>
      <c r="X1916" s="185"/>
      <c r="Y1916" s="185" t="s">
        <v>1789</v>
      </c>
      <c r="Z1916"/>
    </row>
    <row r="1917" spans="1:26">
      <c r="A1917" s="185" t="s">
        <v>3047</v>
      </c>
      <c r="B1917" s="185" t="s">
        <v>3083</v>
      </c>
      <c r="C1917" s="185" t="s">
        <v>1991</v>
      </c>
      <c r="D1917" s="185" t="s">
        <v>3084</v>
      </c>
      <c r="E1917" s="185">
        <v>23657502</v>
      </c>
      <c r="F1917" s="185" t="s">
        <v>1646</v>
      </c>
      <c r="G1917" s="185" t="s">
        <v>3085</v>
      </c>
      <c r="H1917" s="185" t="s">
        <v>1515</v>
      </c>
      <c r="I1917" s="258" t="str">
        <f t="shared" si="88"/>
        <v>2</v>
      </c>
      <c r="J1917" s="221">
        <f t="shared" si="89"/>
        <v>947565</v>
      </c>
      <c r="K1917" s="258">
        <f t="shared" si="90"/>
        <v>7</v>
      </c>
      <c r="L1917" s="188">
        <v>947565</v>
      </c>
      <c r="M1917" s="188">
        <v>0</v>
      </c>
      <c r="N1917" s="189">
        <v>800197268</v>
      </c>
      <c r="O1917"/>
      <c r="P1917" s="187">
        <v>45152.432847222197</v>
      </c>
      <c r="Q1917" s="186">
        <v>12850</v>
      </c>
      <c r="R1917" s="185" t="s">
        <v>983</v>
      </c>
      <c r="S1917" s="185" t="s">
        <v>1558</v>
      </c>
      <c r="T1917"/>
      <c r="U1917" t="str">
        <f>IF($L1917&gt;0,VLOOKUP($E1917,Valida!$A$1:$G$270,6,FALSE),IF($M1917&gt;=0,VLOOKUP($E1917,Valida!$A$1:$G$270,7,FALSE)))</f>
        <v>(+/-) Ajustes por el incremento (disminución) de cuentas por pagar de origen comercial</v>
      </c>
      <c r="V1917" s="190" t="str">
        <f>VLOOKUP(E1917,Valida!$A$2:$K$271,4,FALSE)</f>
        <v>Trade and other payables</v>
      </c>
      <c r="W1917" s="185" t="s">
        <v>1944</v>
      </c>
      <c r="X1917" s="185"/>
      <c r="Y1917" s="185" t="s">
        <v>1789</v>
      </c>
      <c r="Z1917"/>
    </row>
    <row r="1918" spans="1:26">
      <c r="A1918" s="185" t="s">
        <v>3047</v>
      </c>
      <c r="B1918" s="185" t="s">
        <v>3083</v>
      </c>
      <c r="C1918" s="185" t="s">
        <v>1991</v>
      </c>
      <c r="D1918" s="185" t="s">
        <v>3084</v>
      </c>
      <c r="E1918" s="185">
        <v>236595</v>
      </c>
      <c r="F1918" s="185" t="s">
        <v>648</v>
      </c>
      <c r="G1918" s="185" t="s">
        <v>3085</v>
      </c>
      <c r="H1918" s="185" t="s">
        <v>1628</v>
      </c>
      <c r="I1918" s="258" t="str">
        <f t="shared" si="88"/>
        <v>2</v>
      </c>
      <c r="J1918" s="221">
        <f t="shared" si="89"/>
        <v>-1442000</v>
      </c>
      <c r="K1918" s="258">
        <f t="shared" si="90"/>
        <v>7</v>
      </c>
      <c r="L1918" s="188">
        <v>0</v>
      </c>
      <c r="M1918" s="188">
        <v>1442000</v>
      </c>
      <c r="N1918" s="189">
        <v>800197268</v>
      </c>
      <c r="O1918"/>
      <c r="P1918" s="187">
        <v>45152.432847222197</v>
      </c>
      <c r="Q1918" s="186">
        <v>12851</v>
      </c>
      <c r="R1918" s="185" t="s">
        <v>983</v>
      </c>
      <c r="S1918" s="185" t="s">
        <v>1558</v>
      </c>
      <c r="T1918"/>
      <c r="U1918" t="str">
        <f>IF($L1918&gt;0,VLOOKUP($E1918,Valida!$A$1:$G$270,6,FALSE),IF($M1918&gt;=0,VLOOKUP($E1918,Valida!$A$1:$G$270,7,FALSE)))</f>
        <v>(+/-) Ajustes por el incremento (disminución) de cuentas por pagar de origen comercial</v>
      </c>
      <c r="V1918" s="190" t="str">
        <f>VLOOKUP(E1918,Valida!$A$2:$K$271,4,FALSE)</f>
        <v>Trade and other payables</v>
      </c>
      <c r="W1918" s="185" t="s">
        <v>1944</v>
      </c>
      <c r="X1918" s="185"/>
      <c r="Y1918" s="185" t="s">
        <v>1789</v>
      </c>
      <c r="Z1918"/>
    </row>
    <row r="1919" spans="1:26">
      <c r="A1919" s="185" t="s">
        <v>3047</v>
      </c>
      <c r="B1919" s="185" t="s">
        <v>3083</v>
      </c>
      <c r="C1919" s="185" t="s">
        <v>1991</v>
      </c>
      <c r="D1919" s="185" t="s">
        <v>3084</v>
      </c>
      <c r="E1919" s="185">
        <v>53059510</v>
      </c>
      <c r="F1919" s="185" t="s">
        <v>1065</v>
      </c>
      <c r="G1919" s="185" t="s">
        <v>3085</v>
      </c>
      <c r="H1919" s="185" t="s">
        <v>1515</v>
      </c>
      <c r="I1919" s="258" t="str">
        <f t="shared" si="88"/>
        <v>5</v>
      </c>
      <c r="J1919" s="221">
        <f t="shared" si="89"/>
        <v>1087</v>
      </c>
      <c r="K1919" s="258">
        <f t="shared" si="90"/>
        <v>7</v>
      </c>
      <c r="L1919" s="188">
        <v>1087</v>
      </c>
      <c r="M1919" s="188">
        <v>0</v>
      </c>
      <c r="N1919" s="189">
        <v>800197268</v>
      </c>
      <c r="O1919"/>
      <c r="P1919" s="187">
        <v>45152.432847222197</v>
      </c>
      <c r="Q1919" s="186">
        <v>12852</v>
      </c>
      <c r="R1919" s="185" t="s">
        <v>983</v>
      </c>
      <c r="S1919" s="185" t="s">
        <v>1558</v>
      </c>
      <c r="T1919"/>
      <c r="U1919" t="str">
        <f>IF($L1919&gt;0,VLOOKUP($E1919,Valida!$A$1:$G$270,6,FALSE),IF($M1919&gt;=0,VLOOKUP($E1919,Valida!$A$1:$G$270,7,FALSE)))</f>
        <v>(+/-) Ganancia (pérdida)</v>
      </c>
      <c r="V1919" s="190" t="str">
        <f>VLOOKUP(E1919,Valida!$A$2:$K$271,4,FALSE)</f>
        <v>P&amp;L</v>
      </c>
      <c r="W1919" s="185" t="s">
        <v>1944</v>
      </c>
      <c r="X1919" s="185"/>
      <c r="Y1919" s="185" t="s">
        <v>1789</v>
      </c>
      <c r="Z1919"/>
    </row>
    <row r="1920" spans="1:26">
      <c r="A1920" s="185" t="s">
        <v>3042</v>
      </c>
      <c r="B1920" s="185" t="s">
        <v>3086</v>
      </c>
      <c r="C1920" s="185" t="s">
        <v>1897</v>
      </c>
      <c r="D1920" s="185" t="s">
        <v>3087</v>
      </c>
      <c r="E1920" s="185">
        <v>510506</v>
      </c>
      <c r="F1920" s="185" t="s">
        <v>1076</v>
      </c>
      <c r="G1920" s="185" t="s">
        <v>3088</v>
      </c>
      <c r="H1920" s="185" t="s">
        <v>1515</v>
      </c>
      <c r="I1920" s="258" t="str">
        <f t="shared" si="88"/>
        <v>5</v>
      </c>
      <c r="J1920" s="221">
        <f t="shared" si="89"/>
        <v>1276000</v>
      </c>
      <c r="K1920" s="258">
        <f t="shared" si="90"/>
        <v>7</v>
      </c>
      <c r="L1920" s="188">
        <v>1276000</v>
      </c>
      <c r="M1920" s="188">
        <v>0</v>
      </c>
      <c r="N1920" s="189">
        <v>1000018061</v>
      </c>
      <c r="O1920" t="s">
        <v>3086</v>
      </c>
      <c r="P1920" s="187">
        <v>45133</v>
      </c>
      <c r="Q1920" s="186">
        <v>12614</v>
      </c>
      <c r="R1920" s="185"/>
      <c r="S1920" s="185" t="s">
        <v>1522</v>
      </c>
      <c r="T1920"/>
      <c r="U1920" t="str">
        <f>IF($L1920&gt;0,VLOOKUP($E1920,Valida!$A$1:$G$270,6,FALSE),IF($M1920&gt;=0,VLOOKUP($E1920,Valida!$A$1:$G$270,7,FALSE)))</f>
        <v>(+/-) Ganancia (pérdida)</v>
      </c>
      <c r="V1920" s="190" t="str">
        <f>VLOOKUP(E1920,Valida!$A$2:$K$271,4,FALSE)</f>
        <v>P&amp;L</v>
      </c>
      <c r="W1920" s="185" t="s">
        <v>1978</v>
      </c>
      <c r="X1920" s="185"/>
      <c r="Y1920" s="185" t="s">
        <v>1789</v>
      </c>
      <c r="Z1920"/>
    </row>
    <row r="1921" spans="1:26">
      <c r="A1921" s="185" t="s">
        <v>3042</v>
      </c>
      <c r="B1921" s="185" t="s">
        <v>3086</v>
      </c>
      <c r="C1921" s="185" t="s">
        <v>1897</v>
      </c>
      <c r="D1921" s="185" t="s">
        <v>3087</v>
      </c>
      <c r="E1921" s="185">
        <v>510527</v>
      </c>
      <c r="F1921" s="185" t="s">
        <v>1089</v>
      </c>
      <c r="G1921" s="185" t="s">
        <v>3088</v>
      </c>
      <c r="H1921" s="185" t="s">
        <v>1515</v>
      </c>
      <c r="I1921" s="258" t="str">
        <f t="shared" si="88"/>
        <v>5</v>
      </c>
      <c r="J1921" s="221">
        <f t="shared" si="89"/>
        <v>140606</v>
      </c>
      <c r="K1921" s="258">
        <f t="shared" si="90"/>
        <v>7</v>
      </c>
      <c r="L1921" s="188">
        <v>140606</v>
      </c>
      <c r="M1921" s="188">
        <v>0</v>
      </c>
      <c r="N1921" s="189">
        <v>1000018061</v>
      </c>
      <c r="O1921" t="s">
        <v>3086</v>
      </c>
      <c r="P1921" s="187">
        <v>45133</v>
      </c>
      <c r="Q1921" s="186">
        <v>12615</v>
      </c>
      <c r="R1921" s="185"/>
      <c r="S1921" s="185" t="s">
        <v>1522</v>
      </c>
      <c r="T1921"/>
      <c r="U1921" t="str">
        <f>IF($L1921&gt;0,VLOOKUP($E1921,Valida!$A$1:$G$270,6,FALSE),IF($M1921&gt;=0,VLOOKUP($E1921,Valida!$A$1:$G$270,7,FALSE)))</f>
        <v>(+/-) Ganancia (pérdida)</v>
      </c>
      <c r="V1921" s="190" t="str">
        <f>VLOOKUP(E1921,Valida!$A$2:$K$271,4,FALSE)</f>
        <v>P&amp;L</v>
      </c>
      <c r="W1921" s="185" t="s">
        <v>1978</v>
      </c>
      <c r="X1921" s="185"/>
      <c r="Y1921" s="185" t="s">
        <v>1789</v>
      </c>
      <c r="Z1921"/>
    </row>
    <row r="1922" spans="1:26">
      <c r="A1922" s="185" t="s">
        <v>3042</v>
      </c>
      <c r="B1922" s="185" t="s">
        <v>3086</v>
      </c>
      <c r="C1922" s="185" t="s">
        <v>1897</v>
      </c>
      <c r="D1922" s="185" t="s">
        <v>3087</v>
      </c>
      <c r="E1922" s="185">
        <v>237005</v>
      </c>
      <c r="F1922" s="185" t="s">
        <v>676</v>
      </c>
      <c r="G1922" s="185" t="s">
        <v>3088</v>
      </c>
      <c r="H1922" s="185" t="s">
        <v>1628</v>
      </c>
      <c r="I1922" s="258" t="str">
        <f t="shared" si="88"/>
        <v>2</v>
      </c>
      <c r="J1922" s="221">
        <f t="shared" si="89"/>
        <v>-51040</v>
      </c>
      <c r="K1922" s="258">
        <f t="shared" si="90"/>
        <v>7</v>
      </c>
      <c r="L1922" s="188">
        <v>0</v>
      </c>
      <c r="M1922" s="188">
        <v>51040</v>
      </c>
      <c r="N1922" s="189">
        <v>830003564</v>
      </c>
      <c r="O1922" t="s">
        <v>3086</v>
      </c>
      <c r="P1922" s="187">
        <v>45133</v>
      </c>
      <c r="Q1922" s="186">
        <v>12616</v>
      </c>
      <c r="R1922" s="185" t="s">
        <v>1814</v>
      </c>
      <c r="S1922" s="185" t="s">
        <v>1652</v>
      </c>
      <c r="T1922"/>
      <c r="U1922" t="str">
        <f>IF($L1922&gt;0,VLOOKUP($E1922,Valida!$A$1:$G$270,6,FALSE),IF($M1922&gt;=0,VLOOKUP($E1922,Valida!$A$1:$G$270,7,FALSE)))</f>
        <v>(+/-) Ajustes por el incremento (disminución) de cuentas por pagar de origen comercial</v>
      </c>
      <c r="V1922" s="190" t="str">
        <f>VLOOKUP(E1922,Valida!$A$2:$K$271,4,FALSE)</f>
        <v>Trade and other payables</v>
      </c>
      <c r="W1922" s="185" t="s">
        <v>1973</v>
      </c>
      <c r="X1922" s="185" t="s">
        <v>1974</v>
      </c>
      <c r="Y1922" s="185" t="s">
        <v>1789</v>
      </c>
      <c r="Z1922"/>
    </row>
    <row r="1923" spans="1:26">
      <c r="A1923" s="185" t="s">
        <v>3042</v>
      </c>
      <c r="B1923" s="185" t="s">
        <v>3086</v>
      </c>
      <c r="C1923" s="185" t="s">
        <v>1897</v>
      </c>
      <c r="D1923" s="185" t="s">
        <v>3087</v>
      </c>
      <c r="E1923" s="185">
        <v>238030</v>
      </c>
      <c r="F1923" s="185" t="s">
        <v>721</v>
      </c>
      <c r="G1923" s="185" t="s">
        <v>3088</v>
      </c>
      <c r="H1923" s="185" t="s">
        <v>1628</v>
      </c>
      <c r="I1923" s="258" t="str">
        <f t="shared" ref="I1923:I1986" si="91">LEFT(E1923,1)</f>
        <v>2</v>
      </c>
      <c r="J1923" s="221">
        <f t="shared" ref="J1923:J1986" si="92">L1923-M1923</f>
        <v>-51040</v>
      </c>
      <c r="K1923" s="258">
        <f t="shared" ref="K1923:K1986" si="93">MONTH(A1923)</f>
        <v>7</v>
      </c>
      <c r="L1923" s="188">
        <v>0</v>
      </c>
      <c r="M1923" s="188">
        <v>51040</v>
      </c>
      <c r="N1923" s="189">
        <v>800227940</v>
      </c>
      <c r="O1923" t="s">
        <v>3086</v>
      </c>
      <c r="P1923" s="187">
        <v>45133</v>
      </c>
      <c r="Q1923" s="186">
        <v>12617</v>
      </c>
      <c r="R1923" s="185"/>
      <c r="S1923" s="185" t="s">
        <v>1664</v>
      </c>
      <c r="T1923"/>
      <c r="U1923" t="str">
        <f>IF($L1923&gt;0,VLOOKUP($E1923,Valida!$A$1:$G$270,6,FALSE),IF($M1923&gt;=0,VLOOKUP($E1923,Valida!$A$1:$G$270,7,FALSE)))</f>
        <v>(+/-) Ajustes por el incremento (disminución) de cuentas por pagar de origen comercial</v>
      </c>
      <c r="V1923" s="190" t="str">
        <f>VLOOKUP(E1923,Valida!$A$2:$K$271,4,FALSE)</f>
        <v>Trade and other payables</v>
      </c>
      <c r="W1923" s="185"/>
      <c r="X1923" s="185"/>
      <c r="Y1923" s="185"/>
      <c r="Z1923"/>
    </row>
    <row r="1924" spans="1:26">
      <c r="A1924" s="185" t="s">
        <v>3042</v>
      </c>
      <c r="B1924" s="185" t="s">
        <v>3086</v>
      </c>
      <c r="C1924" s="185" t="s">
        <v>1897</v>
      </c>
      <c r="D1924" s="185" t="s">
        <v>3087</v>
      </c>
      <c r="E1924" s="185">
        <v>510506</v>
      </c>
      <c r="F1924" s="185" t="s">
        <v>1076</v>
      </c>
      <c r="G1924" s="185" t="s">
        <v>3088</v>
      </c>
      <c r="H1924" s="185" t="s">
        <v>1515</v>
      </c>
      <c r="I1924" s="258" t="str">
        <f t="shared" si="91"/>
        <v>5</v>
      </c>
      <c r="J1924" s="221">
        <f t="shared" si="92"/>
        <v>1500000</v>
      </c>
      <c r="K1924" s="258">
        <f t="shared" si="93"/>
        <v>7</v>
      </c>
      <c r="L1924" s="188">
        <v>1500000</v>
      </c>
      <c r="M1924" s="188">
        <v>0</v>
      </c>
      <c r="N1924" s="189">
        <v>1000036375</v>
      </c>
      <c r="O1924" t="s">
        <v>3086</v>
      </c>
      <c r="P1924" s="187">
        <v>45133</v>
      </c>
      <c r="Q1924" s="186">
        <v>12618</v>
      </c>
      <c r="R1924" s="185"/>
      <c r="S1924" s="185" t="s">
        <v>1524</v>
      </c>
      <c r="T1924"/>
      <c r="U1924" t="str">
        <f>IF($L1924&gt;0,VLOOKUP($E1924,Valida!$A$1:$G$270,6,FALSE),IF($M1924&gt;=0,VLOOKUP($E1924,Valida!$A$1:$G$270,7,FALSE)))</f>
        <v>(+/-) Ganancia (pérdida)</v>
      </c>
      <c r="V1924" s="190" t="str">
        <f>VLOOKUP(E1924,Valida!$A$2:$K$271,4,FALSE)</f>
        <v>P&amp;L</v>
      </c>
      <c r="W1924" s="185" t="s">
        <v>1983</v>
      </c>
      <c r="X1924" s="185"/>
      <c r="Y1924" s="185" t="s">
        <v>1789</v>
      </c>
      <c r="Z1924"/>
    </row>
    <row r="1925" spans="1:26">
      <c r="A1925" s="185" t="s">
        <v>3042</v>
      </c>
      <c r="B1925" s="185" t="s">
        <v>3086</v>
      </c>
      <c r="C1925" s="185" t="s">
        <v>1897</v>
      </c>
      <c r="D1925" s="185" t="s">
        <v>3087</v>
      </c>
      <c r="E1925" s="185">
        <v>51054801</v>
      </c>
      <c r="F1925" s="185" t="s">
        <v>1726</v>
      </c>
      <c r="G1925" s="185" t="s">
        <v>3088</v>
      </c>
      <c r="H1925" s="185" t="s">
        <v>1515</v>
      </c>
      <c r="I1925" s="258" t="str">
        <f t="shared" si="91"/>
        <v>5</v>
      </c>
      <c r="J1925" s="221">
        <f t="shared" si="92"/>
        <v>100000</v>
      </c>
      <c r="K1925" s="258">
        <f t="shared" si="93"/>
        <v>7</v>
      </c>
      <c r="L1925" s="188">
        <v>100000</v>
      </c>
      <c r="M1925" s="188">
        <v>0</v>
      </c>
      <c r="N1925" s="189">
        <v>1000036375</v>
      </c>
      <c r="O1925" t="s">
        <v>3086</v>
      </c>
      <c r="P1925" s="187">
        <v>45133</v>
      </c>
      <c r="Q1925" s="186">
        <v>12619</v>
      </c>
      <c r="R1925" s="185"/>
      <c r="S1925" s="185" t="s">
        <v>1524</v>
      </c>
      <c r="T1925"/>
      <c r="U1925" t="str">
        <f>IF($L1925&gt;0,VLOOKUP($E1925,Valida!$A$1:$G$270,6,FALSE),IF($M1925&gt;=0,VLOOKUP($E1925,Valida!$A$1:$G$270,7,FALSE)))</f>
        <v>(+/-) Ganancia (pérdida)</v>
      </c>
      <c r="V1925" s="190" t="str">
        <f>VLOOKUP(E1925,Valida!$A$2:$K$271,4,FALSE)</f>
        <v>P&amp;L</v>
      </c>
      <c r="W1925" s="185" t="s">
        <v>1983</v>
      </c>
      <c r="X1925" s="185"/>
      <c r="Y1925" s="185" t="s">
        <v>1789</v>
      </c>
      <c r="Z1925"/>
    </row>
    <row r="1926" spans="1:26">
      <c r="A1926" s="185" t="s">
        <v>3042</v>
      </c>
      <c r="B1926" s="185" t="s">
        <v>3086</v>
      </c>
      <c r="C1926" s="185" t="s">
        <v>1897</v>
      </c>
      <c r="D1926" s="185" t="s">
        <v>3087</v>
      </c>
      <c r="E1926" s="185">
        <v>510527</v>
      </c>
      <c r="F1926" s="185" t="s">
        <v>1089</v>
      </c>
      <c r="G1926" s="185" t="s">
        <v>3088</v>
      </c>
      <c r="H1926" s="185" t="s">
        <v>1515</v>
      </c>
      <c r="I1926" s="258" t="str">
        <f t="shared" si="91"/>
        <v>5</v>
      </c>
      <c r="J1926" s="221">
        <f t="shared" si="92"/>
        <v>140606</v>
      </c>
      <c r="K1926" s="258">
        <f t="shared" si="93"/>
        <v>7</v>
      </c>
      <c r="L1926" s="188">
        <v>140606</v>
      </c>
      <c r="M1926" s="188">
        <v>0</v>
      </c>
      <c r="N1926" s="189">
        <v>1000036375</v>
      </c>
      <c r="O1926" t="s">
        <v>3086</v>
      </c>
      <c r="P1926" s="187">
        <v>45133</v>
      </c>
      <c r="Q1926" s="186">
        <v>12620</v>
      </c>
      <c r="R1926" s="185"/>
      <c r="S1926" s="185" t="s">
        <v>1524</v>
      </c>
      <c r="T1926"/>
      <c r="U1926" t="str">
        <f>IF($L1926&gt;0,VLOOKUP($E1926,Valida!$A$1:$G$270,6,FALSE),IF($M1926&gt;=0,VLOOKUP($E1926,Valida!$A$1:$G$270,7,FALSE)))</f>
        <v>(+/-) Ganancia (pérdida)</v>
      </c>
      <c r="V1926" s="190" t="str">
        <f>VLOOKUP(E1926,Valida!$A$2:$K$271,4,FALSE)</f>
        <v>P&amp;L</v>
      </c>
      <c r="W1926" s="185" t="s">
        <v>1983</v>
      </c>
      <c r="X1926" s="185"/>
      <c r="Y1926" s="185" t="s">
        <v>1789</v>
      </c>
      <c r="Z1926"/>
    </row>
    <row r="1927" spans="1:26">
      <c r="A1927" s="185" t="s">
        <v>3042</v>
      </c>
      <c r="B1927" s="185" t="s">
        <v>3086</v>
      </c>
      <c r="C1927" s="185" t="s">
        <v>1897</v>
      </c>
      <c r="D1927" s="185" t="s">
        <v>3087</v>
      </c>
      <c r="E1927" s="185">
        <v>510515</v>
      </c>
      <c r="F1927" s="185" t="s">
        <v>1080</v>
      </c>
      <c r="G1927" s="185" t="s">
        <v>3088</v>
      </c>
      <c r="H1927" s="185" t="s">
        <v>1515</v>
      </c>
      <c r="I1927" s="258" t="str">
        <f t="shared" si="91"/>
        <v>5</v>
      </c>
      <c r="J1927" s="221">
        <f t="shared" si="92"/>
        <v>531250</v>
      </c>
      <c r="K1927" s="258">
        <f t="shared" si="93"/>
        <v>7</v>
      </c>
      <c r="L1927" s="188">
        <v>531250</v>
      </c>
      <c r="M1927" s="188">
        <v>0</v>
      </c>
      <c r="N1927" s="189">
        <v>1000036375</v>
      </c>
      <c r="O1927" t="s">
        <v>3086</v>
      </c>
      <c r="P1927" s="187">
        <v>45133</v>
      </c>
      <c r="Q1927" s="186">
        <v>12621</v>
      </c>
      <c r="R1927" s="185"/>
      <c r="S1927" s="185" t="s">
        <v>1524</v>
      </c>
      <c r="T1927"/>
      <c r="U1927" t="str">
        <f>IF($L1927&gt;0,VLOOKUP($E1927,Valida!$A$1:$G$270,6,FALSE),IF($M1927&gt;=0,VLOOKUP($E1927,Valida!$A$1:$G$270,7,FALSE)))</f>
        <v>(+/-) Ganancia (pérdida)</v>
      </c>
      <c r="V1927" s="190" t="str">
        <f>VLOOKUP(E1927,Valida!$A$2:$K$271,4,FALSE)</f>
        <v>P&amp;L</v>
      </c>
      <c r="W1927" s="185" t="s">
        <v>1983</v>
      </c>
      <c r="X1927" s="185"/>
      <c r="Y1927" s="185" t="s">
        <v>1789</v>
      </c>
      <c r="Z1927"/>
    </row>
    <row r="1928" spans="1:26">
      <c r="A1928" s="185" t="s">
        <v>3042</v>
      </c>
      <c r="B1928" s="185" t="s">
        <v>3086</v>
      </c>
      <c r="C1928" s="185" t="s">
        <v>1897</v>
      </c>
      <c r="D1928" s="185" t="s">
        <v>3087</v>
      </c>
      <c r="E1928" s="185">
        <v>510515</v>
      </c>
      <c r="F1928" s="185" t="s">
        <v>1080</v>
      </c>
      <c r="G1928" s="185" t="s">
        <v>3088</v>
      </c>
      <c r="H1928" s="185" t="s">
        <v>1515</v>
      </c>
      <c r="I1928" s="258" t="str">
        <f t="shared" si="91"/>
        <v>5</v>
      </c>
      <c r="J1928" s="221">
        <f t="shared" si="92"/>
        <v>375000</v>
      </c>
      <c r="K1928" s="258">
        <f t="shared" si="93"/>
        <v>7</v>
      </c>
      <c r="L1928" s="188">
        <v>375000</v>
      </c>
      <c r="M1928" s="188">
        <v>0</v>
      </c>
      <c r="N1928" s="189">
        <v>1000036375</v>
      </c>
      <c r="O1928" t="s">
        <v>3086</v>
      </c>
      <c r="P1928" s="187">
        <v>45133</v>
      </c>
      <c r="Q1928" s="186">
        <v>12622</v>
      </c>
      <c r="R1928" s="185"/>
      <c r="S1928" s="185" t="s">
        <v>1524</v>
      </c>
      <c r="T1928"/>
      <c r="U1928" t="str">
        <f>IF($L1928&gt;0,VLOOKUP($E1928,Valida!$A$1:$G$270,6,FALSE),IF($M1928&gt;=0,VLOOKUP($E1928,Valida!$A$1:$G$270,7,FALSE)))</f>
        <v>(+/-) Ganancia (pérdida)</v>
      </c>
      <c r="V1928" s="190" t="str">
        <f>VLOOKUP(E1928,Valida!$A$2:$K$271,4,FALSE)</f>
        <v>P&amp;L</v>
      </c>
      <c r="W1928" s="185" t="s">
        <v>1983</v>
      </c>
      <c r="X1928" s="185"/>
      <c r="Y1928" s="185" t="s">
        <v>1789</v>
      </c>
      <c r="Z1928"/>
    </row>
    <row r="1929" spans="1:26">
      <c r="A1929" s="185" t="s">
        <v>3042</v>
      </c>
      <c r="B1929" s="185" t="s">
        <v>3086</v>
      </c>
      <c r="C1929" s="185" t="s">
        <v>1897</v>
      </c>
      <c r="D1929" s="185" t="s">
        <v>3087</v>
      </c>
      <c r="E1929" s="185">
        <v>237005</v>
      </c>
      <c r="F1929" s="185" t="s">
        <v>676</v>
      </c>
      <c r="G1929" s="185" t="s">
        <v>3088</v>
      </c>
      <c r="H1929" s="185" t="s">
        <v>1628</v>
      </c>
      <c r="I1929" s="258" t="str">
        <f t="shared" si="91"/>
        <v>2</v>
      </c>
      <c r="J1929" s="221">
        <f t="shared" si="92"/>
        <v>-96250</v>
      </c>
      <c r="K1929" s="258">
        <f t="shared" si="93"/>
        <v>7</v>
      </c>
      <c r="L1929" s="188">
        <v>0</v>
      </c>
      <c r="M1929" s="188">
        <v>96250</v>
      </c>
      <c r="N1929" s="189">
        <v>900156264</v>
      </c>
      <c r="O1929" t="s">
        <v>3086</v>
      </c>
      <c r="P1929" s="187">
        <v>45133</v>
      </c>
      <c r="Q1929" s="186">
        <v>12623</v>
      </c>
      <c r="R1929" s="185" t="s">
        <v>433</v>
      </c>
      <c r="S1929" s="185" t="s">
        <v>1654</v>
      </c>
      <c r="T1929"/>
      <c r="U1929" t="str">
        <f>IF($L1929&gt;0,VLOOKUP($E1929,Valida!$A$1:$G$270,6,FALSE),IF($M1929&gt;=0,VLOOKUP($E1929,Valida!$A$1:$G$270,7,FALSE)))</f>
        <v>(+/-) Ajustes por el incremento (disminución) de cuentas por pagar de origen comercial</v>
      </c>
      <c r="V1929" s="190" t="str">
        <f>VLOOKUP(E1929,Valida!$A$2:$K$271,4,FALSE)</f>
        <v>Trade and other payables</v>
      </c>
      <c r="W1929" s="185" t="s">
        <v>1926</v>
      </c>
      <c r="X1929" s="185" t="s">
        <v>1927</v>
      </c>
      <c r="Y1929" s="185" t="s">
        <v>1789</v>
      </c>
      <c r="Z1929"/>
    </row>
    <row r="1930" spans="1:26">
      <c r="A1930" s="185" t="s">
        <v>3042</v>
      </c>
      <c r="B1930" s="185" t="s">
        <v>3086</v>
      </c>
      <c r="C1930" s="185" t="s">
        <v>1897</v>
      </c>
      <c r="D1930" s="185" t="s">
        <v>3087</v>
      </c>
      <c r="E1930" s="185">
        <v>238030</v>
      </c>
      <c r="F1930" s="185" t="s">
        <v>721</v>
      </c>
      <c r="G1930" s="185" t="s">
        <v>3088</v>
      </c>
      <c r="H1930" s="185" t="s">
        <v>1628</v>
      </c>
      <c r="I1930" s="258" t="str">
        <f t="shared" si="91"/>
        <v>2</v>
      </c>
      <c r="J1930" s="221">
        <f t="shared" si="92"/>
        <v>-96250</v>
      </c>
      <c r="K1930" s="258">
        <f t="shared" si="93"/>
        <v>7</v>
      </c>
      <c r="L1930" s="188">
        <v>0</v>
      </c>
      <c r="M1930" s="188">
        <v>96250</v>
      </c>
      <c r="N1930" s="189">
        <v>800224808</v>
      </c>
      <c r="O1930" t="s">
        <v>3086</v>
      </c>
      <c r="P1930" s="187">
        <v>45133</v>
      </c>
      <c r="Q1930" s="186">
        <v>12624</v>
      </c>
      <c r="R1930" s="185" t="s">
        <v>1827</v>
      </c>
      <c r="S1930" s="185" t="s">
        <v>1662</v>
      </c>
      <c r="T1930"/>
      <c r="U1930" t="str">
        <f>IF($L1930&gt;0,VLOOKUP($E1930,Valida!$A$1:$G$270,6,FALSE),IF($M1930&gt;=0,VLOOKUP($E1930,Valida!$A$1:$G$270,7,FALSE)))</f>
        <v>(+/-) Ajustes por el incremento (disminución) de cuentas por pagar de origen comercial</v>
      </c>
      <c r="V1930" s="190" t="str">
        <f>VLOOKUP(E1930,Valida!$A$2:$K$271,4,FALSE)</f>
        <v>Trade and other payables</v>
      </c>
      <c r="W1930" s="185" t="s">
        <v>1911</v>
      </c>
      <c r="X1930" s="185"/>
      <c r="Y1930" s="185" t="s">
        <v>1789</v>
      </c>
      <c r="Z1930"/>
    </row>
    <row r="1931" spans="1:26">
      <c r="A1931" s="185" t="s">
        <v>3042</v>
      </c>
      <c r="B1931" s="185" t="s">
        <v>3086</v>
      </c>
      <c r="C1931" s="185" t="s">
        <v>1897</v>
      </c>
      <c r="D1931" s="185" t="s">
        <v>3087</v>
      </c>
      <c r="E1931" s="185">
        <v>510506</v>
      </c>
      <c r="F1931" s="185" t="s">
        <v>1076</v>
      </c>
      <c r="G1931" s="185" t="s">
        <v>3088</v>
      </c>
      <c r="H1931" s="185" t="s">
        <v>1515</v>
      </c>
      <c r="I1931" s="258" t="str">
        <f t="shared" si="91"/>
        <v>5</v>
      </c>
      <c r="J1931" s="221">
        <f t="shared" si="92"/>
        <v>1160000</v>
      </c>
      <c r="K1931" s="258">
        <f t="shared" si="93"/>
        <v>7</v>
      </c>
      <c r="L1931" s="188">
        <v>1160000</v>
      </c>
      <c r="M1931" s="188">
        <v>0</v>
      </c>
      <c r="N1931" s="189">
        <v>1130744136</v>
      </c>
      <c r="O1931" t="s">
        <v>3086</v>
      </c>
      <c r="P1931" s="187">
        <v>45133</v>
      </c>
      <c r="Q1931" s="186">
        <v>12625</v>
      </c>
      <c r="R1931" s="185"/>
      <c r="S1931" s="185" t="s">
        <v>1538</v>
      </c>
      <c r="T1931"/>
      <c r="U1931" t="str">
        <f>IF($L1931&gt;0,VLOOKUP($E1931,Valida!$A$1:$G$270,6,FALSE),IF($M1931&gt;=0,VLOOKUP($E1931,Valida!$A$1:$G$270,7,FALSE)))</f>
        <v>(+/-) Ganancia (pérdida)</v>
      </c>
      <c r="V1931" s="190" t="str">
        <f>VLOOKUP(E1931,Valida!$A$2:$K$271,4,FALSE)</f>
        <v>P&amp;L</v>
      </c>
      <c r="W1931" s="185" t="s">
        <v>1909</v>
      </c>
      <c r="X1931" s="185" t="s">
        <v>1910</v>
      </c>
      <c r="Y1931" s="185" t="s">
        <v>1789</v>
      </c>
      <c r="Z1931"/>
    </row>
    <row r="1932" spans="1:26">
      <c r="A1932" s="185" t="s">
        <v>3042</v>
      </c>
      <c r="B1932" s="185" t="s">
        <v>3086</v>
      </c>
      <c r="C1932" s="185" t="s">
        <v>1897</v>
      </c>
      <c r="D1932" s="185" t="s">
        <v>3087</v>
      </c>
      <c r="E1932" s="185">
        <v>510527</v>
      </c>
      <c r="F1932" s="185" t="s">
        <v>1089</v>
      </c>
      <c r="G1932" s="185" t="s">
        <v>3088</v>
      </c>
      <c r="H1932" s="185" t="s">
        <v>1515</v>
      </c>
      <c r="I1932" s="258" t="str">
        <f t="shared" si="91"/>
        <v>5</v>
      </c>
      <c r="J1932" s="221">
        <f t="shared" si="92"/>
        <v>140606</v>
      </c>
      <c r="K1932" s="258">
        <f t="shared" si="93"/>
        <v>7</v>
      </c>
      <c r="L1932" s="188">
        <v>140606</v>
      </c>
      <c r="M1932" s="188">
        <v>0</v>
      </c>
      <c r="N1932" s="189">
        <v>1130744136</v>
      </c>
      <c r="O1932" t="s">
        <v>3086</v>
      </c>
      <c r="P1932" s="187">
        <v>45133</v>
      </c>
      <c r="Q1932" s="186">
        <v>12626</v>
      </c>
      <c r="R1932" s="185"/>
      <c r="S1932" s="185" t="s">
        <v>1538</v>
      </c>
      <c r="T1932"/>
      <c r="U1932" t="str">
        <f>IF($L1932&gt;0,VLOOKUP($E1932,Valida!$A$1:$G$270,6,FALSE),IF($M1932&gt;=0,VLOOKUP($E1932,Valida!$A$1:$G$270,7,FALSE)))</f>
        <v>(+/-) Ganancia (pérdida)</v>
      </c>
      <c r="V1932" s="190" t="str">
        <f>VLOOKUP(E1932,Valida!$A$2:$K$271,4,FALSE)</f>
        <v>P&amp;L</v>
      </c>
      <c r="W1932" s="185" t="s">
        <v>1909</v>
      </c>
      <c r="X1932" s="185" t="s">
        <v>1910</v>
      </c>
      <c r="Y1932" s="185" t="s">
        <v>1789</v>
      </c>
      <c r="Z1932"/>
    </row>
    <row r="1933" spans="1:26">
      <c r="A1933" s="185" t="s">
        <v>3042</v>
      </c>
      <c r="B1933" s="185" t="s">
        <v>3086</v>
      </c>
      <c r="C1933" s="185" t="s">
        <v>1897</v>
      </c>
      <c r="D1933" s="185" t="s">
        <v>3087</v>
      </c>
      <c r="E1933" s="185">
        <v>237005</v>
      </c>
      <c r="F1933" s="185" t="s">
        <v>676</v>
      </c>
      <c r="G1933" s="185" t="s">
        <v>3088</v>
      </c>
      <c r="H1933" s="185" t="s">
        <v>1628</v>
      </c>
      <c r="I1933" s="258" t="str">
        <f t="shared" si="91"/>
        <v>2</v>
      </c>
      <c r="J1933" s="221">
        <f t="shared" si="92"/>
        <v>-46400</v>
      </c>
      <c r="K1933" s="258">
        <f t="shared" si="93"/>
        <v>7</v>
      </c>
      <c r="L1933" s="188">
        <v>0</v>
      </c>
      <c r="M1933" s="188">
        <v>46400</v>
      </c>
      <c r="N1933" s="189">
        <v>800251440</v>
      </c>
      <c r="O1933" t="s">
        <v>3086</v>
      </c>
      <c r="P1933" s="187">
        <v>45133</v>
      </c>
      <c r="Q1933" s="186">
        <v>12627</v>
      </c>
      <c r="R1933" s="185" t="s">
        <v>1901</v>
      </c>
      <c r="S1933" s="185" t="s">
        <v>1560</v>
      </c>
      <c r="T1933"/>
      <c r="U1933" t="str">
        <f>IF($L1933&gt;0,VLOOKUP($E1933,Valida!$A$1:$G$270,6,FALSE),IF($M1933&gt;=0,VLOOKUP($E1933,Valida!$A$1:$G$270,7,FALSE)))</f>
        <v>(+/-) Ajustes por el incremento (disminución) de cuentas por pagar de origen comercial</v>
      </c>
      <c r="V1933" s="190" t="str">
        <f>VLOOKUP(E1933,Valida!$A$2:$K$271,4,FALSE)</f>
        <v>Trade and other payables</v>
      </c>
      <c r="W1933" s="185" t="s">
        <v>1902</v>
      </c>
      <c r="X1933" s="185" t="s">
        <v>1903</v>
      </c>
      <c r="Y1933" s="185" t="s">
        <v>1789</v>
      </c>
      <c r="Z1933"/>
    </row>
    <row r="1934" spans="1:26">
      <c r="A1934" s="185" t="s">
        <v>3042</v>
      </c>
      <c r="B1934" s="185" t="s">
        <v>3086</v>
      </c>
      <c r="C1934" s="185" t="s">
        <v>1897</v>
      </c>
      <c r="D1934" s="185" t="s">
        <v>3087</v>
      </c>
      <c r="E1934" s="185">
        <v>238030</v>
      </c>
      <c r="F1934" s="185" t="s">
        <v>721</v>
      </c>
      <c r="G1934" s="185" t="s">
        <v>3088</v>
      </c>
      <c r="H1934" s="185" t="s">
        <v>1628</v>
      </c>
      <c r="I1934" s="258" t="str">
        <f t="shared" si="91"/>
        <v>2</v>
      </c>
      <c r="J1934" s="221">
        <f t="shared" si="92"/>
        <v>-46400</v>
      </c>
      <c r="K1934" s="258">
        <f t="shared" si="93"/>
        <v>7</v>
      </c>
      <c r="L1934" s="188">
        <v>0</v>
      </c>
      <c r="M1934" s="188">
        <v>46400</v>
      </c>
      <c r="N1934" s="189">
        <v>800224808</v>
      </c>
      <c r="O1934" t="s">
        <v>3086</v>
      </c>
      <c r="P1934" s="187">
        <v>45133</v>
      </c>
      <c r="Q1934" s="186">
        <v>12628</v>
      </c>
      <c r="R1934" s="185" t="s">
        <v>1827</v>
      </c>
      <c r="S1934" s="185" t="s">
        <v>1662</v>
      </c>
      <c r="T1934"/>
      <c r="U1934" t="str">
        <f>IF($L1934&gt;0,VLOOKUP($E1934,Valida!$A$1:$G$270,6,FALSE),IF($M1934&gt;=0,VLOOKUP($E1934,Valida!$A$1:$G$270,7,FALSE)))</f>
        <v>(+/-) Ajustes por el incremento (disminución) de cuentas por pagar de origen comercial</v>
      </c>
      <c r="V1934" s="190" t="str">
        <f>VLOOKUP(E1934,Valida!$A$2:$K$271,4,FALSE)</f>
        <v>Trade and other payables</v>
      </c>
      <c r="W1934" s="185" t="s">
        <v>1911</v>
      </c>
      <c r="X1934" s="185"/>
      <c r="Y1934" s="185" t="s">
        <v>1789</v>
      </c>
      <c r="Z1934"/>
    </row>
    <row r="1935" spans="1:26">
      <c r="A1935" s="185" t="s">
        <v>3042</v>
      </c>
      <c r="B1935" s="185" t="s">
        <v>3086</v>
      </c>
      <c r="C1935" s="185" t="s">
        <v>1897</v>
      </c>
      <c r="D1935" s="185" t="s">
        <v>3087</v>
      </c>
      <c r="E1935" s="185">
        <v>510506</v>
      </c>
      <c r="F1935" s="185" t="s">
        <v>1076</v>
      </c>
      <c r="G1935" s="185" t="s">
        <v>3088</v>
      </c>
      <c r="H1935" s="185" t="s">
        <v>1515</v>
      </c>
      <c r="I1935" s="258" t="str">
        <f t="shared" si="91"/>
        <v>5</v>
      </c>
      <c r="J1935" s="221">
        <f t="shared" si="92"/>
        <v>1500000</v>
      </c>
      <c r="K1935" s="258">
        <f t="shared" si="93"/>
        <v>7</v>
      </c>
      <c r="L1935" s="188">
        <v>1500000</v>
      </c>
      <c r="M1935" s="188">
        <v>0</v>
      </c>
      <c r="N1935" s="189">
        <v>1010101811</v>
      </c>
      <c r="O1935" t="s">
        <v>3086</v>
      </c>
      <c r="P1935" s="187">
        <v>45133</v>
      </c>
      <c r="Q1935" s="186">
        <v>12629</v>
      </c>
      <c r="R1935" s="185"/>
      <c r="S1935" s="185" t="s">
        <v>1528</v>
      </c>
      <c r="T1935"/>
      <c r="U1935" t="str">
        <f>IF($L1935&gt;0,VLOOKUP($E1935,Valida!$A$1:$G$270,6,FALSE),IF($M1935&gt;=0,VLOOKUP($E1935,Valida!$A$1:$G$270,7,FALSE)))</f>
        <v>(+/-) Ganancia (pérdida)</v>
      </c>
      <c r="V1935" s="190" t="str">
        <f>VLOOKUP(E1935,Valida!$A$2:$K$271,4,FALSE)</f>
        <v>P&amp;L</v>
      </c>
      <c r="W1935" s="185" t="s">
        <v>1967</v>
      </c>
      <c r="X1935" s="185"/>
      <c r="Y1935" s="185" t="s">
        <v>1789</v>
      </c>
      <c r="Z1935"/>
    </row>
    <row r="1936" spans="1:26">
      <c r="A1936" s="185" t="s">
        <v>3042</v>
      </c>
      <c r="B1936" s="185" t="s">
        <v>3086</v>
      </c>
      <c r="C1936" s="185" t="s">
        <v>1897</v>
      </c>
      <c r="D1936" s="185" t="s">
        <v>3087</v>
      </c>
      <c r="E1936" s="185">
        <v>510527</v>
      </c>
      <c r="F1936" s="185" t="s">
        <v>1089</v>
      </c>
      <c r="G1936" s="185" t="s">
        <v>3088</v>
      </c>
      <c r="H1936" s="185" t="s">
        <v>1515</v>
      </c>
      <c r="I1936" s="258" t="str">
        <f t="shared" si="91"/>
        <v>5</v>
      </c>
      <c r="J1936" s="221">
        <f t="shared" si="92"/>
        <v>140606</v>
      </c>
      <c r="K1936" s="258">
        <f t="shared" si="93"/>
        <v>7</v>
      </c>
      <c r="L1936" s="188">
        <v>140606</v>
      </c>
      <c r="M1936" s="188">
        <v>0</v>
      </c>
      <c r="N1936" s="189">
        <v>1010101811</v>
      </c>
      <c r="O1936" t="s">
        <v>3086</v>
      </c>
      <c r="P1936" s="187">
        <v>45133</v>
      </c>
      <c r="Q1936" s="186">
        <v>12630</v>
      </c>
      <c r="R1936" s="185"/>
      <c r="S1936" s="185" t="s">
        <v>1528</v>
      </c>
      <c r="T1936"/>
      <c r="U1936" t="str">
        <f>IF($L1936&gt;0,VLOOKUP($E1936,Valida!$A$1:$G$270,6,FALSE),IF($M1936&gt;=0,VLOOKUP($E1936,Valida!$A$1:$G$270,7,FALSE)))</f>
        <v>(+/-) Ganancia (pérdida)</v>
      </c>
      <c r="V1936" s="190" t="str">
        <f>VLOOKUP(E1936,Valida!$A$2:$K$271,4,FALSE)</f>
        <v>P&amp;L</v>
      </c>
      <c r="W1936" s="185" t="s">
        <v>1967</v>
      </c>
      <c r="X1936" s="185"/>
      <c r="Y1936" s="185" t="s">
        <v>1789</v>
      </c>
      <c r="Z1936"/>
    </row>
    <row r="1937" spans="1:26">
      <c r="A1937" s="185" t="s">
        <v>3042</v>
      </c>
      <c r="B1937" s="185" t="s">
        <v>3086</v>
      </c>
      <c r="C1937" s="185" t="s">
        <v>1897</v>
      </c>
      <c r="D1937" s="185" t="s">
        <v>3087</v>
      </c>
      <c r="E1937" s="185">
        <v>237005</v>
      </c>
      <c r="F1937" s="185" t="s">
        <v>676</v>
      </c>
      <c r="G1937" s="185" t="s">
        <v>3088</v>
      </c>
      <c r="H1937" s="185" t="s">
        <v>1628</v>
      </c>
      <c r="I1937" s="258" t="str">
        <f t="shared" si="91"/>
        <v>2</v>
      </c>
      <c r="J1937" s="221">
        <f t="shared" si="92"/>
        <v>-60000</v>
      </c>
      <c r="K1937" s="258">
        <f t="shared" si="93"/>
        <v>7</v>
      </c>
      <c r="L1937" s="188">
        <v>0</v>
      </c>
      <c r="M1937" s="188">
        <v>60000</v>
      </c>
      <c r="N1937" s="189">
        <v>860066942</v>
      </c>
      <c r="O1937" t="s">
        <v>3086</v>
      </c>
      <c r="P1937" s="187">
        <v>45133</v>
      </c>
      <c r="Q1937" s="186">
        <v>12631</v>
      </c>
      <c r="R1937" s="185" t="s">
        <v>1814</v>
      </c>
      <c r="S1937" s="185" t="s">
        <v>1574</v>
      </c>
      <c r="T1937"/>
      <c r="U1937" t="str">
        <f>IF($L1937&gt;0,VLOOKUP($E1937,Valida!$A$1:$G$270,6,FALSE),IF($M1937&gt;=0,VLOOKUP($E1937,Valida!$A$1:$G$270,7,FALSE)))</f>
        <v>(+/-) Ajustes por el incremento (disminución) de cuentas por pagar de origen comercial</v>
      </c>
      <c r="V1937" s="190" t="str">
        <f>VLOOKUP(E1937,Valida!$A$2:$K$271,4,FALSE)</f>
        <v>Trade and other payables</v>
      </c>
      <c r="W1937" s="185" t="s">
        <v>1914</v>
      </c>
      <c r="X1937" s="185" t="s">
        <v>1915</v>
      </c>
      <c r="Y1937" s="185" t="s">
        <v>1789</v>
      </c>
      <c r="Z1937"/>
    </row>
    <row r="1938" spans="1:26">
      <c r="A1938" s="185" t="s">
        <v>3042</v>
      </c>
      <c r="B1938" s="185" t="s">
        <v>3086</v>
      </c>
      <c r="C1938" s="185" t="s">
        <v>1897</v>
      </c>
      <c r="D1938" s="185" t="s">
        <v>3087</v>
      </c>
      <c r="E1938" s="185">
        <v>238030</v>
      </c>
      <c r="F1938" s="185" t="s">
        <v>721</v>
      </c>
      <c r="G1938" s="185" t="s">
        <v>3088</v>
      </c>
      <c r="H1938" s="185" t="s">
        <v>1628</v>
      </c>
      <c r="I1938" s="258" t="str">
        <f t="shared" si="91"/>
        <v>2</v>
      </c>
      <c r="J1938" s="221">
        <f t="shared" si="92"/>
        <v>-60000</v>
      </c>
      <c r="K1938" s="258">
        <f t="shared" si="93"/>
        <v>7</v>
      </c>
      <c r="L1938" s="188">
        <v>0</v>
      </c>
      <c r="M1938" s="188">
        <v>60000</v>
      </c>
      <c r="N1938" s="189">
        <v>800224808</v>
      </c>
      <c r="O1938" t="s">
        <v>3086</v>
      </c>
      <c r="P1938" s="187">
        <v>45133</v>
      </c>
      <c r="Q1938" s="186">
        <v>12632</v>
      </c>
      <c r="R1938" s="185" t="s">
        <v>1827</v>
      </c>
      <c r="S1938" s="185" t="s">
        <v>1662</v>
      </c>
      <c r="T1938"/>
      <c r="U1938" t="str">
        <f>IF($L1938&gt;0,VLOOKUP($E1938,Valida!$A$1:$G$270,6,FALSE),IF($M1938&gt;=0,VLOOKUP($E1938,Valida!$A$1:$G$270,7,FALSE)))</f>
        <v>(+/-) Ajustes por el incremento (disminución) de cuentas por pagar de origen comercial</v>
      </c>
      <c r="V1938" s="190" t="str">
        <f>VLOOKUP(E1938,Valida!$A$2:$K$271,4,FALSE)</f>
        <v>Trade and other payables</v>
      </c>
      <c r="W1938" s="185" t="s">
        <v>1911</v>
      </c>
      <c r="X1938" s="185"/>
      <c r="Y1938" s="185" t="s">
        <v>1789</v>
      </c>
      <c r="Z1938"/>
    </row>
    <row r="1939" spans="1:26">
      <c r="A1939" s="185" t="s">
        <v>3042</v>
      </c>
      <c r="B1939" s="185" t="s">
        <v>3086</v>
      </c>
      <c r="C1939" s="185" t="s">
        <v>1897</v>
      </c>
      <c r="D1939" s="185" t="s">
        <v>3087</v>
      </c>
      <c r="E1939" s="185">
        <v>51052403</v>
      </c>
      <c r="F1939" s="185" t="s">
        <v>1720</v>
      </c>
      <c r="G1939" s="185" t="s">
        <v>3088</v>
      </c>
      <c r="H1939" s="185" t="s">
        <v>1515</v>
      </c>
      <c r="I1939" s="258" t="str">
        <f t="shared" si="91"/>
        <v>5</v>
      </c>
      <c r="J1939" s="221">
        <f t="shared" si="92"/>
        <v>46750</v>
      </c>
      <c r="K1939" s="258">
        <f t="shared" si="93"/>
        <v>7</v>
      </c>
      <c r="L1939" s="188">
        <v>46750</v>
      </c>
      <c r="M1939" s="188">
        <v>0</v>
      </c>
      <c r="N1939" s="189">
        <v>1020842223</v>
      </c>
      <c r="O1939" t="s">
        <v>3086</v>
      </c>
      <c r="P1939" s="187">
        <v>45133</v>
      </c>
      <c r="Q1939" s="186">
        <v>12633</v>
      </c>
      <c r="R1939" s="185"/>
      <c r="S1939" s="185" t="s">
        <v>1532</v>
      </c>
      <c r="T1939"/>
      <c r="U1939" t="str">
        <f>IF($L1939&gt;0,VLOOKUP($E1939,Valida!$A$1:$G$270,6,FALSE),IF($M1939&gt;=0,VLOOKUP($E1939,Valida!$A$1:$G$270,7,FALSE)))</f>
        <v>(+/-) Ganancia (pérdida)</v>
      </c>
      <c r="V1939" s="190" t="str">
        <f>VLOOKUP(E1939,Valida!$A$2:$K$271,4,FALSE)</f>
        <v>P&amp;L</v>
      </c>
      <c r="W1939" s="185" t="s">
        <v>1900</v>
      </c>
      <c r="X1939" s="185"/>
      <c r="Y1939" s="185" t="s">
        <v>1789</v>
      </c>
      <c r="Z1939"/>
    </row>
    <row r="1940" spans="1:26">
      <c r="A1940" s="185" t="s">
        <v>3042</v>
      </c>
      <c r="B1940" s="185" t="s">
        <v>3086</v>
      </c>
      <c r="C1940" s="185" t="s">
        <v>1897</v>
      </c>
      <c r="D1940" s="185" t="s">
        <v>3087</v>
      </c>
      <c r="E1940" s="185">
        <v>51052403</v>
      </c>
      <c r="F1940" s="185" t="s">
        <v>1720</v>
      </c>
      <c r="G1940" s="185" t="s">
        <v>3088</v>
      </c>
      <c r="H1940" s="185" t="s">
        <v>1515</v>
      </c>
      <c r="I1940" s="258" t="str">
        <f t="shared" si="91"/>
        <v>5</v>
      </c>
      <c r="J1940" s="221">
        <f t="shared" si="92"/>
        <v>1121333</v>
      </c>
      <c r="K1940" s="258">
        <f t="shared" si="93"/>
        <v>7</v>
      </c>
      <c r="L1940" s="188">
        <v>1121333</v>
      </c>
      <c r="M1940" s="188">
        <v>0</v>
      </c>
      <c r="N1940" s="189">
        <v>1020842223</v>
      </c>
      <c r="O1940" t="s">
        <v>3086</v>
      </c>
      <c r="P1940" s="187">
        <v>45133</v>
      </c>
      <c r="Q1940" s="186">
        <v>12634</v>
      </c>
      <c r="R1940" s="185"/>
      <c r="S1940" s="185" t="s">
        <v>1532</v>
      </c>
      <c r="T1940"/>
      <c r="U1940" t="str">
        <f>IF($L1940&gt;0,VLOOKUP($E1940,Valida!$A$1:$G$270,6,FALSE),IF($M1940&gt;=0,VLOOKUP($E1940,Valida!$A$1:$G$270,7,FALSE)))</f>
        <v>(+/-) Ganancia (pérdida)</v>
      </c>
      <c r="V1940" s="190" t="str">
        <f>VLOOKUP(E1940,Valida!$A$2:$K$271,4,FALSE)</f>
        <v>P&amp;L</v>
      </c>
      <c r="W1940" s="185" t="s">
        <v>1900</v>
      </c>
      <c r="X1940" s="185"/>
      <c r="Y1940" s="185" t="s">
        <v>1789</v>
      </c>
      <c r="Z1940"/>
    </row>
    <row r="1941" spans="1:26">
      <c r="A1941" s="185" t="s">
        <v>3042</v>
      </c>
      <c r="B1941" s="185" t="s">
        <v>3086</v>
      </c>
      <c r="C1941" s="185" t="s">
        <v>1897</v>
      </c>
      <c r="D1941" s="185" t="s">
        <v>3087</v>
      </c>
      <c r="E1941" s="185">
        <v>237005</v>
      </c>
      <c r="F1941" s="185" t="s">
        <v>676</v>
      </c>
      <c r="G1941" s="185" t="s">
        <v>3088</v>
      </c>
      <c r="H1941" s="185" t="s">
        <v>1628</v>
      </c>
      <c r="I1941" s="258" t="str">
        <f t="shared" si="91"/>
        <v>2</v>
      </c>
      <c r="J1941" s="221">
        <f t="shared" si="92"/>
        <v>-46723</v>
      </c>
      <c r="K1941" s="258">
        <f t="shared" si="93"/>
        <v>7</v>
      </c>
      <c r="L1941" s="188">
        <v>0</v>
      </c>
      <c r="M1941" s="188">
        <v>46723</v>
      </c>
      <c r="N1941" s="189">
        <v>800251440</v>
      </c>
      <c r="O1941" t="s">
        <v>3086</v>
      </c>
      <c r="P1941" s="187">
        <v>45133</v>
      </c>
      <c r="Q1941" s="186">
        <v>12635</v>
      </c>
      <c r="R1941" s="185" t="s">
        <v>1901</v>
      </c>
      <c r="S1941" s="185" t="s">
        <v>1560</v>
      </c>
      <c r="T1941"/>
      <c r="U1941" t="str">
        <f>IF($L1941&gt;0,VLOOKUP($E1941,Valida!$A$1:$G$270,6,FALSE),IF($M1941&gt;=0,VLOOKUP($E1941,Valida!$A$1:$G$270,7,FALSE)))</f>
        <v>(+/-) Ajustes por el incremento (disminución) de cuentas por pagar de origen comercial</v>
      </c>
      <c r="V1941" s="190" t="str">
        <f>VLOOKUP(E1941,Valida!$A$2:$K$271,4,FALSE)</f>
        <v>Trade and other payables</v>
      </c>
      <c r="W1941" s="185" t="s">
        <v>1902</v>
      </c>
      <c r="X1941" s="185" t="s">
        <v>1903</v>
      </c>
      <c r="Y1941" s="185" t="s">
        <v>1789</v>
      </c>
      <c r="Z1941"/>
    </row>
    <row r="1942" spans="1:26">
      <c r="A1942" s="185" t="s">
        <v>3042</v>
      </c>
      <c r="B1942" s="185" t="s">
        <v>3086</v>
      </c>
      <c r="C1942" s="185" t="s">
        <v>1897</v>
      </c>
      <c r="D1942" s="185" t="s">
        <v>3087</v>
      </c>
      <c r="E1942" s="185">
        <v>238030</v>
      </c>
      <c r="F1942" s="185" t="s">
        <v>721</v>
      </c>
      <c r="G1942" s="185" t="s">
        <v>3088</v>
      </c>
      <c r="H1942" s="185" t="s">
        <v>1628</v>
      </c>
      <c r="I1942" s="258" t="str">
        <f t="shared" si="91"/>
        <v>2</v>
      </c>
      <c r="J1942" s="221">
        <f t="shared" si="92"/>
        <v>-46723</v>
      </c>
      <c r="K1942" s="258">
        <f t="shared" si="93"/>
        <v>7</v>
      </c>
      <c r="L1942" s="188">
        <v>0</v>
      </c>
      <c r="M1942" s="188">
        <v>46723</v>
      </c>
      <c r="N1942" s="189">
        <v>800224808</v>
      </c>
      <c r="O1942" t="s">
        <v>3086</v>
      </c>
      <c r="P1942" s="187">
        <v>45133</v>
      </c>
      <c r="Q1942" s="186">
        <v>12636</v>
      </c>
      <c r="R1942" s="185" t="s">
        <v>1827</v>
      </c>
      <c r="S1942" s="185" t="s">
        <v>1662</v>
      </c>
      <c r="T1942"/>
      <c r="U1942" t="str">
        <f>IF($L1942&gt;0,VLOOKUP($E1942,Valida!$A$1:$G$270,6,FALSE),IF($M1942&gt;=0,VLOOKUP($E1942,Valida!$A$1:$G$270,7,FALSE)))</f>
        <v>(+/-) Ajustes por el incremento (disminución) de cuentas por pagar de origen comercial</v>
      </c>
      <c r="V1942" s="190" t="str">
        <f>VLOOKUP(E1942,Valida!$A$2:$K$271,4,FALSE)</f>
        <v>Trade and other payables</v>
      </c>
      <c r="W1942" s="185" t="s">
        <v>1911</v>
      </c>
      <c r="X1942" s="185"/>
      <c r="Y1942" s="185" t="s">
        <v>1789</v>
      </c>
      <c r="Z1942"/>
    </row>
    <row r="1943" spans="1:26">
      <c r="A1943" s="185" t="s">
        <v>3042</v>
      </c>
      <c r="B1943" s="185" t="s">
        <v>3086</v>
      </c>
      <c r="C1943" s="185" t="s">
        <v>1897</v>
      </c>
      <c r="D1943" s="185" t="s">
        <v>3087</v>
      </c>
      <c r="E1943" s="185">
        <v>250505</v>
      </c>
      <c r="F1943" s="185" t="s">
        <v>767</v>
      </c>
      <c r="G1943" s="185" t="s">
        <v>3088</v>
      </c>
      <c r="H1943" s="185" t="s">
        <v>1628</v>
      </c>
      <c r="I1943" s="258" t="str">
        <f t="shared" si="91"/>
        <v>2</v>
      </c>
      <c r="J1943" s="221">
        <f t="shared" si="92"/>
        <v>-1314526</v>
      </c>
      <c r="K1943" s="258">
        <f t="shared" si="93"/>
        <v>7</v>
      </c>
      <c r="L1943" s="188">
        <v>0</v>
      </c>
      <c r="M1943" s="188">
        <v>1314526</v>
      </c>
      <c r="N1943" s="189">
        <v>1000018061</v>
      </c>
      <c r="O1943" t="s">
        <v>3086</v>
      </c>
      <c r="P1943" s="187">
        <v>45133</v>
      </c>
      <c r="Q1943" s="186">
        <v>12637</v>
      </c>
      <c r="R1943" s="185"/>
      <c r="S1943" s="185" t="s">
        <v>1522</v>
      </c>
      <c r="T1943"/>
      <c r="U1943" t="str">
        <f>IF($L1943&gt;0,VLOOKUP($E1943,Valida!$A$1:$G$270,6,FALSE),IF($M1943&gt;=0,VLOOKUP($E1943,Valida!$A$1:$G$270,7,FALSE)))</f>
        <v>(+/-) Ajustes por el incremento (disminución) de cuentas por pagar de origen comercial</v>
      </c>
      <c r="V1943" s="190" t="str">
        <f>VLOOKUP(E1943,Valida!$A$2:$K$271,4,FALSE)</f>
        <v>Trade and other payables</v>
      </c>
      <c r="W1943" s="185" t="s">
        <v>1978</v>
      </c>
      <c r="X1943" s="185"/>
      <c r="Y1943" s="185" t="s">
        <v>1789</v>
      </c>
      <c r="Z1943"/>
    </row>
    <row r="1944" spans="1:26">
      <c r="A1944" s="185" t="s">
        <v>3042</v>
      </c>
      <c r="B1944" s="185" t="s">
        <v>3086</v>
      </c>
      <c r="C1944" s="185" t="s">
        <v>1897</v>
      </c>
      <c r="D1944" s="185" t="s">
        <v>3087</v>
      </c>
      <c r="E1944" s="185">
        <v>250505</v>
      </c>
      <c r="F1944" s="185" t="s">
        <v>767</v>
      </c>
      <c r="G1944" s="185" t="s">
        <v>3088</v>
      </c>
      <c r="H1944" s="185" t="s">
        <v>1628</v>
      </c>
      <c r="I1944" s="258" t="str">
        <f t="shared" si="91"/>
        <v>2</v>
      </c>
      <c r="J1944" s="221">
        <f t="shared" si="92"/>
        <v>-2454356</v>
      </c>
      <c r="K1944" s="258">
        <f t="shared" si="93"/>
        <v>7</v>
      </c>
      <c r="L1944" s="188">
        <v>0</v>
      </c>
      <c r="M1944" s="188">
        <v>2454356</v>
      </c>
      <c r="N1944" s="189">
        <v>1000036375</v>
      </c>
      <c r="O1944" t="s">
        <v>3086</v>
      </c>
      <c r="P1944" s="187">
        <v>45133</v>
      </c>
      <c r="Q1944" s="186">
        <v>12638</v>
      </c>
      <c r="R1944" s="185"/>
      <c r="S1944" s="185" t="s">
        <v>1524</v>
      </c>
      <c r="T1944"/>
      <c r="U1944" t="str">
        <f>IF($L1944&gt;0,VLOOKUP($E1944,Valida!$A$1:$G$270,6,FALSE),IF($M1944&gt;=0,VLOOKUP($E1944,Valida!$A$1:$G$270,7,FALSE)))</f>
        <v>(+/-) Ajustes por el incremento (disminución) de cuentas por pagar de origen comercial</v>
      </c>
      <c r="V1944" s="190" t="str">
        <f>VLOOKUP(E1944,Valida!$A$2:$K$271,4,FALSE)</f>
        <v>Trade and other payables</v>
      </c>
      <c r="W1944" s="185" t="s">
        <v>1983</v>
      </c>
      <c r="X1944" s="185"/>
      <c r="Y1944" s="185" t="s">
        <v>1789</v>
      </c>
      <c r="Z1944"/>
    </row>
    <row r="1945" spans="1:26">
      <c r="A1945" s="185" t="s">
        <v>3042</v>
      </c>
      <c r="B1945" s="185" t="s">
        <v>3086</v>
      </c>
      <c r="C1945" s="185" t="s">
        <v>1897</v>
      </c>
      <c r="D1945" s="185" t="s">
        <v>3087</v>
      </c>
      <c r="E1945" s="185">
        <v>250505</v>
      </c>
      <c r="F1945" s="185" t="s">
        <v>767</v>
      </c>
      <c r="G1945" s="185" t="s">
        <v>3088</v>
      </c>
      <c r="H1945" s="185" t="s">
        <v>1628</v>
      </c>
      <c r="I1945" s="258" t="str">
        <f t="shared" si="91"/>
        <v>2</v>
      </c>
      <c r="J1945" s="221">
        <f t="shared" si="92"/>
        <v>-1520606</v>
      </c>
      <c r="K1945" s="258">
        <f t="shared" si="93"/>
        <v>7</v>
      </c>
      <c r="L1945" s="188">
        <v>0</v>
      </c>
      <c r="M1945" s="188">
        <v>1520606</v>
      </c>
      <c r="N1945" s="189">
        <v>1010101811</v>
      </c>
      <c r="O1945" t="s">
        <v>3086</v>
      </c>
      <c r="P1945" s="187">
        <v>45133</v>
      </c>
      <c r="Q1945" s="186">
        <v>12639</v>
      </c>
      <c r="R1945" s="185"/>
      <c r="S1945" s="185" t="s">
        <v>1528</v>
      </c>
      <c r="T1945"/>
      <c r="U1945" t="str">
        <f>IF($L1945&gt;0,VLOOKUP($E1945,Valida!$A$1:$G$270,6,FALSE),IF($M1945&gt;=0,VLOOKUP($E1945,Valida!$A$1:$G$270,7,FALSE)))</f>
        <v>(+/-) Ajustes por el incremento (disminución) de cuentas por pagar de origen comercial</v>
      </c>
      <c r="V1945" s="190" t="str">
        <f>VLOOKUP(E1945,Valida!$A$2:$K$271,4,FALSE)</f>
        <v>Trade and other payables</v>
      </c>
      <c r="W1945" s="185" t="s">
        <v>1967</v>
      </c>
      <c r="X1945" s="185"/>
      <c r="Y1945" s="185" t="s">
        <v>1789</v>
      </c>
      <c r="Z1945"/>
    </row>
    <row r="1946" spans="1:26">
      <c r="A1946" s="185" t="s">
        <v>3042</v>
      </c>
      <c r="B1946" s="185" t="s">
        <v>3086</v>
      </c>
      <c r="C1946" s="185" t="s">
        <v>1897</v>
      </c>
      <c r="D1946" s="185" t="s">
        <v>3087</v>
      </c>
      <c r="E1946" s="185">
        <v>250505</v>
      </c>
      <c r="F1946" s="185" t="s">
        <v>767</v>
      </c>
      <c r="G1946" s="185" t="s">
        <v>3088</v>
      </c>
      <c r="H1946" s="185" t="s">
        <v>1628</v>
      </c>
      <c r="I1946" s="258" t="str">
        <f t="shared" si="91"/>
        <v>2</v>
      </c>
      <c r="J1946" s="221">
        <f t="shared" si="92"/>
        <v>-1074637</v>
      </c>
      <c r="K1946" s="258">
        <f t="shared" si="93"/>
        <v>7</v>
      </c>
      <c r="L1946" s="188">
        <v>0</v>
      </c>
      <c r="M1946" s="188">
        <v>1074637</v>
      </c>
      <c r="N1946" s="189">
        <v>1020842223</v>
      </c>
      <c r="O1946" t="s">
        <v>3086</v>
      </c>
      <c r="P1946" s="187">
        <v>45133</v>
      </c>
      <c r="Q1946" s="186">
        <v>12640</v>
      </c>
      <c r="R1946" s="185"/>
      <c r="S1946" s="185" t="s">
        <v>1532</v>
      </c>
      <c r="T1946"/>
      <c r="U1946" t="str">
        <f>IF($L1946&gt;0,VLOOKUP($E1946,Valida!$A$1:$G$270,6,FALSE),IF($M1946&gt;=0,VLOOKUP($E1946,Valida!$A$1:$G$270,7,FALSE)))</f>
        <v>(+/-) Ajustes por el incremento (disminución) de cuentas por pagar de origen comercial</v>
      </c>
      <c r="V1946" s="190" t="str">
        <f>VLOOKUP(E1946,Valida!$A$2:$K$271,4,FALSE)</f>
        <v>Trade and other payables</v>
      </c>
      <c r="W1946" s="185" t="s">
        <v>1900</v>
      </c>
      <c r="X1946" s="185"/>
      <c r="Y1946" s="185" t="s">
        <v>1789</v>
      </c>
      <c r="Z1946"/>
    </row>
    <row r="1947" spans="1:26">
      <c r="A1947" s="185" t="s">
        <v>3042</v>
      </c>
      <c r="B1947" s="185" t="s">
        <v>3086</v>
      </c>
      <c r="C1947" s="185" t="s">
        <v>1897</v>
      </c>
      <c r="D1947" s="185" t="s">
        <v>3087</v>
      </c>
      <c r="E1947" s="185">
        <v>250505</v>
      </c>
      <c r="F1947" s="185" t="s">
        <v>767</v>
      </c>
      <c r="G1947" s="185" t="s">
        <v>3088</v>
      </c>
      <c r="H1947" s="185" t="s">
        <v>1628</v>
      </c>
      <c r="I1947" s="258" t="str">
        <f t="shared" si="91"/>
        <v>2</v>
      </c>
      <c r="J1947" s="221">
        <f t="shared" si="92"/>
        <v>-1207806</v>
      </c>
      <c r="K1947" s="258">
        <f t="shared" si="93"/>
        <v>7</v>
      </c>
      <c r="L1947" s="188">
        <v>0</v>
      </c>
      <c r="M1947" s="188">
        <v>1207806</v>
      </c>
      <c r="N1947" s="189">
        <v>1130744136</v>
      </c>
      <c r="O1947" t="s">
        <v>3086</v>
      </c>
      <c r="P1947" s="187">
        <v>45133</v>
      </c>
      <c r="Q1947" s="186">
        <v>12641</v>
      </c>
      <c r="R1947" s="185"/>
      <c r="S1947" s="185" t="s">
        <v>1538</v>
      </c>
      <c r="T1947"/>
      <c r="U1947" t="str">
        <f>IF($L1947&gt;0,VLOOKUP($E1947,Valida!$A$1:$G$270,6,FALSE),IF($M1947&gt;=0,VLOOKUP($E1947,Valida!$A$1:$G$270,7,FALSE)))</f>
        <v>(+/-) Ajustes por el incremento (disminución) de cuentas por pagar de origen comercial</v>
      </c>
      <c r="V1947" s="190" t="str">
        <f>VLOOKUP(E1947,Valida!$A$2:$K$271,4,FALSE)</f>
        <v>Trade and other payables</v>
      </c>
      <c r="W1947" s="185" t="s">
        <v>1909</v>
      </c>
      <c r="X1947" s="185" t="s">
        <v>1910</v>
      </c>
      <c r="Y1947" s="185" t="s">
        <v>1789</v>
      </c>
      <c r="Z1947"/>
    </row>
    <row r="1948" spans="1:26">
      <c r="A1948" s="185" t="s">
        <v>3001</v>
      </c>
      <c r="B1948" s="185" t="s">
        <v>3089</v>
      </c>
      <c r="C1948" s="185" t="s">
        <v>1890</v>
      </c>
      <c r="D1948" s="185" t="s">
        <v>3090</v>
      </c>
      <c r="E1948" s="185">
        <v>23355006</v>
      </c>
      <c r="F1948" s="185" t="s">
        <v>519</v>
      </c>
      <c r="G1948" s="185" t="s">
        <v>3091</v>
      </c>
      <c r="H1948" s="185" t="s">
        <v>1515</v>
      </c>
      <c r="I1948" s="258" t="str">
        <f t="shared" si="91"/>
        <v>2</v>
      </c>
      <c r="J1948" s="221">
        <f t="shared" si="92"/>
        <v>4245373</v>
      </c>
      <c r="K1948" s="258">
        <f t="shared" si="93"/>
        <v>7</v>
      </c>
      <c r="L1948" s="188">
        <v>4245373</v>
      </c>
      <c r="M1948" s="188">
        <v>0</v>
      </c>
      <c r="N1948" s="189">
        <v>800153993</v>
      </c>
      <c r="O1948"/>
      <c r="P1948" s="187">
        <v>45133.726226851897</v>
      </c>
      <c r="Q1948" s="186">
        <v>12667</v>
      </c>
      <c r="R1948" s="185" t="s">
        <v>1814</v>
      </c>
      <c r="S1948" s="185" t="s">
        <v>1556</v>
      </c>
      <c r="T1948"/>
      <c r="U1948" t="str">
        <f>IF($L1948&gt;0,VLOOKUP($E1948,Valida!$A$1:$G$270,6,FALSE),IF($M1948&gt;=0,VLOOKUP($E1948,Valida!$A$1:$G$270,7,FALSE)))</f>
        <v>(+/-) Ajustes por el incremento (disminución) de cuentas por pagar de origen comercial</v>
      </c>
      <c r="V1948" s="190" t="str">
        <f>VLOOKUP(E1948,Valida!$A$2:$K$271,4,FALSE)</f>
        <v>Trade and other payables</v>
      </c>
      <c r="W1948" s="185" t="s">
        <v>1815</v>
      </c>
      <c r="X1948" s="185"/>
      <c r="Y1948" s="185" t="s">
        <v>1789</v>
      </c>
      <c r="Z1948"/>
    </row>
    <row r="1949" spans="1:26">
      <c r="A1949" s="185" t="s">
        <v>3001</v>
      </c>
      <c r="B1949" s="185" t="s">
        <v>3089</v>
      </c>
      <c r="C1949" s="185" t="s">
        <v>1890</v>
      </c>
      <c r="D1949" s="185" t="s">
        <v>3090</v>
      </c>
      <c r="E1949" s="185">
        <v>112005</v>
      </c>
      <c r="F1949" s="185" t="s">
        <v>24</v>
      </c>
      <c r="G1949" s="185" t="s">
        <v>3091</v>
      </c>
      <c r="H1949" s="185" t="s">
        <v>1628</v>
      </c>
      <c r="I1949" s="258" t="str">
        <f t="shared" si="91"/>
        <v>1</v>
      </c>
      <c r="J1949" s="221">
        <f t="shared" si="92"/>
        <v>-4245373</v>
      </c>
      <c r="K1949" s="258">
        <f t="shared" si="93"/>
        <v>7</v>
      </c>
      <c r="L1949" s="188">
        <v>0</v>
      </c>
      <c r="M1949" s="188">
        <v>4245373</v>
      </c>
      <c r="N1949" s="189">
        <v>800153993</v>
      </c>
      <c r="O1949"/>
      <c r="P1949" s="187">
        <v>45133.726226851897</v>
      </c>
      <c r="Q1949" s="186">
        <v>12668</v>
      </c>
      <c r="R1949" s="185" t="s">
        <v>1814</v>
      </c>
      <c r="S1949" s="185" t="s">
        <v>1556</v>
      </c>
      <c r="T1949" t="s">
        <v>1894</v>
      </c>
      <c r="U1949" t="str">
        <f>IF($L1949&gt;0,VLOOKUP($E1949,Valida!$A$1:$G$270,6,FALSE),IF($M1949&gt;=0,VLOOKUP($E1949,Valida!$A$1:$G$270,7,FALSE)))</f>
        <v>Disponible</v>
      </c>
      <c r="V1949" s="190" t="str">
        <f>VLOOKUP(E1949,Valida!$A$2:$K$271,4,FALSE)</f>
        <v>Cash and equivalents</v>
      </c>
      <c r="W1949" s="185" t="s">
        <v>1815</v>
      </c>
      <c r="X1949" s="185"/>
      <c r="Y1949" s="185" t="s">
        <v>1789</v>
      </c>
      <c r="Z1949"/>
    </row>
    <row r="1950" spans="1:26">
      <c r="A1950" s="185" t="s">
        <v>3042</v>
      </c>
      <c r="B1950" s="185" t="s">
        <v>3092</v>
      </c>
      <c r="C1950" s="185" t="s">
        <v>1897</v>
      </c>
      <c r="D1950" s="185" t="s">
        <v>3093</v>
      </c>
      <c r="E1950" s="185">
        <v>252505</v>
      </c>
      <c r="F1950" s="185" t="s">
        <v>787</v>
      </c>
      <c r="G1950" s="185" t="s">
        <v>3094</v>
      </c>
      <c r="H1950" s="185" t="s">
        <v>1515</v>
      </c>
      <c r="I1950" s="258" t="str">
        <f t="shared" si="91"/>
        <v>2</v>
      </c>
      <c r="J1950" s="221">
        <f t="shared" si="92"/>
        <v>180278</v>
      </c>
      <c r="K1950" s="258">
        <f t="shared" si="93"/>
        <v>7</v>
      </c>
      <c r="L1950" s="188">
        <v>180278</v>
      </c>
      <c r="M1950" s="188">
        <v>0</v>
      </c>
      <c r="N1950" s="189">
        <v>1100623759</v>
      </c>
      <c r="O1950" t="s">
        <v>3092</v>
      </c>
      <c r="P1950" s="187">
        <v>45133</v>
      </c>
      <c r="Q1950" s="186">
        <v>12672</v>
      </c>
      <c r="R1950" s="185"/>
      <c r="S1950" s="185" t="s">
        <v>1536</v>
      </c>
      <c r="T1950" t="s">
        <v>2729</v>
      </c>
      <c r="U1950" t="str">
        <f>IF($L1950&gt;0,VLOOKUP($E1950,Valida!$A$1:$G$270,6,FALSE),IF($M1950&gt;=0,VLOOKUP($E1950,Valida!$A$1:$G$270,7,FALSE)))</f>
        <v>(+/-) Ajustes por el incremento (disminución) de cuentas por pagar de origen comercial</v>
      </c>
      <c r="V1950" s="190" t="str">
        <f>VLOOKUP(E1950,Valida!$A$2:$K$271,4,FALSE)</f>
        <v>Trade and other payables</v>
      </c>
      <c r="W1950" s="185" t="s">
        <v>2730</v>
      </c>
      <c r="X1950" s="185"/>
      <c r="Y1950" s="185" t="s">
        <v>1789</v>
      </c>
      <c r="Z1950"/>
    </row>
    <row r="1951" spans="1:26">
      <c r="A1951" s="185" t="s">
        <v>3042</v>
      </c>
      <c r="B1951" s="185" t="s">
        <v>3092</v>
      </c>
      <c r="C1951" s="185" t="s">
        <v>1897</v>
      </c>
      <c r="D1951" s="185" t="s">
        <v>3093</v>
      </c>
      <c r="E1951" s="185">
        <v>510506</v>
      </c>
      <c r="F1951" s="185" t="s">
        <v>1076</v>
      </c>
      <c r="G1951" s="185" t="s">
        <v>3094</v>
      </c>
      <c r="H1951" s="185" t="s">
        <v>1515</v>
      </c>
      <c r="I1951" s="258" t="str">
        <f t="shared" si="91"/>
        <v>5</v>
      </c>
      <c r="J1951" s="221">
        <f t="shared" si="92"/>
        <v>513333</v>
      </c>
      <c r="K1951" s="258">
        <f t="shared" si="93"/>
        <v>7</v>
      </c>
      <c r="L1951" s="188">
        <v>513333</v>
      </c>
      <c r="M1951" s="188">
        <v>0</v>
      </c>
      <c r="N1951" s="189">
        <v>1100623759</v>
      </c>
      <c r="O1951" t="s">
        <v>3092</v>
      </c>
      <c r="P1951" s="187">
        <v>45133</v>
      </c>
      <c r="Q1951" s="186">
        <v>12673</v>
      </c>
      <c r="R1951" s="185"/>
      <c r="S1951" s="185" t="s">
        <v>1536</v>
      </c>
      <c r="T1951" t="s">
        <v>2729</v>
      </c>
      <c r="U1951" t="str">
        <f>IF($L1951&gt;0,VLOOKUP($E1951,Valida!$A$1:$G$270,6,FALSE),IF($M1951&gt;=0,VLOOKUP($E1951,Valida!$A$1:$G$270,7,FALSE)))</f>
        <v>(+/-) Ganancia (pérdida)</v>
      </c>
      <c r="V1951" s="190" t="str">
        <f>VLOOKUP(E1951,Valida!$A$2:$K$271,4,FALSE)</f>
        <v>P&amp;L</v>
      </c>
      <c r="W1951" s="185" t="s">
        <v>2730</v>
      </c>
      <c r="X1951" s="185"/>
      <c r="Y1951" s="185" t="s">
        <v>1789</v>
      </c>
      <c r="Z1951"/>
    </row>
    <row r="1952" spans="1:26">
      <c r="A1952" s="185" t="s">
        <v>3042</v>
      </c>
      <c r="B1952" s="185" t="s">
        <v>3092</v>
      </c>
      <c r="C1952" s="185" t="s">
        <v>1897</v>
      </c>
      <c r="D1952" s="185" t="s">
        <v>3093</v>
      </c>
      <c r="E1952" s="185">
        <v>251010</v>
      </c>
      <c r="F1952" s="185" t="s">
        <v>776</v>
      </c>
      <c r="G1952" s="185" t="s">
        <v>3094</v>
      </c>
      <c r="H1952" s="185" t="s">
        <v>1515</v>
      </c>
      <c r="I1952" s="258" t="str">
        <f t="shared" si="91"/>
        <v>2</v>
      </c>
      <c r="J1952" s="221">
        <f t="shared" si="92"/>
        <v>383599</v>
      </c>
      <c r="K1952" s="258">
        <f t="shared" si="93"/>
        <v>7</v>
      </c>
      <c r="L1952" s="188">
        <v>383599</v>
      </c>
      <c r="M1952" s="188">
        <v>0</v>
      </c>
      <c r="N1952" s="189">
        <v>1100623759</v>
      </c>
      <c r="O1952" t="s">
        <v>3092</v>
      </c>
      <c r="P1952" s="187">
        <v>45133</v>
      </c>
      <c r="Q1952" s="186">
        <v>12674</v>
      </c>
      <c r="R1952" s="185"/>
      <c r="S1952" s="185" t="s">
        <v>1536</v>
      </c>
      <c r="T1952" t="s">
        <v>2729</v>
      </c>
      <c r="U1952" t="str">
        <f>IF($L1952&gt;0,VLOOKUP($E1952,Valida!$A$1:$G$270,6,FALSE),IF($M1952&gt;=0,VLOOKUP($E1952,Valida!$A$1:$G$270,7,FALSE)))</f>
        <v>(+/-) Ajustes por el incremento (disminución) de cuentas por pagar de origen comercial</v>
      </c>
      <c r="V1952" s="190" t="str">
        <f>VLOOKUP(E1952,Valida!$A$2:$K$271,4,FALSE)</f>
        <v>Trade and other payables</v>
      </c>
      <c r="W1952" s="185" t="s">
        <v>2730</v>
      </c>
      <c r="X1952" s="185"/>
      <c r="Y1952" s="185" t="s">
        <v>1789</v>
      </c>
      <c r="Z1952"/>
    </row>
    <row r="1953" spans="1:26">
      <c r="A1953" s="185" t="s">
        <v>3042</v>
      </c>
      <c r="B1953" s="185" t="s">
        <v>3092</v>
      </c>
      <c r="C1953" s="185" t="s">
        <v>1897</v>
      </c>
      <c r="D1953" s="185" t="s">
        <v>3093</v>
      </c>
      <c r="E1953" s="185">
        <v>251505</v>
      </c>
      <c r="F1953" s="185" t="s">
        <v>779</v>
      </c>
      <c r="G1953" s="185" t="s">
        <v>3094</v>
      </c>
      <c r="H1953" s="185" t="s">
        <v>1515</v>
      </c>
      <c r="I1953" s="258" t="str">
        <f t="shared" si="91"/>
        <v>2</v>
      </c>
      <c r="J1953" s="221">
        <f t="shared" si="92"/>
        <v>7544</v>
      </c>
      <c r="K1953" s="258">
        <f t="shared" si="93"/>
        <v>7</v>
      </c>
      <c r="L1953" s="188">
        <v>7544</v>
      </c>
      <c r="M1953" s="188">
        <v>0</v>
      </c>
      <c r="N1953" s="189">
        <v>1100623759</v>
      </c>
      <c r="O1953" t="s">
        <v>3092</v>
      </c>
      <c r="P1953" s="187">
        <v>45133</v>
      </c>
      <c r="Q1953" s="186">
        <v>12675</v>
      </c>
      <c r="R1953" s="185"/>
      <c r="S1953" s="185" t="s">
        <v>1536</v>
      </c>
      <c r="T1953" t="s">
        <v>2729</v>
      </c>
      <c r="U1953" t="str">
        <f>IF($L1953&gt;0,VLOOKUP($E1953,Valida!$A$1:$G$270,6,FALSE),IF($M1953&gt;=0,VLOOKUP($E1953,Valida!$A$1:$G$270,7,FALSE)))</f>
        <v>(+/-) Ajustes por el incremento (disminución) de cuentas por pagar de origen comercial</v>
      </c>
      <c r="V1953" s="190" t="str">
        <f>VLOOKUP(E1953,Valida!$A$2:$K$271,4,FALSE)</f>
        <v>Trade and other payables</v>
      </c>
      <c r="W1953" s="185" t="s">
        <v>2730</v>
      </c>
      <c r="X1953" s="185"/>
      <c r="Y1953" s="185" t="s">
        <v>1789</v>
      </c>
      <c r="Z1953"/>
    </row>
    <row r="1954" spans="1:26">
      <c r="A1954" s="185" t="s">
        <v>3042</v>
      </c>
      <c r="B1954" s="185" t="s">
        <v>3092</v>
      </c>
      <c r="C1954" s="185" t="s">
        <v>1897</v>
      </c>
      <c r="D1954" s="185" t="s">
        <v>3093</v>
      </c>
      <c r="E1954" s="185">
        <v>252005</v>
      </c>
      <c r="F1954" s="185" t="s">
        <v>783</v>
      </c>
      <c r="G1954" s="185" t="s">
        <v>3094</v>
      </c>
      <c r="H1954" s="185" t="s">
        <v>1515</v>
      </c>
      <c r="I1954" s="258" t="str">
        <f t="shared" si="91"/>
        <v>2</v>
      </c>
      <c r="J1954" s="221">
        <f t="shared" si="92"/>
        <v>45511</v>
      </c>
      <c r="K1954" s="258">
        <f t="shared" si="93"/>
        <v>7</v>
      </c>
      <c r="L1954" s="188">
        <v>45511</v>
      </c>
      <c r="M1954" s="188">
        <v>0</v>
      </c>
      <c r="N1954" s="189">
        <v>1100623759</v>
      </c>
      <c r="O1954" t="s">
        <v>3092</v>
      </c>
      <c r="P1954" s="187">
        <v>45133</v>
      </c>
      <c r="Q1954" s="186">
        <v>12676</v>
      </c>
      <c r="R1954" s="185"/>
      <c r="S1954" s="185" t="s">
        <v>1536</v>
      </c>
      <c r="T1954" t="s">
        <v>2729</v>
      </c>
      <c r="U1954" t="str">
        <f>IF($L1954&gt;0,VLOOKUP($E1954,Valida!$A$1:$G$270,6,FALSE),IF($M1954&gt;=0,VLOOKUP($E1954,Valida!$A$1:$G$270,7,FALSE)))</f>
        <v>(+/-) Ajustes por el incremento (disminución) de cuentas por pagar de origen comercial</v>
      </c>
      <c r="V1954" s="190" t="str">
        <f>VLOOKUP(E1954,Valida!$A$2:$K$271,4,FALSE)</f>
        <v>Trade and other payables</v>
      </c>
      <c r="W1954" s="185" t="s">
        <v>2730</v>
      </c>
      <c r="X1954" s="185"/>
      <c r="Y1954" s="185" t="s">
        <v>1789</v>
      </c>
      <c r="Z1954"/>
    </row>
    <row r="1955" spans="1:26">
      <c r="A1955" s="185" t="s">
        <v>3042</v>
      </c>
      <c r="B1955" s="185" t="s">
        <v>3092</v>
      </c>
      <c r="C1955" s="185" t="s">
        <v>1897</v>
      </c>
      <c r="D1955" s="185" t="s">
        <v>3093</v>
      </c>
      <c r="E1955" s="185">
        <v>510527</v>
      </c>
      <c r="F1955" s="185" t="s">
        <v>1089</v>
      </c>
      <c r="G1955" s="185" t="s">
        <v>3094</v>
      </c>
      <c r="H1955" s="185" t="s">
        <v>1515</v>
      </c>
      <c r="I1955" s="258" t="str">
        <f t="shared" si="91"/>
        <v>5</v>
      </c>
      <c r="J1955" s="221">
        <f t="shared" si="92"/>
        <v>32808</v>
      </c>
      <c r="K1955" s="258">
        <f t="shared" si="93"/>
        <v>7</v>
      </c>
      <c r="L1955" s="188">
        <v>32808</v>
      </c>
      <c r="M1955" s="188">
        <v>0</v>
      </c>
      <c r="N1955" s="189">
        <v>1100623759</v>
      </c>
      <c r="O1955" t="s">
        <v>3092</v>
      </c>
      <c r="P1955" s="187">
        <v>45133</v>
      </c>
      <c r="Q1955" s="186">
        <v>12677</v>
      </c>
      <c r="R1955" s="185"/>
      <c r="S1955" s="185" t="s">
        <v>1536</v>
      </c>
      <c r="T1955" t="s">
        <v>2729</v>
      </c>
      <c r="U1955" t="str">
        <f>IF($L1955&gt;0,VLOOKUP($E1955,Valida!$A$1:$G$270,6,FALSE),IF($M1955&gt;=0,VLOOKUP($E1955,Valida!$A$1:$G$270,7,FALSE)))</f>
        <v>(+/-) Ganancia (pérdida)</v>
      </c>
      <c r="V1955" s="190" t="str">
        <f>VLOOKUP(E1955,Valida!$A$2:$K$271,4,FALSE)</f>
        <v>P&amp;L</v>
      </c>
      <c r="W1955" s="185" t="s">
        <v>2730</v>
      </c>
      <c r="X1955" s="185"/>
      <c r="Y1955" s="185" t="s">
        <v>1789</v>
      </c>
      <c r="Z1955"/>
    </row>
    <row r="1956" spans="1:26">
      <c r="A1956" s="185" t="s">
        <v>3042</v>
      </c>
      <c r="B1956" s="185" t="s">
        <v>3092</v>
      </c>
      <c r="C1956" s="185" t="s">
        <v>1897</v>
      </c>
      <c r="D1956" s="185" t="s">
        <v>3093</v>
      </c>
      <c r="E1956" s="185">
        <v>237005</v>
      </c>
      <c r="F1956" s="185" t="s">
        <v>676</v>
      </c>
      <c r="G1956" s="185" t="s">
        <v>3094</v>
      </c>
      <c r="H1956" s="185" t="s">
        <v>1628</v>
      </c>
      <c r="I1956" s="258" t="str">
        <f t="shared" si="91"/>
        <v>2</v>
      </c>
      <c r="J1956" s="221">
        <f t="shared" si="92"/>
        <v>-20533</v>
      </c>
      <c r="K1956" s="258">
        <f t="shared" si="93"/>
        <v>7</v>
      </c>
      <c r="L1956" s="188">
        <v>0</v>
      </c>
      <c r="M1956" s="188">
        <v>20533</v>
      </c>
      <c r="N1956" s="189">
        <v>800251440</v>
      </c>
      <c r="O1956" t="s">
        <v>3092</v>
      </c>
      <c r="P1956" s="187">
        <v>45133</v>
      </c>
      <c r="Q1956" s="186">
        <v>12678</v>
      </c>
      <c r="R1956" s="185" t="s">
        <v>1901</v>
      </c>
      <c r="S1956" s="185" t="s">
        <v>1560</v>
      </c>
      <c r="T1956" t="s">
        <v>2729</v>
      </c>
      <c r="U1956" t="str">
        <f>IF($L1956&gt;0,VLOOKUP($E1956,Valida!$A$1:$G$270,6,FALSE),IF($M1956&gt;=0,VLOOKUP($E1956,Valida!$A$1:$G$270,7,FALSE)))</f>
        <v>(+/-) Ajustes por el incremento (disminución) de cuentas por pagar de origen comercial</v>
      </c>
      <c r="V1956" s="190" t="str">
        <f>VLOOKUP(E1956,Valida!$A$2:$K$271,4,FALSE)</f>
        <v>Trade and other payables</v>
      </c>
      <c r="W1956" s="185" t="s">
        <v>1902</v>
      </c>
      <c r="X1956" s="185" t="s">
        <v>1903</v>
      </c>
      <c r="Y1956" s="185" t="s">
        <v>1789</v>
      </c>
      <c r="Z1956"/>
    </row>
    <row r="1957" spans="1:26">
      <c r="A1957" s="185" t="s">
        <v>3042</v>
      </c>
      <c r="B1957" s="185" t="s">
        <v>3092</v>
      </c>
      <c r="C1957" s="185" t="s">
        <v>1897</v>
      </c>
      <c r="D1957" s="185" t="s">
        <v>3093</v>
      </c>
      <c r="E1957" s="185">
        <v>238030</v>
      </c>
      <c r="F1957" s="185" t="s">
        <v>721</v>
      </c>
      <c r="G1957" s="185" t="s">
        <v>3094</v>
      </c>
      <c r="H1957" s="185" t="s">
        <v>1628</v>
      </c>
      <c r="I1957" s="258" t="str">
        <f t="shared" si="91"/>
        <v>2</v>
      </c>
      <c r="J1957" s="221">
        <f t="shared" si="92"/>
        <v>-20533</v>
      </c>
      <c r="K1957" s="258">
        <f t="shared" si="93"/>
        <v>7</v>
      </c>
      <c r="L1957" s="188">
        <v>0</v>
      </c>
      <c r="M1957" s="188">
        <v>20533</v>
      </c>
      <c r="N1957" s="189">
        <v>800224808</v>
      </c>
      <c r="O1957" t="s">
        <v>3092</v>
      </c>
      <c r="P1957" s="187">
        <v>45133</v>
      </c>
      <c r="Q1957" s="186">
        <v>12679</v>
      </c>
      <c r="R1957" s="185" t="s">
        <v>1827</v>
      </c>
      <c r="S1957" s="185" t="s">
        <v>1662</v>
      </c>
      <c r="T1957" t="s">
        <v>2729</v>
      </c>
      <c r="U1957" t="str">
        <f>IF($L1957&gt;0,VLOOKUP($E1957,Valida!$A$1:$G$270,6,FALSE),IF($M1957&gt;=0,VLOOKUP($E1957,Valida!$A$1:$G$270,7,FALSE)))</f>
        <v>(+/-) Ajustes por el incremento (disminución) de cuentas por pagar de origen comercial</v>
      </c>
      <c r="V1957" s="190" t="str">
        <f>VLOOKUP(E1957,Valida!$A$2:$K$271,4,FALSE)</f>
        <v>Trade and other payables</v>
      </c>
      <c r="W1957" s="185" t="s">
        <v>1911</v>
      </c>
      <c r="X1957" s="185"/>
      <c r="Y1957" s="185" t="s">
        <v>1789</v>
      </c>
      <c r="Z1957"/>
    </row>
    <row r="1958" spans="1:26">
      <c r="A1958" s="185" t="s">
        <v>3042</v>
      </c>
      <c r="B1958" s="185" t="s">
        <v>3092</v>
      </c>
      <c r="C1958" s="185" t="s">
        <v>1897</v>
      </c>
      <c r="D1958" s="185" t="s">
        <v>3093</v>
      </c>
      <c r="E1958" s="185">
        <v>250505</v>
      </c>
      <c r="F1958" s="185" t="s">
        <v>767</v>
      </c>
      <c r="G1958" s="185" t="s">
        <v>3094</v>
      </c>
      <c r="H1958" s="185" t="s">
        <v>1628</v>
      </c>
      <c r="I1958" s="258" t="str">
        <f t="shared" si="91"/>
        <v>2</v>
      </c>
      <c r="J1958" s="221">
        <f t="shared" si="92"/>
        <v>-1122007</v>
      </c>
      <c r="K1958" s="258">
        <f t="shared" si="93"/>
        <v>7</v>
      </c>
      <c r="L1958" s="188">
        <v>0</v>
      </c>
      <c r="M1958" s="188">
        <v>1122007</v>
      </c>
      <c r="N1958" s="189">
        <v>1100623759</v>
      </c>
      <c r="O1958" t="s">
        <v>3092</v>
      </c>
      <c r="P1958" s="187">
        <v>45133</v>
      </c>
      <c r="Q1958" s="186">
        <v>12680</v>
      </c>
      <c r="R1958" s="185"/>
      <c r="S1958" s="185" t="s">
        <v>1536</v>
      </c>
      <c r="T1958" t="s">
        <v>2729</v>
      </c>
      <c r="U1958" t="str">
        <f>IF($L1958&gt;0,VLOOKUP($E1958,Valida!$A$1:$G$270,6,FALSE),IF($M1958&gt;=0,VLOOKUP($E1958,Valida!$A$1:$G$270,7,FALSE)))</f>
        <v>(+/-) Ajustes por el incremento (disminución) de cuentas por pagar de origen comercial</v>
      </c>
      <c r="V1958" s="190" t="str">
        <f>VLOOKUP(E1958,Valida!$A$2:$K$271,4,FALSE)</f>
        <v>Trade and other payables</v>
      </c>
      <c r="W1958" s="185" t="s">
        <v>2730</v>
      </c>
      <c r="X1958" s="185"/>
      <c r="Y1958" s="185" t="s">
        <v>1789</v>
      </c>
      <c r="Z1958"/>
    </row>
    <row r="1959" spans="1:26">
      <c r="A1959" s="185" t="s">
        <v>3030</v>
      </c>
      <c r="B1959" s="185" t="s">
        <v>3095</v>
      </c>
      <c r="C1959" s="185" t="s">
        <v>1897</v>
      </c>
      <c r="D1959" s="185" t="s">
        <v>3096</v>
      </c>
      <c r="E1959" s="185">
        <v>237005</v>
      </c>
      <c r="F1959" s="185" t="s">
        <v>676</v>
      </c>
      <c r="G1959" s="185" t="s">
        <v>3097</v>
      </c>
      <c r="H1959" s="185" t="s">
        <v>1628</v>
      </c>
      <c r="I1959" s="258" t="str">
        <f t="shared" si="91"/>
        <v>2</v>
      </c>
      <c r="J1959" s="221">
        <f t="shared" si="92"/>
        <v>-11277</v>
      </c>
      <c r="K1959" s="258">
        <f t="shared" si="93"/>
        <v>7</v>
      </c>
      <c r="L1959" s="188">
        <v>0</v>
      </c>
      <c r="M1959" s="188">
        <v>11277</v>
      </c>
      <c r="N1959" s="189">
        <v>800251440</v>
      </c>
      <c r="O1959" t="s">
        <v>3095</v>
      </c>
      <c r="P1959" s="187">
        <v>45133</v>
      </c>
      <c r="Q1959" s="186">
        <v>12681</v>
      </c>
      <c r="R1959" s="185" t="s">
        <v>1901</v>
      </c>
      <c r="S1959" s="185" t="s">
        <v>1560</v>
      </c>
      <c r="T1959" t="s">
        <v>2729</v>
      </c>
      <c r="U1959" t="str">
        <f>IF($L1959&gt;0,VLOOKUP($E1959,Valida!$A$1:$G$270,6,FALSE),IF($M1959&gt;=0,VLOOKUP($E1959,Valida!$A$1:$G$270,7,FALSE)))</f>
        <v>(+/-) Ajustes por el incremento (disminución) de cuentas por pagar de origen comercial</v>
      </c>
      <c r="V1959" s="190" t="str">
        <f>VLOOKUP(E1959,Valida!$A$2:$K$271,4,FALSE)</f>
        <v>Trade and other payables</v>
      </c>
      <c r="W1959" s="185" t="s">
        <v>1902</v>
      </c>
      <c r="X1959" s="185" t="s">
        <v>1903</v>
      </c>
      <c r="Y1959" s="185" t="s">
        <v>1789</v>
      </c>
      <c r="Z1959"/>
    </row>
    <row r="1960" spans="1:26">
      <c r="A1960" s="185" t="s">
        <v>3030</v>
      </c>
      <c r="B1960" s="185" t="s">
        <v>3095</v>
      </c>
      <c r="C1960" s="185" t="s">
        <v>1897</v>
      </c>
      <c r="D1960" s="185" t="s">
        <v>3096</v>
      </c>
      <c r="E1960" s="185">
        <v>237005</v>
      </c>
      <c r="F1960" s="185" t="s">
        <v>676</v>
      </c>
      <c r="G1960" s="185" t="s">
        <v>3097</v>
      </c>
      <c r="H1960" s="185" t="s">
        <v>1628</v>
      </c>
      <c r="I1960" s="258" t="str">
        <f t="shared" si="91"/>
        <v>2</v>
      </c>
      <c r="J1960" s="221">
        <f t="shared" si="92"/>
        <v>-67</v>
      </c>
      <c r="K1960" s="258">
        <f t="shared" si="93"/>
        <v>7</v>
      </c>
      <c r="L1960" s="188">
        <v>0</v>
      </c>
      <c r="M1960" s="188">
        <v>67</v>
      </c>
      <c r="N1960" s="189">
        <v>800251440</v>
      </c>
      <c r="O1960" t="s">
        <v>3095</v>
      </c>
      <c r="P1960" s="187">
        <v>45133</v>
      </c>
      <c r="Q1960" s="186">
        <v>12682</v>
      </c>
      <c r="R1960" s="185" t="s">
        <v>1901</v>
      </c>
      <c r="S1960" s="185" t="s">
        <v>1560</v>
      </c>
      <c r="T1960" t="s">
        <v>2729</v>
      </c>
      <c r="U1960" t="str">
        <f>IF($L1960&gt;0,VLOOKUP($E1960,Valida!$A$1:$G$270,6,FALSE),IF($M1960&gt;=0,VLOOKUP($E1960,Valida!$A$1:$G$270,7,FALSE)))</f>
        <v>(+/-) Ajustes por el incremento (disminución) de cuentas por pagar de origen comercial</v>
      </c>
      <c r="V1960" s="190" t="str">
        <f>VLOOKUP(E1960,Valida!$A$2:$K$271,4,FALSE)</f>
        <v>Trade and other payables</v>
      </c>
      <c r="W1960" s="185" t="s">
        <v>1902</v>
      </c>
      <c r="X1960" s="185" t="s">
        <v>1903</v>
      </c>
      <c r="Y1960" s="185" t="s">
        <v>1789</v>
      </c>
      <c r="Z1960"/>
    </row>
    <row r="1961" spans="1:26">
      <c r="A1961" s="185" t="s">
        <v>3030</v>
      </c>
      <c r="B1961" s="185" t="s">
        <v>3095</v>
      </c>
      <c r="C1961" s="185" t="s">
        <v>1897</v>
      </c>
      <c r="D1961" s="185" t="s">
        <v>3096</v>
      </c>
      <c r="E1961" s="185">
        <v>237005</v>
      </c>
      <c r="F1961" s="185" t="s">
        <v>676</v>
      </c>
      <c r="G1961" s="185" t="s">
        <v>3097</v>
      </c>
      <c r="H1961" s="185" t="s">
        <v>1628</v>
      </c>
      <c r="I1961" s="258" t="str">
        <f t="shared" si="91"/>
        <v>2</v>
      </c>
      <c r="J1961" s="221">
        <f t="shared" si="92"/>
        <v>-60</v>
      </c>
      <c r="K1961" s="258">
        <f t="shared" si="93"/>
        <v>7</v>
      </c>
      <c r="L1961" s="188">
        <v>0</v>
      </c>
      <c r="M1961" s="188">
        <v>60</v>
      </c>
      <c r="N1961" s="189">
        <v>830003564</v>
      </c>
      <c r="O1961" t="s">
        <v>3095</v>
      </c>
      <c r="P1961" s="187">
        <v>45133</v>
      </c>
      <c r="Q1961" s="186">
        <v>12683</v>
      </c>
      <c r="R1961" s="185" t="s">
        <v>1814</v>
      </c>
      <c r="S1961" s="185" t="s">
        <v>1652</v>
      </c>
      <c r="T1961" t="s">
        <v>2729</v>
      </c>
      <c r="U1961" t="str">
        <f>IF($L1961&gt;0,VLOOKUP($E1961,Valida!$A$1:$G$270,6,FALSE),IF($M1961&gt;=0,VLOOKUP($E1961,Valida!$A$1:$G$270,7,FALSE)))</f>
        <v>(+/-) Ajustes por el incremento (disminución) de cuentas por pagar de origen comercial</v>
      </c>
      <c r="V1961" s="190" t="str">
        <f>VLOOKUP(E1961,Valida!$A$2:$K$271,4,FALSE)</f>
        <v>Trade and other payables</v>
      </c>
      <c r="W1961" s="185" t="s">
        <v>1973</v>
      </c>
      <c r="X1961" s="185" t="s">
        <v>1974</v>
      </c>
      <c r="Y1961" s="185" t="s">
        <v>1789</v>
      </c>
      <c r="Z1961"/>
    </row>
    <row r="1962" spans="1:26">
      <c r="A1962" s="185" t="s">
        <v>3030</v>
      </c>
      <c r="B1962" s="185" t="s">
        <v>3095</v>
      </c>
      <c r="C1962" s="185" t="s">
        <v>1897</v>
      </c>
      <c r="D1962" s="185" t="s">
        <v>3096</v>
      </c>
      <c r="E1962" s="185">
        <v>237005</v>
      </c>
      <c r="F1962" s="185" t="s">
        <v>676</v>
      </c>
      <c r="G1962" s="185" t="s">
        <v>3097</v>
      </c>
      <c r="H1962" s="185" t="s">
        <v>1628</v>
      </c>
      <c r="I1962" s="258" t="str">
        <f t="shared" si="91"/>
        <v>2</v>
      </c>
      <c r="J1962" s="221">
        <f t="shared" si="92"/>
        <v>-50</v>
      </c>
      <c r="K1962" s="258">
        <f t="shared" si="93"/>
        <v>7</v>
      </c>
      <c r="L1962" s="188">
        <v>0</v>
      </c>
      <c r="M1962" s="188">
        <v>50</v>
      </c>
      <c r="N1962" s="189">
        <v>900156264</v>
      </c>
      <c r="O1962" t="s">
        <v>3095</v>
      </c>
      <c r="P1962" s="187">
        <v>45133</v>
      </c>
      <c r="Q1962" s="186">
        <v>12684</v>
      </c>
      <c r="R1962" s="185" t="s">
        <v>433</v>
      </c>
      <c r="S1962" s="185" t="s">
        <v>1654</v>
      </c>
      <c r="T1962" t="s">
        <v>2729</v>
      </c>
      <c r="U1962" t="str">
        <f>IF($L1962&gt;0,VLOOKUP($E1962,Valida!$A$1:$G$270,6,FALSE),IF($M1962&gt;=0,VLOOKUP($E1962,Valida!$A$1:$G$270,7,FALSE)))</f>
        <v>(+/-) Ajustes por el incremento (disminución) de cuentas por pagar de origen comercial</v>
      </c>
      <c r="V1962" s="190" t="str">
        <f>VLOOKUP(E1962,Valida!$A$2:$K$271,4,FALSE)</f>
        <v>Trade and other payables</v>
      </c>
      <c r="W1962" s="185" t="s">
        <v>1926</v>
      </c>
      <c r="X1962" s="185" t="s">
        <v>1927</v>
      </c>
      <c r="Y1962" s="185" t="s">
        <v>1789</v>
      </c>
      <c r="Z1962"/>
    </row>
    <row r="1963" spans="1:26">
      <c r="A1963" s="185" t="s">
        <v>3030</v>
      </c>
      <c r="B1963" s="185" t="s">
        <v>3095</v>
      </c>
      <c r="C1963" s="185" t="s">
        <v>1897</v>
      </c>
      <c r="D1963" s="185" t="s">
        <v>3096</v>
      </c>
      <c r="E1963" s="185">
        <v>237006</v>
      </c>
      <c r="F1963" s="185" t="s">
        <v>680</v>
      </c>
      <c r="G1963" s="185" t="s">
        <v>3098</v>
      </c>
      <c r="H1963" s="185" t="s">
        <v>1628</v>
      </c>
      <c r="I1963" s="258" t="str">
        <f t="shared" si="91"/>
        <v>2</v>
      </c>
      <c r="J1963" s="221">
        <f t="shared" si="92"/>
        <v>-6100</v>
      </c>
      <c r="K1963" s="258">
        <f t="shared" si="93"/>
        <v>7</v>
      </c>
      <c r="L1963" s="188">
        <v>0</v>
      </c>
      <c r="M1963" s="188">
        <v>6100</v>
      </c>
      <c r="N1963" s="189">
        <v>860002503</v>
      </c>
      <c r="O1963" t="s">
        <v>3095</v>
      </c>
      <c r="P1963" s="187">
        <v>45133</v>
      </c>
      <c r="Q1963" s="186">
        <v>12685</v>
      </c>
      <c r="R1963" s="185" t="s">
        <v>433</v>
      </c>
      <c r="S1963" s="185" t="s">
        <v>1656</v>
      </c>
      <c r="T1963" t="s">
        <v>2729</v>
      </c>
      <c r="U1963" t="str">
        <f>IF($L1963&gt;0,VLOOKUP($E1963,Valida!$A$1:$G$270,6,FALSE),IF($M1963&gt;=0,VLOOKUP($E1963,Valida!$A$1:$G$270,7,FALSE)))</f>
        <v>(+/-) Ajustes por el incremento (disminución) de cuentas por pagar de origen comercial</v>
      </c>
      <c r="V1963" s="190" t="str">
        <f>VLOOKUP(E1963,Valida!$A$2:$K$271,4,FALSE)</f>
        <v>Trade and other payables</v>
      </c>
      <c r="W1963" s="185" t="s">
        <v>1912</v>
      </c>
      <c r="X1963" s="185" t="s">
        <v>1913</v>
      </c>
      <c r="Y1963" s="185" t="s">
        <v>1789</v>
      </c>
      <c r="Z1963"/>
    </row>
    <row r="1964" spans="1:26">
      <c r="A1964" s="185" t="s">
        <v>3030</v>
      </c>
      <c r="B1964" s="185" t="s">
        <v>3095</v>
      </c>
      <c r="C1964" s="185" t="s">
        <v>1897</v>
      </c>
      <c r="D1964" s="185" t="s">
        <v>3096</v>
      </c>
      <c r="E1964" s="185">
        <v>237006</v>
      </c>
      <c r="F1964" s="185" t="s">
        <v>680</v>
      </c>
      <c r="G1964" s="185" t="s">
        <v>3098</v>
      </c>
      <c r="H1964" s="185" t="s">
        <v>1628</v>
      </c>
      <c r="I1964" s="258" t="str">
        <f t="shared" si="91"/>
        <v>2</v>
      </c>
      <c r="J1964" s="221">
        <f t="shared" si="92"/>
        <v>-7900</v>
      </c>
      <c r="K1964" s="258">
        <f t="shared" si="93"/>
        <v>7</v>
      </c>
      <c r="L1964" s="188">
        <v>0</v>
      </c>
      <c r="M1964" s="188">
        <v>7900</v>
      </c>
      <c r="N1964" s="189">
        <v>860002503</v>
      </c>
      <c r="O1964" t="s">
        <v>3095</v>
      </c>
      <c r="P1964" s="187">
        <v>45133</v>
      </c>
      <c r="Q1964" s="186">
        <v>12686</v>
      </c>
      <c r="R1964" s="185" t="s">
        <v>433</v>
      </c>
      <c r="S1964" s="185" t="s">
        <v>1656</v>
      </c>
      <c r="T1964" t="s">
        <v>2729</v>
      </c>
      <c r="U1964" t="str">
        <f>IF($L1964&gt;0,VLOOKUP($E1964,Valida!$A$1:$G$270,6,FALSE),IF($M1964&gt;=0,VLOOKUP($E1964,Valida!$A$1:$G$270,7,FALSE)))</f>
        <v>(+/-) Ajustes por el incremento (disminución) de cuentas por pagar de origen comercial</v>
      </c>
      <c r="V1964" s="190" t="str">
        <f>VLOOKUP(E1964,Valida!$A$2:$K$271,4,FALSE)</f>
        <v>Trade and other payables</v>
      </c>
      <c r="W1964" s="185" t="s">
        <v>1912</v>
      </c>
      <c r="X1964" s="185" t="s">
        <v>1913</v>
      </c>
      <c r="Y1964" s="185" t="s">
        <v>1789</v>
      </c>
      <c r="Z1964"/>
    </row>
    <row r="1965" spans="1:26">
      <c r="A1965" s="185" t="s">
        <v>3030</v>
      </c>
      <c r="B1965" s="185" t="s">
        <v>3095</v>
      </c>
      <c r="C1965" s="185" t="s">
        <v>1897</v>
      </c>
      <c r="D1965" s="185" t="s">
        <v>3096</v>
      </c>
      <c r="E1965" s="185">
        <v>237006</v>
      </c>
      <c r="F1965" s="185" t="s">
        <v>680</v>
      </c>
      <c r="G1965" s="185" t="s">
        <v>3098</v>
      </c>
      <c r="H1965" s="185" t="s">
        <v>1628</v>
      </c>
      <c r="I1965" s="258" t="str">
        <f t="shared" si="91"/>
        <v>2</v>
      </c>
      <c r="J1965" s="221">
        <f t="shared" si="92"/>
        <v>-6700</v>
      </c>
      <c r="K1965" s="258">
        <f t="shared" si="93"/>
        <v>7</v>
      </c>
      <c r="L1965" s="188">
        <v>0</v>
      </c>
      <c r="M1965" s="188">
        <v>6700</v>
      </c>
      <c r="N1965" s="189">
        <v>860002503</v>
      </c>
      <c r="O1965" t="s">
        <v>3095</v>
      </c>
      <c r="P1965" s="187">
        <v>45133</v>
      </c>
      <c r="Q1965" s="186">
        <v>12687</v>
      </c>
      <c r="R1965" s="185" t="s">
        <v>433</v>
      </c>
      <c r="S1965" s="185" t="s">
        <v>1656</v>
      </c>
      <c r="T1965" t="s">
        <v>2729</v>
      </c>
      <c r="U1965" t="str">
        <f>IF($L1965&gt;0,VLOOKUP($E1965,Valida!$A$1:$G$270,6,FALSE),IF($M1965&gt;=0,VLOOKUP($E1965,Valida!$A$1:$G$270,7,FALSE)))</f>
        <v>(+/-) Ajustes por el incremento (disminución) de cuentas por pagar de origen comercial</v>
      </c>
      <c r="V1965" s="190" t="str">
        <f>VLOOKUP(E1965,Valida!$A$2:$K$271,4,FALSE)</f>
        <v>Trade and other payables</v>
      </c>
      <c r="W1965" s="185" t="s">
        <v>1912</v>
      </c>
      <c r="X1965" s="185" t="s">
        <v>1913</v>
      </c>
      <c r="Y1965" s="185" t="s">
        <v>1789</v>
      </c>
      <c r="Z1965"/>
    </row>
    <row r="1966" spans="1:26">
      <c r="A1966" s="185" t="s">
        <v>3030</v>
      </c>
      <c r="B1966" s="185" t="s">
        <v>3095</v>
      </c>
      <c r="C1966" s="185" t="s">
        <v>1897</v>
      </c>
      <c r="D1966" s="185" t="s">
        <v>3096</v>
      </c>
      <c r="E1966" s="185">
        <v>237006</v>
      </c>
      <c r="F1966" s="185" t="s">
        <v>680</v>
      </c>
      <c r="G1966" s="185" t="s">
        <v>3098</v>
      </c>
      <c r="H1966" s="185" t="s">
        <v>1628</v>
      </c>
      <c r="I1966" s="258" t="str">
        <f t="shared" si="91"/>
        <v>2</v>
      </c>
      <c r="J1966" s="221">
        <f t="shared" si="92"/>
        <v>-12600</v>
      </c>
      <c r="K1966" s="258">
        <f t="shared" si="93"/>
        <v>7</v>
      </c>
      <c r="L1966" s="188">
        <v>0</v>
      </c>
      <c r="M1966" s="188">
        <v>12600</v>
      </c>
      <c r="N1966" s="189">
        <v>860002503</v>
      </c>
      <c r="O1966" t="s">
        <v>3095</v>
      </c>
      <c r="P1966" s="187">
        <v>45133</v>
      </c>
      <c r="Q1966" s="186">
        <v>12688</v>
      </c>
      <c r="R1966" s="185" t="s">
        <v>433</v>
      </c>
      <c r="S1966" s="185" t="s">
        <v>1656</v>
      </c>
      <c r="T1966" t="s">
        <v>2729</v>
      </c>
      <c r="U1966" t="str">
        <f>IF($L1966&gt;0,VLOOKUP($E1966,Valida!$A$1:$G$270,6,FALSE),IF($M1966&gt;=0,VLOOKUP($E1966,Valida!$A$1:$G$270,7,FALSE)))</f>
        <v>(+/-) Ajustes por el incremento (disminución) de cuentas por pagar de origen comercial</v>
      </c>
      <c r="V1966" s="190" t="str">
        <f>VLOOKUP(E1966,Valida!$A$2:$K$271,4,FALSE)</f>
        <v>Trade and other payables</v>
      </c>
      <c r="W1966" s="185" t="s">
        <v>1912</v>
      </c>
      <c r="X1966" s="185" t="s">
        <v>1913</v>
      </c>
      <c r="Y1966" s="185" t="s">
        <v>1789</v>
      </c>
      <c r="Z1966"/>
    </row>
    <row r="1967" spans="1:26">
      <c r="A1967" s="185" t="s">
        <v>3030</v>
      </c>
      <c r="B1967" s="185" t="s">
        <v>3095</v>
      </c>
      <c r="C1967" s="185" t="s">
        <v>1897</v>
      </c>
      <c r="D1967" s="185" t="s">
        <v>3096</v>
      </c>
      <c r="E1967" s="185">
        <v>237006</v>
      </c>
      <c r="F1967" s="185" t="s">
        <v>680</v>
      </c>
      <c r="G1967" s="185" t="s">
        <v>3098</v>
      </c>
      <c r="H1967" s="185" t="s">
        <v>1628</v>
      </c>
      <c r="I1967" s="258" t="str">
        <f t="shared" si="91"/>
        <v>2</v>
      </c>
      <c r="J1967" s="221">
        <f t="shared" si="92"/>
        <v>-2700</v>
      </c>
      <c r="K1967" s="258">
        <f t="shared" si="93"/>
        <v>7</v>
      </c>
      <c r="L1967" s="188">
        <v>0</v>
      </c>
      <c r="M1967" s="188">
        <v>2700</v>
      </c>
      <c r="N1967" s="189">
        <v>860002503</v>
      </c>
      <c r="O1967" t="s">
        <v>3095</v>
      </c>
      <c r="P1967" s="187">
        <v>45133</v>
      </c>
      <c r="Q1967" s="186">
        <v>12689</v>
      </c>
      <c r="R1967" s="185" t="s">
        <v>433</v>
      </c>
      <c r="S1967" s="185" t="s">
        <v>1656</v>
      </c>
      <c r="T1967" t="s">
        <v>2729</v>
      </c>
      <c r="U1967" t="str">
        <f>IF($L1967&gt;0,VLOOKUP($E1967,Valida!$A$1:$G$270,6,FALSE),IF($M1967&gt;=0,VLOOKUP($E1967,Valida!$A$1:$G$270,7,FALSE)))</f>
        <v>(+/-) Ajustes por el incremento (disminución) de cuentas por pagar de origen comercial</v>
      </c>
      <c r="V1967" s="190" t="str">
        <f>VLOOKUP(E1967,Valida!$A$2:$K$271,4,FALSE)</f>
        <v>Trade and other payables</v>
      </c>
      <c r="W1967" s="185" t="s">
        <v>1912</v>
      </c>
      <c r="X1967" s="185" t="s">
        <v>1913</v>
      </c>
      <c r="Y1967" s="185" t="s">
        <v>1789</v>
      </c>
      <c r="Z1967"/>
    </row>
    <row r="1968" spans="1:26">
      <c r="A1968" s="185" t="s">
        <v>3030</v>
      </c>
      <c r="B1968" s="185" t="s">
        <v>3095</v>
      </c>
      <c r="C1968" s="185" t="s">
        <v>1897</v>
      </c>
      <c r="D1968" s="185" t="s">
        <v>3096</v>
      </c>
      <c r="E1968" s="185">
        <v>237010</v>
      </c>
      <c r="F1968" s="185" t="s">
        <v>683</v>
      </c>
      <c r="G1968" s="185" t="s">
        <v>3099</v>
      </c>
      <c r="H1968" s="185" t="s">
        <v>1628</v>
      </c>
      <c r="I1968" s="258" t="str">
        <f t="shared" si="91"/>
        <v>2</v>
      </c>
      <c r="J1968" s="221">
        <f t="shared" si="92"/>
        <v>-23200</v>
      </c>
      <c r="K1968" s="258">
        <f t="shared" si="93"/>
        <v>7</v>
      </c>
      <c r="L1968" s="188">
        <v>0</v>
      </c>
      <c r="M1968" s="188">
        <v>23200</v>
      </c>
      <c r="N1968" s="189">
        <v>860066942</v>
      </c>
      <c r="O1968" t="s">
        <v>3095</v>
      </c>
      <c r="P1968" s="187">
        <v>45133</v>
      </c>
      <c r="Q1968" s="186">
        <v>12690</v>
      </c>
      <c r="R1968" s="185" t="s">
        <v>1814</v>
      </c>
      <c r="S1968" s="185" t="s">
        <v>1574</v>
      </c>
      <c r="T1968" t="s">
        <v>2729</v>
      </c>
      <c r="U1968" t="str">
        <f>IF($L1968&gt;0,VLOOKUP($E1968,Valida!$A$1:$G$270,6,FALSE),IF($M1968&gt;=0,VLOOKUP($E1968,Valida!$A$1:$G$270,7,FALSE)))</f>
        <v>(+/-) Ajustes por el incremento (disminución) de cuentas por pagar de origen comercial</v>
      </c>
      <c r="V1968" s="190" t="str">
        <f>VLOOKUP(E1968,Valida!$A$2:$K$271,4,FALSE)</f>
        <v>Trade and other payables</v>
      </c>
      <c r="W1968" s="185" t="s">
        <v>1914</v>
      </c>
      <c r="X1968" s="185" t="s">
        <v>1915</v>
      </c>
      <c r="Y1968" s="185" t="s">
        <v>1789</v>
      </c>
      <c r="Z1968"/>
    </row>
    <row r="1969" spans="1:26">
      <c r="A1969" s="185" t="s">
        <v>3030</v>
      </c>
      <c r="B1969" s="185" t="s">
        <v>3095</v>
      </c>
      <c r="C1969" s="185" t="s">
        <v>1897</v>
      </c>
      <c r="D1969" s="185" t="s">
        <v>3096</v>
      </c>
      <c r="E1969" s="185">
        <v>237010</v>
      </c>
      <c r="F1969" s="185" t="s">
        <v>683</v>
      </c>
      <c r="G1969" s="185" t="s">
        <v>3099</v>
      </c>
      <c r="H1969" s="185" t="s">
        <v>1628</v>
      </c>
      <c r="I1969" s="258" t="str">
        <f t="shared" si="91"/>
        <v>2</v>
      </c>
      <c r="J1969" s="221">
        <f t="shared" si="92"/>
        <v>-30000</v>
      </c>
      <c r="K1969" s="258">
        <f t="shared" si="93"/>
        <v>7</v>
      </c>
      <c r="L1969" s="188">
        <v>0</v>
      </c>
      <c r="M1969" s="188">
        <v>30000</v>
      </c>
      <c r="N1969" s="189">
        <v>860066942</v>
      </c>
      <c r="O1969" t="s">
        <v>3095</v>
      </c>
      <c r="P1969" s="187">
        <v>45133</v>
      </c>
      <c r="Q1969" s="186">
        <v>12691</v>
      </c>
      <c r="R1969" s="185" t="s">
        <v>1814</v>
      </c>
      <c r="S1969" s="185" t="s">
        <v>1574</v>
      </c>
      <c r="T1969" t="s">
        <v>2729</v>
      </c>
      <c r="U1969" t="str">
        <f>IF($L1969&gt;0,VLOOKUP($E1969,Valida!$A$1:$G$270,6,FALSE),IF($M1969&gt;=0,VLOOKUP($E1969,Valida!$A$1:$G$270,7,FALSE)))</f>
        <v>(+/-) Ajustes por el incremento (disminución) de cuentas por pagar de origen comercial</v>
      </c>
      <c r="V1969" s="190" t="str">
        <f>VLOOKUP(E1969,Valida!$A$2:$K$271,4,FALSE)</f>
        <v>Trade and other payables</v>
      </c>
      <c r="W1969" s="185" t="s">
        <v>1914</v>
      </c>
      <c r="X1969" s="185" t="s">
        <v>1915</v>
      </c>
      <c r="Y1969" s="185" t="s">
        <v>1789</v>
      </c>
      <c r="Z1969"/>
    </row>
    <row r="1970" spans="1:26">
      <c r="A1970" s="185" t="s">
        <v>3030</v>
      </c>
      <c r="B1970" s="185" t="s">
        <v>3095</v>
      </c>
      <c r="C1970" s="185" t="s">
        <v>1897</v>
      </c>
      <c r="D1970" s="185" t="s">
        <v>3096</v>
      </c>
      <c r="E1970" s="185">
        <v>237010</v>
      </c>
      <c r="F1970" s="185" t="s">
        <v>683</v>
      </c>
      <c r="G1970" s="185" t="s">
        <v>3099</v>
      </c>
      <c r="H1970" s="185" t="s">
        <v>1628</v>
      </c>
      <c r="I1970" s="258" t="str">
        <f t="shared" si="91"/>
        <v>2</v>
      </c>
      <c r="J1970" s="221">
        <f t="shared" si="92"/>
        <v>-23500</v>
      </c>
      <c r="K1970" s="258">
        <f t="shared" si="93"/>
        <v>7</v>
      </c>
      <c r="L1970" s="188">
        <v>0</v>
      </c>
      <c r="M1970" s="188">
        <v>23500</v>
      </c>
      <c r="N1970" s="189">
        <v>860066942</v>
      </c>
      <c r="O1970" t="s">
        <v>3095</v>
      </c>
      <c r="P1970" s="187">
        <v>45133</v>
      </c>
      <c r="Q1970" s="186">
        <v>12692</v>
      </c>
      <c r="R1970" s="185" t="s">
        <v>1814</v>
      </c>
      <c r="S1970" s="185" t="s">
        <v>1574</v>
      </c>
      <c r="T1970" t="s">
        <v>2729</v>
      </c>
      <c r="U1970" t="str">
        <f>IF($L1970&gt;0,VLOOKUP($E1970,Valida!$A$1:$G$270,6,FALSE),IF($M1970&gt;=0,VLOOKUP($E1970,Valida!$A$1:$G$270,7,FALSE)))</f>
        <v>(+/-) Ajustes por el incremento (disminución) de cuentas por pagar de origen comercial</v>
      </c>
      <c r="V1970" s="190" t="str">
        <f>VLOOKUP(E1970,Valida!$A$2:$K$271,4,FALSE)</f>
        <v>Trade and other payables</v>
      </c>
      <c r="W1970" s="185" t="s">
        <v>1914</v>
      </c>
      <c r="X1970" s="185" t="s">
        <v>1915</v>
      </c>
      <c r="Y1970" s="185" t="s">
        <v>1789</v>
      </c>
      <c r="Z1970"/>
    </row>
    <row r="1971" spans="1:26">
      <c r="A1971" s="185" t="s">
        <v>3030</v>
      </c>
      <c r="B1971" s="185" t="s">
        <v>3095</v>
      </c>
      <c r="C1971" s="185" t="s">
        <v>1897</v>
      </c>
      <c r="D1971" s="185" t="s">
        <v>3096</v>
      </c>
      <c r="E1971" s="185">
        <v>237010</v>
      </c>
      <c r="F1971" s="185" t="s">
        <v>683</v>
      </c>
      <c r="G1971" s="185" t="s">
        <v>3099</v>
      </c>
      <c r="H1971" s="185" t="s">
        <v>1628</v>
      </c>
      <c r="I1971" s="258" t="str">
        <f t="shared" si="91"/>
        <v>2</v>
      </c>
      <c r="J1971" s="221">
        <f t="shared" si="92"/>
        <v>-25600</v>
      </c>
      <c r="K1971" s="258">
        <f t="shared" si="93"/>
        <v>7</v>
      </c>
      <c r="L1971" s="188">
        <v>0</v>
      </c>
      <c r="M1971" s="188">
        <v>25600</v>
      </c>
      <c r="N1971" s="189">
        <v>860066942</v>
      </c>
      <c r="O1971" t="s">
        <v>3095</v>
      </c>
      <c r="P1971" s="187">
        <v>45133</v>
      </c>
      <c r="Q1971" s="186">
        <v>12693</v>
      </c>
      <c r="R1971" s="185" t="s">
        <v>1814</v>
      </c>
      <c r="S1971" s="185" t="s">
        <v>1574</v>
      </c>
      <c r="T1971" t="s">
        <v>2729</v>
      </c>
      <c r="U1971" t="str">
        <f>IF($L1971&gt;0,VLOOKUP($E1971,Valida!$A$1:$G$270,6,FALSE),IF($M1971&gt;=0,VLOOKUP($E1971,Valida!$A$1:$G$270,7,FALSE)))</f>
        <v>(+/-) Ajustes por el incremento (disminución) de cuentas por pagar de origen comercial</v>
      </c>
      <c r="V1971" s="190" t="str">
        <f>VLOOKUP(E1971,Valida!$A$2:$K$271,4,FALSE)</f>
        <v>Trade and other payables</v>
      </c>
      <c r="W1971" s="185" t="s">
        <v>1914</v>
      </c>
      <c r="X1971" s="185" t="s">
        <v>1915</v>
      </c>
      <c r="Y1971" s="185" t="s">
        <v>1789</v>
      </c>
      <c r="Z1971"/>
    </row>
    <row r="1972" spans="1:26">
      <c r="A1972" s="185" t="s">
        <v>3030</v>
      </c>
      <c r="B1972" s="185" t="s">
        <v>3095</v>
      </c>
      <c r="C1972" s="185" t="s">
        <v>1897</v>
      </c>
      <c r="D1972" s="185" t="s">
        <v>3096</v>
      </c>
      <c r="E1972" s="185">
        <v>237010</v>
      </c>
      <c r="F1972" s="185" t="s">
        <v>683</v>
      </c>
      <c r="G1972" s="185" t="s">
        <v>3099</v>
      </c>
      <c r="H1972" s="185" t="s">
        <v>1628</v>
      </c>
      <c r="I1972" s="258" t="str">
        <f t="shared" si="91"/>
        <v>2</v>
      </c>
      <c r="J1972" s="221">
        <f t="shared" si="92"/>
        <v>-48200</v>
      </c>
      <c r="K1972" s="258">
        <f t="shared" si="93"/>
        <v>7</v>
      </c>
      <c r="L1972" s="188">
        <v>0</v>
      </c>
      <c r="M1972" s="188">
        <v>48200</v>
      </c>
      <c r="N1972" s="189">
        <v>860066942</v>
      </c>
      <c r="O1972" t="s">
        <v>3095</v>
      </c>
      <c r="P1972" s="187">
        <v>45133</v>
      </c>
      <c r="Q1972" s="186">
        <v>12694</v>
      </c>
      <c r="R1972" s="185" t="s">
        <v>1814</v>
      </c>
      <c r="S1972" s="185" t="s">
        <v>1574</v>
      </c>
      <c r="T1972" t="s">
        <v>2729</v>
      </c>
      <c r="U1972" t="str">
        <f>IF($L1972&gt;0,VLOOKUP($E1972,Valida!$A$1:$G$270,6,FALSE),IF($M1972&gt;=0,VLOOKUP($E1972,Valida!$A$1:$G$270,7,FALSE)))</f>
        <v>(+/-) Ajustes por el incremento (disminución) de cuentas por pagar de origen comercial</v>
      </c>
      <c r="V1972" s="190" t="str">
        <f>VLOOKUP(E1972,Valida!$A$2:$K$271,4,FALSE)</f>
        <v>Trade and other payables</v>
      </c>
      <c r="W1972" s="185" t="s">
        <v>1914</v>
      </c>
      <c r="X1972" s="185" t="s">
        <v>1915</v>
      </c>
      <c r="Y1972" s="185" t="s">
        <v>1789</v>
      </c>
      <c r="Z1972"/>
    </row>
    <row r="1973" spans="1:26">
      <c r="A1973" s="185" t="s">
        <v>3030</v>
      </c>
      <c r="B1973" s="185" t="s">
        <v>3095</v>
      </c>
      <c r="C1973" s="185" t="s">
        <v>1897</v>
      </c>
      <c r="D1973" s="185" t="s">
        <v>3096</v>
      </c>
      <c r="E1973" s="185">
        <v>237010</v>
      </c>
      <c r="F1973" s="185" t="s">
        <v>683</v>
      </c>
      <c r="G1973" s="185" t="s">
        <v>3099</v>
      </c>
      <c r="H1973" s="185" t="s">
        <v>1628</v>
      </c>
      <c r="I1973" s="258" t="str">
        <f t="shared" si="91"/>
        <v>2</v>
      </c>
      <c r="J1973" s="221">
        <f t="shared" si="92"/>
        <v>-13900</v>
      </c>
      <c r="K1973" s="258">
        <f t="shared" si="93"/>
        <v>7</v>
      </c>
      <c r="L1973" s="188">
        <v>0</v>
      </c>
      <c r="M1973" s="188">
        <v>13900</v>
      </c>
      <c r="N1973" s="189">
        <v>860066942</v>
      </c>
      <c r="O1973" t="s">
        <v>3095</v>
      </c>
      <c r="P1973" s="187">
        <v>45133</v>
      </c>
      <c r="Q1973" s="186">
        <v>12695</v>
      </c>
      <c r="R1973" s="185" t="s">
        <v>1814</v>
      </c>
      <c r="S1973" s="185" t="s">
        <v>1574</v>
      </c>
      <c r="T1973" t="s">
        <v>2729</v>
      </c>
      <c r="U1973" t="str">
        <f>IF($L1973&gt;0,VLOOKUP($E1973,Valida!$A$1:$G$270,6,FALSE),IF($M1973&gt;=0,VLOOKUP($E1973,Valida!$A$1:$G$270,7,FALSE)))</f>
        <v>(+/-) Ajustes por el incremento (disminución) de cuentas por pagar de origen comercial</v>
      </c>
      <c r="V1973" s="190" t="str">
        <f>VLOOKUP(E1973,Valida!$A$2:$K$271,4,FALSE)</f>
        <v>Trade and other payables</v>
      </c>
      <c r="W1973" s="185" t="s">
        <v>1914</v>
      </c>
      <c r="X1973" s="185" t="s">
        <v>1915</v>
      </c>
      <c r="Y1973" s="185" t="s">
        <v>1789</v>
      </c>
      <c r="Z1973"/>
    </row>
    <row r="1974" spans="1:26">
      <c r="A1974" s="185" t="s">
        <v>3030</v>
      </c>
      <c r="B1974" s="185" t="s">
        <v>3095</v>
      </c>
      <c r="C1974" s="185" t="s">
        <v>1897</v>
      </c>
      <c r="D1974" s="185" t="s">
        <v>3096</v>
      </c>
      <c r="E1974" s="185">
        <v>238030</v>
      </c>
      <c r="F1974" s="185" t="s">
        <v>721</v>
      </c>
      <c r="G1974" s="185" t="s">
        <v>3100</v>
      </c>
      <c r="H1974" s="185" t="s">
        <v>1628</v>
      </c>
      <c r="I1974" s="258" t="str">
        <f t="shared" si="91"/>
        <v>2</v>
      </c>
      <c r="J1974" s="221">
        <f t="shared" si="92"/>
        <v>-139200</v>
      </c>
      <c r="K1974" s="258">
        <f t="shared" si="93"/>
        <v>7</v>
      </c>
      <c r="L1974" s="188">
        <v>0</v>
      </c>
      <c r="M1974" s="188">
        <v>139200</v>
      </c>
      <c r="N1974" s="189">
        <v>800224808</v>
      </c>
      <c r="O1974" t="s">
        <v>3095</v>
      </c>
      <c r="P1974" s="187">
        <v>45133</v>
      </c>
      <c r="Q1974" s="186">
        <v>12696</v>
      </c>
      <c r="R1974" s="185" t="s">
        <v>1827</v>
      </c>
      <c r="S1974" s="185" t="s">
        <v>1662</v>
      </c>
      <c r="T1974" t="s">
        <v>2729</v>
      </c>
      <c r="U1974" t="str">
        <f>IF($L1974&gt;0,VLOOKUP($E1974,Valida!$A$1:$G$270,6,FALSE),IF($M1974&gt;=0,VLOOKUP($E1974,Valida!$A$1:$G$270,7,FALSE)))</f>
        <v>(+/-) Ajustes por el incremento (disminución) de cuentas por pagar de origen comercial</v>
      </c>
      <c r="V1974" s="190" t="str">
        <f>VLOOKUP(E1974,Valida!$A$2:$K$271,4,FALSE)</f>
        <v>Trade and other payables</v>
      </c>
      <c r="W1974" s="185" t="s">
        <v>1911</v>
      </c>
      <c r="X1974" s="185"/>
      <c r="Y1974" s="185" t="s">
        <v>1789</v>
      </c>
      <c r="Z1974"/>
    </row>
    <row r="1975" spans="1:26">
      <c r="A1975" s="185" t="s">
        <v>3030</v>
      </c>
      <c r="B1975" s="185" t="s">
        <v>3095</v>
      </c>
      <c r="C1975" s="185" t="s">
        <v>1897</v>
      </c>
      <c r="D1975" s="185" t="s">
        <v>3096</v>
      </c>
      <c r="E1975" s="185">
        <v>238030</v>
      </c>
      <c r="F1975" s="185" t="s">
        <v>721</v>
      </c>
      <c r="G1975" s="185" t="s">
        <v>3100</v>
      </c>
      <c r="H1975" s="185" t="s">
        <v>1628</v>
      </c>
      <c r="I1975" s="258" t="str">
        <f t="shared" si="91"/>
        <v>2</v>
      </c>
      <c r="J1975" s="221">
        <f t="shared" si="92"/>
        <v>-180000</v>
      </c>
      <c r="K1975" s="258">
        <f t="shared" si="93"/>
        <v>7</v>
      </c>
      <c r="L1975" s="188">
        <v>0</v>
      </c>
      <c r="M1975" s="188">
        <v>180000</v>
      </c>
      <c r="N1975" s="189">
        <v>800224808</v>
      </c>
      <c r="O1975" t="s">
        <v>3095</v>
      </c>
      <c r="P1975" s="187">
        <v>45133</v>
      </c>
      <c r="Q1975" s="186">
        <v>12697</v>
      </c>
      <c r="R1975" s="185" t="s">
        <v>1827</v>
      </c>
      <c r="S1975" s="185" t="s">
        <v>1662</v>
      </c>
      <c r="T1975" t="s">
        <v>2729</v>
      </c>
      <c r="U1975" t="str">
        <f>IF($L1975&gt;0,VLOOKUP($E1975,Valida!$A$1:$G$270,6,FALSE),IF($M1975&gt;=0,VLOOKUP($E1975,Valida!$A$1:$G$270,7,FALSE)))</f>
        <v>(+/-) Ajustes por el incremento (disminución) de cuentas por pagar de origen comercial</v>
      </c>
      <c r="V1975" s="190" t="str">
        <f>VLOOKUP(E1975,Valida!$A$2:$K$271,4,FALSE)</f>
        <v>Trade and other payables</v>
      </c>
      <c r="W1975" s="185" t="s">
        <v>1911</v>
      </c>
      <c r="X1975" s="185"/>
      <c r="Y1975" s="185" t="s">
        <v>1789</v>
      </c>
      <c r="Z1975"/>
    </row>
    <row r="1976" spans="1:26">
      <c r="A1976" s="185" t="s">
        <v>3030</v>
      </c>
      <c r="B1976" s="185" t="s">
        <v>3095</v>
      </c>
      <c r="C1976" s="185" t="s">
        <v>1897</v>
      </c>
      <c r="D1976" s="185" t="s">
        <v>3096</v>
      </c>
      <c r="E1976" s="185">
        <v>238030</v>
      </c>
      <c r="F1976" s="185" t="s">
        <v>721</v>
      </c>
      <c r="G1976" s="185" t="s">
        <v>3100</v>
      </c>
      <c r="H1976" s="185" t="s">
        <v>1628</v>
      </c>
      <c r="I1976" s="258" t="str">
        <f t="shared" si="91"/>
        <v>2</v>
      </c>
      <c r="J1976" s="221">
        <f t="shared" si="92"/>
        <v>-187000</v>
      </c>
      <c r="K1976" s="258">
        <f t="shared" si="93"/>
        <v>7</v>
      </c>
      <c r="L1976" s="188">
        <v>0</v>
      </c>
      <c r="M1976" s="188">
        <v>187000</v>
      </c>
      <c r="N1976" s="189">
        <v>800224808</v>
      </c>
      <c r="O1976" t="s">
        <v>3095</v>
      </c>
      <c r="P1976" s="187">
        <v>45133</v>
      </c>
      <c r="Q1976" s="186">
        <v>12698</v>
      </c>
      <c r="R1976" s="185" t="s">
        <v>1827</v>
      </c>
      <c r="S1976" s="185" t="s">
        <v>1662</v>
      </c>
      <c r="T1976" t="s">
        <v>2729</v>
      </c>
      <c r="U1976" t="str">
        <f>IF($L1976&gt;0,VLOOKUP($E1976,Valida!$A$1:$G$270,6,FALSE),IF($M1976&gt;=0,VLOOKUP($E1976,Valida!$A$1:$G$270,7,FALSE)))</f>
        <v>(+/-) Ajustes por el incremento (disminución) de cuentas por pagar de origen comercial</v>
      </c>
      <c r="V1976" s="190" t="str">
        <f>VLOOKUP(E1976,Valida!$A$2:$K$271,4,FALSE)</f>
        <v>Trade and other payables</v>
      </c>
      <c r="W1976" s="185" t="s">
        <v>1911</v>
      </c>
      <c r="X1976" s="185"/>
      <c r="Y1976" s="185" t="s">
        <v>1789</v>
      </c>
      <c r="Z1976"/>
    </row>
    <row r="1977" spans="1:26">
      <c r="A1977" s="185" t="s">
        <v>3030</v>
      </c>
      <c r="B1977" s="185" t="s">
        <v>3095</v>
      </c>
      <c r="C1977" s="185" t="s">
        <v>1897</v>
      </c>
      <c r="D1977" s="185" t="s">
        <v>3096</v>
      </c>
      <c r="E1977" s="185">
        <v>238030</v>
      </c>
      <c r="F1977" s="185" t="s">
        <v>721</v>
      </c>
      <c r="G1977" s="185" t="s">
        <v>3100</v>
      </c>
      <c r="H1977" s="185" t="s">
        <v>1628</v>
      </c>
      <c r="I1977" s="258" t="str">
        <f t="shared" si="91"/>
        <v>2</v>
      </c>
      <c r="J1977" s="221">
        <f t="shared" si="92"/>
        <v>-288750</v>
      </c>
      <c r="K1977" s="258">
        <f t="shared" si="93"/>
        <v>7</v>
      </c>
      <c r="L1977" s="188">
        <v>0</v>
      </c>
      <c r="M1977" s="188">
        <v>288750</v>
      </c>
      <c r="N1977" s="189">
        <v>800224808</v>
      </c>
      <c r="O1977" t="s">
        <v>3095</v>
      </c>
      <c r="P1977" s="187">
        <v>45133</v>
      </c>
      <c r="Q1977" s="186">
        <v>12699</v>
      </c>
      <c r="R1977" s="185" t="s">
        <v>1827</v>
      </c>
      <c r="S1977" s="185" t="s">
        <v>1662</v>
      </c>
      <c r="T1977" t="s">
        <v>2729</v>
      </c>
      <c r="U1977" t="str">
        <f>IF($L1977&gt;0,VLOOKUP($E1977,Valida!$A$1:$G$270,6,FALSE),IF($M1977&gt;=0,VLOOKUP($E1977,Valida!$A$1:$G$270,7,FALSE)))</f>
        <v>(+/-) Ajustes por el incremento (disminución) de cuentas por pagar de origen comercial</v>
      </c>
      <c r="V1977" s="190" t="str">
        <f>VLOOKUP(E1977,Valida!$A$2:$K$271,4,FALSE)</f>
        <v>Trade and other payables</v>
      </c>
      <c r="W1977" s="185" t="s">
        <v>1911</v>
      </c>
      <c r="X1977" s="185"/>
      <c r="Y1977" s="185" t="s">
        <v>1789</v>
      </c>
      <c r="Z1977"/>
    </row>
    <row r="1978" spans="1:26">
      <c r="A1978" s="185" t="s">
        <v>3030</v>
      </c>
      <c r="B1978" s="185" t="s">
        <v>3095</v>
      </c>
      <c r="C1978" s="185" t="s">
        <v>1897</v>
      </c>
      <c r="D1978" s="185" t="s">
        <v>3096</v>
      </c>
      <c r="E1978" s="185">
        <v>238030</v>
      </c>
      <c r="F1978" s="185" t="s">
        <v>721</v>
      </c>
      <c r="G1978" s="185" t="s">
        <v>3100</v>
      </c>
      <c r="H1978" s="185" t="s">
        <v>1628</v>
      </c>
      <c r="I1978" s="258" t="str">
        <f t="shared" si="91"/>
        <v>2</v>
      </c>
      <c r="J1978" s="221">
        <f t="shared" si="92"/>
        <v>-61667</v>
      </c>
      <c r="K1978" s="258">
        <f t="shared" si="93"/>
        <v>7</v>
      </c>
      <c r="L1978" s="188">
        <v>0</v>
      </c>
      <c r="M1978" s="188">
        <v>61667</v>
      </c>
      <c r="N1978" s="189">
        <v>800224808</v>
      </c>
      <c r="O1978" t="s">
        <v>3095</v>
      </c>
      <c r="P1978" s="187">
        <v>45133</v>
      </c>
      <c r="Q1978" s="186">
        <v>12700</v>
      </c>
      <c r="R1978" s="185" t="s">
        <v>1827</v>
      </c>
      <c r="S1978" s="185" t="s">
        <v>1662</v>
      </c>
      <c r="T1978" t="s">
        <v>2729</v>
      </c>
      <c r="U1978" t="str">
        <f>IF($L1978&gt;0,VLOOKUP($E1978,Valida!$A$1:$G$270,6,FALSE),IF($M1978&gt;=0,VLOOKUP($E1978,Valida!$A$1:$G$270,7,FALSE)))</f>
        <v>(+/-) Ajustes por el incremento (disminución) de cuentas por pagar de origen comercial</v>
      </c>
      <c r="V1978" s="190" t="str">
        <f>VLOOKUP(E1978,Valida!$A$2:$K$271,4,FALSE)</f>
        <v>Trade and other payables</v>
      </c>
      <c r="W1978" s="185" t="s">
        <v>1911</v>
      </c>
      <c r="X1978" s="185"/>
      <c r="Y1978" s="185" t="s">
        <v>1789</v>
      </c>
      <c r="Z1978"/>
    </row>
    <row r="1979" spans="1:26">
      <c r="A1979" s="185" t="s">
        <v>3030</v>
      </c>
      <c r="B1979" s="185" t="s">
        <v>3095</v>
      </c>
      <c r="C1979" s="185" t="s">
        <v>1897</v>
      </c>
      <c r="D1979" s="185" t="s">
        <v>3096</v>
      </c>
      <c r="E1979" s="185">
        <v>238030</v>
      </c>
      <c r="F1979" s="185" t="s">
        <v>721</v>
      </c>
      <c r="G1979" s="185" t="s">
        <v>3100</v>
      </c>
      <c r="H1979" s="185" t="s">
        <v>1628</v>
      </c>
      <c r="I1979" s="258" t="str">
        <f t="shared" si="91"/>
        <v>2</v>
      </c>
      <c r="J1979" s="221">
        <f t="shared" si="92"/>
        <v>-153160</v>
      </c>
      <c r="K1979" s="258">
        <f t="shared" si="93"/>
        <v>7</v>
      </c>
      <c r="L1979" s="188">
        <v>0</v>
      </c>
      <c r="M1979" s="188">
        <v>153160</v>
      </c>
      <c r="N1979" s="189">
        <v>800227940</v>
      </c>
      <c r="O1979" t="s">
        <v>3095</v>
      </c>
      <c r="P1979" s="187">
        <v>45133</v>
      </c>
      <c r="Q1979" s="186">
        <v>12701</v>
      </c>
      <c r="R1979" s="185"/>
      <c r="S1979" s="185" t="s">
        <v>1664</v>
      </c>
      <c r="T1979" t="s">
        <v>2729</v>
      </c>
      <c r="U1979" t="str">
        <f>IF($L1979&gt;0,VLOOKUP($E1979,Valida!$A$1:$G$270,6,FALSE),IF($M1979&gt;=0,VLOOKUP($E1979,Valida!$A$1:$G$270,7,FALSE)))</f>
        <v>(+/-) Ajustes por el incremento (disminución) de cuentas por pagar de origen comercial</v>
      </c>
      <c r="V1979" s="190" t="str">
        <f>VLOOKUP(E1979,Valida!$A$2:$K$271,4,FALSE)</f>
        <v>Trade and other payables</v>
      </c>
      <c r="W1979" s="185"/>
      <c r="X1979" s="185"/>
      <c r="Y1979" s="185"/>
      <c r="Z1979"/>
    </row>
    <row r="1980" spans="1:26">
      <c r="A1980" s="185" t="s">
        <v>3030</v>
      </c>
      <c r="B1980" s="185" t="s">
        <v>3095</v>
      </c>
      <c r="C1980" s="185" t="s">
        <v>1897</v>
      </c>
      <c r="D1980" s="185" t="s">
        <v>3096</v>
      </c>
      <c r="E1980" s="185">
        <v>251010</v>
      </c>
      <c r="F1980" s="185" t="s">
        <v>776</v>
      </c>
      <c r="G1980" s="185" t="s">
        <v>3101</v>
      </c>
      <c r="H1980" s="185" t="s">
        <v>1628</v>
      </c>
      <c r="I1980" s="258" t="str">
        <f t="shared" si="91"/>
        <v>2</v>
      </c>
      <c r="J1980" s="221">
        <f t="shared" si="92"/>
        <v>-118051</v>
      </c>
      <c r="K1980" s="258">
        <f t="shared" si="93"/>
        <v>7</v>
      </c>
      <c r="L1980" s="188">
        <v>0</v>
      </c>
      <c r="M1980" s="188">
        <v>118051</v>
      </c>
      <c r="N1980" s="189">
        <v>1000018061</v>
      </c>
      <c r="O1980" t="s">
        <v>3095</v>
      </c>
      <c r="P1980" s="187">
        <v>45133</v>
      </c>
      <c r="Q1980" s="186">
        <v>12702</v>
      </c>
      <c r="R1980" s="185"/>
      <c r="S1980" s="185" t="s">
        <v>1522</v>
      </c>
      <c r="T1980" t="s">
        <v>2729</v>
      </c>
      <c r="U1980" t="str">
        <f>IF($L1980&gt;0,VLOOKUP($E1980,Valida!$A$1:$G$270,6,FALSE),IF($M1980&gt;=0,VLOOKUP($E1980,Valida!$A$1:$G$270,7,FALSE)))</f>
        <v>(+/-) Ajustes por el incremento (disminución) de cuentas por pagar de origen comercial</v>
      </c>
      <c r="V1980" s="190" t="str">
        <f>VLOOKUP(E1980,Valida!$A$2:$K$271,4,FALSE)</f>
        <v>Trade and other payables</v>
      </c>
      <c r="W1980" s="185" t="s">
        <v>1978</v>
      </c>
      <c r="X1980" s="185"/>
      <c r="Y1980" s="185" t="s">
        <v>1789</v>
      </c>
      <c r="Z1980"/>
    </row>
    <row r="1981" spans="1:26">
      <c r="A1981" s="185" t="s">
        <v>3030</v>
      </c>
      <c r="B1981" s="185" t="s">
        <v>3095</v>
      </c>
      <c r="C1981" s="185" t="s">
        <v>1897</v>
      </c>
      <c r="D1981" s="185" t="s">
        <v>3096</v>
      </c>
      <c r="E1981" s="185">
        <v>251010</v>
      </c>
      <c r="F1981" s="185" t="s">
        <v>776</v>
      </c>
      <c r="G1981" s="185" t="s">
        <v>3101</v>
      </c>
      <c r="H1981" s="185" t="s">
        <v>1628</v>
      </c>
      <c r="I1981" s="258" t="str">
        <f t="shared" si="91"/>
        <v>2</v>
      </c>
      <c r="J1981" s="221">
        <f t="shared" si="92"/>
        <v>-212238</v>
      </c>
      <c r="K1981" s="258">
        <f t="shared" si="93"/>
        <v>7</v>
      </c>
      <c r="L1981" s="188">
        <v>0</v>
      </c>
      <c r="M1981" s="188">
        <v>212238</v>
      </c>
      <c r="N1981" s="189">
        <v>1000036375</v>
      </c>
      <c r="O1981" t="s">
        <v>3095</v>
      </c>
      <c r="P1981" s="187">
        <v>45133</v>
      </c>
      <c r="Q1981" s="186">
        <v>12703</v>
      </c>
      <c r="R1981" s="185"/>
      <c r="S1981" s="185" t="s">
        <v>1524</v>
      </c>
      <c r="T1981" t="s">
        <v>2729</v>
      </c>
      <c r="U1981" t="str">
        <f>IF($L1981&gt;0,VLOOKUP($E1981,Valida!$A$1:$G$270,6,FALSE),IF($M1981&gt;=0,VLOOKUP($E1981,Valida!$A$1:$G$270,7,FALSE)))</f>
        <v>(+/-) Ajustes por el incremento (disminución) de cuentas por pagar de origen comercial</v>
      </c>
      <c r="V1981" s="190" t="str">
        <f>VLOOKUP(E1981,Valida!$A$2:$K$271,4,FALSE)</f>
        <v>Trade and other payables</v>
      </c>
      <c r="W1981" s="185" t="s">
        <v>1983</v>
      </c>
      <c r="X1981" s="185"/>
      <c r="Y1981" s="185" t="s">
        <v>1789</v>
      </c>
      <c r="Z1981"/>
    </row>
    <row r="1982" spans="1:26">
      <c r="A1982" s="185" t="s">
        <v>3030</v>
      </c>
      <c r="B1982" s="185" t="s">
        <v>3095</v>
      </c>
      <c r="C1982" s="185" t="s">
        <v>1897</v>
      </c>
      <c r="D1982" s="185" t="s">
        <v>3096</v>
      </c>
      <c r="E1982" s="185">
        <v>251010</v>
      </c>
      <c r="F1982" s="185" t="s">
        <v>776</v>
      </c>
      <c r="G1982" s="185" t="s">
        <v>3101</v>
      </c>
      <c r="H1982" s="185" t="s">
        <v>1628</v>
      </c>
      <c r="I1982" s="258" t="str">
        <f t="shared" si="91"/>
        <v>2</v>
      </c>
      <c r="J1982" s="221">
        <f t="shared" si="92"/>
        <v>-137709</v>
      </c>
      <c r="K1982" s="258">
        <f t="shared" si="93"/>
        <v>7</v>
      </c>
      <c r="L1982" s="188">
        <v>0</v>
      </c>
      <c r="M1982" s="188">
        <v>137709</v>
      </c>
      <c r="N1982" s="189">
        <v>1010101811</v>
      </c>
      <c r="O1982" t="s">
        <v>3095</v>
      </c>
      <c r="P1982" s="187">
        <v>45133</v>
      </c>
      <c r="Q1982" s="186">
        <v>12704</v>
      </c>
      <c r="R1982" s="185"/>
      <c r="S1982" s="185" t="s">
        <v>1528</v>
      </c>
      <c r="T1982" t="s">
        <v>2729</v>
      </c>
      <c r="U1982" t="str">
        <f>IF($L1982&gt;0,VLOOKUP($E1982,Valida!$A$1:$G$270,6,FALSE),IF($M1982&gt;=0,VLOOKUP($E1982,Valida!$A$1:$G$270,7,FALSE)))</f>
        <v>(+/-) Ajustes por el incremento (disminución) de cuentas por pagar de origen comercial</v>
      </c>
      <c r="V1982" s="190" t="str">
        <f>VLOOKUP(E1982,Valida!$A$2:$K$271,4,FALSE)</f>
        <v>Trade and other payables</v>
      </c>
      <c r="W1982" s="185" t="s">
        <v>1967</v>
      </c>
      <c r="X1982" s="185"/>
      <c r="Y1982" s="185" t="s">
        <v>1789</v>
      </c>
      <c r="Z1982"/>
    </row>
    <row r="1983" spans="1:26">
      <c r="A1983" s="185" t="s">
        <v>3030</v>
      </c>
      <c r="B1983" s="185" t="s">
        <v>3095</v>
      </c>
      <c r="C1983" s="185" t="s">
        <v>1897</v>
      </c>
      <c r="D1983" s="185" t="s">
        <v>3096</v>
      </c>
      <c r="E1983" s="185">
        <v>251010</v>
      </c>
      <c r="F1983" s="185" t="s">
        <v>776</v>
      </c>
      <c r="G1983" s="185" t="s">
        <v>3101</v>
      </c>
      <c r="H1983" s="185" t="s">
        <v>1628</v>
      </c>
      <c r="I1983" s="258" t="str">
        <f t="shared" si="91"/>
        <v>2</v>
      </c>
      <c r="J1983" s="221">
        <f t="shared" si="92"/>
        <v>-97445</v>
      </c>
      <c r="K1983" s="258">
        <f t="shared" si="93"/>
        <v>7</v>
      </c>
      <c r="L1983" s="188">
        <v>0</v>
      </c>
      <c r="M1983" s="188">
        <v>97445</v>
      </c>
      <c r="N1983" s="189">
        <v>1020842223</v>
      </c>
      <c r="O1983" t="s">
        <v>3095</v>
      </c>
      <c r="P1983" s="187">
        <v>45133</v>
      </c>
      <c r="Q1983" s="186">
        <v>12705</v>
      </c>
      <c r="R1983" s="185"/>
      <c r="S1983" s="185" t="s">
        <v>1532</v>
      </c>
      <c r="T1983" t="s">
        <v>2729</v>
      </c>
      <c r="U1983" t="str">
        <f>IF($L1983&gt;0,VLOOKUP($E1983,Valida!$A$1:$G$270,6,FALSE),IF($M1983&gt;=0,VLOOKUP($E1983,Valida!$A$1:$G$270,7,FALSE)))</f>
        <v>(+/-) Ajustes por el incremento (disminución) de cuentas por pagar de origen comercial</v>
      </c>
      <c r="V1983" s="190" t="str">
        <f>VLOOKUP(E1983,Valida!$A$2:$K$271,4,FALSE)</f>
        <v>Trade and other payables</v>
      </c>
      <c r="W1983" s="185" t="s">
        <v>1900</v>
      </c>
      <c r="X1983" s="185"/>
      <c r="Y1983" s="185" t="s">
        <v>1789</v>
      </c>
      <c r="Z1983"/>
    </row>
    <row r="1984" spans="1:26">
      <c r="A1984" s="185" t="s">
        <v>3030</v>
      </c>
      <c r="B1984" s="185" t="s">
        <v>3095</v>
      </c>
      <c r="C1984" s="185" t="s">
        <v>1897</v>
      </c>
      <c r="D1984" s="185" t="s">
        <v>3096</v>
      </c>
      <c r="E1984" s="185">
        <v>251010</v>
      </c>
      <c r="F1984" s="185" t="s">
        <v>776</v>
      </c>
      <c r="G1984" s="185" t="s">
        <v>3101</v>
      </c>
      <c r="H1984" s="185" t="s">
        <v>1628</v>
      </c>
      <c r="I1984" s="258" t="str">
        <f t="shared" si="91"/>
        <v>2</v>
      </c>
      <c r="J1984" s="221">
        <f t="shared" si="92"/>
        <v>-45511</v>
      </c>
      <c r="K1984" s="258">
        <f t="shared" si="93"/>
        <v>7</v>
      </c>
      <c r="L1984" s="188">
        <v>0</v>
      </c>
      <c r="M1984" s="188">
        <v>45511</v>
      </c>
      <c r="N1984" s="189">
        <v>1100623759</v>
      </c>
      <c r="O1984" t="s">
        <v>3095</v>
      </c>
      <c r="P1984" s="187">
        <v>45133</v>
      </c>
      <c r="Q1984" s="186">
        <v>12706</v>
      </c>
      <c r="R1984" s="185"/>
      <c r="S1984" s="185" t="s">
        <v>1536</v>
      </c>
      <c r="T1984" t="s">
        <v>2729</v>
      </c>
      <c r="U1984" t="str">
        <f>IF($L1984&gt;0,VLOOKUP($E1984,Valida!$A$1:$G$270,6,FALSE),IF($M1984&gt;=0,VLOOKUP($E1984,Valida!$A$1:$G$270,7,FALSE)))</f>
        <v>(+/-) Ajustes por el incremento (disminución) de cuentas por pagar de origen comercial</v>
      </c>
      <c r="V1984" s="190" t="str">
        <f>VLOOKUP(E1984,Valida!$A$2:$K$271,4,FALSE)</f>
        <v>Trade and other payables</v>
      </c>
      <c r="W1984" s="185" t="s">
        <v>2730</v>
      </c>
      <c r="X1984" s="185"/>
      <c r="Y1984" s="185" t="s">
        <v>1789</v>
      </c>
      <c r="Z1984"/>
    </row>
    <row r="1985" spans="1:26">
      <c r="A1985" s="185" t="s">
        <v>3030</v>
      </c>
      <c r="B1985" s="185" t="s">
        <v>3095</v>
      </c>
      <c r="C1985" s="185" t="s">
        <v>1897</v>
      </c>
      <c r="D1985" s="185" t="s">
        <v>3096</v>
      </c>
      <c r="E1985" s="185">
        <v>251010</v>
      </c>
      <c r="F1985" s="185" t="s">
        <v>776</v>
      </c>
      <c r="G1985" s="185" t="s">
        <v>3101</v>
      </c>
      <c r="H1985" s="185" t="s">
        <v>1628</v>
      </c>
      <c r="I1985" s="258" t="str">
        <f t="shared" si="91"/>
        <v>2</v>
      </c>
      <c r="J1985" s="221">
        <f t="shared" si="92"/>
        <v>-108384</v>
      </c>
      <c r="K1985" s="258">
        <f t="shared" si="93"/>
        <v>7</v>
      </c>
      <c r="L1985" s="188">
        <v>0</v>
      </c>
      <c r="M1985" s="188">
        <v>108384</v>
      </c>
      <c r="N1985" s="189">
        <v>1130744136</v>
      </c>
      <c r="O1985" t="s">
        <v>3095</v>
      </c>
      <c r="P1985" s="187">
        <v>45133</v>
      </c>
      <c r="Q1985" s="186">
        <v>12707</v>
      </c>
      <c r="R1985" s="185"/>
      <c r="S1985" s="185" t="s">
        <v>1538</v>
      </c>
      <c r="T1985" t="s">
        <v>2729</v>
      </c>
      <c r="U1985" t="str">
        <f>IF($L1985&gt;0,VLOOKUP($E1985,Valida!$A$1:$G$270,6,FALSE),IF($M1985&gt;=0,VLOOKUP($E1985,Valida!$A$1:$G$270,7,FALSE)))</f>
        <v>(+/-) Ajustes por el incremento (disminución) de cuentas por pagar de origen comercial</v>
      </c>
      <c r="V1985" s="190" t="str">
        <f>VLOOKUP(E1985,Valida!$A$2:$K$271,4,FALSE)</f>
        <v>Trade and other payables</v>
      </c>
      <c r="W1985" s="185" t="s">
        <v>1909</v>
      </c>
      <c r="X1985" s="185" t="s">
        <v>1910</v>
      </c>
      <c r="Y1985" s="185" t="s">
        <v>1789</v>
      </c>
      <c r="Z1985"/>
    </row>
    <row r="1986" spans="1:26">
      <c r="A1986" s="185" t="s">
        <v>3030</v>
      </c>
      <c r="B1986" s="185" t="s">
        <v>3095</v>
      </c>
      <c r="C1986" s="185" t="s">
        <v>1897</v>
      </c>
      <c r="D1986" s="185" t="s">
        <v>3096</v>
      </c>
      <c r="E1986" s="185">
        <v>251505</v>
      </c>
      <c r="F1986" s="185" t="s">
        <v>779</v>
      </c>
      <c r="G1986" s="185" t="s">
        <v>3102</v>
      </c>
      <c r="H1986" s="185" t="s">
        <v>1628</v>
      </c>
      <c r="I1986" s="258" t="str">
        <f t="shared" si="91"/>
        <v>2</v>
      </c>
      <c r="J1986" s="221">
        <f t="shared" si="92"/>
        <v>-11980</v>
      </c>
      <c r="K1986" s="258">
        <f t="shared" si="93"/>
        <v>7</v>
      </c>
      <c r="L1986" s="188">
        <v>0</v>
      </c>
      <c r="M1986" s="188">
        <v>11980</v>
      </c>
      <c r="N1986" s="189">
        <v>1000018061</v>
      </c>
      <c r="O1986" t="s">
        <v>3095</v>
      </c>
      <c r="P1986" s="187">
        <v>45133</v>
      </c>
      <c r="Q1986" s="186">
        <v>12708</v>
      </c>
      <c r="R1986" s="185"/>
      <c r="S1986" s="185" t="s">
        <v>1522</v>
      </c>
      <c r="T1986" t="s">
        <v>2729</v>
      </c>
      <c r="U1986" t="str">
        <f>IF($L1986&gt;0,VLOOKUP($E1986,Valida!$A$1:$G$270,6,FALSE),IF($M1986&gt;=0,VLOOKUP($E1986,Valida!$A$1:$G$270,7,FALSE)))</f>
        <v>(+/-) Ajustes por el incremento (disminución) de cuentas por pagar de origen comercial</v>
      </c>
      <c r="V1986" s="190" t="str">
        <f>VLOOKUP(E1986,Valida!$A$2:$K$271,4,FALSE)</f>
        <v>Trade and other payables</v>
      </c>
      <c r="W1986" s="185" t="s">
        <v>1978</v>
      </c>
      <c r="X1986" s="185"/>
      <c r="Y1986" s="185" t="s">
        <v>1789</v>
      </c>
      <c r="Z1986"/>
    </row>
    <row r="1987" spans="1:26">
      <c r="A1987" s="185" t="s">
        <v>3030</v>
      </c>
      <c r="B1987" s="185" t="s">
        <v>3095</v>
      </c>
      <c r="C1987" s="185" t="s">
        <v>1897</v>
      </c>
      <c r="D1987" s="185" t="s">
        <v>3096</v>
      </c>
      <c r="E1987" s="185">
        <v>251505</v>
      </c>
      <c r="F1987" s="185" t="s">
        <v>779</v>
      </c>
      <c r="G1987" s="185" t="s">
        <v>3102</v>
      </c>
      <c r="H1987" s="185" t="s">
        <v>1628</v>
      </c>
      <c r="I1987" s="258" t="str">
        <f t="shared" ref="I1987:I2050" si="94">LEFT(E1987,1)</f>
        <v>2</v>
      </c>
      <c r="J1987" s="221">
        <f t="shared" ref="J1987:J2050" si="95">L1987-M1987</f>
        <v>-17368</v>
      </c>
      <c r="K1987" s="258">
        <f t="shared" ref="K1987:K2050" si="96">MONTH(A1987)</f>
        <v>7</v>
      </c>
      <c r="L1987" s="188">
        <v>0</v>
      </c>
      <c r="M1987" s="188">
        <v>17368</v>
      </c>
      <c r="N1987" s="189">
        <v>1000036375</v>
      </c>
      <c r="O1987" t="s">
        <v>3095</v>
      </c>
      <c r="P1987" s="187">
        <v>45133</v>
      </c>
      <c r="Q1987" s="186">
        <v>12709</v>
      </c>
      <c r="R1987" s="185"/>
      <c r="S1987" s="185" t="s">
        <v>1524</v>
      </c>
      <c r="T1987" t="s">
        <v>2729</v>
      </c>
      <c r="U1987" t="str">
        <f>IF($L1987&gt;0,VLOOKUP($E1987,Valida!$A$1:$G$270,6,FALSE),IF($M1987&gt;=0,VLOOKUP($E1987,Valida!$A$1:$G$270,7,FALSE)))</f>
        <v>(+/-) Ajustes por el incremento (disminución) de cuentas por pagar de origen comercial</v>
      </c>
      <c r="V1987" s="190" t="str">
        <f>VLOOKUP(E1987,Valida!$A$2:$K$271,4,FALSE)</f>
        <v>Trade and other payables</v>
      </c>
      <c r="W1987" s="185" t="s">
        <v>1983</v>
      </c>
      <c r="X1987" s="185"/>
      <c r="Y1987" s="185" t="s">
        <v>1789</v>
      </c>
      <c r="Z1987"/>
    </row>
    <row r="1988" spans="1:26">
      <c r="A1988" s="185" t="s">
        <v>3030</v>
      </c>
      <c r="B1988" s="185" t="s">
        <v>3095</v>
      </c>
      <c r="C1988" s="185" t="s">
        <v>1897</v>
      </c>
      <c r="D1988" s="185" t="s">
        <v>3096</v>
      </c>
      <c r="E1988" s="185">
        <v>251505</v>
      </c>
      <c r="F1988" s="185" t="s">
        <v>779</v>
      </c>
      <c r="G1988" s="185" t="s">
        <v>3102</v>
      </c>
      <c r="H1988" s="185" t="s">
        <v>1628</v>
      </c>
      <c r="I1988" s="258" t="str">
        <f t="shared" si="94"/>
        <v>2</v>
      </c>
      <c r="J1988" s="221">
        <f t="shared" si="95"/>
        <v>-18028</v>
      </c>
      <c r="K1988" s="258">
        <f t="shared" si="96"/>
        <v>7</v>
      </c>
      <c r="L1988" s="188">
        <v>0</v>
      </c>
      <c r="M1988" s="188">
        <v>18028</v>
      </c>
      <c r="N1988" s="189">
        <v>1010101811</v>
      </c>
      <c r="O1988" t="s">
        <v>3095</v>
      </c>
      <c r="P1988" s="187">
        <v>45133</v>
      </c>
      <c r="Q1988" s="186">
        <v>12710</v>
      </c>
      <c r="R1988" s="185"/>
      <c r="S1988" s="185" t="s">
        <v>1528</v>
      </c>
      <c r="T1988" t="s">
        <v>2729</v>
      </c>
      <c r="U1988" t="str">
        <f>IF($L1988&gt;0,VLOOKUP($E1988,Valida!$A$1:$G$270,6,FALSE),IF($M1988&gt;=0,VLOOKUP($E1988,Valida!$A$1:$G$270,7,FALSE)))</f>
        <v>(+/-) Ajustes por el incremento (disminución) de cuentas por pagar de origen comercial</v>
      </c>
      <c r="V1988" s="190" t="str">
        <f>VLOOKUP(E1988,Valida!$A$2:$K$271,4,FALSE)</f>
        <v>Trade and other payables</v>
      </c>
      <c r="W1988" s="185" t="s">
        <v>1967</v>
      </c>
      <c r="X1988" s="185"/>
      <c r="Y1988" s="185" t="s">
        <v>1789</v>
      </c>
      <c r="Z1988"/>
    </row>
    <row r="1989" spans="1:26">
      <c r="A1989" s="185" t="s">
        <v>3030</v>
      </c>
      <c r="B1989" s="185" t="s">
        <v>3095</v>
      </c>
      <c r="C1989" s="185" t="s">
        <v>1897</v>
      </c>
      <c r="D1989" s="185" t="s">
        <v>3096</v>
      </c>
      <c r="E1989" s="185">
        <v>251505</v>
      </c>
      <c r="F1989" s="185" t="s">
        <v>779</v>
      </c>
      <c r="G1989" s="185" t="s">
        <v>3102</v>
      </c>
      <c r="H1989" s="185" t="s">
        <v>1628</v>
      </c>
      <c r="I1989" s="258" t="str">
        <f t="shared" si="94"/>
        <v>2</v>
      </c>
      <c r="J1989" s="221">
        <f t="shared" si="95"/>
        <v>-11432</v>
      </c>
      <c r="K1989" s="258">
        <f t="shared" si="96"/>
        <v>7</v>
      </c>
      <c r="L1989" s="188">
        <v>0</v>
      </c>
      <c r="M1989" s="188">
        <v>11432</v>
      </c>
      <c r="N1989" s="189">
        <v>1020842223</v>
      </c>
      <c r="O1989" t="s">
        <v>3095</v>
      </c>
      <c r="P1989" s="187">
        <v>45133</v>
      </c>
      <c r="Q1989" s="186">
        <v>12711</v>
      </c>
      <c r="R1989" s="185"/>
      <c r="S1989" s="185" t="s">
        <v>1532</v>
      </c>
      <c r="T1989" t="s">
        <v>2729</v>
      </c>
      <c r="U1989" t="str">
        <f>IF($L1989&gt;0,VLOOKUP($E1989,Valida!$A$1:$G$270,6,FALSE),IF($M1989&gt;=0,VLOOKUP($E1989,Valida!$A$1:$G$270,7,FALSE)))</f>
        <v>(+/-) Ajustes por el incremento (disminución) de cuentas por pagar de origen comercial</v>
      </c>
      <c r="V1989" s="190" t="str">
        <f>VLOOKUP(E1989,Valida!$A$2:$K$271,4,FALSE)</f>
        <v>Trade and other payables</v>
      </c>
      <c r="W1989" s="185" t="s">
        <v>1900</v>
      </c>
      <c r="X1989" s="185"/>
      <c r="Y1989" s="185" t="s">
        <v>1789</v>
      </c>
      <c r="Z1989"/>
    </row>
    <row r="1990" spans="1:26">
      <c r="A1990" s="185" t="s">
        <v>3030</v>
      </c>
      <c r="B1990" s="185" t="s">
        <v>3095</v>
      </c>
      <c r="C1990" s="185" t="s">
        <v>1897</v>
      </c>
      <c r="D1990" s="185" t="s">
        <v>3096</v>
      </c>
      <c r="E1990" s="185">
        <v>251505</v>
      </c>
      <c r="F1990" s="185" t="s">
        <v>779</v>
      </c>
      <c r="G1990" s="185" t="s">
        <v>3102</v>
      </c>
      <c r="H1990" s="185" t="s">
        <v>1628</v>
      </c>
      <c r="I1990" s="258" t="str">
        <f t="shared" si="94"/>
        <v>2</v>
      </c>
      <c r="J1990" s="221">
        <f t="shared" si="95"/>
        <v>-1684</v>
      </c>
      <c r="K1990" s="258">
        <f t="shared" si="96"/>
        <v>7</v>
      </c>
      <c r="L1990" s="188">
        <v>0</v>
      </c>
      <c r="M1990" s="188">
        <v>1684</v>
      </c>
      <c r="N1990" s="189">
        <v>1100623759</v>
      </c>
      <c r="O1990" t="s">
        <v>3095</v>
      </c>
      <c r="P1990" s="187">
        <v>45133</v>
      </c>
      <c r="Q1990" s="186">
        <v>12712</v>
      </c>
      <c r="R1990" s="185"/>
      <c r="S1990" s="185" t="s">
        <v>1536</v>
      </c>
      <c r="T1990" t="s">
        <v>2729</v>
      </c>
      <c r="U1990" t="str">
        <f>IF($L1990&gt;0,VLOOKUP($E1990,Valida!$A$1:$G$270,6,FALSE),IF($M1990&gt;=0,VLOOKUP($E1990,Valida!$A$1:$G$270,7,FALSE)))</f>
        <v>(+/-) Ajustes por el incremento (disminución) de cuentas por pagar de origen comercial</v>
      </c>
      <c r="V1990" s="190" t="str">
        <f>VLOOKUP(E1990,Valida!$A$2:$K$271,4,FALSE)</f>
        <v>Trade and other payables</v>
      </c>
      <c r="W1990" s="185" t="s">
        <v>2730</v>
      </c>
      <c r="X1990" s="185"/>
      <c r="Y1990" s="185" t="s">
        <v>1789</v>
      </c>
      <c r="Z1990"/>
    </row>
    <row r="1991" spans="1:26">
      <c r="A1991" s="185" t="s">
        <v>3030</v>
      </c>
      <c r="B1991" s="185" t="s">
        <v>3095</v>
      </c>
      <c r="C1991" s="185" t="s">
        <v>1897</v>
      </c>
      <c r="D1991" s="185" t="s">
        <v>3096</v>
      </c>
      <c r="E1991" s="185">
        <v>251505</v>
      </c>
      <c r="F1991" s="185" t="s">
        <v>779</v>
      </c>
      <c r="G1991" s="185" t="s">
        <v>3102</v>
      </c>
      <c r="H1991" s="185" t="s">
        <v>1628</v>
      </c>
      <c r="I1991" s="258" t="str">
        <f t="shared" si="94"/>
        <v>2</v>
      </c>
      <c r="J1991" s="221">
        <f t="shared" si="95"/>
        <v>-14090</v>
      </c>
      <c r="K1991" s="258">
        <f t="shared" si="96"/>
        <v>7</v>
      </c>
      <c r="L1991" s="188">
        <v>0</v>
      </c>
      <c r="M1991" s="188">
        <v>14090</v>
      </c>
      <c r="N1991" s="189">
        <v>1130744136</v>
      </c>
      <c r="O1991" t="s">
        <v>3095</v>
      </c>
      <c r="P1991" s="187">
        <v>45133</v>
      </c>
      <c r="Q1991" s="186">
        <v>12713</v>
      </c>
      <c r="R1991" s="185"/>
      <c r="S1991" s="185" t="s">
        <v>1538</v>
      </c>
      <c r="T1991" t="s">
        <v>2729</v>
      </c>
      <c r="U1991" t="str">
        <f>IF($L1991&gt;0,VLOOKUP($E1991,Valida!$A$1:$G$270,6,FALSE),IF($M1991&gt;=0,VLOOKUP($E1991,Valida!$A$1:$G$270,7,FALSE)))</f>
        <v>(+/-) Ajustes por el incremento (disminución) de cuentas por pagar de origen comercial</v>
      </c>
      <c r="V1991" s="190" t="str">
        <f>VLOOKUP(E1991,Valida!$A$2:$K$271,4,FALSE)</f>
        <v>Trade and other payables</v>
      </c>
      <c r="W1991" s="185" t="s">
        <v>1909</v>
      </c>
      <c r="X1991" s="185" t="s">
        <v>1910</v>
      </c>
      <c r="Y1991" s="185" t="s">
        <v>1789</v>
      </c>
      <c r="Z1991"/>
    </row>
    <row r="1992" spans="1:26">
      <c r="A1992" s="185" t="s">
        <v>3030</v>
      </c>
      <c r="B1992" s="185" t="s">
        <v>3095</v>
      </c>
      <c r="C1992" s="185" t="s">
        <v>1897</v>
      </c>
      <c r="D1992" s="185" t="s">
        <v>3096</v>
      </c>
      <c r="E1992" s="185">
        <v>252005</v>
      </c>
      <c r="F1992" s="185" t="s">
        <v>783</v>
      </c>
      <c r="G1992" s="185" t="s">
        <v>3103</v>
      </c>
      <c r="H1992" s="185" t="s">
        <v>1628</v>
      </c>
      <c r="I1992" s="258" t="str">
        <f t="shared" si="94"/>
        <v>2</v>
      </c>
      <c r="J1992" s="221">
        <f t="shared" si="95"/>
        <v>-118051</v>
      </c>
      <c r="K1992" s="258">
        <f t="shared" si="96"/>
        <v>7</v>
      </c>
      <c r="L1992" s="188">
        <v>0</v>
      </c>
      <c r="M1992" s="188">
        <v>118051</v>
      </c>
      <c r="N1992" s="189">
        <v>1000018061</v>
      </c>
      <c r="O1992" t="s">
        <v>3095</v>
      </c>
      <c r="P1992" s="187">
        <v>45133</v>
      </c>
      <c r="Q1992" s="186">
        <v>12714</v>
      </c>
      <c r="R1992" s="185"/>
      <c r="S1992" s="185" t="s">
        <v>1522</v>
      </c>
      <c r="T1992" t="s">
        <v>2729</v>
      </c>
      <c r="U1992" t="str">
        <f>IF($L1992&gt;0,VLOOKUP($E1992,Valida!$A$1:$G$270,6,FALSE),IF($M1992&gt;=0,VLOOKUP($E1992,Valida!$A$1:$G$270,7,FALSE)))</f>
        <v>(+/-) Ajustes por el incremento (disminución) de cuentas por pagar de origen comercial</v>
      </c>
      <c r="V1992" s="190" t="str">
        <f>VLOOKUP(E1992,Valida!$A$2:$K$271,4,FALSE)</f>
        <v>Trade and other payables</v>
      </c>
      <c r="W1992" s="185" t="s">
        <v>1978</v>
      </c>
      <c r="X1992" s="185"/>
      <c r="Y1992" s="185" t="s">
        <v>1789</v>
      </c>
      <c r="Z1992"/>
    </row>
    <row r="1993" spans="1:26">
      <c r="A1993" s="185" t="s">
        <v>3030</v>
      </c>
      <c r="B1993" s="185" t="s">
        <v>3095</v>
      </c>
      <c r="C1993" s="185" t="s">
        <v>1897</v>
      </c>
      <c r="D1993" s="185" t="s">
        <v>3096</v>
      </c>
      <c r="E1993" s="185">
        <v>252005</v>
      </c>
      <c r="F1993" s="185" t="s">
        <v>783</v>
      </c>
      <c r="G1993" s="185" t="s">
        <v>3103</v>
      </c>
      <c r="H1993" s="185" t="s">
        <v>1628</v>
      </c>
      <c r="I1993" s="258" t="str">
        <f t="shared" si="94"/>
        <v>2</v>
      </c>
      <c r="J1993" s="221">
        <f t="shared" si="95"/>
        <v>-212238</v>
      </c>
      <c r="K1993" s="258">
        <f t="shared" si="96"/>
        <v>7</v>
      </c>
      <c r="L1993" s="188">
        <v>0</v>
      </c>
      <c r="M1993" s="188">
        <v>212238</v>
      </c>
      <c r="N1993" s="189">
        <v>1000036375</v>
      </c>
      <c r="O1993" t="s">
        <v>3095</v>
      </c>
      <c r="P1993" s="187">
        <v>45133</v>
      </c>
      <c r="Q1993" s="186">
        <v>12715</v>
      </c>
      <c r="R1993" s="185"/>
      <c r="S1993" s="185" t="s">
        <v>1524</v>
      </c>
      <c r="T1993" t="s">
        <v>2729</v>
      </c>
      <c r="U1993" t="str">
        <f>IF($L1993&gt;0,VLOOKUP($E1993,Valida!$A$1:$G$270,6,FALSE),IF($M1993&gt;=0,VLOOKUP($E1993,Valida!$A$1:$G$270,7,FALSE)))</f>
        <v>(+/-) Ajustes por el incremento (disminución) de cuentas por pagar de origen comercial</v>
      </c>
      <c r="V1993" s="190" t="str">
        <f>VLOOKUP(E1993,Valida!$A$2:$K$271,4,FALSE)</f>
        <v>Trade and other payables</v>
      </c>
      <c r="W1993" s="185" t="s">
        <v>1983</v>
      </c>
      <c r="X1993" s="185"/>
      <c r="Y1993" s="185" t="s">
        <v>1789</v>
      </c>
      <c r="Z1993"/>
    </row>
    <row r="1994" spans="1:26">
      <c r="A1994" s="185" t="s">
        <v>3030</v>
      </c>
      <c r="B1994" s="185" t="s">
        <v>3095</v>
      </c>
      <c r="C1994" s="185" t="s">
        <v>1897</v>
      </c>
      <c r="D1994" s="185" t="s">
        <v>3096</v>
      </c>
      <c r="E1994" s="185">
        <v>252005</v>
      </c>
      <c r="F1994" s="185" t="s">
        <v>783</v>
      </c>
      <c r="G1994" s="185" t="s">
        <v>3103</v>
      </c>
      <c r="H1994" s="185" t="s">
        <v>1628</v>
      </c>
      <c r="I1994" s="258" t="str">
        <f t="shared" si="94"/>
        <v>2</v>
      </c>
      <c r="J1994" s="221">
        <f t="shared" si="95"/>
        <v>-136717</v>
      </c>
      <c r="K1994" s="258">
        <f t="shared" si="96"/>
        <v>7</v>
      </c>
      <c r="L1994" s="188">
        <v>0</v>
      </c>
      <c r="M1994" s="188">
        <v>136717</v>
      </c>
      <c r="N1994" s="189">
        <v>1010101811</v>
      </c>
      <c r="O1994" t="s">
        <v>3095</v>
      </c>
      <c r="P1994" s="187">
        <v>45133</v>
      </c>
      <c r="Q1994" s="186">
        <v>12716</v>
      </c>
      <c r="R1994" s="185"/>
      <c r="S1994" s="185" t="s">
        <v>1528</v>
      </c>
      <c r="T1994" t="s">
        <v>2729</v>
      </c>
      <c r="U1994" t="str">
        <f>IF($L1994&gt;0,VLOOKUP($E1994,Valida!$A$1:$G$270,6,FALSE),IF($M1994&gt;=0,VLOOKUP($E1994,Valida!$A$1:$G$270,7,FALSE)))</f>
        <v>(+/-) Ajustes por el incremento (disminución) de cuentas por pagar de origen comercial</v>
      </c>
      <c r="V1994" s="190" t="str">
        <f>VLOOKUP(E1994,Valida!$A$2:$K$271,4,FALSE)</f>
        <v>Trade and other payables</v>
      </c>
      <c r="W1994" s="185" t="s">
        <v>1967</v>
      </c>
      <c r="X1994" s="185"/>
      <c r="Y1994" s="185" t="s">
        <v>1789</v>
      </c>
      <c r="Z1994"/>
    </row>
    <row r="1995" spans="1:26">
      <c r="A1995" s="185" t="s">
        <v>3030</v>
      </c>
      <c r="B1995" s="185" t="s">
        <v>3095</v>
      </c>
      <c r="C1995" s="185" t="s">
        <v>1897</v>
      </c>
      <c r="D1995" s="185" t="s">
        <v>3096</v>
      </c>
      <c r="E1995" s="185">
        <v>252005</v>
      </c>
      <c r="F1995" s="185" t="s">
        <v>783</v>
      </c>
      <c r="G1995" s="185" t="s">
        <v>3103</v>
      </c>
      <c r="H1995" s="185" t="s">
        <v>1628</v>
      </c>
      <c r="I1995" s="258" t="str">
        <f t="shared" si="94"/>
        <v>2</v>
      </c>
      <c r="J1995" s="221">
        <f t="shared" si="95"/>
        <v>-97340</v>
      </c>
      <c r="K1995" s="258">
        <f t="shared" si="96"/>
        <v>7</v>
      </c>
      <c r="L1995" s="188">
        <v>0</v>
      </c>
      <c r="M1995" s="188">
        <v>97340</v>
      </c>
      <c r="N1995" s="189">
        <v>1020842223</v>
      </c>
      <c r="O1995" t="s">
        <v>3095</v>
      </c>
      <c r="P1995" s="187">
        <v>45133</v>
      </c>
      <c r="Q1995" s="186">
        <v>12717</v>
      </c>
      <c r="R1995" s="185"/>
      <c r="S1995" s="185" t="s">
        <v>1532</v>
      </c>
      <c r="T1995" t="s">
        <v>2729</v>
      </c>
      <c r="U1995" t="str">
        <f>IF($L1995&gt;0,VLOOKUP($E1995,Valida!$A$1:$G$270,6,FALSE),IF($M1995&gt;=0,VLOOKUP($E1995,Valida!$A$1:$G$270,7,FALSE)))</f>
        <v>(+/-) Ajustes por el incremento (disminución) de cuentas por pagar de origen comercial</v>
      </c>
      <c r="V1995" s="190" t="str">
        <f>VLOOKUP(E1995,Valida!$A$2:$K$271,4,FALSE)</f>
        <v>Trade and other payables</v>
      </c>
      <c r="W1995" s="185" t="s">
        <v>1900</v>
      </c>
      <c r="X1995" s="185"/>
      <c r="Y1995" s="185" t="s">
        <v>1789</v>
      </c>
      <c r="Z1995"/>
    </row>
    <row r="1996" spans="1:26">
      <c r="A1996" s="185" t="s">
        <v>3030</v>
      </c>
      <c r="B1996" s="185" t="s">
        <v>3095</v>
      </c>
      <c r="C1996" s="185" t="s">
        <v>1897</v>
      </c>
      <c r="D1996" s="185" t="s">
        <v>3096</v>
      </c>
      <c r="E1996" s="185">
        <v>252005</v>
      </c>
      <c r="F1996" s="185" t="s">
        <v>783</v>
      </c>
      <c r="G1996" s="185" t="s">
        <v>3103</v>
      </c>
      <c r="H1996" s="185" t="s">
        <v>1628</v>
      </c>
      <c r="I1996" s="258" t="str">
        <f t="shared" si="94"/>
        <v>2</v>
      </c>
      <c r="J1996" s="221">
        <f t="shared" si="95"/>
        <v>-45512</v>
      </c>
      <c r="K1996" s="258">
        <f t="shared" si="96"/>
        <v>7</v>
      </c>
      <c r="L1996" s="188">
        <v>0</v>
      </c>
      <c r="M1996" s="188">
        <v>45512</v>
      </c>
      <c r="N1996" s="189">
        <v>1100623759</v>
      </c>
      <c r="O1996" t="s">
        <v>3095</v>
      </c>
      <c r="P1996" s="187">
        <v>45133</v>
      </c>
      <c r="Q1996" s="186">
        <v>12718</v>
      </c>
      <c r="R1996" s="185"/>
      <c r="S1996" s="185" t="s">
        <v>1536</v>
      </c>
      <c r="T1996" t="s">
        <v>2729</v>
      </c>
      <c r="U1996" t="str">
        <f>IF($L1996&gt;0,VLOOKUP($E1996,Valida!$A$1:$G$270,6,FALSE),IF($M1996&gt;=0,VLOOKUP($E1996,Valida!$A$1:$G$270,7,FALSE)))</f>
        <v>(+/-) Ajustes por el incremento (disminución) de cuentas por pagar de origen comercial</v>
      </c>
      <c r="V1996" s="190" t="str">
        <f>VLOOKUP(E1996,Valida!$A$2:$K$271,4,FALSE)</f>
        <v>Trade and other payables</v>
      </c>
      <c r="W1996" s="185" t="s">
        <v>2730</v>
      </c>
      <c r="X1996" s="185"/>
      <c r="Y1996" s="185" t="s">
        <v>1789</v>
      </c>
      <c r="Z1996"/>
    </row>
    <row r="1997" spans="1:26">
      <c r="A1997" s="185" t="s">
        <v>3030</v>
      </c>
      <c r="B1997" s="185" t="s">
        <v>3095</v>
      </c>
      <c r="C1997" s="185" t="s">
        <v>1897</v>
      </c>
      <c r="D1997" s="185" t="s">
        <v>3096</v>
      </c>
      <c r="E1997" s="185">
        <v>252005</v>
      </c>
      <c r="F1997" s="185" t="s">
        <v>783</v>
      </c>
      <c r="G1997" s="185" t="s">
        <v>3103</v>
      </c>
      <c r="H1997" s="185" t="s">
        <v>1628</v>
      </c>
      <c r="I1997" s="258" t="str">
        <f t="shared" si="94"/>
        <v>2</v>
      </c>
      <c r="J1997" s="221">
        <f t="shared" si="95"/>
        <v>-108384</v>
      </c>
      <c r="K1997" s="258">
        <f t="shared" si="96"/>
        <v>7</v>
      </c>
      <c r="L1997" s="188">
        <v>0</v>
      </c>
      <c r="M1997" s="188">
        <v>108384</v>
      </c>
      <c r="N1997" s="189">
        <v>1130744136</v>
      </c>
      <c r="O1997" t="s">
        <v>3095</v>
      </c>
      <c r="P1997" s="187">
        <v>45133</v>
      </c>
      <c r="Q1997" s="186">
        <v>12719</v>
      </c>
      <c r="R1997" s="185"/>
      <c r="S1997" s="185" t="s">
        <v>1538</v>
      </c>
      <c r="T1997" t="s">
        <v>2729</v>
      </c>
      <c r="U1997" t="str">
        <f>IF($L1997&gt;0,VLOOKUP($E1997,Valida!$A$1:$G$270,6,FALSE),IF($M1997&gt;=0,VLOOKUP($E1997,Valida!$A$1:$G$270,7,FALSE)))</f>
        <v>(+/-) Ajustes por el incremento (disminución) de cuentas por pagar de origen comercial</v>
      </c>
      <c r="V1997" s="190" t="str">
        <f>VLOOKUP(E1997,Valida!$A$2:$K$271,4,FALSE)</f>
        <v>Trade and other payables</v>
      </c>
      <c r="W1997" s="185" t="s">
        <v>1909</v>
      </c>
      <c r="X1997" s="185" t="s">
        <v>1910</v>
      </c>
      <c r="Y1997" s="185" t="s">
        <v>1789</v>
      </c>
      <c r="Z1997"/>
    </row>
    <row r="1998" spans="1:26">
      <c r="A1998" s="185" t="s">
        <v>3030</v>
      </c>
      <c r="B1998" s="185" t="s">
        <v>3095</v>
      </c>
      <c r="C1998" s="185" t="s">
        <v>1897</v>
      </c>
      <c r="D1998" s="185" t="s">
        <v>3096</v>
      </c>
      <c r="E1998" s="185">
        <v>252505</v>
      </c>
      <c r="F1998" s="185" t="s">
        <v>787</v>
      </c>
      <c r="G1998" s="185" t="s">
        <v>3104</v>
      </c>
      <c r="H1998" s="185" t="s">
        <v>1628</v>
      </c>
      <c r="I1998" s="258" t="str">
        <f t="shared" si="94"/>
        <v>2</v>
      </c>
      <c r="J1998" s="221">
        <f t="shared" si="95"/>
        <v>-53167</v>
      </c>
      <c r="K1998" s="258">
        <f t="shared" si="96"/>
        <v>7</v>
      </c>
      <c r="L1998" s="188">
        <v>0</v>
      </c>
      <c r="M1998" s="188">
        <v>53167</v>
      </c>
      <c r="N1998" s="189">
        <v>1000018061</v>
      </c>
      <c r="O1998" t="s">
        <v>3095</v>
      </c>
      <c r="P1998" s="187">
        <v>45133</v>
      </c>
      <c r="Q1998" s="186">
        <v>12720</v>
      </c>
      <c r="R1998" s="185"/>
      <c r="S1998" s="185" t="s">
        <v>1522</v>
      </c>
      <c r="T1998" t="s">
        <v>2729</v>
      </c>
      <c r="U1998" t="str">
        <f>IF($L1998&gt;0,VLOOKUP($E1998,Valida!$A$1:$G$270,6,FALSE),IF($M1998&gt;=0,VLOOKUP($E1998,Valida!$A$1:$G$270,7,FALSE)))</f>
        <v>(+/-) Ajustes por el incremento (disminución) de cuentas por pagar de origen comercial</v>
      </c>
      <c r="V1998" s="190" t="str">
        <f>VLOOKUP(E1998,Valida!$A$2:$K$271,4,FALSE)</f>
        <v>Trade and other payables</v>
      </c>
      <c r="W1998" s="185" t="s">
        <v>1978</v>
      </c>
      <c r="X1998" s="185"/>
      <c r="Y1998" s="185" t="s">
        <v>1789</v>
      </c>
      <c r="Z1998"/>
    </row>
    <row r="1999" spans="1:26">
      <c r="A1999" s="185" t="s">
        <v>3030</v>
      </c>
      <c r="B1999" s="185" t="s">
        <v>3095</v>
      </c>
      <c r="C1999" s="185" t="s">
        <v>1897</v>
      </c>
      <c r="D1999" s="185" t="s">
        <v>3096</v>
      </c>
      <c r="E1999" s="185">
        <v>252505</v>
      </c>
      <c r="F1999" s="185" t="s">
        <v>787</v>
      </c>
      <c r="G1999" s="185" t="s">
        <v>3104</v>
      </c>
      <c r="H1999" s="185" t="s">
        <v>1628</v>
      </c>
      <c r="I1999" s="258" t="str">
        <f t="shared" si="94"/>
        <v>2</v>
      </c>
      <c r="J1999" s="221">
        <f t="shared" si="95"/>
        <v>-100260</v>
      </c>
      <c r="K1999" s="258">
        <f t="shared" si="96"/>
        <v>7</v>
      </c>
      <c r="L1999" s="188">
        <v>0</v>
      </c>
      <c r="M1999" s="188">
        <v>100260</v>
      </c>
      <c r="N1999" s="189">
        <v>1000036375</v>
      </c>
      <c r="O1999" t="s">
        <v>3095</v>
      </c>
      <c r="P1999" s="187">
        <v>45133</v>
      </c>
      <c r="Q1999" s="186">
        <v>12721</v>
      </c>
      <c r="R1999" s="185"/>
      <c r="S1999" s="185" t="s">
        <v>1524</v>
      </c>
      <c r="T1999" t="s">
        <v>2729</v>
      </c>
      <c r="U1999" t="str">
        <f>IF($L1999&gt;0,VLOOKUP($E1999,Valida!$A$1:$G$270,6,FALSE),IF($M1999&gt;=0,VLOOKUP($E1999,Valida!$A$1:$G$270,7,FALSE)))</f>
        <v>(+/-) Ajustes por el incremento (disminución) de cuentas por pagar de origen comercial</v>
      </c>
      <c r="V1999" s="190" t="str">
        <f>VLOOKUP(E1999,Valida!$A$2:$K$271,4,FALSE)</f>
        <v>Trade and other payables</v>
      </c>
      <c r="W1999" s="185" t="s">
        <v>1983</v>
      </c>
      <c r="X1999" s="185"/>
      <c r="Y1999" s="185" t="s">
        <v>1789</v>
      </c>
      <c r="Z1999"/>
    </row>
    <row r="2000" spans="1:26">
      <c r="A2000" s="185" t="s">
        <v>3030</v>
      </c>
      <c r="B2000" s="185" t="s">
        <v>3095</v>
      </c>
      <c r="C2000" s="185" t="s">
        <v>1897</v>
      </c>
      <c r="D2000" s="185" t="s">
        <v>3096</v>
      </c>
      <c r="E2000" s="185">
        <v>252505</v>
      </c>
      <c r="F2000" s="185" t="s">
        <v>787</v>
      </c>
      <c r="G2000" s="185" t="s">
        <v>3104</v>
      </c>
      <c r="H2000" s="185" t="s">
        <v>1628</v>
      </c>
      <c r="I2000" s="258" t="str">
        <f t="shared" si="94"/>
        <v>2</v>
      </c>
      <c r="J2000" s="221">
        <f t="shared" si="95"/>
        <v>-62500</v>
      </c>
      <c r="K2000" s="258">
        <f t="shared" si="96"/>
        <v>7</v>
      </c>
      <c r="L2000" s="188">
        <v>0</v>
      </c>
      <c r="M2000" s="188">
        <v>62500</v>
      </c>
      <c r="N2000" s="189">
        <v>1010101811</v>
      </c>
      <c r="O2000" t="s">
        <v>3095</v>
      </c>
      <c r="P2000" s="187">
        <v>45133</v>
      </c>
      <c r="Q2000" s="186">
        <v>12722</v>
      </c>
      <c r="R2000" s="185"/>
      <c r="S2000" s="185" t="s">
        <v>1528</v>
      </c>
      <c r="T2000" t="s">
        <v>2729</v>
      </c>
      <c r="U2000" t="str">
        <f>IF($L2000&gt;0,VLOOKUP($E2000,Valida!$A$1:$G$270,6,FALSE),IF($M2000&gt;=0,VLOOKUP($E2000,Valida!$A$1:$G$270,7,FALSE)))</f>
        <v>(+/-) Ajustes por el incremento (disminución) de cuentas por pagar de origen comercial</v>
      </c>
      <c r="V2000" s="190" t="str">
        <f>VLOOKUP(E2000,Valida!$A$2:$K$271,4,FALSE)</f>
        <v>Trade and other payables</v>
      </c>
      <c r="W2000" s="185" t="s">
        <v>1967</v>
      </c>
      <c r="X2000" s="185"/>
      <c r="Y2000" s="185" t="s">
        <v>1789</v>
      </c>
      <c r="Z2000"/>
    </row>
    <row r="2001" spans="1:26">
      <c r="A2001" s="185" t="s">
        <v>3030</v>
      </c>
      <c r="B2001" s="185" t="s">
        <v>3095</v>
      </c>
      <c r="C2001" s="185" t="s">
        <v>1897</v>
      </c>
      <c r="D2001" s="185" t="s">
        <v>3096</v>
      </c>
      <c r="E2001" s="185">
        <v>252505</v>
      </c>
      <c r="F2001" s="185" t="s">
        <v>787</v>
      </c>
      <c r="G2001" s="185" t="s">
        <v>3104</v>
      </c>
      <c r="H2001" s="185" t="s">
        <v>1628</v>
      </c>
      <c r="I2001" s="258" t="str">
        <f t="shared" si="94"/>
        <v>2</v>
      </c>
      <c r="J2001" s="221">
        <f t="shared" si="95"/>
        <v>-48670</v>
      </c>
      <c r="K2001" s="258">
        <f t="shared" si="96"/>
        <v>7</v>
      </c>
      <c r="L2001" s="188">
        <v>0</v>
      </c>
      <c r="M2001" s="188">
        <v>48670</v>
      </c>
      <c r="N2001" s="189">
        <v>1020842223</v>
      </c>
      <c r="O2001" t="s">
        <v>3095</v>
      </c>
      <c r="P2001" s="187">
        <v>45133</v>
      </c>
      <c r="Q2001" s="186">
        <v>12723</v>
      </c>
      <c r="R2001" s="185"/>
      <c r="S2001" s="185" t="s">
        <v>1532</v>
      </c>
      <c r="T2001" t="s">
        <v>2729</v>
      </c>
      <c r="U2001" t="str">
        <f>IF($L2001&gt;0,VLOOKUP($E2001,Valida!$A$1:$G$270,6,FALSE),IF($M2001&gt;=0,VLOOKUP($E2001,Valida!$A$1:$G$270,7,FALSE)))</f>
        <v>(+/-) Ajustes por el incremento (disminución) de cuentas por pagar de origen comercial</v>
      </c>
      <c r="V2001" s="190" t="str">
        <f>VLOOKUP(E2001,Valida!$A$2:$K$271,4,FALSE)</f>
        <v>Trade and other payables</v>
      </c>
      <c r="W2001" s="185" t="s">
        <v>1900</v>
      </c>
      <c r="X2001" s="185"/>
      <c r="Y2001" s="185" t="s">
        <v>1789</v>
      </c>
      <c r="Z2001"/>
    </row>
    <row r="2002" spans="1:26">
      <c r="A2002" s="185" t="s">
        <v>3030</v>
      </c>
      <c r="B2002" s="185" t="s">
        <v>3095</v>
      </c>
      <c r="C2002" s="185" t="s">
        <v>1897</v>
      </c>
      <c r="D2002" s="185" t="s">
        <v>3096</v>
      </c>
      <c r="E2002" s="185">
        <v>252505</v>
      </c>
      <c r="F2002" s="185" t="s">
        <v>787</v>
      </c>
      <c r="G2002" s="185" t="s">
        <v>3104</v>
      </c>
      <c r="H2002" s="185" t="s">
        <v>1628</v>
      </c>
      <c r="I2002" s="258" t="str">
        <f t="shared" si="94"/>
        <v>2</v>
      </c>
      <c r="J2002" s="221">
        <f t="shared" si="95"/>
        <v>-21389</v>
      </c>
      <c r="K2002" s="258">
        <f t="shared" si="96"/>
        <v>7</v>
      </c>
      <c r="L2002" s="188">
        <v>0</v>
      </c>
      <c r="M2002" s="188">
        <v>21389</v>
      </c>
      <c r="N2002" s="189">
        <v>1100623759</v>
      </c>
      <c r="O2002" t="s">
        <v>3095</v>
      </c>
      <c r="P2002" s="187">
        <v>45133</v>
      </c>
      <c r="Q2002" s="186">
        <v>12724</v>
      </c>
      <c r="R2002" s="185"/>
      <c r="S2002" s="185" t="s">
        <v>1536</v>
      </c>
      <c r="T2002" t="s">
        <v>2729</v>
      </c>
      <c r="U2002" t="str">
        <f>IF($L2002&gt;0,VLOOKUP($E2002,Valida!$A$1:$G$270,6,FALSE),IF($M2002&gt;=0,VLOOKUP($E2002,Valida!$A$1:$G$270,7,FALSE)))</f>
        <v>(+/-) Ajustes por el incremento (disminución) de cuentas por pagar de origen comercial</v>
      </c>
      <c r="V2002" s="190" t="str">
        <f>VLOOKUP(E2002,Valida!$A$2:$K$271,4,FALSE)</f>
        <v>Trade and other payables</v>
      </c>
      <c r="W2002" s="185" t="s">
        <v>2730</v>
      </c>
      <c r="X2002" s="185"/>
      <c r="Y2002" s="185" t="s">
        <v>1789</v>
      </c>
      <c r="Z2002"/>
    </row>
    <row r="2003" spans="1:26">
      <c r="A2003" s="185" t="s">
        <v>3030</v>
      </c>
      <c r="B2003" s="185" t="s">
        <v>3095</v>
      </c>
      <c r="C2003" s="185" t="s">
        <v>1897</v>
      </c>
      <c r="D2003" s="185" t="s">
        <v>3096</v>
      </c>
      <c r="E2003" s="185">
        <v>252505</v>
      </c>
      <c r="F2003" s="185" t="s">
        <v>787</v>
      </c>
      <c r="G2003" s="185" t="s">
        <v>3104</v>
      </c>
      <c r="H2003" s="185" t="s">
        <v>1628</v>
      </c>
      <c r="I2003" s="258" t="str">
        <f t="shared" si="94"/>
        <v>2</v>
      </c>
      <c r="J2003" s="221">
        <f t="shared" si="95"/>
        <v>-48333</v>
      </c>
      <c r="K2003" s="258">
        <f t="shared" si="96"/>
        <v>7</v>
      </c>
      <c r="L2003" s="188">
        <v>0</v>
      </c>
      <c r="M2003" s="188">
        <v>48333</v>
      </c>
      <c r="N2003" s="189">
        <v>1130744136</v>
      </c>
      <c r="O2003" t="s">
        <v>3095</v>
      </c>
      <c r="P2003" s="187">
        <v>45133</v>
      </c>
      <c r="Q2003" s="186">
        <v>12725</v>
      </c>
      <c r="R2003" s="185"/>
      <c r="S2003" s="185" t="s">
        <v>1538</v>
      </c>
      <c r="T2003" t="s">
        <v>2729</v>
      </c>
      <c r="U2003" t="str">
        <f>IF($L2003&gt;0,VLOOKUP($E2003,Valida!$A$1:$G$270,6,FALSE),IF($M2003&gt;=0,VLOOKUP($E2003,Valida!$A$1:$G$270,7,FALSE)))</f>
        <v>(+/-) Ajustes por el incremento (disminución) de cuentas por pagar de origen comercial</v>
      </c>
      <c r="V2003" s="190" t="str">
        <f>VLOOKUP(E2003,Valida!$A$2:$K$271,4,FALSE)</f>
        <v>Trade and other payables</v>
      </c>
      <c r="W2003" s="185" t="s">
        <v>1909</v>
      </c>
      <c r="X2003" s="185" t="s">
        <v>1910</v>
      </c>
      <c r="Y2003" s="185" t="s">
        <v>1789</v>
      </c>
      <c r="Z2003"/>
    </row>
    <row r="2004" spans="1:26">
      <c r="A2004" s="185" t="s">
        <v>3030</v>
      </c>
      <c r="B2004" s="185" t="s">
        <v>3095</v>
      </c>
      <c r="C2004" s="185" t="s">
        <v>1897</v>
      </c>
      <c r="D2004" s="185" t="s">
        <v>3096</v>
      </c>
      <c r="E2004" s="185">
        <v>510530</v>
      </c>
      <c r="F2004" s="185" t="s">
        <v>813</v>
      </c>
      <c r="G2004" s="185" t="s">
        <v>3101</v>
      </c>
      <c r="H2004" s="185" t="s">
        <v>1515</v>
      </c>
      <c r="I2004" s="258" t="str">
        <f t="shared" si="94"/>
        <v>5</v>
      </c>
      <c r="J2004" s="221">
        <f t="shared" si="95"/>
        <v>118051</v>
      </c>
      <c r="K2004" s="258">
        <f t="shared" si="96"/>
        <v>7</v>
      </c>
      <c r="L2004" s="188">
        <v>118051</v>
      </c>
      <c r="M2004" s="188">
        <v>0</v>
      </c>
      <c r="N2004" s="189">
        <v>1000018061</v>
      </c>
      <c r="O2004" t="s">
        <v>3095</v>
      </c>
      <c r="P2004" s="187">
        <v>45133</v>
      </c>
      <c r="Q2004" s="186">
        <v>12726</v>
      </c>
      <c r="R2004" s="185"/>
      <c r="S2004" s="185" t="s">
        <v>1522</v>
      </c>
      <c r="T2004" t="s">
        <v>2729</v>
      </c>
      <c r="U2004" t="str">
        <f>IF($L2004&gt;0,VLOOKUP($E2004,Valida!$A$1:$G$270,6,FALSE),IF($M2004&gt;=0,VLOOKUP($E2004,Valida!$A$1:$G$270,7,FALSE)))</f>
        <v>(+/-) Ganancia (pérdida)</v>
      </c>
      <c r="V2004" s="190" t="str">
        <f>VLOOKUP(E2004,Valida!$A$2:$K$271,4,FALSE)</f>
        <v>P&amp;L</v>
      </c>
      <c r="W2004" s="185" t="s">
        <v>1978</v>
      </c>
      <c r="X2004" s="185"/>
      <c r="Y2004" s="185" t="s">
        <v>1789</v>
      </c>
      <c r="Z2004"/>
    </row>
    <row r="2005" spans="1:26">
      <c r="A2005" s="185" t="s">
        <v>3030</v>
      </c>
      <c r="B2005" s="185" t="s">
        <v>3095</v>
      </c>
      <c r="C2005" s="185" t="s">
        <v>1897</v>
      </c>
      <c r="D2005" s="185" t="s">
        <v>3096</v>
      </c>
      <c r="E2005" s="185">
        <v>510530</v>
      </c>
      <c r="F2005" s="185" t="s">
        <v>813</v>
      </c>
      <c r="G2005" s="185" t="s">
        <v>3101</v>
      </c>
      <c r="H2005" s="185" t="s">
        <v>1515</v>
      </c>
      <c r="I2005" s="258" t="str">
        <f t="shared" si="94"/>
        <v>5</v>
      </c>
      <c r="J2005" s="221">
        <f t="shared" si="95"/>
        <v>212238</v>
      </c>
      <c r="K2005" s="258">
        <f t="shared" si="96"/>
        <v>7</v>
      </c>
      <c r="L2005" s="188">
        <v>212238</v>
      </c>
      <c r="M2005" s="188">
        <v>0</v>
      </c>
      <c r="N2005" s="189">
        <v>1000036375</v>
      </c>
      <c r="O2005" t="s">
        <v>3095</v>
      </c>
      <c r="P2005" s="187">
        <v>45133</v>
      </c>
      <c r="Q2005" s="186">
        <v>12727</v>
      </c>
      <c r="R2005" s="185"/>
      <c r="S2005" s="185" t="s">
        <v>1524</v>
      </c>
      <c r="T2005" t="s">
        <v>2729</v>
      </c>
      <c r="U2005" t="str">
        <f>IF($L2005&gt;0,VLOOKUP($E2005,Valida!$A$1:$G$270,6,FALSE),IF($M2005&gt;=0,VLOOKUP($E2005,Valida!$A$1:$G$270,7,FALSE)))</f>
        <v>(+/-) Ganancia (pérdida)</v>
      </c>
      <c r="V2005" s="190" t="str">
        <f>VLOOKUP(E2005,Valida!$A$2:$K$271,4,FALSE)</f>
        <v>P&amp;L</v>
      </c>
      <c r="W2005" s="185" t="s">
        <v>1983</v>
      </c>
      <c r="X2005" s="185"/>
      <c r="Y2005" s="185" t="s">
        <v>1789</v>
      </c>
      <c r="Z2005"/>
    </row>
    <row r="2006" spans="1:26">
      <c r="A2006" s="185" t="s">
        <v>3030</v>
      </c>
      <c r="B2006" s="185" t="s">
        <v>3095</v>
      </c>
      <c r="C2006" s="185" t="s">
        <v>1897</v>
      </c>
      <c r="D2006" s="185" t="s">
        <v>3096</v>
      </c>
      <c r="E2006" s="185">
        <v>510530</v>
      </c>
      <c r="F2006" s="185" t="s">
        <v>813</v>
      </c>
      <c r="G2006" s="185" t="s">
        <v>3101</v>
      </c>
      <c r="H2006" s="185" t="s">
        <v>1515</v>
      </c>
      <c r="I2006" s="258" t="str">
        <f t="shared" si="94"/>
        <v>5</v>
      </c>
      <c r="J2006" s="221">
        <f t="shared" si="95"/>
        <v>137709</v>
      </c>
      <c r="K2006" s="258">
        <f t="shared" si="96"/>
        <v>7</v>
      </c>
      <c r="L2006" s="188">
        <v>137709</v>
      </c>
      <c r="M2006" s="188">
        <v>0</v>
      </c>
      <c r="N2006" s="189">
        <v>1010101811</v>
      </c>
      <c r="O2006" t="s">
        <v>3095</v>
      </c>
      <c r="P2006" s="187">
        <v>45133</v>
      </c>
      <c r="Q2006" s="186">
        <v>12728</v>
      </c>
      <c r="R2006" s="185"/>
      <c r="S2006" s="185" t="s">
        <v>1528</v>
      </c>
      <c r="T2006" t="s">
        <v>2729</v>
      </c>
      <c r="U2006" t="str">
        <f>IF($L2006&gt;0,VLOOKUP($E2006,Valida!$A$1:$G$270,6,FALSE),IF($M2006&gt;=0,VLOOKUP($E2006,Valida!$A$1:$G$270,7,FALSE)))</f>
        <v>(+/-) Ganancia (pérdida)</v>
      </c>
      <c r="V2006" s="190" t="str">
        <f>VLOOKUP(E2006,Valida!$A$2:$K$271,4,FALSE)</f>
        <v>P&amp;L</v>
      </c>
      <c r="W2006" s="185" t="s">
        <v>1967</v>
      </c>
      <c r="X2006" s="185"/>
      <c r="Y2006" s="185" t="s">
        <v>1789</v>
      </c>
      <c r="Z2006"/>
    </row>
    <row r="2007" spans="1:26">
      <c r="A2007" s="185" t="s">
        <v>3030</v>
      </c>
      <c r="B2007" s="185" t="s">
        <v>3095</v>
      </c>
      <c r="C2007" s="185" t="s">
        <v>1897</v>
      </c>
      <c r="D2007" s="185" t="s">
        <v>3096</v>
      </c>
      <c r="E2007" s="185">
        <v>510530</v>
      </c>
      <c r="F2007" s="185" t="s">
        <v>813</v>
      </c>
      <c r="G2007" s="185" t="s">
        <v>3101</v>
      </c>
      <c r="H2007" s="185" t="s">
        <v>1515</v>
      </c>
      <c r="I2007" s="258" t="str">
        <f t="shared" si="94"/>
        <v>5</v>
      </c>
      <c r="J2007" s="221">
        <f t="shared" si="95"/>
        <v>97445</v>
      </c>
      <c r="K2007" s="258">
        <f t="shared" si="96"/>
        <v>7</v>
      </c>
      <c r="L2007" s="188">
        <v>97445</v>
      </c>
      <c r="M2007" s="188">
        <v>0</v>
      </c>
      <c r="N2007" s="189">
        <v>1020842223</v>
      </c>
      <c r="O2007" t="s">
        <v>3095</v>
      </c>
      <c r="P2007" s="187">
        <v>45133</v>
      </c>
      <c r="Q2007" s="186">
        <v>12729</v>
      </c>
      <c r="R2007" s="185"/>
      <c r="S2007" s="185" t="s">
        <v>1532</v>
      </c>
      <c r="T2007" t="s">
        <v>2729</v>
      </c>
      <c r="U2007" t="str">
        <f>IF($L2007&gt;0,VLOOKUP($E2007,Valida!$A$1:$G$270,6,FALSE),IF($M2007&gt;=0,VLOOKUP($E2007,Valida!$A$1:$G$270,7,FALSE)))</f>
        <v>(+/-) Ganancia (pérdida)</v>
      </c>
      <c r="V2007" s="190" t="str">
        <f>VLOOKUP(E2007,Valida!$A$2:$K$271,4,FALSE)</f>
        <v>P&amp;L</v>
      </c>
      <c r="W2007" s="185" t="s">
        <v>1900</v>
      </c>
      <c r="X2007" s="185"/>
      <c r="Y2007" s="185" t="s">
        <v>1789</v>
      </c>
      <c r="Z2007"/>
    </row>
    <row r="2008" spans="1:26">
      <c r="A2008" s="185" t="s">
        <v>3030</v>
      </c>
      <c r="B2008" s="185" t="s">
        <v>3095</v>
      </c>
      <c r="C2008" s="185" t="s">
        <v>1897</v>
      </c>
      <c r="D2008" s="185" t="s">
        <v>3096</v>
      </c>
      <c r="E2008" s="185">
        <v>510530</v>
      </c>
      <c r="F2008" s="185" t="s">
        <v>813</v>
      </c>
      <c r="G2008" s="185" t="s">
        <v>3101</v>
      </c>
      <c r="H2008" s="185" t="s">
        <v>1515</v>
      </c>
      <c r="I2008" s="258" t="str">
        <f t="shared" si="94"/>
        <v>5</v>
      </c>
      <c r="J2008" s="221">
        <f t="shared" si="95"/>
        <v>45511</v>
      </c>
      <c r="K2008" s="258">
        <f t="shared" si="96"/>
        <v>7</v>
      </c>
      <c r="L2008" s="188">
        <v>45511</v>
      </c>
      <c r="M2008" s="188">
        <v>0</v>
      </c>
      <c r="N2008" s="189">
        <v>1100623759</v>
      </c>
      <c r="O2008" t="s">
        <v>3095</v>
      </c>
      <c r="P2008" s="187">
        <v>45133</v>
      </c>
      <c r="Q2008" s="186">
        <v>12730</v>
      </c>
      <c r="R2008" s="185"/>
      <c r="S2008" s="185" t="s">
        <v>1536</v>
      </c>
      <c r="T2008" t="s">
        <v>2729</v>
      </c>
      <c r="U2008" t="str">
        <f>IF($L2008&gt;0,VLOOKUP($E2008,Valida!$A$1:$G$270,6,FALSE),IF($M2008&gt;=0,VLOOKUP($E2008,Valida!$A$1:$G$270,7,FALSE)))</f>
        <v>(+/-) Ganancia (pérdida)</v>
      </c>
      <c r="V2008" s="190" t="str">
        <f>VLOOKUP(E2008,Valida!$A$2:$K$271,4,FALSE)</f>
        <v>P&amp;L</v>
      </c>
      <c r="W2008" s="185" t="s">
        <v>2730</v>
      </c>
      <c r="X2008" s="185"/>
      <c r="Y2008" s="185" t="s">
        <v>1789</v>
      </c>
      <c r="Z2008"/>
    </row>
    <row r="2009" spans="1:26">
      <c r="A2009" s="185" t="s">
        <v>3030</v>
      </c>
      <c r="B2009" s="185" t="s">
        <v>3095</v>
      </c>
      <c r="C2009" s="185" t="s">
        <v>1897</v>
      </c>
      <c r="D2009" s="185" t="s">
        <v>3096</v>
      </c>
      <c r="E2009" s="185">
        <v>510530</v>
      </c>
      <c r="F2009" s="185" t="s">
        <v>813</v>
      </c>
      <c r="G2009" s="185" t="s">
        <v>3101</v>
      </c>
      <c r="H2009" s="185" t="s">
        <v>1515</v>
      </c>
      <c r="I2009" s="258" t="str">
        <f t="shared" si="94"/>
        <v>5</v>
      </c>
      <c r="J2009" s="221">
        <f t="shared" si="95"/>
        <v>108384</v>
      </c>
      <c r="K2009" s="258">
        <f t="shared" si="96"/>
        <v>7</v>
      </c>
      <c r="L2009" s="188">
        <v>108384</v>
      </c>
      <c r="M2009" s="188">
        <v>0</v>
      </c>
      <c r="N2009" s="189">
        <v>1130744136</v>
      </c>
      <c r="O2009" t="s">
        <v>3095</v>
      </c>
      <c r="P2009" s="187">
        <v>45133</v>
      </c>
      <c r="Q2009" s="186">
        <v>12731</v>
      </c>
      <c r="R2009" s="185"/>
      <c r="S2009" s="185" t="s">
        <v>1538</v>
      </c>
      <c r="T2009" t="s">
        <v>2729</v>
      </c>
      <c r="U2009" t="str">
        <f>IF($L2009&gt;0,VLOOKUP($E2009,Valida!$A$1:$G$270,6,FALSE),IF($M2009&gt;=0,VLOOKUP($E2009,Valida!$A$1:$G$270,7,FALSE)))</f>
        <v>(+/-) Ganancia (pérdida)</v>
      </c>
      <c r="V2009" s="190" t="str">
        <f>VLOOKUP(E2009,Valida!$A$2:$K$271,4,FALSE)</f>
        <v>P&amp;L</v>
      </c>
      <c r="W2009" s="185" t="s">
        <v>1909</v>
      </c>
      <c r="X2009" s="185" t="s">
        <v>1910</v>
      </c>
      <c r="Y2009" s="185" t="s">
        <v>1789</v>
      </c>
      <c r="Z2009"/>
    </row>
    <row r="2010" spans="1:26">
      <c r="A2010" s="185" t="s">
        <v>3030</v>
      </c>
      <c r="B2010" s="185" t="s">
        <v>3095</v>
      </c>
      <c r="C2010" s="185" t="s">
        <v>1897</v>
      </c>
      <c r="D2010" s="185" t="s">
        <v>3096</v>
      </c>
      <c r="E2010" s="185">
        <v>510533</v>
      </c>
      <c r="F2010" s="185" t="s">
        <v>779</v>
      </c>
      <c r="G2010" s="185" t="s">
        <v>3102</v>
      </c>
      <c r="H2010" s="185" t="s">
        <v>1515</v>
      </c>
      <c r="I2010" s="258" t="str">
        <f t="shared" si="94"/>
        <v>5</v>
      </c>
      <c r="J2010" s="221">
        <f t="shared" si="95"/>
        <v>11980</v>
      </c>
      <c r="K2010" s="258">
        <f t="shared" si="96"/>
        <v>7</v>
      </c>
      <c r="L2010" s="188">
        <v>11980</v>
      </c>
      <c r="M2010" s="188">
        <v>0</v>
      </c>
      <c r="N2010" s="189">
        <v>1000018061</v>
      </c>
      <c r="O2010" t="s">
        <v>3095</v>
      </c>
      <c r="P2010" s="187">
        <v>45133</v>
      </c>
      <c r="Q2010" s="186">
        <v>12732</v>
      </c>
      <c r="R2010" s="185"/>
      <c r="S2010" s="185" t="s">
        <v>1522</v>
      </c>
      <c r="T2010" t="s">
        <v>2729</v>
      </c>
      <c r="U2010" t="str">
        <f>IF($L2010&gt;0,VLOOKUP($E2010,Valida!$A$1:$G$270,6,FALSE),IF($M2010&gt;=0,VLOOKUP($E2010,Valida!$A$1:$G$270,7,FALSE)))</f>
        <v>(+/-) Ganancia (pérdida)</v>
      </c>
      <c r="V2010" s="190" t="str">
        <f>VLOOKUP(E2010,Valida!$A$2:$K$271,4,FALSE)</f>
        <v>P&amp;L</v>
      </c>
      <c r="W2010" s="185" t="s">
        <v>1978</v>
      </c>
      <c r="X2010" s="185"/>
      <c r="Y2010" s="185" t="s">
        <v>1789</v>
      </c>
      <c r="Z2010"/>
    </row>
    <row r="2011" spans="1:26">
      <c r="A2011" s="185" t="s">
        <v>3030</v>
      </c>
      <c r="B2011" s="185" t="s">
        <v>3095</v>
      </c>
      <c r="C2011" s="185" t="s">
        <v>1897</v>
      </c>
      <c r="D2011" s="185" t="s">
        <v>3096</v>
      </c>
      <c r="E2011" s="185">
        <v>510533</v>
      </c>
      <c r="F2011" s="185" t="s">
        <v>779</v>
      </c>
      <c r="G2011" s="185" t="s">
        <v>3102</v>
      </c>
      <c r="H2011" s="185" t="s">
        <v>1515</v>
      </c>
      <c r="I2011" s="258" t="str">
        <f t="shared" si="94"/>
        <v>5</v>
      </c>
      <c r="J2011" s="221">
        <f t="shared" si="95"/>
        <v>17368</v>
      </c>
      <c r="K2011" s="258">
        <f t="shared" si="96"/>
        <v>7</v>
      </c>
      <c r="L2011" s="188">
        <v>17368</v>
      </c>
      <c r="M2011" s="188">
        <v>0</v>
      </c>
      <c r="N2011" s="189">
        <v>1000036375</v>
      </c>
      <c r="O2011" t="s">
        <v>3095</v>
      </c>
      <c r="P2011" s="187">
        <v>45133</v>
      </c>
      <c r="Q2011" s="186">
        <v>12733</v>
      </c>
      <c r="R2011" s="185"/>
      <c r="S2011" s="185" t="s">
        <v>1524</v>
      </c>
      <c r="T2011" t="s">
        <v>2729</v>
      </c>
      <c r="U2011" t="str">
        <f>IF($L2011&gt;0,VLOOKUP($E2011,Valida!$A$1:$G$270,6,FALSE),IF($M2011&gt;=0,VLOOKUP($E2011,Valida!$A$1:$G$270,7,FALSE)))</f>
        <v>(+/-) Ganancia (pérdida)</v>
      </c>
      <c r="V2011" s="190" t="str">
        <f>VLOOKUP(E2011,Valida!$A$2:$K$271,4,FALSE)</f>
        <v>P&amp;L</v>
      </c>
      <c r="W2011" s="185" t="s">
        <v>1983</v>
      </c>
      <c r="X2011" s="185"/>
      <c r="Y2011" s="185" t="s">
        <v>1789</v>
      </c>
      <c r="Z2011"/>
    </row>
    <row r="2012" spans="1:26">
      <c r="A2012" s="185" t="s">
        <v>3030</v>
      </c>
      <c r="B2012" s="185" t="s">
        <v>3095</v>
      </c>
      <c r="C2012" s="185" t="s">
        <v>1897</v>
      </c>
      <c r="D2012" s="185" t="s">
        <v>3096</v>
      </c>
      <c r="E2012" s="185">
        <v>510533</v>
      </c>
      <c r="F2012" s="185" t="s">
        <v>779</v>
      </c>
      <c r="G2012" s="185" t="s">
        <v>3102</v>
      </c>
      <c r="H2012" s="185" t="s">
        <v>1515</v>
      </c>
      <c r="I2012" s="258" t="str">
        <f t="shared" si="94"/>
        <v>5</v>
      </c>
      <c r="J2012" s="221">
        <f t="shared" si="95"/>
        <v>18028</v>
      </c>
      <c r="K2012" s="258">
        <f t="shared" si="96"/>
        <v>7</v>
      </c>
      <c r="L2012" s="188">
        <v>18028</v>
      </c>
      <c r="M2012" s="188">
        <v>0</v>
      </c>
      <c r="N2012" s="189">
        <v>1010101811</v>
      </c>
      <c r="O2012" t="s">
        <v>3095</v>
      </c>
      <c r="P2012" s="187">
        <v>45133</v>
      </c>
      <c r="Q2012" s="186">
        <v>12734</v>
      </c>
      <c r="R2012" s="185"/>
      <c r="S2012" s="185" t="s">
        <v>1528</v>
      </c>
      <c r="T2012" t="s">
        <v>2729</v>
      </c>
      <c r="U2012" t="str">
        <f>IF($L2012&gt;0,VLOOKUP($E2012,Valida!$A$1:$G$270,6,FALSE),IF($M2012&gt;=0,VLOOKUP($E2012,Valida!$A$1:$G$270,7,FALSE)))</f>
        <v>(+/-) Ganancia (pérdida)</v>
      </c>
      <c r="V2012" s="190" t="str">
        <f>VLOOKUP(E2012,Valida!$A$2:$K$271,4,FALSE)</f>
        <v>P&amp;L</v>
      </c>
      <c r="W2012" s="185" t="s">
        <v>1967</v>
      </c>
      <c r="X2012" s="185"/>
      <c r="Y2012" s="185" t="s">
        <v>1789</v>
      </c>
      <c r="Z2012"/>
    </row>
    <row r="2013" spans="1:26">
      <c r="A2013" s="185" t="s">
        <v>3030</v>
      </c>
      <c r="B2013" s="185" t="s">
        <v>3095</v>
      </c>
      <c r="C2013" s="185" t="s">
        <v>1897</v>
      </c>
      <c r="D2013" s="185" t="s">
        <v>3096</v>
      </c>
      <c r="E2013" s="185">
        <v>510533</v>
      </c>
      <c r="F2013" s="185" t="s">
        <v>779</v>
      </c>
      <c r="G2013" s="185" t="s">
        <v>3102</v>
      </c>
      <c r="H2013" s="185" t="s">
        <v>1515</v>
      </c>
      <c r="I2013" s="258" t="str">
        <f t="shared" si="94"/>
        <v>5</v>
      </c>
      <c r="J2013" s="221">
        <f t="shared" si="95"/>
        <v>11432</v>
      </c>
      <c r="K2013" s="258">
        <f t="shared" si="96"/>
        <v>7</v>
      </c>
      <c r="L2013" s="188">
        <v>11432</v>
      </c>
      <c r="M2013" s="188">
        <v>0</v>
      </c>
      <c r="N2013" s="189">
        <v>1020842223</v>
      </c>
      <c r="O2013" t="s">
        <v>3095</v>
      </c>
      <c r="P2013" s="187">
        <v>45133</v>
      </c>
      <c r="Q2013" s="186">
        <v>12735</v>
      </c>
      <c r="R2013" s="185"/>
      <c r="S2013" s="185" t="s">
        <v>1532</v>
      </c>
      <c r="T2013" t="s">
        <v>2729</v>
      </c>
      <c r="U2013" t="str">
        <f>IF($L2013&gt;0,VLOOKUP($E2013,Valida!$A$1:$G$270,6,FALSE),IF($M2013&gt;=0,VLOOKUP($E2013,Valida!$A$1:$G$270,7,FALSE)))</f>
        <v>(+/-) Ganancia (pérdida)</v>
      </c>
      <c r="V2013" s="190" t="str">
        <f>VLOOKUP(E2013,Valida!$A$2:$K$271,4,FALSE)</f>
        <v>P&amp;L</v>
      </c>
      <c r="W2013" s="185" t="s">
        <v>1900</v>
      </c>
      <c r="X2013" s="185"/>
      <c r="Y2013" s="185" t="s">
        <v>1789</v>
      </c>
      <c r="Z2013"/>
    </row>
    <row r="2014" spans="1:26">
      <c r="A2014" s="185" t="s">
        <v>3030</v>
      </c>
      <c r="B2014" s="185" t="s">
        <v>3095</v>
      </c>
      <c r="C2014" s="185" t="s">
        <v>1897</v>
      </c>
      <c r="D2014" s="185" t="s">
        <v>3096</v>
      </c>
      <c r="E2014" s="185">
        <v>510533</v>
      </c>
      <c r="F2014" s="185" t="s">
        <v>779</v>
      </c>
      <c r="G2014" s="185" t="s">
        <v>3102</v>
      </c>
      <c r="H2014" s="185" t="s">
        <v>1515</v>
      </c>
      <c r="I2014" s="258" t="str">
        <f t="shared" si="94"/>
        <v>5</v>
      </c>
      <c r="J2014" s="221">
        <f t="shared" si="95"/>
        <v>1684</v>
      </c>
      <c r="K2014" s="258">
        <f t="shared" si="96"/>
        <v>7</v>
      </c>
      <c r="L2014" s="188">
        <v>1684</v>
      </c>
      <c r="M2014" s="188">
        <v>0</v>
      </c>
      <c r="N2014" s="189">
        <v>1100623759</v>
      </c>
      <c r="O2014" t="s">
        <v>3095</v>
      </c>
      <c r="P2014" s="187">
        <v>45133</v>
      </c>
      <c r="Q2014" s="186">
        <v>12736</v>
      </c>
      <c r="R2014" s="185"/>
      <c r="S2014" s="185" t="s">
        <v>1536</v>
      </c>
      <c r="T2014" t="s">
        <v>2729</v>
      </c>
      <c r="U2014" t="str">
        <f>IF($L2014&gt;0,VLOOKUP($E2014,Valida!$A$1:$G$270,6,FALSE),IF($M2014&gt;=0,VLOOKUP($E2014,Valida!$A$1:$G$270,7,FALSE)))</f>
        <v>(+/-) Ganancia (pérdida)</v>
      </c>
      <c r="V2014" s="190" t="str">
        <f>VLOOKUP(E2014,Valida!$A$2:$K$271,4,FALSE)</f>
        <v>P&amp;L</v>
      </c>
      <c r="W2014" s="185" t="s">
        <v>2730</v>
      </c>
      <c r="X2014" s="185"/>
      <c r="Y2014" s="185" t="s">
        <v>1789</v>
      </c>
      <c r="Z2014"/>
    </row>
    <row r="2015" spans="1:26">
      <c r="A2015" s="185" t="s">
        <v>3030</v>
      </c>
      <c r="B2015" s="185" t="s">
        <v>3095</v>
      </c>
      <c r="C2015" s="185" t="s">
        <v>1897</v>
      </c>
      <c r="D2015" s="185" t="s">
        <v>3096</v>
      </c>
      <c r="E2015" s="185">
        <v>510533</v>
      </c>
      <c r="F2015" s="185" t="s">
        <v>779</v>
      </c>
      <c r="G2015" s="185" t="s">
        <v>3102</v>
      </c>
      <c r="H2015" s="185" t="s">
        <v>1515</v>
      </c>
      <c r="I2015" s="258" t="str">
        <f t="shared" si="94"/>
        <v>5</v>
      </c>
      <c r="J2015" s="221">
        <f t="shared" si="95"/>
        <v>14090</v>
      </c>
      <c r="K2015" s="258">
        <f t="shared" si="96"/>
        <v>7</v>
      </c>
      <c r="L2015" s="188">
        <v>14090</v>
      </c>
      <c r="M2015" s="188">
        <v>0</v>
      </c>
      <c r="N2015" s="189">
        <v>1130744136</v>
      </c>
      <c r="O2015" t="s">
        <v>3095</v>
      </c>
      <c r="P2015" s="187">
        <v>45133</v>
      </c>
      <c r="Q2015" s="186">
        <v>12737</v>
      </c>
      <c r="R2015" s="185"/>
      <c r="S2015" s="185" t="s">
        <v>1538</v>
      </c>
      <c r="T2015" t="s">
        <v>2729</v>
      </c>
      <c r="U2015" t="str">
        <f>IF($L2015&gt;0,VLOOKUP($E2015,Valida!$A$1:$G$270,6,FALSE),IF($M2015&gt;=0,VLOOKUP($E2015,Valida!$A$1:$G$270,7,FALSE)))</f>
        <v>(+/-) Ganancia (pérdida)</v>
      </c>
      <c r="V2015" s="190" t="str">
        <f>VLOOKUP(E2015,Valida!$A$2:$K$271,4,FALSE)</f>
        <v>P&amp;L</v>
      </c>
      <c r="W2015" s="185" t="s">
        <v>1909</v>
      </c>
      <c r="X2015" s="185" t="s">
        <v>1910</v>
      </c>
      <c r="Y2015" s="185" t="s">
        <v>1789</v>
      </c>
      <c r="Z2015"/>
    </row>
    <row r="2016" spans="1:26">
      <c r="A2016" s="185" t="s">
        <v>3030</v>
      </c>
      <c r="B2016" s="185" t="s">
        <v>3095</v>
      </c>
      <c r="C2016" s="185" t="s">
        <v>1897</v>
      </c>
      <c r="D2016" s="185" t="s">
        <v>3096</v>
      </c>
      <c r="E2016" s="185">
        <v>510536</v>
      </c>
      <c r="F2016" s="185" t="s">
        <v>783</v>
      </c>
      <c r="G2016" s="185" t="s">
        <v>3103</v>
      </c>
      <c r="H2016" s="185" t="s">
        <v>1515</v>
      </c>
      <c r="I2016" s="258" t="str">
        <f t="shared" si="94"/>
        <v>5</v>
      </c>
      <c r="J2016" s="221">
        <f t="shared" si="95"/>
        <v>118051</v>
      </c>
      <c r="K2016" s="258">
        <f t="shared" si="96"/>
        <v>7</v>
      </c>
      <c r="L2016" s="188">
        <v>118051</v>
      </c>
      <c r="M2016" s="188">
        <v>0</v>
      </c>
      <c r="N2016" s="189">
        <v>1000018061</v>
      </c>
      <c r="O2016" t="s">
        <v>3095</v>
      </c>
      <c r="P2016" s="187">
        <v>45133</v>
      </c>
      <c r="Q2016" s="186">
        <v>12738</v>
      </c>
      <c r="R2016" s="185"/>
      <c r="S2016" s="185" t="s">
        <v>1522</v>
      </c>
      <c r="T2016" t="s">
        <v>2729</v>
      </c>
      <c r="U2016" t="str">
        <f>IF($L2016&gt;0,VLOOKUP($E2016,Valida!$A$1:$G$270,6,FALSE),IF($M2016&gt;=0,VLOOKUP($E2016,Valida!$A$1:$G$270,7,FALSE)))</f>
        <v>(+/-) Ganancia (pérdida)</v>
      </c>
      <c r="V2016" s="190" t="str">
        <f>VLOOKUP(E2016,Valida!$A$2:$K$271,4,FALSE)</f>
        <v>P&amp;L</v>
      </c>
      <c r="W2016" s="185" t="s">
        <v>1978</v>
      </c>
      <c r="X2016" s="185"/>
      <c r="Y2016" s="185" t="s">
        <v>1789</v>
      </c>
      <c r="Z2016"/>
    </row>
    <row r="2017" spans="1:26">
      <c r="A2017" s="185" t="s">
        <v>3030</v>
      </c>
      <c r="B2017" s="185" t="s">
        <v>3095</v>
      </c>
      <c r="C2017" s="185" t="s">
        <v>1897</v>
      </c>
      <c r="D2017" s="185" t="s">
        <v>3096</v>
      </c>
      <c r="E2017" s="185">
        <v>510536</v>
      </c>
      <c r="F2017" s="185" t="s">
        <v>783</v>
      </c>
      <c r="G2017" s="185" t="s">
        <v>3103</v>
      </c>
      <c r="H2017" s="185" t="s">
        <v>1515</v>
      </c>
      <c r="I2017" s="258" t="str">
        <f t="shared" si="94"/>
        <v>5</v>
      </c>
      <c r="J2017" s="221">
        <f t="shared" si="95"/>
        <v>212238</v>
      </c>
      <c r="K2017" s="258">
        <f t="shared" si="96"/>
        <v>7</v>
      </c>
      <c r="L2017" s="188">
        <v>212238</v>
      </c>
      <c r="M2017" s="188">
        <v>0</v>
      </c>
      <c r="N2017" s="189">
        <v>1000036375</v>
      </c>
      <c r="O2017" t="s">
        <v>3095</v>
      </c>
      <c r="P2017" s="187">
        <v>45133</v>
      </c>
      <c r="Q2017" s="186">
        <v>12739</v>
      </c>
      <c r="R2017" s="185"/>
      <c r="S2017" s="185" t="s">
        <v>1524</v>
      </c>
      <c r="T2017" t="s">
        <v>2729</v>
      </c>
      <c r="U2017" t="str">
        <f>IF($L2017&gt;0,VLOOKUP($E2017,Valida!$A$1:$G$270,6,FALSE),IF($M2017&gt;=0,VLOOKUP($E2017,Valida!$A$1:$G$270,7,FALSE)))</f>
        <v>(+/-) Ganancia (pérdida)</v>
      </c>
      <c r="V2017" s="190" t="str">
        <f>VLOOKUP(E2017,Valida!$A$2:$K$271,4,FALSE)</f>
        <v>P&amp;L</v>
      </c>
      <c r="W2017" s="185" t="s">
        <v>1983</v>
      </c>
      <c r="X2017" s="185"/>
      <c r="Y2017" s="185" t="s">
        <v>1789</v>
      </c>
      <c r="Z2017"/>
    </row>
    <row r="2018" spans="1:26">
      <c r="A2018" s="185" t="s">
        <v>3030</v>
      </c>
      <c r="B2018" s="185" t="s">
        <v>3095</v>
      </c>
      <c r="C2018" s="185" t="s">
        <v>1897</v>
      </c>
      <c r="D2018" s="185" t="s">
        <v>3096</v>
      </c>
      <c r="E2018" s="185">
        <v>510536</v>
      </c>
      <c r="F2018" s="185" t="s">
        <v>783</v>
      </c>
      <c r="G2018" s="185" t="s">
        <v>3103</v>
      </c>
      <c r="H2018" s="185" t="s">
        <v>1515</v>
      </c>
      <c r="I2018" s="258" t="str">
        <f t="shared" si="94"/>
        <v>5</v>
      </c>
      <c r="J2018" s="221">
        <f t="shared" si="95"/>
        <v>136717</v>
      </c>
      <c r="K2018" s="258">
        <f t="shared" si="96"/>
        <v>7</v>
      </c>
      <c r="L2018" s="188">
        <v>136717</v>
      </c>
      <c r="M2018" s="188">
        <v>0</v>
      </c>
      <c r="N2018" s="189">
        <v>1010101811</v>
      </c>
      <c r="O2018" t="s">
        <v>3095</v>
      </c>
      <c r="P2018" s="187">
        <v>45133</v>
      </c>
      <c r="Q2018" s="186">
        <v>12740</v>
      </c>
      <c r="R2018" s="185"/>
      <c r="S2018" s="185" t="s">
        <v>1528</v>
      </c>
      <c r="T2018" t="s">
        <v>2729</v>
      </c>
      <c r="U2018" t="str">
        <f>IF($L2018&gt;0,VLOOKUP($E2018,Valida!$A$1:$G$270,6,FALSE),IF($M2018&gt;=0,VLOOKUP($E2018,Valida!$A$1:$G$270,7,FALSE)))</f>
        <v>(+/-) Ganancia (pérdida)</v>
      </c>
      <c r="V2018" s="190" t="str">
        <f>VLOOKUP(E2018,Valida!$A$2:$K$271,4,FALSE)</f>
        <v>P&amp;L</v>
      </c>
      <c r="W2018" s="185" t="s">
        <v>1967</v>
      </c>
      <c r="X2018" s="185"/>
      <c r="Y2018" s="185" t="s">
        <v>1789</v>
      </c>
      <c r="Z2018"/>
    </row>
    <row r="2019" spans="1:26">
      <c r="A2019" s="185" t="s">
        <v>3030</v>
      </c>
      <c r="B2019" s="185" t="s">
        <v>3095</v>
      </c>
      <c r="C2019" s="185" t="s">
        <v>1897</v>
      </c>
      <c r="D2019" s="185" t="s">
        <v>3096</v>
      </c>
      <c r="E2019" s="185">
        <v>510536</v>
      </c>
      <c r="F2019" s="185" t="s">
        <v>783</v>
      </c>
      <c r="G2019" s="185" t="s">
        <v>3103</v>
      </c>
      <c r="H2019" s="185" t="s">
        <v>1515</v>
      </c>
      <c r="I2019" s="258" t="str">
        <f t="shared" si="94"/>
        <v>5</v>
      </c>
      <c r="J2019" s="221">
        <f t="shared" si="95"/>
        <v>97340</v>
      </c>
      <c r="K2019" s="258">
        <f t="shared" si="96"/>
        <v>7</v>
      </c>
      <c r="L2019" s="188">
        <v>97340</v>
      </c>
      <c r="M2019" s="188">
        <v>0</v>
      </c>
      <c r="N2019" s="189">
        <v>1020842223</v>
      </c>
      <c r="O2019" t="s">
        <v>3095</v>
      </c>
      <c r="P2019" s="187">
        <v>45133</v>
      </c>
      <c r="Q2019" s="186">
        <v>12741</v>
      </c>
      <c r="R2019" s="185"/>
      <c r="S2019" s="185" t="s">
        <v>1532</v>
      </c>
      <c r="T2019" t="s">
        <v>2729</v>
      </c>
      <c r="U2019" t="str">
        <f>IF($L2019&gt;0,VLOOKUP($E2019,Valida!$A$1:$G$270,6,FALSE),IF($M2019&gt;=0,VLOOKUP($E2019,Valida!$A$1:$G$270,7,FALSE)))</f>
        <v>(+/-) Ganancia (pérdida)</v>
      </c>
      <c r="V2019" s="190" t="str">
        <f>VLOOKUP(E2019,Valida!$A$2:$K$271,4,FALSE)</f>
        <v>P&amp;L</v>
      </c>
      <c r="W2019" s="185" t="s">
        <v>1900</v>
      </c>
      <c r="X2019" s="185"/>
      <c r="Y2019" s="185" t="s">
        <v>1789</v>
      </c>
      <c r="Z2019"/>
    </row>
    <row r="2020" spans="1:26">
      <c r="A2020" s="185" t="s">
        <v>3030</v>
      </c>
      <c r="B2020" s="185" t="s">
        <v>3095</v>
      </c>
      <c r="C2020" s="185" t="s">
        <v>1897</v>
      </c>
      <c r="D2020" s="185" t="s">
        <v>3096</v>
      </c>
      <c r="E2020" s="185">
        <v>510536</v>
      </c>
      <c r="F2020" s="185" t="s">
        <v>783</v>
      </c>
      <c r="G2020" s="185" t="s">
        <v>3103</v>
      </c>
      <c r="H2020" s="185" t="s">
        <v>1515</v>
      </c>
      <c r="I2020" s="258" t="str">
        <f t="shared" si="94"/>
        <v>5</v>
      </c>
      <c r="J2020" s="221">
        <f t="shared" si="95"/>
        <v>45512</v>
      </c>
      <c r="K2020" s="258">
        <f t="shared" si="96"/>
        <v>7</v>
      </c>
      <c r="L2020" s="188">
        <v>45512</v>
      </c>
      <c r="M2020" s="188">
        <v>0</v>
      </c>
      <c r="N2020" s="189">
        <v>1100623759</v>
      </c>
      <c r="O2020" t="s">
        <v>3095</v>
      </c>
      <c r="P2020" s="187">
        <v>45133</v>
      </c>
      <c r="Q2020" s="186">
        <v>12742</v>
      </c>
      <c r="R2020" s="185"/>
      <c r="S2020" s="185" t="s">
        <v>1536</v>
      </c>
      <c r="T2020" t="s">
        <v>2729</v>
      </c>
      <c r="U2020" t="str">
        <f>IF($L2020&gt;0,VLOOKUP($E2020,Valida!$A$1:$G$270,6,FALSE),IF($M2020&gt;=0,VLOOKUP($E2020,Valida!$A$1:$G$270,7,FALSE)))</f>
        <v>(+/-) Ganancia (pérdida)</v>
      </c>
      <c r="V2020" s="190" t="str">
        <f>VLOOKUP(E2020,Valida!$A$2:$K$271,4,FALSE)</f>
        <v>P&amp;L</v>
      </c>
      <c r="W2020" s="185" t="s">
        <v>2730</v>
      </c>
      <c r="X2020" s="185"/>
      <c r="Y2020" s="185" t="s">
        <v>1789</v>
      </c>
      <c r="Z2020"/>
    </row>
    <row r="2021" spans="1:26">
      <c r="A2021" s="185" t="s">
        <v>3030</v>
      </c>
      <c r="B2021" s="185" t="s">
        <v>3095</v>
      </c>
      <c r="C2021" s="185" t="s">
        <v>1897</v>
      </c>
      <c r="D2021" s="185" t="s">
        <v>3096</v>
      </c>
      <c r="E2021" s="185">
        <v>510536</v>
      </c>
      <c r="F2021" s="185" t="s">
        <v>783</v>
      </c>
      <c r="G2021" s="185" t="s">
        <v>3103</v>
      </c>
      <c r="H2021" s="185" t="s">
        <v>1515</v>
      </c>
      <c r="I2021" s="258" t="str">
        <f t="shared" si="94"/>
        <v>5</v>
      </c>
      <c r="J2021" s="221">
        <f t="shared" si="95"/>
        <v>108384</v>
      </c>
      <c r="K2021" s="258">
        <f t="shared" si="96"/>
        <v>7</v>
      </c>
      <c r="L2021" s="188">
        <v>108384</v>
      </c>
      <c r="M2021" s="188">
        <v>0</v>
      </c>
      <c r="N2021" s="189">
        <v>1130744136</v>
      </c>
      <c r="O2021" t="s">
        <v>3095</v>
      </c>
      <c r="P2021" s="187">
        <v>45133</v>
      </c>
      <c r="Q2021" s="186">
        <v>12743</v>
      </c>
      <c r="R2021" s="185"/>
      <c r="S2021" s="185" t="s">
        <v>1538</v>
      </c>
      <c r="T2021" t="s">
        <v>2729</v>
      </c>
      <c r="U2021" t="str">
        <f>IF($L2021&gt;0,VLOOKUP($E2021,Valida!$A$1:$G$270,6,FALSE),IF($M2021&gt;=0,VLOOKUP($E2021,Valida!$A$1:$G$270,7,FALSE)))</f>
        <v>(+/-) Ganancia (pérdida)</v>
      </c>
      <c r="V2021" s="190" t="str">
        <f>VLOOKUP(E2021,Valida!$A$2:$K$271,4,FALSE)</f>
        <v>P&amp;L</v>
      </c>
      <c r="W2021" s="185" t="s">
        <v>1909</v>
      </c>
      <c r="X2021" s="185" t="s">
        <v>1910</v>
      </c>
      <c r="Y2021" s="185" t="s">
        <v>1789</v>
      </c>
      <c r="Z2021"/>
    </row>
    <row r="2022" spans="1:26">
      <c r="A2022" s="185" t="s">
        <v>3030</v>
      </c>
      <c r="B2022" s="185" t="s">
        <v>3095</v>
      </c>
      <c r="C2022" s="185" t="s">
        <v>1897</v>
      </c>
      <c r="D2022" s="185" t="s">
        <v>3096</v>
      </c>
      <c r="E2022" s="185">
        <v>510539</v>
      </c>
      <c r="F2022" s="185" t="s">
        <v>818</v>
      </c>
      <c r="G2022" s="185" t="s">
        <v>3104</v>
      </c>
      <c r="H2022" s="185" t="s">
        <v>1515</v>
      </c>
      <c r="I2022" s="258" t="str">
        <f t="shared" si="94"/>
        <v>5</v>
      </c>
      <c r="J2022" s="221">
        <f t="shared" si="95"/>
        <v>53167</v>
      </c>
      <c r="K2022" s="258">
        <f t="shared" si="96"/>
        <v>7</v>
      </c>
      <c r="L2022" s="188">
        <v>53167</v>
      </c>
      <c r="M2022" s="188">
        <v>0</v>
      </c>
      <c r="N2022" s="189">
        <v>1000018061</v>
      </c>
      <c r="O2022" t="s">
        <v>3095</v>
      </c>
      <c r="P2022" s="187">
        <v>45133</v>
      </c>
      <c r="Q2022" s="186">
        <v>12744</v>
      </c>
      <c r="R2022" s="185"/>
      <c r="S2022" s="185" t="s">
        <v>1522</v>
      </c>
      <c r="T2022" t="s">
        <v>2729</v>
      </c>
      <c r="U2022" t="str">
        <f>IF($L2022&gt;0,VLOOKUP($E2022,Valida!$A$1:$G$270,6,FALSE),IF($M2022&gt;=0,VLOOKUP($E2022,Valida!$A$1:$G$270,7,FALSE)))</f>
        <v>(+/-) Ganancia (pérdida)</v>
      </c>
      <c r="V2022" s="190" t="str">
        <f>VLOOKUP(E2022,Valida!$A$2:$K$271,4,FALSE)</f>
        <v>P&amp;L</v>
      </c>
      <c r="W2022" s="185" t="s">
        <v>1978</v>
      </c>
      <c r="X2022" s="185"/>
      <c r="Y2022" s="185" t="s">
        <v>1789</v>
      </c>
      <c r="Z2022"/>
    </row>
    <row r="2023" spans="1:26">
      <c r="A2023" s="185" t="s">
        <v>3030</v>
      </c>
      <c r="B2023" s="185" t="s">
        <v>3095</v>
      </c>
      <c r="C2023" s="185" t="s">
        <v>1897</v>
      </c>
      <c r="D2023" s="185" t="s">
        <v>3096</v>
      </c>
      <c r="E2023" s="185">
        <v>510539</v>
      </c>
      <c r="F2023" s="185" t="s">
        <v>818</v>
      </c>
      <c r="G2023" s="185" t="s">
        <v>3104</v>
      </c>
      <c r="H2023" s="185" t="s">
        <v>1515</v>
      </c>
      <c r="I2023" s="258" t="str">
        <f t="shared" si="94"/>
        <v>5</v>
      </c>
      <c r="J2023" s="221">
        <f t="shared" si="95"/>
        <v>100260</v>
      </c>
      <c r="K2023" s="258">
        <f t="shared" si="96"/>
        <v>7</v>
      </c>
      <c r="L2023" s="188">
        <v>100260</v>
      </c>
      <c r="M2023" s="188">
        <v>0</v>
      </c>
      <c r="N2023" s="189">
        <v>1000036375</v>
      </c>
      <c r="O2023" t="s">
        <v>3095</v>
      </c>
      <c r="P2023" s="187">
        <v>45133</v>
      </c>
      <c r="Q2023" s="186">
        <v>12745</v>
      </c>
      <c r="R2023" s="185"/>
      <c r="S2023" s="185" t="s">
        <v>1524</v>
      </c>
      <c r="T2023" t="s">
        <v>2729</v>
      </c>
      <c r="U2023" t="str">
        <f>IF($L2023&gt;0,VLOOKUP($E2023,Valida!$A$1:$G$270,6,FALSE),IF($M2023&gt;=0,VLOOKUP($E2023,Valida!$A$1:$G$270,7,FALSE)))</f>
        <v>(+/-) Ganancia (pérdida)</v>
      </c>
      <c r="V2023" s="190" t="str">
        <f>VLOOKUP(E2023,Valida!$A$2:$K$271,4,FALSE)</f>
        <v>P&amp;L</v>
      </c>
      <c r="W2023" s="185" t="s">
        <v>1983</v>
      </c>
      <c r="X2023" s="185"/>
      <c r="Y2023" s="185" t="s">
        <v>1789</v>
      </c>
      <c r="Z2023"/>
    </row>
    <row r="2024" spans="1:26">
      <c r="A2024" s="185" t="s">
        <v>3030</v>
      </c>
      <c r="B2024" s="185" t="s">
        <v>3095</v>
      </c>
      <c r="C2024" s="185" t="s">
        <v>1897</v>
      </c>
      <c r="D2024" s="185" t="s">
        <v>3096</v>
      </c>
      <c r="E2024" s="185">
        <v>510539</v>
      </c>
      <c r="F2024" s="185" t="s">
        <v>818</v>
      </c>
      <c r="G2024" s="185" t="s">
        <v>3104</v>
      </c>
      <c r="H2024" s="185" t="s">
        <v>1515</v>
      </c>
      <c r="I2024" s="258" t="str">
        <f t="shared" si="94"/>
        <v>5</v>
      </c>
      <c r="J2024" s="221">
        <f t="shared" si="95"/>
        <v>62500</v>
      </c>
      <c r="K2024" s="258">
        <f t="shared" si="96"/>
        <v>7</v>
      </c>
      <c r="L2024" s="188">
        <v>62500</v>
      </c>
      <c r="M2024" s="188">
        <v>0</v>
      </c>
      <c r="N2024" s="189">
        <v>1010101811</v>
      </c>
      <c r="O2024" t="s">
        <v>3095</v>
      </c>
      <c r="P2024" s="187">
        <v>45133</v>
      </c>
      <c r="Q2024" s="186">
        <v>12746</v>
      </c>
      <c r="R2024" s="185"/>
      <c r="S2024" s="185" t="s">
        <v>1528</v>
      </c>
      <c r="T2024" t="s">
        <v>2729</v>
      </c>
      <c r="U2024" t="str">
        <f>IF($L2024&gt;0,VLOOKUP($E2024,Valida!$A$1:$G$270,6,FALSE),IF($M2024&gt;=0,VLOOKUP($E2024,Valida!$A$1:$G$270,7,FALSE)))</f>
        <v>(+/-) Ganancia (pérdida)</v>
      </c>
      <c r="V2024" s="190" t="str">
        <f>VLOOKUP(E2024,Valida!$A$2:$K$271,4,FALSE)</f>
        <v>P&amp;L</v>
      </c>
      <c r="W2024" s="185" t="s">
        <v>1967</v>
      </c>
      <c r="X2024" s="185"/>
      <c r="Y2024" s="185" t="s">
        <v>1789</v>
      </c>
      <c r="Z2024"/>
    </row>
    <row r="2025" spans="1:26">
      <c r="A2025" s="185" t="s">
        <v>3030</v>
      </c>
      <c r="B2025" s="185" t="s">
        <v>3095</v>
      </c>
      <c r="C2025" s="185" t="s">
        <v>1897</v>
      </c>
      <c r="D2025" s="185" t="s">
        <v>3096</v>
      </c>
      <c r="E2025" s="185">
        <v>510539</v>
      </c>
      <c r="F2025" s="185" t="s">
        <v>818</v>
      </c>
      <c r="G2025" s="185" t="s">
        <v>3104</v>
      </c>
      <c r="H2025" s="185" t="s">
        <v>1515</v>
      </c>
      <c r="I2025" s="258" t="str">
        <f t="shared" si="94"/>
        <v>5</v>
      </c>
      <c r="J2025" s="221">
        <f t="shared" si="95"/>
        <v>48670</v>
      </c>
      <c r="K2025" s="258">
        <f t="shared" si="96"/>
        <v>7</v>
      </c>
      <c r="L2025" s="188">
        <v>48670</v>
      </c>
      <c r="M2025" s="188">
        <v>0</v>
      </c>
      <c r="N2025" s="189">
        <v>1020842223</v>
      </c>
      <c r="O2025" t="s">
        <v>3095</v>
      </c>
      <c r="P2025" s="187">
        <v>45133</v>
      </c>
      <c r="Q2025" s="186">
        <v>12747</v>
      </c>
      <c r="R2025" s="185"/>
      <c r="S2025" s="185" t="s">
        <v>1532</v>
      </c>
      <c r="T2025" t="s">
        <v>2729</v>
      </c>
      <c r="U2025" t="str">
        <f>IF($L2025&gt;0,VLOOKUP($E2025,Valida!$A$1:$G$270,6,FALSE),IF($M2025&gt;=0,VLOOKUP($E2025,Valida!$A$1:$G$270,7,FALSE)))</f>
        <v>(+/-) Ganancia (pérdida)</v>
      </c>
      <c r="V2025" s="190" t="str">
        <f>VLOOKUP(E2025,Valida!$A$2:$K$271,4,FALSE)</f>
        <v>P&amp;L</v>
      </c>
      <c r="W2025" s="185" t="s">
        <v>1900</v>
      </c>
      <c r="X2025" s="185"/>
      <c r="Y2025" s="185" t="s">
        <v>1789</v>
      </c>
      <c r="Z2025"/>
    </row>
    <row r="2026" spans="1:26">
      <c r="A2026" s="185" t="s">
        <v>3030</v>
      </c>
      <c r="B2026" s="185" t="s">
        <v>3095</v>
      </c>
      <c r="C2026" s="185" t="s">
        <v>1897</v>
      </c>
      <c r="D2026" s="185" t="s">
        <v>3096</v>
      </c>
      <c r="E2026" s="185">
        <v>510539</v>
      </c>
      <c r="F2026" s="185" t="s">
        <v>818</v>
      </c>
      <c r="G2026" s="185" t="s">
        <v>3104</v>
      </c>
      <c r="H2026" s="185" t="s">
        <v>1515</v>
      </c>
      <c r="I2026" s="258" t="str">
        <f t="shared" si="94"/>
        <v>5</v>
      </c>
      <c r="J2026" s="221">
        <f t="shared" si="95"/>
        <v>21389</v>
      </c>
      <c r="K2026" s="258">
        <f t="shared" si="96"/>
        <v>7</v>
      </c>
      <c r="L2026" s="188">
        <v>21389</v>
      </c>
      <c r="M2026" s="188">
        <v>0</v>
      </c>
      <c r="N2026" s="189">
        <v>1100623759</v>
      </c>
      <c r="O2026" t="s">
        <v>3095</v>
      </c>
      <c r="P2026" s="187">
        <v>45133</v>
      </c>
      <c r="Q2026" s="186">
        <v>12748</v>
      </c>
      <c r="R2026" s="185"/>
      <c r="S2026" s="185" t="s">
        <v>1536</v>
      </c>
      <c r="T2026" t="s">
        <v>2729</v>
      </c>
      <c r="U2026" t="str">
        <f>IF($L2026&gt;0,VLOOKUP($E2026,Valida!$A$1:$G$270,6,FALSE),IF($M2026&gt;=0,VLOOKUP($E2026,Valida!$A$1:$G$270,7,FALSE)))</f>
        <v>(+/-) Ganancia (pérdida)</v>
      </c>
      <c r="V2026" s="190" t="str">
        <f>VLOOKUP(E2026,Valida!$A$2:$K$271,4,FALSE)</f>
        <v>P&amp;L</v>
      </c>
      <c r="W2026" s="185" t="s">
        <v>2730</v>
      </c>
      <c r="X2026" s="185"/>
      <c r="Y2026" s="185" t="s">
        <v>1789</v>
      </c>
      <c r="Z2026"/>
    </row>
    <row r="2027" spans="1:26">
      <c r="A2027" s="185" t="s">
        <v>3030</v>
      </c>
      <c r="B2027" s="185" t="s">
        <v>3095</v>
      </c>
      <c r="C2027" s="185" t="s">
        <v>1897</v>
      </c>
      <c r="D2027" s="185" t="s">
        <v>3096</v>
      </c>
      <c r="E2027" s="185">
        <v>510539</v>
      </c>
      <c r="F2027" s="185" t="s">
        <v>818</v>
      </c>
      <c r="G2027" s="185" t="s">
        <v>3104</v>
      </c>
      <c r="H2027" s="185" t="s">
        <v>1515</v>
      </c>
      <c r="I2027" s="258" t="str">
        <f t="shared" si="94"/>
        <v>5</v>
      </c>
      <c r="J2027" s="221">
        <f t="shared" si="95"/>
        <v>48333</v>
      </c>
      <c r="K2027" s="258">
        <f t="shared" si="96"/>
        <v>7</v>
      </c>
      <c r="L2027" s="188">
        <v>48333</v>
      </c>
      <c r="M2027" s="188">
        <v>0</v>
      </c>
      <c r="N2027" s="189">
        <v>1130744136</v>
      </c>
      <c r="O2027" t="s">
        <v>3095</v>
      </c>
      <c r="P2027" s="187">
        <v>45133</v>
      </c>
      <c r="Q2027" s="186">
        <v>12749</v>
      </c>
      <c r="R2027" s="185"/>
      <c r="S2027" s="185" t="s">
        <v>1538</v>
      </c>
      <c r="T2027" t="s">
        <v>2729</v>
      </c>
      <c r="U2027" t="str">
        <f>IF($L2027&gt;0,VLOOKUP($E2027,Valida!$A$1:$G$270,6,FALSE),IF($M2027&gt;=0,VLOOKUP($E2027,Valida!$A$1:$G$270,7,FALSE)))</f>
        <v>(+/-) Ganancia (pérdida)</v>
      </c>
      <c r="V2027" s="190" t="str">
        <f>VLOOKUP(E2027,Valida!$A$2:$K$271,4,FALSE)</f>
        <v>P&amp;L</v>
      </c>
      <c r="W2027" s="185" t="s">
        <v>1909</v>
      </c>
      <c r="X2027" s="185" t="s">
        <v>1910</v>
      </c>
      <c r="Y2027" s="185" t="s">
        <v>1789</v>
      </c>
      <c r="Z2027"/>
    </row>
    <row r="2028" spans="1:26">
      <c r="A2028" s="185" t="s">
        <v>3030</v>
      </c>
      <c r="B2028" s="185" t="s">
        <v>3095</v>
      </c>
      <c r="C2028" s="185" t="s">
        <v>1897</v>
      </c>
      <c r="D2028" s="185" t="s">
        <v>3096</v>
      </c>
      <c r="E2028" s="185">
        <v>510568</v>
      </c>
      <c r="F2028" s="185" t="s">
        <v>680</v>
      </c>
      <c r="G2028" s="185" t="s">
        <v>3098</v>
      </c>
      <c r="H2028" s="185" t="s">
        <v>1515</v>
      </c>
      <c r="I2028" s="258" t="str">
        <f t="shared" si="94"/>
        <v>5</v>
      </c>
      <c r="J2028" s="221">
        <f t="shared" si="95"/>
        <v>6100</v>
      </c>
      <c r="K2028" s="258">
        <f t="shared" si="96"/>
        <v>7</v>
      </c>
      <c r="L2028" s="188">
        <v>6100</v>
      </c>
      <c r="M2028" s="188">
        <v>0</v>
      </c>
      <c r="N2028" s="189">
        <v>860002503</v>
      </c>
      <c r="O2028" t="s">
        <v>3095</v>
      </c>
      <c r="P2028" s="187">
        <v>45133</v>
      </c>
      <c r="Q2028" s="186">
        <v>12750</v>
      </c>
      <c r="R2028" s="185" t="s">
        <v>433</v>
      </c>
      <c r="S2028" s="185" t="s">
        <v>1656</v>
      </c>
      <c r="T2028" t="s">
        <v>2729</v>
      </c>
      <c r="U2028" t="str">
        <f>IF($L2028&gt;0,VLOOKUP($E2028,Valida!$A$1:$G$270,6,FALSE),IF($M2028&gt;=0,VLOOKUP($E2028,Valida!$A$1:$G$270,7,FALSE)))</f>
        <v>(+/-) Ganancia (pérdida)</v>
      </c>
      <c r="V2028" s="190" t="str">
        <f>VLOOKUP(E2028,Valida!$A$2:$K$271,4,FALSE)</f>
        <v>P&amp;L</v>
      </c>
      <c r="W2028" s="185" t="s">
        <v>1912</v>
      </c>
      <c r="X2028" s="185" t="s">
        <v>1913</v>
      </c>
      <c r="Y2028" s="185" t="s">
        <v>1789</v>
      </c>
      <c r="Z2028"/>
    </row>
    <row r="2029" spans="1:26">
      <c r="A2029" s="185" t="s">
        <v>3030</v>
      </c>
      <c r="B2029" s="185" t="s">
        <v>3095</v>
      </c>
      <c r="C2029" s="185" t="s">
        <v>1897</v>
      </c>
      <c r="D2029" s="185" t="s">
        <v>3096</v>
      </c>
      <c r="E2029" s="185">
        <v>510568</v>
      </c>
      <c r="F2029" s="185" t="s">
        <v>680</v>
      </c>
      <c r="G2029" s="185" t="s">
        <v>3098</v>
      </c>
      <c r="H2029" s="185" t="s">
        <v>1515</v>
      </c>
      <c r="I2029" s="258" t="str">
        <f t="shared" si="94"/>
        <v>5</v>
      </c>
      <c r="J2029" s="221">
        <f t="shared" si="95"/>
        <v>7900</v>
      </c>
      <c r="K2029" s="258">
        <f t="shared" si="96"/>
        <v>7</v>
      </c>
      <c r="L2029" s="188">
        <v>7900</v>
      </c>
      <c r="M2029" s="188">
        <v>0</v>
      </c>
      <c r="N2029" s="189">
        <v>860002503</v>
      </c>
      <c r="O2029" t="s">
        <v>3095</v>
      </c>
      <c r="P2029" s="187">
        <v>45133</v>
      </c>
      <c r="Q2029" s="186">
        <v>12751</v>
      </c>
      <c r="R2029" s="185" t="s">
        <v>433</v>
      </c>
      <c r="S2029" s="185" t="s">
        <v>1656</v>
      </c>
      <c r="T2029" t="s">
        <v>2729</v>
      </c>
      <c r="U2029" t="str">
        <f>IF($L2029&gt;0,VLOOKUP($E2029,Valida!$A$1:$G$270,6,FALSE),IF($M2029&gt;=0,VLOOKUP($E2029,Valida!$A$1:$G$270,7,FALSE)))</f>
        <v>(+/-) Ganancia (pérdida)</v>
      </c>
      <c r="V2029" s="190" t="str">
        <f>VLOOKUP(E2029,Valida!$A$2:$K$271,4,FALSE)</f>
        <v>P&amp;L</v>
      </c>
      <c r="W2029" s="185" t="s">
        <v>1912</v>
      </c>
      <c r="X2029" s="185" t="s">
        <v>1913</v>
      </c>
      <c r="Y2029" s="185" t="s">
        <v>1789</v>
      </c>
      <c r="Z2029"/>
    </row>
    <row r="2030" spans="1:26">
      <c r="A2030" s="185" t="s">
        <v>3030</v>
      </c>
      <c r="B2030" s="185" t="s">
        <v>3095</v>
      </c>
      <c r="C2030" s="185" t="s">
        <v>1897</v>
      </c>
      <c r="D2030" s="185" t="s">
        <v>3096</v>
      </c>
      <c r="E2030" s="185">
        <v>510568</v>
      </c>
      <c r="F2030" s="185" t="s">
        <v>680</v>
      </c>
      <c r="G2030" s="185" t="s">
        <v>3098</v>
      </c>
      <c r="H2030" s="185" t="s">
        <v>1515</v>
      </c>
      <c r="I2030" s="258" t="str">
        <f t="shared" si="94"/>
        <v>5</v>
      </c>
      <c r="J2030" s="221">
        <f t="shared" si="95"/>
        <v>6700</v>
      </c>
      <c r="K2030" s="258">
        <f t="shared" si="96"/>
        <v>7</v>
      </c>
      <c r="L2030" s="188">
        <v>6700</v>
      </c>
      <c r="M2030" s="188">
        <v>0</v>
      </c>
      <c r="N2030" s="189">
        <v>860002503</v>
      </c>
      <c r="O2030" t="s">
        <v>3095</v>
      </c>
      <c r="P2030" s="187">
        <v>45133</v>
      </c>
      <c r="Q2030" s="186">
        <v>12752</v>
      </c>
      <c r="R2030" s="185" t="s">
        <v>433</v>
      </c>
      <c r="S2030" s="185" t="s">
        <v>1656</v>
      </c>
      <c r="T2030" t="s">
        <v>2729</v>
      </c>
      <c r="U2030" t="str">
        <f>IF($L2030&gt;0,VLOOKUP($E2030,Valida!$A$1:$G$270,6,FALSE),IF($M2030&gt;=0,VLOOKUP($E2030,Valida!$A$1:$G$270,7,FALSE)))</f>
        <v>(+/-) Ganancia (pérdida)</v>
      </c>
      <c r="V2030" s="190" t="str">
        <f>VLOOKUP(E2030,Valida!$A$2:$K$271,4,FALSE)</f>
        <v>P&amp;L</v>
      </c>
      <c r="W2030" s="185" t="s">
        <v>1912</v>
      </c>
      <c r="X2030" s="185" t="s">
        <v>1913</v>
      </c>
      <c r="Y2030" s="185" t="s">
        <v>1789</v>
      </c>
      <c r="Z2030"/>
    </row>
    <row r="2031" spans="1:26">
      <c r="A2031" s="185" t="s">
        <v>3030</v>
      </c>
      <c r="B2031" s="185" t="s">
        <v>3095</v>
      </c>
      <c r="C2031" s="185" t="s">
        <v>1897</v>
      </c>
      <c r="D2031" s="185" t="s">
        <v>3096</v>
      </c>
      <c r="E2031" s="185">
        <v>510568</v>
      </c>
      <c r="F2031" s="185" t="s">
        <v>680</v>
      </c>
      <c r="G2031" s="185" t="s">
        <v>3098</v>
      </c>
      <c r="H2031" s="185" t="s">
        <v>1515</v>
      </c>
      <c r="I2031" s="258" t="str">
        <f t="shared" si="94"/>
        <v>5</v>
      </c>
      <c r="J2031" s="221">
        <f t="shared" si="95"/>
        <v>12600</v>
      </c>
      <c r="K2031" s="258">
        <f t="shared" si="96"/>
        <v>7</v>
      </c>
      <c r="L2031" s="188">
        <v>12600</v>
      </c>
      <c r="M2031" s="188">
        <v>0</v>
      </c>
      <c r="N2031" s="189">
        <v>860002503</v>
      </c>
      <c r="O2031" t="s">
        <v>3095</v>
      </c>
      <c r="P2031" s="187">
        <v>45133</v>
      </c>
      <c r="Q2031" s="186">
        <v>12753</v>
      </c>
      <c r="R2031" s="185" t="s">
        <v>433</v>
      </c>
      <c r="S2031" s="185" t="s">
        <v>1656</v>
      </c>
      <c r="T2031" t="s">
        <v>2729</v>
      </c>
      <c r="U2031" t="str">
        <f>IF($L2031&gt;0,VLOOKUP($E2031,Valida!$A$1:$G$270,6,FALSE),IF($M2031&gt;=0,VLOOKUP($E2031,Valida!$A$1:$G$270,7,FALSE)))</f>
        <v>(+/-) Ganancia (pérdida)</v>
      </c>
      <c r="V2031" s="190" t="str">
        <f>VLOOKUP(E2031,Valida!$A$2:$K$271,4,FALSE)</f>
        <v>P&amp;L</v>
      </c>
      <c r="W2031" s="185" t="s">
        <v>1912</v>
      </c>
      <c r="X2031" s="185" t="s">
        <v>1913</v>
      </c>
      <c r="Y2031" s="185" t="s">
        <v>1789</v>
      </c>
      <c r="Z2031"/>
    </row>
    <row r="2032" spans="1:26">
      <c r="A2032" s="185" t="s">
        <v>3030</v>
      </c>
      <c r="B2032" s="185" t="s">
        <v>3095</v>
      </c>
      <c r="C2032" s="185" t="s">
        <v>1897</v>
      </c>
      <c r="D2032" s="185" t="s">
        <v>3096</v>
      </c>
      <c r="E2032" s="185">
        <v>510568</v>
      </c>
      <c r="F2032" s="185" t="s">
        <v>680</v>
      </c>
      <c r="G2032" s="185" t="s">
        <v>3098</v>
      </c>
      <c r="H2032" s="185" t="s">
        <v>1515</v>
      </c>
      <c r="I2032" s="258" t="str">
        <f t="shared" si="94"/>
        <v>5</v>
      </c>
      <c r="J2032" s="221">
        <f t="shared" si="95"/>
        <v>2700</v>
      </c>
      <c r="K2032" s="258">
        <f t="shared" si="96"/>
        <v>7</v>
      </c>
      <c r="L2032" s="188">
        <v>2700</v>
      </c>
      <c r="M2032" s="188">
        <v>0</v>
      </c>
      <c r="N2032" s="189">
        <v>860002503</v>
      </c>
      <c r="O2032" t="s">
        <v>3095</v>
      </c>
      <c r="P2032" s="187">
        <v>45133</v>
      </c>
      <c r="Q2032" s="186">
        <v>12754</v>
      </c>
      <c r="R2032" s="185" t="s">
        <v>433</v>
      </c>
      <c r="S2032" s="185" t="s">
        <v>1656</v>
      </c>
      <c r="T2032" t="s">
        <v>2729</v>
      </c>
      <c r="U2032" t="str">
        <f>IF($L2032&gt;0,VLOOKUP($E2032,Valida!$A$1:$G$270,6,FALSE),IF($M2032&gt;=0,VLOOKUP($E2032,Valida!$A$1:$G$270,7,FALSE)))</f>
        <v>(+/-) Ganancia (pérdida)</v>
      </c>
      <c r="V2032" s="190" t="str">
        <f>VLOOKUP(E2032,Valida!$A$2:$K$271,4,FALSE)</f>
        <v>P&amp;L</v>
      </c>
      <c r="W2032" s="185" t="s">
        <v>1912</v>
      </c>
      <c r="X2032" s="185" t="s">
        <v>1913</v>
      </c>
      <c r="Y2032" s="185" t="s">
        <v>1789</v>
      </c>
      <c r="Z2032"/>
    </row>
    <row r="2033" spans="1:26">
      <c r="A2033" s="185" t="s">
        <v>3030</v>
      </c>
      <c r="B2033" s="185" t="s">
        <v>3095</v>
      </c>
      <c r="C2033" s="185" t="s">
        <v>1897</v>
      </c>
      <c r="D2033" s="185" t="s">
        <v>3096</v>
      </c>
      <c r="E2033" s="185">
        <v>510569</v>
      </c>
      <c r="F2033" s="185" t="s">
        <v>1114</v>
      </c>
      <c r="G2033" s="185" t="s">
        <v>3097</v>
      </c>
      <c r="H2033" s="185" t="s">
        <v>1515</v>
      </c>
      <c r="I2033" s="258" t="str">
        <f t="shared" si="94"/>
        <v>5</v>
      </c>
      <c r="J2033" s="221">
        <f t="shared" si="95"/>
        <v>11277</v>
      </c>
      <c r="K2033" s="258">
        <f t="shared" si="96"/>
        <v>7</v>
      </c>
      <c r="L2033" s="188">
        <v>11277</v>
      </c>
      <c r="M2033" s="188">
        <v>0</v>
      </c>
      <c r="N2033" s="189">
        <v>800251440</v>
      </c>
      <c r="O2033" t="s">
        <v>3095</v>
      </c>
      <c r="P2033" s="187">
        <v>45133</v>
      </c>
      <c r="Q2033" s="186">
        <v>12755</v>
      </c>
      <c r="R2033" s="185" t="s">
        <v>1901</v>
      </c>
      <c r="S2033" s="185" t="s">
        <v>1560</v>
      </c>
      <c r="T2033" t="s">
        <v>2729</v>
      </c>
      <c r="U2033" t="str">
        <f>IF($L2033&gt;0,VLOOKUP($E2033,Valida!$A$1:$G$270,6,FALSE),IF($M2033&gt;=0,VLOOKUP($E2033,Valida!$A$1:$G$270,7,FALSE)))</f>
        <v>(+/-) Ganancia (pérdida)</v>
      </c>
      <c r="V2033" s="190" t="str">
        <f>VLOOKUP(E2033,Valida!$A$2:$K$271,4,FALSE)</f>
        <v>P&amp;L</v>
      </c>
      <c r="W2033" s="185" t="s">
        <v>1902</v>
      </c>
      <c r="X2033" s="185" t="s">
        <v>1903</v>
      </c>
      <c r="Y2033" s="185" t="s">
        <v>1789</v>
      </c>
      <c r="Z2033"/>
    </row>
    <row r="2034" spans="1:26">
      <c r="A2034" s="185" t="s">
        <v>3030</v>
      </c>
      <c r="B2034" s="185" t="s">
        <v>3095</v>
      </c>
      <c r="C2034" s="185" t="s">
        <v>1897</v>
      </c>
      <c r="D2034" s="185" t="s">
        <v>3096</v>
      </c>
      <c r="E2034" s="185">
        <v>510569</v>
      </c>
      <c r="F2034" s="185" t="s">
        <v>1114</v>
      </c>
      <c r="G2034" s="185" t="s">
        <v>3097</v>
      </c>
      <c r="H2034" s="185" t="s">
        <v>1515</v>
      </c>
      <c r="I2034" s="258" t="str">
        <f t="shared" si="94"/>
        <v>5</v>
      </c>
      <c r="J2034" s="221">
        <f t="shared" si="95"/>
        <v>67</v>
      </c>
      <c r="K2034" s="258">
        <f t="shared" si="96"/>
        <v>7</v>
      </c>
      <c r="L2034" s="188">
        <v>67</v>
      </c>
      <c r="M2034" s="188">
        <v>0</v>
      </c>
      <c r="N2034" s="189">
        <v>800251440</v>
      </c>
      <c r="O2034" t="s">
        <v>3095</v>
      </c>
      <c r="P2034" s="187">
        <v>45133</v>
      </c>
      <c r="Q2034" s="186">
        <v>12756</v>
      </c>
      <c r="R2034" s="185" t="s">
        <v>1901</v>
      </c>
      <c r="S2034" s="185" t="s">
        <v>1560</v>
      </c>
      <c r="T2034" t="s">
        <v>2729</v>
      </c>
      <c r="U2034" t="str">
        <f>IF($L2034&gt;0,VLOOKUP($E2034,Valida!$A$1:$G$270,6,FALSE),IF($M2034&gt;=0,VLOOKUP($E2034,Valida!$A$1:$G$270,7,FALSE)))</f>
        <v>(+/-) Ganancia (pérdida)</v>
      </c>
      <c r="V2034" s="190" t="str">
        <f>VLOOKUP(E2034,Valida!$A$2:$K$271,4,FALSE)</f>
        <v>P&amp;L</v>
      </c>
      <c r="W2034" s="185" t="s">
        <v>1902</v>
      </c>
      <c r="X2034" s="185" t="s">
        <v>1903</v>
      </c>
      <c r="Y2034" s="185" t="s">
        <v>1789</v>
      </c>
      <c r="Z2034"/>
    </row>
    <row r="2035" spans="1:26">
      <c r="A2035" s="185" t="s">
        <v>3030</v>
      </c>
      <c r="B2035" s="185" t="s">
        <v>3095</v>
      </c>
      <c r="C2035" s="185" t="s">
        <v>1897</v>
      </c>
      <c r="D2035" s="185" t="s">
        <v>3096</v>
      </c>
      <c r="E2035" s="185">
        <v>510569</v>
      </c>
      <c r="F2035" s="185" t="s">
        <v>1114</v>
      </c>
      <c r="G2035" s="185" t="s">
        <v>3097</v>
      </c>
      <c r="H2035" s="185" t="s">
        <v>1515</v>
      </c>
      <c r="I2035" s="258" t="str">
        <f t="shared" si="94"/>
        <v>5</v>
      </c>
      <c r="J2035" s="221">
        <f t="shared" si="95"/>
        <v>60</v>
      </c>
      <c r="K2035" s="258">
        <f t="shared" si="96"/>
        <v>7</v>
      </c>
      <c r="L2035" s="188">
        <v>60</v>
      </c>
      <c r="M2035" s="188">
        <v>0</v>
      </c>
      <c r="N2035" s="189">
        <v>830003564</v>
      </c>
      <c r="O2035" t="s">
        <v>3095</v>
      </c>
      <c r="P2035" s="187">
        <v>45133</v>
      </c>
      <c r="Q2035" s="186">
        <v>12757</v>
      </c>
      <c r="R2035" s="185" t="s">
        <v>1814</v>
      </c>
      <c r="S2035" s="185" t="s">
        <v>1652</v>
      </c>
      <c r="T2035" t="s">
        <v>2729</v>
      </c>
      <c r="U2035" t="str">
        <f>IF($L2035&gt;0,VLOOKUP($E2035,Valida!$A$1:$G$270,6,FALSE),IF($M2035&gt;=0,VLOOKUP($E2035,Valida!$A$1:$G$270,7,FALSE)))</f>
        <v>(+/-) Ganancia (pérdida)</v>
      </c>
      <c r="V2035" s="190" t="str">
        <f>VLOOKUP(E2035,Valida!$A$2:$K$271,4,FALSE)</f>
        <v>P&amp;L</v>
      </c>
      <c r="W2035" s="185" t="s">
        <v>1973</v>
      </c>
      <c r="X2035" s="185" t="s">
        <v>1974</v>
      </c>
      <c r="Y2035" s="185" t="s">
        <v>1789</v>
      </c>
      <c r="Z2035"/>
    </row>
    <row r="2036" spans="1:26">
      <c r="A2036" s="185" t="s">
        <v>3030</v>
      </c>
      <c r="B2036" s="185" t="s">
        <v>3095</v>
      </c>
      <c r="C2036" s="185" t="s">
        <v>1897</v>
      </c>
      <c r="D2036" s="185" t="s">
        <v>3096</v>
      </c>
      <c r="E2036" s="185">
        <v>510569</v>
      </c>
      <c r="F2036" s="185" t="s">
        <v>1114</v>
      </c>
      <c r="G2036" s="185" t="s">
        <v>3097</v>
      </c>
      <c r="H2036" s="185" t="s">
        <v>1515</v>
      </c>
      <c r="I2036" s="258" t="str">
        <f t="shared" si="94"/>
        <v>5</v>
      </c>
      <c r="J2036" s="221">
        <f t="shared" si="95"/>
        <v>50</v>
      </c>
      <c r="K2036" s="258">
        <f t="shared" si="96"/>
        <v>7</v>
      </c>
      <c r="L2036" s="188">
        <v>50</v>
      </c>
      <c r="M2036" s="188">
        <v>0</v>
      </c>
      <c r="N2036" s="189">
        <v>900156264</v>
      </c>
      <c r="O2036" t="s">
        <v>3095</v>
      </c>
      <c r="P2036" s="187">
        <v>45133</v>
      </c>
      <c r="Q2036" s="186">
        <v>12758</v>
      </c>
      <c r="R2036" s="185" t="s">
        <v>433</v>
      </c>
      <c r="S2036" s="185" t="s">
        <v>1654</v>
      </c>
      <c r="T2036" t="s">
        <v>2729</v>
      </c>
      <c r="U2036" t="str">
        <f>IF($L2036&gt;0,VLOOKUP($E2036,Valida!$A$1:$G$270,6,FALSE),IF($M2036&gt;=0,VLOOKUP($E2036,Valida!$A$1:$G$270,7,FALSE)))</f>
        <v>(+/-) Ganancia (pérdida)</v>
      </c>
      <c r="V2036" s="190" t="str">
        <f>VLOOKUP(E2036,Valida!$A$2:$K$271,4,FALSE)</f>
        <v>P&amp;L</v>
      </c>
      <c r="W2036" s="185" t="s">
        <v>1926</v>
      </c>
      <c r="X2036" s="185" t="s">
        <v>1927</v>
      </c>
      <c r="Y2036" s="185" t="s">
        <v>1789</v>
      </c>
      <c r="Z2036"/>
    </row>
    <row r="2037" spans="1:26">
      <c r="A2037" s="185" t="s">
        <v>3030</v>
      </c>
      <c r="B2037" s="185" t="s">
        <v>3095</v>
      </c>
      <c r="C2037" s="185" t="s">
        <v>1897</v>
      </c>
      <c r="D2037" s="185" t="s">
        <v>3096</v>
      </c>
      <c r="E2037" s="185">
        <v>510570</v>
      </c>
      <c r="F2037" s="185" t="s">
        <v>1116</v>
      </c>
      <c r="G2037" s="185" t="s">
        <v>3100</v>
      </c>
      <c r="H2037" s="185" t="s">
        <v>1515</v>
      </c>
      <c r="I2037" s="258" t="str">
        <f t="shared" si="94"/>
        <v>5</v>
      </c>
      <c r="J2037" s="221">
        <f t="shared" si="95"/>
        <v>139200</v>
      </c>
      <c r="K2037" s="258">
        <f t="shared" si="96"/>
        <v>7</v>
      </c>
      <c r="L2037" s="188">
        <v>139200</v>
      </c>
      <c r="M2037" s="188">
        <v>0</v>
      </c>
      <c r="N2037" s="189">
        <v>800224808</v>
      </c>
      <c r="O2037" t="s">
        <v>3095</v>
      </c>
      <c r="P2037" s="187">
        <v>45133</v>
      </c>
      <c r="Q2037" s="186">
        <v>12759</v>
      </c>
      <c r="R2037" s="185" t="s">
        <v>1827</v>
      </c>
      <c r="S2037" s="185" t="s">
        <v>1662</v>
      </c>
      <c r="T2037" t="s">
        <v>2729</v>
      </c>
      <c r="U2037" t="str">
        <f>IF($L2037&gt;0,VLOOKUP($E2037,Valida!$A$1:$G$270,6,FALSE),IF($M2037&gt;=0,VLOOKUP($E2037,Valida!$A$1:$G$270,7,FALSE)))</f>
        <v>(+/-) Ganancia (pérdida)</v>
      </c>
      <c r="V2037" s="190" t="str">
        <f>VLOOKUP(E2037,Valida!$A$2:$K$271,4,FALSE)</f>
        <v>P&amp;L</v>
      </c>
      <c r="W2037" s="185" t="s">
        <v>1911</v>
      </c>
      <c r="X2037" s="185"/>
      <c r="Y2037" s="185" t="s">
        <v>1789</v>
      </c>
      <c r="Z2037"/>
    </row>
    <row r="2038" spans="1:26">
      <c r="A2038" s="185" t="s">
        <v>3030</v>
      </c>
      <c r="B2038" s="185" t="s">
        <v>3095</v>
      </c>
      <c r="C2038" s="185" t="s">
        <v>1897</v>
      </c>
      <c r="D2038" s="185" t="s">
        <v>3096</v>
      </c>
      <c r="E2038" s="185">
        <v>510570</v>
      </c>
      <c r="F2038" s="185" t="s">
        <v>1116</v>
      </c>
      <c r="G2038" s="185" t="s">
        <v>3100</v>
      </c>
      <c r="H2038" s="185" t="s">
        <v>1515</v>
      </c>
      <c r="I2038" s="258" t="str">
        <f t="shared" si="94"/>
        <v>5</v>
      </c>
      <c r="J2038" s="221">
        <f t="shared" si="95"/>
        <v>180000</v>
      </c>
      <c r="K2038" s="258">
        <f t="shared" si="96"/>
        <v>7</v>
      </c>
      <c r="L2038" s="188">
        <v>180000</v>
      </c>
      <c r="M2038" s="188">
        <v>0</v>
      </c>
      <c r="N2038" s="189">
        <v>800224808</v>
      </c>
      <c r="O2038" t="s">
        <v>3095</v>
      </c>
      <c r="P2038" s="187">
        <v>45133</v>
      </c>
      <c r="Q2038" s="186">
        <v>12760</v>
      </c>
      <c r="R2038" s="185" t="s">
        <v>1827</v>
      </c>
      <c r="S2038" s="185" t="s">
        <v>1662</v>
      </c>
      <c r="T2038" t="s">
        <v>2729</v>
      </c>
      <c r="U2038" t="str">
        <f>IF($L2038&gt;0,VLOOKUP($E2038,Valida!$A$1:$G$270,6,FALSE),IF($M2038&gt;=0,VLOOKUP($E2038,Valida!$A$1:$G$270,7,FALSE)))</f>
        <v>(+/-) Ganancia (pérdida)</v>
      </c>
      <c r="V2038" s="190" t="str">
        <f>VLOOKUP(E2038,Valida!$A$2:$K$271,4,FALSE)</f>
        <v>P&amp;L</v>
      </c>
      <c r="W2038" s="185" t="s">
        <v>1911</v>
      </c>
      <c r="X2038" s="185"/>
      <c r="Y2038" s="185" t="s">
        <v>1789</v>
      </c>
      <c r="Z2038"/>
    </row>
    <row r="2039" spans="1:26">
      <c r="A2039" s="185" t="s">
        <v>3030</v>
      </c>
      <c r="B2039" s="185" t="s">
        <v>3095</v>
      </c>
      <c r="C2039" s="185" t="s">
        <v>1897</v>
      </c>
      <c r="D2039" s="185" t="s">
        <v>3096</v>
      </c>
      <c r="E2039" s="185">
        <v>510570</v>
      </c>
      <c r="F2039" s="185" t="s">
        <v>1116</v>
      </c>
      <c r="G2039" s="185" t="s">
        <v>3100</v>
      </c>
      <c r="H2039" s="185" t="s">
        <v>1515</v>
      </c>
      <c r="I2039" s="258" t="str">
        <f t="shared" si="94"/>
        <v>5</v>
      </c>
      <c r="J2039" s="221">
        <f t="shared" si="95"/>
        <v>187000</v>
      </c>
      <c r="K2039" s="258">
        <f t="shared" si="96"/>
        <v>7</v>
      </c>
      <c r="L2039" s="188">
        <v>187000</v>
      </c>
      <c r="M2039" s="188">
        <v>0</v>
      </c>
      <c r="N2039" s="189">
        <v>800224808</v>
      </c>
      <c r="O2039" t="s">
        <v>3095</v>
      </c>
      <c r="P2039" s="187">
        <v>45133</v>
      </c>
      <c r="Q2039" s="186">
        <v>12761</v>
      </c>
      <c r="R2039" s="185" t="s">
        <v>1827</v>
      </c>
      <c r="S2039" s="185" t="s">
        <v>1662</v>
      </c>
      <c r="T2039" t="s">
        <v>2729</v>
      </c>
      <c r="U2039" t="str">
        <f>IF($L2039&gt;0,VLOOKUP($E2039,Valida!$A$1:$G$270,6,FALSE),IF($M2039&gt;=0,VLOOKUP($E2039,Valida!$A$1:$G$270,7,FALSE)))</f>
        <v>(+/-) Ganancia (pérdida)</v>
      </c>
      <c r="V2039" s="190" t="str">
        <f>VLOOKUP(E2039,Valida!$A$2:$K$271,4,FALSE)</f>
        <v>P&amp;L</v>
      </c>
      <c r="W2039" s="185" t="s">
        <v>1911</v>
      </c>
      <c r="X2039" s="185"/>
      <c r="Y2039" s="185" t="s">
        <v>1789</v>
      </c>
      <c r="Z2039"/>
    </row>
    <row r="2040" spans="1:26">
      <c r="A2040" s="185" t="s">
        <v>3030</v>
      </c>
      <c r="B2040" s="185" t="s">
        <v>3095</v>
      </c>
      <c r="C2040" s="185" t="s">
        <v>1897</v>
      </c>
      <c r="D2040" s="185" t="s">
        <v>3096</v>
      </c>
      <c r="E2040" s="185">
        <v>510570</v>
      </c>
      <c r="F2040" s="185" t="s">
        <v>1116</v>
      </c>
      <c r="G2040" s="185" t="s">
        <v>3100</v>
      </c>
      <c r="H2040" s="185" t="s">
        <v>1515</v>
      </c>
      <c r="I2040" s="258" t="str">
        <f t="shared" si="94"/>
        <v>5</v>
      </c>
      <c r="J2040" s="221">
        <f t="shared" si="95"/>
        <v>288750</v>
      </c>
      <c r="K2040" s="258">
        <f t="shared" si="96"/>
        <v>7</v>
      </c>
      <c r="L2040" s="188">
        <v>288750</v>
      </c>
      <c r="M2040" s="188">
        <v>0</v>
      </c>
      <c r="N2040" s="189">
        <v>800224808</v>
      </c>
      <c r="O2040" t="s">
        <v>3095</v>
      </c>
      <c r="P2040" s="187">
        <v>45133</v>
      </c>
      <c r="Q2040" s="186">
        <v>12762</v>
      </c>
      <c r="R2040" s="185" t="s">
        <v>1827</v>
      </c>
      <c r="S2040" s="185" t="s">
        <v>1662</v>
      </c>
      <c r="T2040" t="s">
        <v>2729</v>
      </c>
      <c r="U2040" t="str">
        <f>IF($L2040&gt;0,VLOOKUP($E2040,Valida!$A$1:$G$270,6,FALSE),IF($M2040&gt;=0,VLOOKUP($E2040,Valida!$A$1:$G$270,7,FALSE)))</f>
        <v>(+/-) Ganancia (pérdida)</v>
      </c>
      <c r="V2040" s="190" t="str">
        <f>VLOOKUP(E2040,Valida!$A$2:$K$271,4,FALSE)</f>
        <v>P&amp;L</v>
      </c>
      <c r="W2040" s="185" t="s">
        <v>1911</v>
      </c>
      <c r="X2040" s="185"/>
      <c r="Y2040" s="185" t="s">
        <v>1789</v>
      </c>
      <c r="Z2040"/>
    </row>
    <row r="2041" spans="1:26">
      <c r="A2041" s="185" t="s">
        <v>3030</v>
      </c>
      <c r="B2041" s="185" t="s">
        <v>3095</v>
      </c>
      <c r="C2041" s="185" t="s">
        <v>1897</v>
      </c>
      <c r="D2041" s="185" t="s">
        <v>3096</v>
      </c>
      <c r="E2041" s="185">
        <v>510570</v>
      </c>
      <c r="F2041" s="185" t="s">
        <v>1116</v>
      </c>
      <c r="G2041" s="185" t="s">
        <v>3100</v>
      </c>
      <c r="H2041" s="185" t="s">
        <v>1515</v>
      </c>
      <c r="I2041" s="258" t="str">
        <f t="shared" si="94"/>
        <v>5</v>
      </c>
      <c r="J2041" s="221">
        <f t="shared" si="95"/>
        <v>61667</v>
      </c>
      <c r="K2041" s="258">
        <f t="shared" si="96"/>
        <v>7</v>
      </c>
      <c r="L2041" s="188">
        <v>61667</v>
      </c>
      <c r="M2041" s="188">
        <v>0</v>
      </c>
      <c r="N2041" s="189">
        <v>800224808</v>
      </c>
      <c r="O2041" t="s">
        <v>3095</v>
      </c>
      <c r="P2041" s="187">
        <v>45133</v>
      </c>
      <c r="Q2041" s="186">
        <v>12763</v>
      </c>
      <c r="R2041" s="185" t="s">
        <v>1827</v>
      </c>
      <c r="S2041" s="185" t="s">
        <v>1662</v>
      </c>
      <c r="T2041" t="s">
        <v>2729</v>
      </c>
      <c r="U2041" t="str">
        <f>IF($L2041&gt;0,VLOOKUP($E2041,Valida!$A$1:$G$270,6,FALSE),IF($M2041&gt;=0,VLOOKUP($E2041,Valida!$A$1:$G$270,7,FALSE)))</f>
        <v>(+/-) Ganancia (pérdida)</v>
      </c>
      <c r="V2041" s="190" t="str">
        <f>VLOOKUP(E2041,Valida!$A$2:$K$271,4,FALSE)</f>
        <v>P&amp;L</v>
      </c>
      <c r="W2041" s="185" t="s">
        <v>1911</v>
      </c>
      <c r="X2041" s="185"/>
      <c r="Y2041" s="185" t="s">
        <v>1789</v>
      </c>
      <c r="Z2041"/>
    </row>
    <row r="2042" spans="1:26">
      <c r="A2042" s="185" t="s">
        <v>3030</v>
      </c>
      <c r="B2042" s="185" t="s">
        <v>3095</v>
      </c>
      <c r="C2042" s="185" t="s">
        <v>1897</v>
      </c>
      <c r="D2042" s="185" t="s">
        <v>3096</v>
      </c>
      <c r="E2042" s="185">
        <v>510570</v>
      </c>
      <c r="F2042" s="185" t="s">
        <v>1116</v>
      </c>
      <c r="G2042" s="185" t="s">
        <v>3100</v>
      </c>
      <c r="H2042" s="185" t="s">
        <v>1515</v>
      </c>
      <c r="I2042" s="258" t="str">
        <f t="shared" si="94"/>
        <v>5</v>
      </c>
      <c r="J2042" s="221">
        <f t="shared" si="95"/>
        <v>153160</v>
      </c>
      <c r="K2042" s="258">
        <f t="shared" si="96"/>
        <v>7</v>
      </c>
      <c r="L2042" s="188">
        <v>153160</v>
      </c>
      <c r="M2042" s="188">
        <v>0</v>
      </c>
      <c r="N2042" s="189">
        <v>800227940</v>
      </c>
      <c r="O2042" t="s">
        <v>3095</v>
      </c>
      <c r="P2042" s="187">
        <v>45133</v>
      </c>
      <c r="Q2042" s="186">
        <v>12764</v>
      </c>
      <c r="R2042" s="185"/>
      <c r="S2042" s="185" t="s">
        <v>1664</v>
      </c>
      <c r="T2042" t="s">
        <v>2729</v>
      </c>
      <c r="U2042" t="str">
        <f>IF($L2042&gt;0,VLOOKUP($E2042,Valida!$A$1:$G$270,6,FALSE),IF($M2042&gt;=0,VLOOKUP($E2042,Valida!$A$1:$G$270,7,FALSE)))</f>
        <v>(+/-) Ganancia (pérdida)</v>
      </c>
      <c r="V2042" s="190" t="str">
        <f>VLOOKUP(E2042,Valida!$A$2:$K$271,4,FALSE)</f>
        <v>P&amp;L</v>
      </c>
      <c r="W2042" s="185"/>
      <c r="X2042" s="185"/>
      <c r="Y2042" s="185"/>
      <c r="Z2042"/>
    </row>
    <row r="2043" spans="1:26">
      <c r="A2043" s="185" t="s">
        <v>3030</v>
      </c>
      <c r="B2043" s="185" t="s">
        <v>3095</v>
      </c>
      <c r="C2043" s="185" t="s">
        <v>1897</v>
      </c>
      <c r="D2043" s="185" t="s">
        <v>3096</v>
      </c>
      <c r="E2043" s="185">
        <v>510572</v>
      </c>
      <c r="F2043" s="185" t="s">
        <v>1118</v>
      </c>
      <c r="G2043" s="185" t="s">
        <v>3099</v>
      </c>
      <c r="H2043" s="185" t="s">
        <v>1515</v>
      </c>
      <c r="I2043" s="258" t="str">
        <f t="shared" si="94"/>
        <v>5</v>
      </c>
      <c r="J2043" s="221">
        <f t="shared" si="95"/>
        <v>23200</v>
      </c>
      <c r="K2043" s="258">
        <f t="shared" si="96"/>
        <v>7</v>
      </c>
      <c r="L2043" s="188">
        <v>23200</v>
      </c>
      <c r="M2043" s="188">
        <v>0</v>
      </c>
      <c r="N2043" s="189">
        <v>860066942</v>
      </c>
      <c r="O2043" t="s">
        <v>3095</v>
      </c>
      <c r="P2043" s="187">
        <v>45133</v>
      </c>
      <c r="Q2043" s="186">
        <v>12765</v>
      </c>
      <c r="R2043" s="185" t="s">
        <v>1814</v>
      </c>
      <c r="S2043" s="185" t="s">
        <v>1574</v>
      </c>
      <c r="T2043" t="s">
        <v>2729</v>
      </c>
      <c r="U2043" t="str">
        <f>IF($L2043&gt;0,VLOOKUP($E2043,Valida!$A$1:$G$270,6,FALSE),IF($M2043&gt;=0,VLOOKUP($E2043,Valida!$A$1:$G$270,7,FALSE)))</f>
        <v>(+/-) Ganancia (pérdida)</v>
      </c>
      <c r="V2043" s="190" t="str">
        <f>VLOOKUP(E2043,Valida!$A$2:$K$271,4,FALSE)</f>
        <v>P&amp;L</v>
      </c>
      <c r="W2043" s="185" t="s">
        <v>1914</v>
      </c>
      <c r="X2043" s="185" t="s">
        <v>1915</v>
      </c>
      <c r="Y2043" s="185" t="s">
        <v>1789</v>
      </c>
      <c r="Z2043"/>
    </row>
    <row r="2044" spans="1:26">
      <c r="A2044" s="185" t="s">
        <v>3030</v>
      </c>
      <c r="B2044" s="185" t="s">
        <v>3095</v>
      </c>
      <c r="C2044" s="185" t="s">
        <v>1897</v>
      </c>
      <c r="D2044" s="185" t="s">
        <v>3096</v>
      </c>
      <c r="E2044" s="185">
        <v>510572</v>
      </c>
      <c r="F2044" s="185" t="s">
        <v>1118</v>
      </c>
      <c r="G2044" s="185" t="s">
        <v>3099</v>
      </c>
      <c r="H2044" s="185" t="s">
        <v>1515</v>
      </c>
      <c r="I2044" s="258" t="str">
        <f t="shared" si="94"/>
        <v>5</v>
      </c>
      <c r="J2044" s="221">
        <f t="shared" si="95"/>
        <v>30000</v>
      </c>
      <c r="K2044" s="258">
        <f t="shared" si="96"/>
        <v>7</v>
      </c>
      <c r="L2044" s="188">
        <v>30000</v>
      </c>
      <c r="M2044" s="188">
        <v>0</v>
      </c>
      <c r="N2044" s="189">
        <v>860066942</v>
      </c>
      <c r="O2044" t="s">
        <v>3095</v>
      </c>
      <c r="P2044" s="187">
        <v>45133</v>
      </c>
      <c r="Q2044" s="186">
        <v>12766</v>
      </c>
      <c r="R2044" s="185" t="s">
        <v>1814</v>
      </c>
      <c r="S2044" s="185" t="s">
        <v>1574</v>
      </c>
      <c r="T2044" t="s">
        <v>2729</v>
      </c>
      <c r="U2044" t="str">
        <f>IF($L2044&gt;0,VLOOKUP($E2044,Valida!$A$1:$G$270,6,FALSE),IF($M2044&gt;=0,VLOOKUP($E2044,Valida!$A$1:$G$270,7,FALSE)))</f>
        <v>(+/-) Ganancia (pérdida)</v>
      </c>
      <c r="V2044" s="190" t="str">
        <f>VLOOKUP(E2044,Valida!$A$2:$K$271,4,FALSE)</f>
        <v>P&amp;L</v>
      </c>
      <c r="W2044" s="185" t="s">
        <v>1914</v>
      </c>
      <c r="X2044" s="185" t="s">
        <v>1915</v>
      </c>
      <c r="Y2044" s="185" t="s">
        <v>1789</v>
      </c>
      <c r="Z2044"/>
    </row>
    <row r="2045" spans="1:26">
      <c r="A2045" s="185" t="s">
        <v>3030</v>
      </c>
      <c r="B2045" s="185" t="s">
        <v>3095</v>
      </c>
      <c r="C2045" s="185" t="s">
        <v>1897</v>
      </c>
      <c r="D2045" s="185" t="s">
        <v>3096</v>
      </c>
      <c r="E2045" s="185">
        <v>510572</v>
      </c>
      <c r="F2045" s="185" t="s">
        <v>1118</v>
      </c>
      <c r="G2045" s="185" t="s">
        <v>3099</v>
      </c>
      <c r="H2045" s="185" t="s">
        <v>1515</v>
      </c>
      <c r="I2045" s="258" t="str">
        <f t="shared" si="94"/>
        <v>5</v>
      </c>
      <c r="J2045" s="221">
        <f t="shared" si="95"/>
        <v>23500</v>
      </c>
      <c r="K2045" s="258">
        <f t="shared" si="96"/>
        <v>7</v>
      </c>
      <c r="L2045" s="188">
        <v>23500</v>
      </c>
      <c r="M2045" s="188">
        <v>0</v>
      </c>
      <c r="N2045" s="189">
        <v>860066942</v>
      </c>
      <c r="O2045" t="s">
        <v>3095</v>
      </c>
      <c r="P2045" s="187">
        <v>45133</v>
      </c>
      <c r="Q2045" s="186">
        <v>12767</v>
      </c>
      <c r="R2045" s="185" t="s">
        <v>1814</v>
      </c>
      <c r="S2045" s="185" t="s">
        <v>1574</v>
      </c>
      <c r="T2045" t="s">
        <v>2729</v>
      </c>
      <c r="U2045" t="str">
        <f>IF($L2045&gt;0,VLOOKUP($E2045,Valida!$A$1:$G$270,6,FALSE),IF($M2045&gt;=0,VLOOKUP($E2045,Valida!$A$1:$G$270,7,FALSE)))</f>
        <v>(+/-) Ganancia (pérdida)</v>
      </c>
      <c r="V2045" s="190" t="str">
        <f>VLOOKUP(E2045,Valida!$A$2:$K$271,4,FALSE)</f>
        <v>P&amp;L</v>
      </c>
      <c r="W2045" s="185" t="s">
        <v>1914</v>
      </c>
      <c r="X2045" s="185" t="s">
        <v>1915</v>
      </c>
      <c r="Y2045" s="185" t="s">
        <v>1789</v>
      </c>
      <c r="Z2045"/>
    </row>
    <row r="2046" spans="1:26">
      <c r="A2046" s="185" t="s">
        <v>3030</v>
      </c>
      <c r="B2046" s="185" t="s">
        <v>3095</v>
      </c>
      <c r="C2046" s="185" t="s">
        <v>1897</v>
      </c>
      <c r="D2046" s="185" t="s">
        <v>3096</v>
      </c>
      <c r="E2046" s="185">
        <v>510572</v>
      </c>
      <c r="F2046" s="185" t="s">
        <v>1118</v>
      </c>
      <c r="G2046" s="185" t="s">
        <v>3099</v>
      </c>
      <c r="H2046" s="185" t="s">
        <v>1515</v>
      </c>
      <c r="I2046" s="258" t="str">
        <f t="shared" si="94"/>
        <v>5</v>
      </c>
      <c r="J2046" s="221">
        <f t="shared" si="95"/>
        <v>25600</v>
      </c>
      <c r="K2046" s="258">
        <f t="shared" si="96"/>
        <v>7</v>
      </c>
      <c r="L2046" s="188">
        <v>25600</v>
      </c>
      <c r="M2046" s="188">
        <v>0</v>
      </c>
      <c r="N2046" s="189">
        <v>860066942</v>
      </c>
      <c r="O2046" t="s">
        <v>3095</v>
      </c>
      <c r="P2046" s="187">
        <v>45133</v>
      </c>
      <c r="Q2046" s="186">
        <v>12768</v>
      </c>
      <c r="R2046" s="185" t="s">
        <v>1814</v>
      </c>
      <c r="S2046" s="185" t="s">
        <v>1574</v>
      </c>
      <c r="T2046" t="s">
        <v>2729</v>
      </c>
      <c r="U2046" t="str">
        <f>IF($L2046&gt;0,VLOOKUP($E2046,Valida!$A$1:$G$270,6,FALSE),IF($M2046&gt;=0,VLOOKUP($E2046,Valida!$A$1:$G$270,7,FALSE)))</f>
        <v>(+/-) Ganancia (pérdida)</v>
      </c>
      <c r="V2046" s="190" t="str">
        <f>VLOOKUP(E2046,Valida!$A$2:$K$271,4,FALSE)</f>
        <v>P&amp;L</v>
      </c>
      <c r="W2046" s="185" t="s">
        <v>1914</v>
      </c>
      <c r="X2046" s="185" t="s">
        <v>1915</v>
      </c>
      <c r="Y2046" s="185" t="s">
        <v>1789</v>
      </c>
      <c r="Z2046"/>
    </row>
    <row r="2047" spans="1:26">
      <c r="A2047" s="185" t="s">
        <v>3030</v>
      </c>
      <c r="B2047" s="185" t="s">
        <v>3095</v>
      </c>
      <c r="C2047" s="185" t="s">
        <v>1897</v>
      </c>
      <c r="D2047" s="185" t="s">
        <v>3096</v>
      </c>
      <c r="E2047" s="185">
        <v>510572</v>
      </c>
      <c r="F2047" s="185" t="s">
        <v>1118</v>
      </c>
      <c r="G2047" s="185" t="s">
        <v>3099</v>
      </c>
      <c r="H2047" s="185" t="s">
        <v>1515</v>
      </c>
      <c r="I2047" s="258" t="str">
        <f t="shared" si="94"/>
        <v>5</v>
      </c>
      <c r="J2047" s="221">
        <f t="shared" si="95"/>
        <v>48200</v>
      </c>
      <c r="K2047" s="258">
        <f t="shared" si="96"/>
        <v>7</v>
      </c>
      <c r="L2047" s="188">
        <v>48200</v>
      </c>
      <c r="M2047" s="188">
        <v>0</v>
      </c>
      <c r="N2047" s="189">
        <v>860066942</v>
      </c>
      <c r="O2047" t="s">
        <v>3095</v>
      </c>
      <c r="P2047" s="187">
        <v>45133</v>
      </c>
      <c r="Q2047" s="186">
        <v>12769</v>
      </c>
      <c r="R2047" s="185" t="s">
        <v>1814</v>
      </c>
      <c r="S2047" s="185" t="s">
        <v>1574</v>
      </c>
      <c r="T2047" t="s">
        <v>2729</v>
      </c>
      <c r="U2047" t="str">
        <f>IF($L2047&gt;0,VLOOKUP($E2047,Valida!$A$1:$G$270,6,FALSE),IF($M2047&gt;=0,VLOOKUP($E2047,Valida!$A$1:$G$270,7,FALSE)))</f>
        <v>(+/-) Ganancia (pérdida)</v>
      </c>
      <c r="V2047" s="190" t="str">
        <f>VLOOKUP(E2047,Valida!$A$2:$K$271,4,FALSE)</f>
        <v>P&amp;L</v>
      </c>
      <c r="W2047" s="185" t="s">
        <v>1914</v>
      </c>
      <c r="X2047" s="185" t="s">
        <v>1915</v>
      </c>
      <c r="Y2047" s="185" t="s">
        <v>1789</v>
      </c>
      <c r="Z2047"/>
    </row>
    <row r="2048" spans="1:26">
      <c r="A2048" s="185" t="s">
        <v>3030</v>
      </c>
      <c r="B2048" s="185" t="s">
        <v>3095</v>
      </c>
      <c r="C2048" s="185" t="s">
        <v>1897</v>
      </c>
      <c r="D2048" s="185" t="s">
        <v>3096</v>
      </c>
      <c r="E2048" s="185">
        <v>510572</v>
      </c>
      <c r="F2048" s="185" t="s">
        <v>1118</v>
      </c>
      <c r="G2048" s="185" t="s">
        <v>3099</v>
      </c>
      <c r="H2048" s="185" t="s">
        <v>1515</v>
      </c>
      <c r="I2048" s="258" t="str">
        <f t="shared" si="94"/>
        <v>5</v>
      </c>
      <c r="J2048" s="221">
        <f t="shared" si="95"/>
        <v>13900</v>
      </c>
      <c r="K2048" s="258">
        <f t="shared" si="96"/>
        <v>7</v>
      </c>
      <c r="L2048" s="188">
        <v>13900</v>
      </c>
      <c r="M2048" s="188">
        <v>0</v>
      </c>
      <c r="N2048" s="189">
        <v>860066942</v>
      </c>
      <c r="O2048" t="s">
        <v>3095</v>
      </c>
      <c r="P2048" s="187">
        <v>45133</v>
      </c>
      <c r="Q2048" s="186">
        <v>12770</v>
      </c>
      <c r="R2048" s="185" t="s">
        <v>1814</v>
      </c>
      <c r="S2048" s="185" t="s">
        <v>1574</v>
      </c>
      <c r="T2048" t="s">
        <v>2729</v>
      </c>
      <c r="U2048" t="str">
        <f>IF($L2048&gt;0,VLOOKUP($E2048,Valida!$A$1:$G$270,6,FALSE),IF($M2048&gt;=0,VLOOKUP($E2048,Valida!$A$1:$G$270,7,FALSE)))</f>
        <v>(+/-) Ganancia (pérdida)</v>
      </c>
      <c r="V2048" s="190" t="str">
        <f>VLOOKUP(E2048,Valida!$A$2:$K$271,4,FALSE)</f>
        <v>P&amp;L</v>
      </c>
      <c r="W2048" s="185" t="s">
        <v>1914</v>
      </c>
      <c r="X2048" s="185" t="s">
        <v>1915</v>
      </c>
      <c r="Y2048" s="185" t="s">
        <v>1789</v>
      </c>
      <c r="Z2048"/>
    </row>
    <row r="2049" spans="1:26">
      <c r="A2049" s="185" t="s">
        <v>3105</v>
      </c>
      <c r="B2049" s="185" t="s">
        <v>3106</v>
      </c>
      <c r="C2049" s="185" t="s">
        <v>2045</v>
      </c>
      <c r="D2049" s="185" t="s">
        <v>3107</v>
      </c>
      <c r="E2049" s="185">
        <v>23354001</v>
      </c>
      <c r="F2049" s="185" t="s">
        <v>484</v>
      </c>
      <c r="G2049" s="185" t="s">
        <v>3108</v>
      </c>
      <c r="H2049" s="185" t="s">
        <v>1628</v>
      </c>
      <c r="I2049" s="258" t="str">
        <f t="shared" si="94"/>
        <v>2</v>
      </c>
      <c r="J2049" s="221">
        <f t="shared" si="95"/>
        <v>-3955088</v>
      </c>
      <c r="K2049" s="258">
        <f t="shared" si="96"/>
        <v>8</v>
      </c>
      <c r="L2049" s="188">
        <v>0</v>
      </c>
      <c r="M2049" s="188">
        <v>3955088</v>
      </c>
      <c r="N2049" s="189">
        <v>860044821</v>
      </c>
      <c r="O2049" t="s">
        <v>3109</v>
      </c>
      <c r="P2049" s="187">
        <v>45155.449293981503</v>
      </c>
      <c r="Q2049" s="186">
        <v>12857</v>
      </c>
      <c r="R2049" s="185" t="s">
        <v>6</v>
      </c>
      <c r="S2049" s="185" t="s">
        <v>1570</v>
      </c>
      <c r="T2049"/>
      <c r="U2049" t="str">
        <f>IF($L2049&gt;0,VLOOKUP($E2049,Valida!$A$1:$G$270,6,FALSE),IF($M2049&gt;=0,VLOOKUP($E2049,Valida!$A$1:$G$270,7,FALSE)))</f>
        <v>(+/-) Ajustes por el incremento (disminución) de cuentas por pagar de origen comercial</v>
      </c>
      <c r="V2049" s="190" t="str">
        <f>VLOOKUP(E2049,Valida!$A$2:$K$271,4,FALSE)</f>
        <v>Trade and other payables</v>
      </c>
      <c r="W2049" s="185" t="s">
        <v>2048</v>
      </c>
      <c r="X2049" s="185"/>
      <c r="Y2049" s="185" t="s">
        <v>1789</v>
      </c>
      <c r="Z2049"/>
    </row>
    <row r="2050" spans="1:26">
      <c r="A2050" s="185" t="s">
        <v>3105</v>
      </c>
      <c r="B2050" s="185" t="s">
        <v>3106</v>
      </c>
      <c r="C2050" s="185" t="s">
        <v>2045</v>
      </c>
      <c r="D2050" s="185" t="s">
        <v>3107</v>
      </c>
      <c r="E2050" s="185">
        <v>51359501</v>
      </c>
      <c r="F2050" s="185" t="s">
        <v>1290</v>
      </c>
      <c r="G2050" s="185" t="s">
        <v>3110</v>
      </c>
      <c r="H2050" s="185" t="s">
        <v>1515</v>
      </c>
      <c r="I2050" s="258" t="str">
        <f t="shared" si="94"/>
        <v>5</v>
      </c>
      <c r="J2050" s="221">
        <f t="shared" si="95"/>
        <v>3955088</v>
      </c>
      <c r="K2050" s="258">
        <f t="shared" si="96"/>
        <v>8</v>
      </c>
      <c r="L2050" s="188">
        <v>3955088</v>
      </c>
      <c r="M2050" s="188">
        <v>0</v>
      </c>
      <c r="N2050" s="189">
        <v>860044821</v>
      </c>
      <c r="O2050" t="s">
        <v>3109</v>
      </c>
      <c r="P2050" s="187">
        <v>45155.449293981503</v>
      </c>
      <c r="Q2050" s="186">
        <v>12858</v>
      </c>
      <c r="R2050" s="185" t="s">
        <v>6</v>
      </c>
      <c r="S2050" s="185" t="s">
        <v>1570</v>
      </c>
      <c r="T2050"/>
      <c r="U2050" t="str">
        <f>IF($L2050&gt;0,VLOOKUP($E2050,Valida!$A$1:$G$270,6,FALSE),IF($M2050&gt;=0,VLOOKUP($E2050,Valida!$A$1:$G$270,7,FALSE)))</f>
        <v>(+/-) Ganancia (pérdida)</v>
      </c>
      <c r="V2050" s="190" t="str">
        <f>VLOOKUP(E2050,Valida!$A$2:$K$271,4,FALSE)</f>
        <v>P&amp;L</v>
      </c>
      <c r="W2050" s="185" t="s">
        <v>2048</v>
      </c>
      <c r="X2050" s="185"/>
      <c r="Y2050" s="185" t="s">
        <v>1789</v>
      </c>
      <c r="Z2050"/>
    </row>
    <row r="2051" spans="1:26">
      <c r="A2051" s="185" t="s">
        <v>3111</v>
      </c>
      <c r="B2051" s="185" t="s">
        <v>3112</v>
      </c>
      <c r="C2051" s="185" t="s">
        <v>2045</v>
      </c>
      <c r="D2051" s="185" t="s">
        <v>3113</v>
      </c>
      <c r="E2051" s="185">
        <v>23355007</v>
      </c>
      <c r="F2051" s="185" t="s">
        <v>1638</v>
      </c>
      <c r="G2051" s="185" t="s">
        <v>3114</v>
      </c>
      <c r="H2051" s="185" t="s">
        <v>1628</v>
      </c>
      <c r="I2051" s="258" t="str">
        <f t="shared" ref="I2051:I2114" si="97">LEFT(E2051,1)</f>
        <v>2</v>
      </c>
      <c r="J2051" s="221">
        <f t="shared" ref="J2051:J2114" si="98">L2051-M2051</f>
        <v>-47879.59</v>
      </c>
      <c r="K2051" s="258">
        <f t="shared" ref="K2051:K2114" si="99">MONTH(A2051)</f>
        <v>8</v>
      </c>
      <c r="L2051" s="188">
        <v>0</v>
      </c>
      <c r="M2051" s="188">
        <v>47879.59</v>
      </c>
      <c r="N2051" s="189">
        <v>444444001</v>
      </c>
      <c r="O2051" t="s">
        <v>3115</v>
      </c>
      <c r="P2051" s="187">
        <v>45155.451874999999</v>
      </c>
      <c r="Q2051" s="186">
        <v>12859</v>
      </c>
      <c r="R2051" s="185"/>
      <c r="S2051" s="185" t="s">
        <v>1548</v>
      </c>
      <c r="T2051"/>
      <c r="U2051" t="str">
        <f>IF($L2051&gt;0,VLOOKUP($E2051,Valida!$A$1:$G$270,6,FALSE),IF($M2051&gt;=0,VLOOKUP($E2051,Valida!$A$1:$G$270,7,FALSE)))</f>
        <v>(+/-) Ajustes por el incremento (disminución) de cuentas por pagar de origen comercial</v>
      </c>
      <c r="V2051" s="190" t="str">
        <f>VLOOKUP(E2051,Valida!$A$2:$K$271,4,FALSE)</f>
        <v>Trade and other payables</v>
      </c>
      <c r="W2051" s="185"/>
      <c r="X2051" s="185"/>
      <c r="Y2051" s="185"/>
      <c r="Z2051"/>
    </row>
    <row r="2052" spans="1:26">
      <c r="A2052" s="185" t="s">
        <v>3111</v>
      </c>
      <c r="B2052" s="185" t="s">
        <v>3112</v>
      </c>
      <c r="C2052" s="185" t="s">
        <v>2045</v>
      </c>
      <c r="D2052" s="185" t="s">
        <v>3113</v>
      </c>
      <c r="E2052" s="185">
        <v>51350504</v>
      </c>
      <c r="F2052" s="185" t="s">
        <v>1638</v>
      </c>
      <c r="G2052" s="185" t="s">
        <v>3116</v>
      </c>
      <c r="H2052" s="185" t="s">
        <v>1515</v>
      </c>
      <c r="I2052" s="258" t="str">
        <f t="shared" si="97"/>
        <v>5</v>
      </c>
      <c r="J2052" s="221">
        <f t="shared" si="98"/>
        <v>47879.59</v>
      </c>
      <c r="K2052" s="258">
        <f t="shared" si="99"/>
        <v>8</v>
      </c>
      <c r="L2052" s="188">
        <v>47879.59</v>
      </c>
      <c r="M2052" s="188">
        <v>0</v>
      </c>
      <c r="N2052" s="189">
        <v>444444001</v>
      </c>
      <c r="O2052" t="s">
        <v>3115</v>
      </c>
      <c r="P2052" s="187">
        <v>45155.451874999999</v>
      </c>
      <c r="Q2052" s="186">
        <v>12860</v>
      </c>
      <c r="R2052" s="185"/>
      <c r="S2052" s="185" t="s">
        <v>1548</v>
      </c>
      <c r="T2052"/>
      <c r="U2052" t="str">
        <f>IF($L2052&gt;0,VLOOKUP($E2052,Valida!$A$1:$G$270,6,FALSE),IF($M2052&gt;=0,VLOOKUP($E2052,Valida!$A$1:$G$270,7,FALSE)))</f>
        <v>(+/-) Ganancia (pérdida)</v>
      </c>
      <c r="V2052" s="190" t="str">
        <f>VLOOKUP(E2052,Valida!$A$2:$K$271,4,FALSE)</f>
        <v>P&amp;L</v>
      </c>
      <c r="W2052" s="185"/>
      <c r="X2052" s="185"/>
      <c r="Y2052" s="185"/>
      <c r="Z2052"/>
    </row>
    <row r="2053" spans="1:26">
      <c r="A2053" s="185" t="s">
        <v>3117</v>
      </c>
      <c r="B2053" s="185" t="s">
        <v>3118</v>
      </c>
      <c r="C2053" s="185" t="s">
        <v>2045</v>
      </c>
      <c r="D2053" s="185" t="s">
        <v>846</v>
      </c>
      <c r="E2053" s="185">
        <v>23355007</v>
      </c>
      <c r="F2053" s="185" t="s">
        <v>1638</v>
      </c>
      <c r="G2053" s="185" t="s">
        <v>3119</v>
      </c>
      <c r="H2053" s="185" t="s">
        <v>1628</v>
      </c>
      <c r="I2053" s="258" t="str">
        <f t="shared" si="97"/>
        <v>2</v>
      </c>
      <c r="J2053" s="221">
        <f t="shared" si="98"/>
        <v>-48560.89</v>
      </c>
      <c r="K2053" s="258">
        <f t="shared" si="99"/>
        <v>8</v>
      </c>
      <c r="L2053" s="188">
        <v>0</v>
      </c>
      <c r="M2053" s="188">
        <v>48560.89</v>
      </c>
      <c r="N2053" s="189">
        <v>444444001</v>
      </c>
      <c r="O2053" t="s">
        <v>3120</v>
      </c>
      <c r="P2053" s="187">
        <v>45156.704004629602</v>
      </c>
      <c r="Q2053" s="186">
        <v>12861</v>
      </c>
      <c r="R2053" s="185"/>
      <c r="S2053" s="185" t="s">
        <v>1548</v>
      </c>
      <c r="T2053"/>
      <c r="U2053" t="str">
        <f>IF($L2053&gt;0,VLOOKUP($E2053,Valida!$A$1:$G$270,6,FALSE),IF($M2053&gt;=0,VLOOKUP($E2053,Valida!$A$1:$G$270,7,FALSE)))</f>
        <v>(+/-) Ajustes por el incremento (disminución) de cuentas por pagar de origen comercial</v>
      </c>
      <c r="V2053" s="190" t="str">
        <f>VLOOKUP(E2053,Valida!$A$2:$K$271,4,FALSE)</f>
        <v>Trade and other payables</v>
      </c>
      <c r="W2053" s="185"/>
      <c r="X2053" s="185"/>
      <c r="Y2053" s="185"/>
      <c r="Z2053"/>
    </row>
    <row r="2054" spans="1:26">
      <c r="A2054" s="185" t="s">
        <v>3117</v>
      </c>
      <c r="B2054" s="185" t="s">
        <v>3118</v>
      </c>
      <c r="C2054" s="185" t="s">
        <v>2045</v>
      </c>
      <c r="D2054" s="185" t="s">
        <v>846</v>
      </c>
      <c r="E2054" s="185">
        <v>51350504</v>
      </c>
      <c r="F2054" s="185" t="s">
        <v>1638</v>
      </c>
      <c r="G2054" s="185" t="s">
        <v>3121</v>
      </c>
      <c r="H2054" s="185" t="s">
        <v>1515</v>
      </c>
      <c r="I2054" s="258" t="str">
        <f t="shared" si="97"/>
        <v>5</v>
      </c>
      <c r="J2054" s="221">
        <f t="shared" si="98"/>
        <v>48560.89</v>
      </c>
      <c r="K2054" s="258">
        <f t="shared" si="99"/>
        <v>8</v>
      </c>
      <c r="L2054" s="188">
        <v>48560.89</v>
      </c>
      <c r="M2054" s="188">
        <v>0</v>
      </c>
      <c r="N2054" s="189">
        <v>444444001</v>
      </c>
      <c r="O2054" t="s">
        <v>3120</v>
      </c>
      <c r="P2054" s="187">
        <v>45156.704004629602</v>
      </c>
      <c r="Q2054" s="186">
        <v>12862</v>
      </c>
      <c r="R2054" s="185"/>
      <c r="S2054" s="185" t="s">
        <v>1548</v>
      </c>
      <c r="T2054"/>
      <c r="U2054" t="str">
        <f>IF($L2054&gt;0,VLOOKUP($E2054,Valida!$A$1:$G$270,6,FALSE),IF($M2054&gt;=0,VLOOKUP($E2054,Valida!$A$1:$G$270,7,FALSE)))</f>
        <v>(+/-) Ganancia (pérdida)</v>
      </c>
      <c r="V2054" s="190" t="str">
        <f>VLOOKUP(E2054,Valida!$A$2:$K$271,4,FALSE)</f>
        <v>P&amp;L</v>
      </c>
      <c r="W2054" s="185"/>
      <c r="X2054" s="185"/>
      <c r="Y2054" s="185"/>
      <c r="Z2054"/>
    </row>
    <row r="2055" spans="1:26">
      <c r="A2055" s="185" t="s">
        <v>3117</v>
      </c>
      <c r="B2055" s="185" t="s">
        <v>3122</v>
      </c>
      <c r="C2055" s="185" t="s">
        <v>2045</v>
      </c>
      <c r="D2055" s="185" t="s">
        <v>872</v>
      </c>
      <c r="E2055" s="185">
        <v>23355007</v>
      </c>
      <c r="F2055" s="185" t="s">
        <v>1638</v>
      </c>
      <c r="G2055" s="185" t="s">
        <v>3123</v>
      </c>
      <c r="H2055" s="185" t="s">
        <v>1628</v>
      </c>
      <c r="I2055" s="258" t="str">
        <f t="shared" si="97"/>
        <v>2</v>
      </c>
      <c r="J2055" s="221">
        <f t="shared" si="98"/>
        <v>-48560.89</v>
      </c>
      <c r="K2055" s="258">
        <f t="shared" si="99"/>
        <v>8</v>
      </c>
      <c r="L2055" s="188">
        <v>0</v>
      </c>
      <c r="M2055" s="188">
        <v>48560.89</v>
      </c>
      <c r="N2055" s="189">
        <v>444444001</v>
      </c>
      <c r="O2055" t="s">
        <v>3124</v>
      </c>
      <c r="P2055" s="187">
        <v>45156.705497685201</v>
      </c>
      <c r="Q2055" s="186">
        <v>12863</v>
      </c>
      <c r="R2055" s="185"/>
      <c r="S2055" s="185" t="s">
        <v>1548</v>
      </c>
      <c r="T2055"/>
      <c r="U2055" t="str">
        <f>IF($L2055&gt;0,VLOOKUP($E2055,Valida!$A$1:$G$270,6,FALSE),IF($M2055&gt;=0,VLOOKUP($E2055,Valida!$A$1:$G$270,7,FALSE)))</f>
        <v>(+/-) Ajustes por el incremento (disminución) de cuentas por pagar de origen comercial</v>
      </c>
      <c r="V2055" s="190" t="str">
        <f>VLOOKUP(E2055,Valida!$A$2:$K$271,4,FALSE)</f>
        <v>Trade and other payables</v>
      </c>
      <c r="W2055" s="185"/>
      <c r="X2055" s="185"/>
      <c r="Y2055" s="185"/>
      <c r="Z2055"/>
    </row>
    <row r="2056" spans="1:26">
      <c r="A2056" s="185" t="s">
        <v>3117</v>
      </c>
      <c r="B2056" s="185" t="s">
        <v>3122</v>
      </c>
      <c r="C2056" s="185" t="s">
        <v>2045</v>
      </c>
      <c r="D2056" s="185" t="s">
        <v>872</v>
      </c>
      <c r="E2056" s="185">
        <v>51350504</v>
      </c>
      <c r="F2056" s="185" t="s">
        <v>1638</v>
      </c>
      <c r="G2056" s="185" t="s">
        <v>3125</v>
      </c>
      <c r="H2056" s="185" t="s">
        <v>1515</v>
      </c>
      <c r="I2056" s="258" t="str">
        <f t="shared" si="97"/>
        <v>5</v>
      </c>
      <c r="J2056" s="221">
        <f t="shared" si="98"/>
        <v>48560.89</v>
      </c>
      <c r="K2056" s="258">
        <f t="shared" si="99"/>
        <v>8</v>
      </c>
      <c r="L2056" s="188">
        <v>48560.89</v>
      </c>
      <c r="M2056" s="188">
        <v>0</v>
      </c>
      <c r="N2056" s="189">
        <v>444444001</v>
      </c>
      <c r="O2056" t="s">
        <v>3124</v>
      </c>
      <c r="P2056" s="187">
        <v>45156.705497685201</v>
      </c>
      <c r="Q2056" s="186">
        <v>12864</v>
      </c>
      <c r="R2056" s="185"/>
      <c r="S2056" s="185" t="s">
        <v>1548</v>
      </c>
      <c r="T2056"/>
      <c r="U2056" t="str">
        <f>IF($L2056&gt;0,VLOOKUP($E2056,Valida!$A$1:$G$270,6,FALSE),IF($M2056&gt;=0,VLOOKUP($E2056,Valida!$A$1:$G$270,7,FALSE)))</f>
        <v>(+/-) Ganancia (pérdida)</v>
      </c>
      <c r="V2056" s="190" t="str">
        <f>VLOOKUP(E2056,Valida!$A$2:$K$271,4,FALSE)</f>
        <v>P&amp;L</v>
      </c>
      <c r="W2056" s="185"/>
      <c r="X2056" s="185"/>
      <c r="Y2056" s="185"/>
      <c r="Z2056"/>
    </row>
    <row r="2057" spans="1:26">
      <c r="A2057" s="185" t="s">
        <v>3117</v>
      </c>
      <c r="B2057" s="185" t="s">
        <v>3126</v>
      </c>
      <c r="C2057" s="185" t="s">
        <v>2045</v>
      </c>
      <c r="D2057" s="185" t="s">
        <v>896</v>
      </c>
      <c r="E2057" s="185">
        <v>23355007</v>
      </c>
      <c r="F2057" s="185" t="s">
        <v>1638</v>
      </c>
      <c r="G2057" s="185" t="s">
        <v>3127</v>
      </c>
      <c r="H2057" s="185" t="s">
        <v>1628</v>
      </c>
      <c r="I2057" s="258" t="str">
        <f t="shared" si="97"/>
        <v>2</v>
      </c>
      <c r="J2057" s="221">
        <f t="shared" si="98"/>
        <v>-48560.89</v>
      </c>
      <c r="K2057" s="258">
        <f t="shared" si="99"/>
        <v>8</v>
      </c>
      <c r="L2057" s="188">
        <v>0</v>
      </c>
      <c r="M2057" s="188">
        <v>48560.89</v>
      </c>
      <c r="N2057" s="189">
        <v>444444001</v>
      </c>
      <c r="O2057" t="s">
        <v>3128</v>
      </c>
      <c r="P2057" s="187">
        <v>45156.706585648099</v>
      </c>
      <c r="Q2057" s="186">
        <v>12865</v>
      </c>
      <c r="R2057" s="185"/>
      <c r="S2057" s="185" t="s">
        <v>1548</v>
      </c>
      <c r="T2057"/>
      <c r="U2057" t="str">
        <f>IF($L2057&gt;0,VLOOKUP($E2057,Valida!$A$1:$G$270,6,FALSE),IF($M2057&gt;=0,VLOOKUP($E2057,Valida!$A$1:$G$270,7,FALSE)))</f>
        <v>(+/-) Ajustes por el incremento (disminución) de cuentas por pagar de origen comercial</v>
      </c>
      <c r="V2057" s="190" t="str">
        <f>VLOOKUP(E2057,Valida!$A$2:$K$271,4,FALSE)</f>
        <v>Trade and other payables</v>
      </c>
      <c r="W2057" s="185"/>
      <c r="X2057" s="185"/>
      <c r="Y2057" s="185"/>
      <c r="Z2057"/>
    </row>
    <row r="2058" spans="1:26">
      <c r="A2058" s="185" t="s">
        <v>3117</v>
      </c>
      <c r="B2058" s="185" t="s">
        <v>3126</v>
      </c>
      <c r="C2058" s="185" t="s">
        <v>2045</v>
      </c>
      <c r="D2058" s="185" t="s">
        <v>896</v>
      </c>
      <c r="E2058" s="185">
        <v>51350504</v>
      </c>
      <c r="F2058" s="185" t="s">
        <v>1638</v>
      </c>
      <c r="G2058" s="185" t="s">
        <v>3129</v>
      </c>
      <c r="H2058" s="185" t="s">
        <v>1515</v>
      </c>
      <c r="I2058" s="258" t="str">
        <f t="shared" si="97"/>
        <v>5</v>
      </c>
      <c r="J2058" s="221">
        <f t="shared" si="98"/>
        <v>48560.89</v>
      </c>
      <c r="K2058" s="258">
        <f t="shared" si="99"/>
        <v>8</v>
      </c>
      <c r="L2058" s="188">
        <v>48560.89</v>
      </c>
      <c r="M2058" s="188">
        <v>0</v>
      </c>
      <c r="N2058" s="189">
        <v>444444001</v>
      </c>
      <c r="O2058" t="s">
        <v>3128</v>
      </c>
      <c r="P2058" s="187">
        <v>45156.706585648099</v>
      </c>
      <c r="Q2058" s="186">
        <v>12866</v>
      </c>
      <c r="R2058" s="185"/>
      <c r="S2058" s="185" t="s">
        <v>1548</v>
      </c>
      <c r="T2058"/>
      <c r="U2058" t="str">
        <f>IF($L2058&gt;0,VLOOKUP($E2058,Valida!$A$1:$G$270,6,FALSE),IF($M2058&gt;=0,VLOOKUP($E2058,Valida!$A$1:$G$270,7,FALSE)))</f>
        <v>(+/-) Ganancia (pérdida)</v>
      </c>
      <c r="V2058" s="190" t="str">
        <f>VLOOKUP(E2058,Valida!$A$2:$K$271,4,FALSE)</f>
        <v>P&amp;L</v>
      </c>
      <c r="W2058" s="185"/>
      <c r="X2058" s="185"/>
      <c r="Y2058" s="185"/>
      <c r="Z2058"/>
    </row>
    <row r="2059" spans="1:26">
      <c r="A2059" s="185" t="s">
        <v>3130</v>
      </c>
      <c r="B2059" s="185" t="s">
        <v>3131</v>
      </c>
      <c r="C2059" s="185" t="s">
        <v>1792</v>
      </c>
      <c r="D2059" s="185" t="s">
        <v>2186</v>
      </c>
      <c r="E2059" s="185">
        <v>51953001</v>
      </c>
      <c r="F2059" s="185" t="s">
        <v>1418</v>
      </c>
      <c r="G2059" s="185" t="s">
        <v>2052</v>
      </c>
      <c r="H2059" s="185" t="s">
        <v>1515</v>
      </c>
      <c r="I2059" s="258" t="str">
        <f t="shared" si="97"/>
        <v>5</v>
      </c>
      <c r="J2059" s="221">
        <f t="shared" si="98"/>
        <v>429100</v>
      </c>
      <c r="K2059" s="258">
        <f t="shared" si="99"/>
        <v>8</v>
      </c>
      <c r="L2059" s="188">
        <v>429100</v>
      </c>
      <c r="M2059" s="188">
        <v>0</v>
      </c>
      <c r="N2059" s="189">
        <v>901051438</v>
      </c>
      <c r="O2059" t="s">
        <v>3132</v>
      </c>
      <c r="P2059" s="187">
        <v>45156.707905092597</v>
      </c>
      <c r="Q2059" s="186">
        <v>12867</v>
      </c>
      <c r="R2059" s="185" t="s">
        <v>1841</v>
      </c>
      <c r="S2059" s="185" t="s">
        <v>1608</v>
      </c>
      <c r="T2059"/>
      <c r="U2059" t="str">
        <f>IF($L2059&gt;0,VLOOKUP($E2059,Valida!$A$1:$G$270,6,FALSE),IF($M2059&gt;=0,VLOOKUP($E2059,Valida!$A$1:$G$270,7,FALSE)))</f>
        <v>(+/-) Ganancia (pérdida)</v>
      </c>
      <c r="V2059" s="190" t="str">
        <f>VLOOKUP(E2059,Valida!$A$2:$K$271,4,FALSE)</f>
        <v>P&amp;L</v>
      </c>
      <c r="W2059" s="185" t="s">
        <v>1878</v>
      </c>
      <c r="X2059" s="185" t="s">
        <v>1879</v>
      </c>
      <c r="Y2059" s="185" t="s">
        <v>1789</v>
      </c>
      <c r="Z2059"/>
    </row>
    <row r="2060" spans="1:26">
      <c r="A2060" s="185" t="s">
        <v>3130</v>
      </c>
      <c r="B2060" s="185" t="s">
        <v>3131</v>
      </c>
      <c r="C2060" s="185" t="s">
        <v>1792</v>
      </c>
      <c r="D2060" s="185" t="s">
        <v>2186</v>
      </c>
      <c r="E2060" s="185">
        <v>23359505</v>
      </c>
      <c r="F2060" s="185" t="s">
        <v>557</v>
      </c>
      <c r="G2060" s="185" t="s">
        <v>2052</v>
      </c>
      <c r="H2060" s="185" t="s">
        <v>1628</v>
      </c>
      <c r="I2060" s="258" t="str">
        <f t="shared" si="97"/>
        <v>2</v>
      </c>
      <c r="J2060" s="221">
        <f t="shared" si="98"/>
        <v>-510629</v>
      </c>
      <c r="K2060" s="258">
        <f t="shared" si="99"/>
        <v>8</v>
      </c>
      <c r="L2060" s="188">
        <v>0</v>
      </c>
      <c r="M2060" s="188">
        <v>510629</v>
      </c>
      <c r="N2060" s="189">
        <v>901051438</v>
      </c>
      <c r="O2060" t="s">
        <v>3132</v>
      </c>
      <c r="P2060" s="187">
        <v>45156.707916666703</v>
      </c>
      <c r="Q2060" s="186">
        <v>12868</v>
      </c>
      <c r="R2060" s="185" t="s">
        <v>1841</v>
      </c>
      <c r="S2060" s="185" t="s">
        <v>1608</v>
      </c>
      <c r="T2060"/>
      <c r="U2060" t="str">
        <f>IF($L2060&gt;0,VLOOKUP($E2060,Valida!$A$1:$G$270,6,FALSE),IF($M2060&gt;=0,VLOOKUP($E2060,Valida!$A$1:$G$270,7,FALSE)))</f>
        <v>(+/-) Ajustes por el incremento (disminución) de cuentas por pagar de origen comercial</v>
      </c>
      <c r="V2060" s="190" t="str">
        <f>VLOOKUP(E2060,Valida!$A$2:$K$271,4,FALSE)</f>
        <v>Trade and other payables</v>
      </c>
      <c r="W2060" s="185" t="s">
        <v>1878</v>
      </c>
      <c r="X2060" s="185" t="s">
        <v>1879</v>
      </c>
      <c r="Y2060" s="185" t="s">
        <v>1789</v>
      </c>
      <c r="Z2060"/>
    </row>
    <row r="2061" spans="1:26">
      <c r="A2061" s="185" t="s">
        <v>3130</v>
      </c>
      <c r="B2061" s="185" t="s">
        <v>3131</v>
      </c>
      <c r="C2061" s="185" t="s">
        <v>1792</v>
      </c>
      <c r="D2061" s="185" t="s">
        <v>2186</v>
      </c>
      <c r="E2061" s="185">
        <v>24081001</v>
      </c>
      <c r="F2061" s="185" t="s">
        <v>1670</v>
      </c>
      <c r="G2061" s="185" t="s">
        <v>2052</v>
      </c>
      <c r="H2061" s="185" t="s">
        <v>1515</v>
      </c>
      <c r="I2061" s="258" t="str">
        <f t="shared" si="97"/>
        <v>2</v>
      </c>
      <c r="J2061" s="221">
        <f t="shared" si="98"/>
        <v>81529</v>
      </c>
      <c r="K2061" s="258">
        <f t="shared" si="99"/>
        <v>8</v>
      </c>
      <c r="L2061" s="188">
        <v>81529</v>
      </c>
      <c r="M2061" s="188">
        <v>0</v>
      </c>
      <c r="N2061" s="189">
        <v>901051438</v>
      </c>
      <c r="O2061" t="s">
        <v>3132</v>
      </c>
      <c r="P2061" s="187">
        <v>45156.707916666703</v>
      </c>
      <c r="Q2061" s="186">
        <v>12869</v>
      </c>
      <c r="R2061" s="185" t="s">
        <v>1841</v>
      </c>
      <c r="S2061" s="185" t="s">
        <v>1608</v>
      </c>
      <c r="T2061"/>
      <c r="U2061" t="str">
        <f>IF($L2061&gt;0,VLOOKUP($E2061,Valida!$A$1:$G$270,6,FALSE),IF($M2061&gt;=0,VLOOKUP($E2061,Valida!$A$1:$G$270,7,FALSE)))</f>
        <v>(+/-) Ajustes por el incremento (disminución) de cuentas por pagar de origen comercial</v>
      </c>
      <c r="V2061" s="190" t="str">
        <f>VLOOKUP(E2061,Valida!$A$2:$K$271,4,FALSE)</f>
        <v>Trade and other payables</v>
      </c>
      <c r="W2061" s="185" t="s">
        <v>1878</v>
      </c>
      <c r="X2061" s="185" t="s">
        <v>1879</v>
      </c>
      <c r="Y2061" s="185" t="s">
        <v>1789</v>
      </c>
      <c r="Z2061"/>
    </row>
    <row r="2062" spans="1:26">
      <c r="A2062" s="185" t="s">
        <v>3133</v>
      </c>
      <c r="B2062" s="185" t="s">
        <v>3134</v>
      </c>
      <c r="C2062" s="185" t="s">
        <v>1792</v>
      </c>
      <c r="D2062" s="185" t="s">
        <v>2188</v>
      </c>
      <c r="E2062" s="185">
        <v>51952501</v>
      </c>
      <c r="F2062" s="185" t="s">
        <v>1412</v>
      </c>
      <c r="G2062" s="185" t="s">
        <v>1412</v>
      </c>
      <c r="H2062" s="185" t="s">
        <v>1515</v>
      </c>
      <c r="I2062" s="258" t="str">
        <f t="shared" si="97"/>
        <v>5</v>
      </c>
      <c r="J2062" s="221">
        <f t="shared" si="98"/>
        <v>1484111</v>
      </c>
      <c r="K2062" s="258">
        <f t="shared" si="99"/>
        <v>8</v>
      </c>
      <c r="L2062" s="188">
        <v>1484111</v>
      </c>
      <c r="M2062" s="188">
        <v>0</v>
      </c>
      <c r="N2062" s="189">
        <v>830062853</v>
      </c>
      <c r="O2062" t="s">
        <v>3135</v>
      </c>
      <c r="P2062" s="187">
        <v>45156.717731481498</v>
      </c>
      <c r="Q2062" s="186">
        <v>12870</v>
      </c>
      <c r="R2062" s="185" t="s">
        <v>433</v>
      </c>
      <c r="S2062" s="185" t="s">
        <v>1564</v>
      </c>
      <c r="T2062"/>
      <c r="U2062" t="str">
        <f>IF($L2062&gt;0,VLOOKUP($E2062,Valida!$A$1:$G$270,6,FALSE),IF($M2062&gt;=0,VLOOKUP($E2062,Valida!$A$1:$G$270,7,FALSE)))</f>
        <v>(+/-) Ganancia (pérdida)</v>
      </c>
      <c r="V2062" s="190" t="str">
        <f>VLOOKUP(E2062,Valida!$A$2:$K$271,4,FALSE)</f>
        <v>P&amp;L</v>
      </c>
      <c r="W2062" s="185" t="s">
        <v>2024</v>
      </c>
      <c r="X2062" s="185" t="s">
        <v>2025</v>
      </c>
      <c r="Y2062" s="185" t="s">
        <v>1789</v>
      </c>
      <c r="Z2062"/>
    </row>
    <row r="2063" spans="1:26">
      <c r="A2063" s="185" t="s">
        <v>3133</v>
      </c>
      <c r="B2063" s="185" t="s">
        <v>3134</v>
      </c>
      <c r="C2063" s="185" t="s">
        <v>1792</v>
      </c>
      <c r="D2063" s="185" t="s">
        <v>2188</v>
      </c>
      <c r="E2063" s="185">
        <v>24081001</v>
      </c>
      <c r="F2063" s="185" t="s">
        <v>1670</v>
      </c>
      <c r="G2063" s="185" t="s">
        <v>1412</v>
      </c>
      <c r="H2063" s="185" t="s">
        <v>1515</v>
      </c>
      <c r="I2063" s="258" t="str">
        <f t="shared" si="97"/>
        <v>2</v>
      </c>
      <c r="J2063" s="221">
        <f t="shared" si="98"/>
        <v>279286</v>
      </c>
      <c r="K2063" s="258">
        <f t="shared" si="99"/>
        <v>8</v>
      </c>
      <c r="L2063" s="188">
        <v>279286</v>
      </c>
      <c r="M2063" s="188">
        <v>0</v>
      </c>
      <c r="N2063" s="189">
        <v>830062853</v>
      </c>
      <c r="O2063" t="s">
        <v>3135</v>
      </c>
      <c r="P2063" s="187">
        <v>45156.717731481498</v>
      </c>
      <c r="Q2063" s="186">
        <v>12871</v>
      </c>
      <c r="R2063" s="185" t="s">
        <v>433</v>
      </c>
      <c r="S2063" s="185" t="s">
        <v>1564</v>
      </c>
      <c r="T2063"/>
      <c r="U2063" t="str">
        <f>IF($L2063&gt;0,VLOOKUP($E2063,Valida!$A$1:$G$270,6,FALSE),IF($M2063&gt;=0,VLOOKUP($E2063,Valida!$A$1:$G$270,7,FALSE)))</f>
        <v>(+/-) Ajustes por el incremento (disminución) de cuentas por pagar de origen comercial</v>
      </c>
      <c r="V2063" s="190" t="str">
        <f>VLOOKUP(E2063,Valida!$A$2:$K$271,4,FALSE)</f>
        <v>Trade and other payables</v>
      </c>
      <c r="W2063" s="185" t="s">
        <v>2024</v>
      </c>
      <c r="X2063" s="185" t="s">
        <v>2025</v>
      </c>
      <c r="Y2063" s="185" t="s">
        <v>1789</v>
      </c>
      <c r="Z2063"/>
    </row>
    <row r="2064" spans="1:26">
      <c r="A2064" s="185" t="s">
        <v>3133</v>
      </c>
      <c r="B2064" s="185" t="s">
        <v>3134</v>
      </c>
      <c r="C2064" s="185" t="s">
        <v>1792</v>
      </c>
      <c r="D2064" s="185" t="s">
        <v>2188</v>
      </c>
      <c r="E2064" s="185">
        <v>51952502</v>
      </c>
      <c r="F2064" s="185" t="s">
        <v>1414</v>
      </c>
      <c r="G2064" s="185" t="s">
        <v>1414</v>
      </c>
      <c r="H2064" s="185" t="s">
        <v>1515</v>
      </c>
      <c r="I2064" s="258" t="str">
        <f t="shared" si="97"/>
        <v>5</v>
      </c>
      <c r="J2064" s="221">
        <f t="shared" si="98"/>
        <v>170520</v>
      </c>
      <c r="K2064" s="258">
        <f t="shared" si="99"/>
        <v>8</v>
      </c>
      <c r="L2064" s="188">
        <v>170520</v>
      </c>
      <c r="M2064" s="188">
        <v>0</v>
      </c>
      <c r="N2064" s="189">
        <v>830062853</v>
      </c>
      <c r="O2064" t="s">
        <v>3135</v>
      </c>
      <c r="P2064" s="187">
        <v>45156.717731481498</v>
      </c>
      <c r="Q2064" s="186">
        <v>12872</v>
      </c>
      <c r="R2064" s="185" t="s">
        <v>433</v>
      </c>
      <c r="S2064" s="185" t="s">
        <v>1564</v>
      </c>
      <c r="T2064"/>
      <c r="U2064" t="str">
        <f>IF($L2064&gt;0,VLOOKUP($E2064,Valida!$A$1:$G$270,6,FALSE),IF($M2064&gt;=0,VLOOKUP($E2064,Valida!$A$1:$G$270,7,FALSE)))</f>
        <v>(+/-) Ganancia (pérdida)</v>
      </c>
      <c r="V2064" s="190" t="str">
        <f>VLOOKUP(E2064,Valida!$A$2:$K$271,4,FALSE)</f>
        <v>P&amp;L</v>
      </c>
      <c r="W2064" s="185" t="s">
        <v>2024</v>
      </c>
      <c r="X2064" s="185" t="s">
        <v>2025</v>
      </c>
      <c r="Y2064" s="185" t="s">
        <v>1789</v>
      </c>
      <c r="Z2064"/>
    </row>
    <row r="2065" spans="1:26">
      <c r="A2065" s="185" t="s">
        <v>3133</v>
      </c>
      <c r="B2065" s="185" t="s">
        <v>3134</v>
      </c>
      <c r="C2065" s="185" t="s">
        <v>1792</v>
      </c>
      <c r="D2065" s="185" t="s">
        <v>2188</v>
      </c>
      <c r="E2065" s="185">
        <v>24081005</v>
      </c>
      <c r="F2065" s="185" t="s">
        <v>1688</v>
      </c>
      <c r="G2065" s="185" t="s">
        <v>1414</v>
      </c>
      <c r="H2065" s="185" t="s">
        <v>1515</v>
      </c>
      <c r="I2065" s="258" t="str">
        <f t="shared" si="97"/>
        <v>2</v>
      </c>
      <c r="J2065" s="221">
        <f t="shared" si="98"/>
        <v>8526</v>
      </c>
      <c r="K2065" s="258">
        <f t="shared" si="99"/>
        <v>8</v>
      </c>
      <c r="L2065" s="188">
        <v>8526</v>
      </c>
      <c r="M2065" s="188">
        <v>0</v>
      </c>
      <c r="N2065" s="189">
        <v>830062853</v>
      </c>
      <c r="O2065" t="s">
        <v>3135</v>
      </c>
      <c r="P2065" s="187">
        <v>45156.717731481498</v>
      </c>
      <c r="Q2065" s="186">
        <v>12873</v>
      </c>
      <c r="R2065" s="185" t="s">
        <v>433</v>
      </c>
      <c r="S2065" s="185" t="s">
        <v>1564</v>
      </c>
      <c r="T2065"/>
      <c r="U2065" t="str">
        <f>IF($L2065&gt;0,VLOOKUP($E2065,Valida!$A$1:$G$270,6,FALSE),IF($M2065&gt;=0,VLOOKUP($E2065,Valida!$A$1:$G$270,7,FALSE)))</f>
        <v>(+/-) Ajustes por el incremento (disminución) de cuentas por pagar de origen comercial</v>
      </c>
      <c r="V2065" s="190" t="str">
        <f>VLOOKUP(E2065,Valida!$A$2:$K$271,4,FALSE)</f>
        <v>Trade and other payables</v>
      </c>
      <c r="W2065" s="185" t="s">
        <v>2024</v>
      </c>
      <c r="X2065" s="185" t="s">
        <v>2025</v>
      </c>
      <c r="Y2065" s="185" t="s">
        <v>1789</v>
      </c>
      <c r="Z2065"/>
    </row>
    <row r="2066" spans="1:26">
      <c r="A2066" s="185" t="s">
        <v>3133</v>
      </c>
      <c r="B2066" s="185" t="s">
        <v>3134</v>
      </c>
      <c r="C2066" s="185" t="s">
        <v>1792</v>
      </c>
      <c r="D2066" s="185" t="s">
        <v>2188</v>
      </c>
      <c r="E2066" s="185">
        <v>51952502</v>
      </c>
      <c r="F2066" s="185" t="s">
        <v>1414</v>
      </c>
      <c r="G2066" s="185" t="s">
        <v>1414</v>
      </c>
      <c r="H2066" s="185" t="s">
        <v>1515</v>
      </c>
      <c r="I2066" s="258" t="str">
        <f t="shared" si="97"/>
        <v>5</v>
      </c>
      <c r="J2066" s="221">
        <f t="shared" si="98"/>
        <v>311100</v>
      </c>
      <c r="K2066" s="258">
        <f t="shared" si="99"/>
        <v>8</v>
      </c>
      <c r="L2066" s="188">
        <v>311100</v>
      </c>
      <c r="M2066" s="188">
        <v>0</v>
      </c>
      <c r="N2066" s="189">
        <v>830062853</v>
      </c>
      <c r="O2066" t="s">
        <v>3135</v>
      </c>
      <c r="P2066" s="187">
        <v>45156.717731481498</v>
      </c>
      <c r="Q2066" s="186">
        <v>12874</v>
      </c>
      <c r="R2066" s="185" t="s">
        <v>433</v>
      </c>
      <c r="S2066" s="185" t="s">
        <v>1564</v>
      </c>
      <c r="T2066"/>
      <c r="U2066" t="str">
        <f>IF($L2066&gt;0,VLOOKUP($E2066,Valida!$A$1:$G$270,6,FALSE),IF($M2066&gt;=0,VLOOKUP($E2066,Valida!$A$1:$G$270,7,FALSE)))</f>
        <v>(+/-) Ganancia (pérdida)</v>
      </c>
      <c r="V2066" s="190" t="str">
        <f>VLOOKUP(E2066,Valida!$A$2:$K$271,4,FALSE)</f>
        <v>P&amp;L</v>
      </c>
      <c r="W2066" s="185" t="s">
        <v>2024</v>
      </c>
      <c r="X2066" s="185" t="s">
        <v>2025</v>
      </c>
      <c r="Y2066" s="185" t="s">
        <v>1789</v>
      </c>
      <c r="Z2066"/>
    </row>
    <row r="2067" spans="1:26">
      <c r="A2067" s="185" t="s">
        <v>3133</v>
      </c>
      <c r="B2067" s="185" t="s">
        <v>3134</v>
      </c>
      <c r="C2067" s="185" t="s">
        <v>1792</v>
      </c>
      <c r="D2067" s="185" t="s">
        <v>2188</v>
      </c>
      <c r="E2067" s="185">
        <v>24081001</v>
      </c>
      <c r="F2067" s="185" t="s">
        <v>1670</v>
      </c>
      <c r="G2067" s="185" t="s">
        <v>1414</v>
      </c>
      <c r="H2067" s="185" t="s">
        <v>1515</v>
      </c>
      <c r="I2067" s="258" t="str">
        <f t="shared" si="97"/>
        <v>2</v>
      </c>
      <c r="J2067" s="221">
        <f t="shared" si="98"/>
        <v>59109</v>
      </c>
      <c r="K2067" s="258">
        <f t="shared" si="99"/>
        <v>8</v>
      </c>
      <c r="L2067" s="188">
        <v>59109</v>
      </c>
      <c r="M2067" s="188">
        <v>0</v>
      </c>
      <c r="N2067" s="189">
        <v>830062853</v>
      </c>
      <c r="O2067" t="s">
        <v>3135</v>
      </c>
      <c r="P2067" s="187">
        <v>45156.717731481498</v>
      </c>
      <c r="Q2067" s="186">
        <v>12875</v>
      </c>
      <c r="R2067" s="185" t="s">
        <v>433</v>
      </c>
      <c r="S2067" s="185" t="s">
        <v>1564</v>
      </c>
      <c r="T2067"/>
      <c r="U2067" t="str">
        <f>IF($L2067&gt;0,VLOOKUP($E2067,Valida!$A$1:$G$270,6,FALSE),IF($M2067&gt;=0,VLOOKUP($E2067,Valida!$A$1:$G$270,7,FALSE)))</f>
        <v>(+/-) Ajustes por el incremento (disminución) de cuentas por pagar de origen comercial</v>
      </c>
      <c r="V2067" s="190" t="str">
        <f>VLOOKUP(E2067,Valida!$A$2:$K$271,4,FALSE)</f>
        <v>Trade and other payables</v>
      </c>
      <c r="W2067" s="185" t="s">
        <v>2024</v>
      </c>
      <c r="X2067" s="185" t="s">
        <v>2025</v>
      </c>
      <c r="Y2067" s="185" t="s">
        <v>1789</v>
      </c>
      <c r="Z2067"/>
    </row>
    <row r="2068" spans="1:26">
      <c r="A2068" s="185" t="s">
        <v>3133</v>
      </c>
      <c r="B2068" s="185" t="s">
        <v>3134</v>
      </c>
      <c r="C2068" s="185" t="s">
        <v>1792</v>
      </c>
      <c r="D2068" s="185" t="s">
        <v>2188</v>
      </c>
      <c r="E2068" s="185">
        <v>23654001</v>
      </c>
      <c r="F2068" s="185" t="s">
        <v>622</v>
      </c>
      <c r="G2068" s="185" t="s">
        <v>622</v>
      </c>
      <c r="H2068" s="185" t="s">
        <v>1628</v>
      </c>
      <c r="I2068" s="258" t="str">
        <f t="shared" si="97"/>
        <v>2</v>
      </c>
      <c r="J2068" s="221">
        <f t="shared" si="98"/>
        <v>-49143</v>
      </c>
      <c r="K2068" s="258">
        <f t="shared" si="99"/>
        <v>8</v>
      </c>
      <c r="L2068" s="188">
        <v>0</v>
      </c>
      <c r="M2068" s="188">
        <v>49143</v>
      </c>
      <c r="N2068" s="189">
        <v>830062853</v>
      </c>
      <c r="O2068" t="s">
        <v>3135</v>
      </c>
      <c r="P2068" s="187">
        <v>45156.717731481498</v>
      </c>
      <c r="Q2068" s="186">
        <v>12876</v>
      </c>
      <c r="R2068" s="185" t="s">
        <v>433</v>
      </c>
      <c r="S2068" s="185" t="s">
        <v>1564</v>
      </c>
      <c r="T2068"/>
      <c r="U2068" t="str">
        <f>IF($L2068&gt;0,VLOOKUP($E2068,Valida!$A$1:$G$270,6,FALSE),IF($M2068&gt;=0,VLOOKUP($E2068,Valida!$A$1:$G$270,7,FALSE)))</f>
        <v>(+/-) Ajustes por el incremento (disminución) de cuentas por pagar de origen comercial</v>
      </c>
      <c r="V2068" s="190" t="str">
        <f>VLOOKUP(E2068,Valida!$A$2:$K$271,4,FALSE)</f>
        <v>Trade and other payables</v>
      </c>
      <c r="W2068" s="185" t="s">
        <v>2024</v>
      </c>
      <c r="X2068" s="185" t="s">
        <v>2025</v>
      </c>
      <c r="Y2068" s="185" t="s">
        <v>1789</v>
      </c>
      <c r="Z2068"/>
    </row>
    <row r="2069" spans="1:26">
      <c r="A2069" s="185" t="s">
        <v>3133</v>
      </c>
      <c r="B2069" s="185" t="s">
        <v>3134</v>
      </c>
      <c r="C2069" s="185" t="s">
        <v>1792</v>
      </c>
      <c r="D2069" s="185" t="s">
        <v>2188</v>
      </c>
      <c r="E2069" s="185">
        <v>23680504</v>
      </c>
      <c r="F2069" s="185" t="s">
        <v>668</v>
      </c>
      <c r="G2069" s="185" t="s">
        <v>547</v>
      </c>
      <c r="H2069" s="185" t="s">
        <v>1628</v>
      </c>
      <c r="I2069" s="258" t="str">
        <f t="shared" si="97"/>
        <v>2</v>
      </c>
      <c r="J2069" s="221">
        <f t="shared" si="98"/>
        <v>-21702</v>
      </c>
      <c r="K2069" s="258">
        <f t="shared" si="99"/>
        <v>8</v>
      </c>
      <c r="L2069" s="188">
        <v>0</v>
      </c>
      <c r="M2069" s="188">
        <v>21702</v>
      </c>
      <c r="N2069" s="189">
        <v>830062853</v>
      </c>
      <c r="O2069" t="s">
        <v>3135</v>
      </c>
      <c r="P2069" s="187">
        <v>45156.717731481498</v>
      </c>
      <c r="Q2069" s="186">
        <v>12877</v>
      </c>
      <c r="R2069" s="185" t="s">
        <v>433</v>
      </c>
      <c r="S2069" s="185" t="s">
        <v>1564</v>
      </c>
      <c r="T2069"/>
      <c r="U2069" t="str">
        <f>IF($L2069&gt;0,VLOOKUP($E2069,Valida!$A$1:$G$270,6,FALSE),IF($M2069&gt;=0,VLOOKUP($E2069,Valida!$A$1:$G$270,7,FALSE)))</f>
        <v>(+/-) Ajustes por el incremento (disminución) de cuentas por pagar de origen comercial</v>
      </c>
      <c r="V2069" s="190" t="str">
        <f>VLOOKUP(E2069,Valida!$A$2:$K$271,4,FALSE)</f>
        <v>Trade and other payables</v>
      </c>
      <c r="W2069" s="185" t="s">
        <v>2024</v>
      </c>
      <c r="X2069" s="185" t="s">
        <v>2025</v>
      </c>
      <c r="Y2069" s="185" t="s">
        <v>1789</v>
      </c>
      <c r="Z2069"/>
    </row>
    <row r="2070" spans="1:26">
      <c r="A2070" s="185" t="s">
        <v>3133</v>
      </c>
      <c r="B2070" s="185" t="s">
        <v>3134</v>
      </c>
      <c r="C2070" s="185" t="s">
        <v>1792</v>
      </c>
      <c r="D2070" s="185" t="s">
        <v>2188</v>
      </c>
      <c r="E2070" s="185">
        <v>23359502</v>
      </c>
      <c r="F2070" s="185" t="s">
        <v>547</v>
      </c>
      <c r="G2070" s="185" t="s">
        <v>547</v>
      </c>
      <c r="H2070" s="185" t="s">
        <v>1628</v>
      </c>
      <c r="I2070" s="258" t="str">
        <f t="shared" si="97"/>
        <v>2</v>
      </c>
      <c r="J2070" s="221">
        <f t="shared" si="98"/>
        <v>-2241807</v>
      </c>
      <c r="K2070" s="258">
        <f t="shared" si="99"/>
        <v>8</v>
      </c>
      <c r="L2070" s="188">
        <v>0</v>
      </c>
      <c r="M2070" s="188">
        <v>2241807</v>
      </c>
      <c r="N2070" s="189">
        <v>830062853</v>
      </c>
      <c r="O2070" t="s">
        <v>3135</v>
      </c>
      <c r="P2070" s="187">
        <v>45156.717731481498</v>
      </c>
      <c r="Q2070" s="186">
        <v>12878</v>
      </c>
      <c r="R2070" s="185" t="s">
        <v>433</v>
      </c>
      <c r="S2070" s="185" t="s">
        <v>1564</v>
      </c>
      <c r="T2070"/>
      <c r="U2070" t="str">
        <f>IF($L2070&gt;0,VLOOKUP($E2070,Valida!$A$1:$G$270,6,FALSE),IF($M2070&gt;=0,VLOOKUP($E2070,Valida!$A$1:$G$270,7,FALSE)))</f>
        <v>(+/-) Ajustes por el incremento (disminución) de cuentas por pagar de origen comercial</v>
      </c>
      <c r="V2070" s="190" t="str">
        <f>VLOOKUP(E2070,Valida!$A$2:$K$271,4,FALSE)</f>
        <v>Trade and other payables</v>
      </c>
      <c r="W2070" s="185" t="s">
        <v>2024</v>
      </c>
      <c r="X2070" s="185" t="s">
        <v>2025</v>
      </c>
      <c r="Y2070" s="185" t="s">
        <v>1789</v>
      </c>
      <c r="Z2070"/>
    </row>
    <row r="2071" spans="1:26">
      <c r="A2071" s="185" t="s">
        <v>3136</v>
      </c>
      <c r="B2071" s="185" t="s">
        <v>3137</v>
      </c>
      <c r="C2071" s="185" t="s">
        <v>1792</v>
      </c>
      <c r="D2071" s="185" t="s">
        <v>2190</v>
      </c>
      <c r="E2071" s="185">
        <v>51952502</v>
      </c>
      <c r="F2071" s="185" t="s">
        <v>1414</v>
      </c>
      <c r="G2071" s="185" t="s">
        <v>1862</v>
      </c>
      <c r="H2071" s="185" t="s">
        <v>1515</v>
      </c>
      <c r="I2071" s="258" t="str">
        <f t="shared" si="97"/>
        <v>5</v>
      </c>
      <c r="J2071" s="221">
        <f t="shared" si="98"/>
        <v>107000</v>
      </c>
      <c r="K2071" s="258">
        <f t="shared" si="99"/>
        <v>8</v>
      </c>
      <c r="L2071" s="188">
        <v>107000</v>
      </c>
      <c r="M2071" s="188">
        <v>0</v>
      </c>
      <c r="N2071" s="189">
        <v>900424409</v>
      </c>
      <c r="O2071" t="s">
        <v>3138</v>
      </c>
      <c r="P2071" s="187">
        <v>45156.7183912037</v>
      </c>
      <c r="Q2071" s="186">
        <v>12879</v>
      </c>
      <c r="R2071" s="185" t="s">
        <v>844</v>
      </c>
      <c r="S2071" s="185" t="s">
        <v>1598</v>
      </c>
      <c r="T2071"/>
      <c r="U2071" t="str">
        <f>IF($L2071&gt;0,VLOOKUP($E2071,Valida!$A$1:$G$270,6,FALSE),IF($M2071&gt;=0,VLOOKUP($E2071,Valida!$A$1:$G$270,7,FALSE)))</f>
        <v>(+/-) Ganancia (pérdida)</v>
      </c>
      <c r="V2071" s="190" t="str">
        <f>VLOOKUP(E2071,Valida!$A$2:$K$271,4,FALSE)</f>
        <v>P&amp;L</v>
      </c>
      <c r="W2071" s="185" t="s">
        <v>1864</v>
      </c>
      <c r="X2071" s="185" t="s">
        <v>1865</v>
      </c>
      <c r="Y2071" s="185" t="s">
        <v>1789</v>
      </c>
      <c r="Z2071"/>
    </row>
    <row r="2072" spans="1:26">
      <c r="A2072" s="185" t="s">
        <v>3136</v>
      </c>
      <c r="B2072" s="185" t="s">
        <v>3137</v>
      </c>
      <c r="C2072" s="185" t="s">
        <v>1792</v>
      </c>
      <c r="D2072" s="185" t="s">
        <v>2190</v>
      </c>
      <c r="E2072" s="185">
        <v>24081002</v>
      </c>
      <c r="F2072" s="185" t="s">
        <v>1687</v>
      </c>
      <c r="G2072" s="185" t="s">
        <v>1866</v>
      </c>
      <c r="H2072" s="185" t="s">
        <v>1515</v>
      </c>
      <c r="I2072" s="258" t="str">
        <f t="shared" si="97"/>
        <v>2</v>
      </c>
      <c r="J2072" s="221">
        <f t="shared" si="98"/>
        <v>20330</v>
      </c>
      <c r="K2072" s="258">
        <f t="shared" si="99"/>
        <v>8</v>
      </c>
      <c r="L2072" s="188">
        <v>20330</v>
      </c>
      <c r="M2072" s="188">
        <v>0</v>
      </c>
      <c r="N2072" s="189">
        <v>900424409</v>
      </c>
      <c r="O2072" t="s">
        <v>3138</v>
      </c>
      <c r="P2072" s="187">
        <v>45156.7183912037</v>
      </c>
      <c r="Q2072" s="186">
        <v>12880</v>
      </c>
      <c r="R2072" s="185" t="s">
        <v>844</v>
      </c>
      <c r="S2072" s="185" t="s">
        <v>1598</v>
      </c>
      <c r="T2072"/>
      <c r="U2072" t="str">
        <f>IF($L2072&gt;0,VLOOKUP($E2072,Valida!$A$1:$G$270,6,FALSE),IF($M2072&gt;=0,VLOOKUP($E2072,Valida!$A$1:$G$270,7,FALSE)))</f>
        <v>(+/-) Ajustes por el incremento (disminución) de cuentas por pagar de origen comercial</v>
      </c>
      <c r="V2072" s="190" t="str">
        <f>VLOOKUP(E2072,Valida!$A$2:$K$271,4,FALSE)</f>
        <v>Trade and other payables</v>
      </c>
      <c r="W2072" s="185" t="s">
        <v>1864</v>
      </c>
      <c r="X2072" s="185" t="s">
        <v>1865</v>
      </c>
      <c r="Y2072" s="185" t="s">
        <v>1789</v>
      </c>
      <c r="Z2072"/>
    </row>
    <row r="2073" spans="1:26">
      <c r="A2073" s="185" t="s">
        <v>3136</v>
      </c>
      <c r="B2073" s="185" t="s">
        <v>3137</v>
      </c>
      <c r="C2073" s="185" t="s">
        <v>1792</v>
      </c>
      <c r="D2073" s="185" t="s">
        <v>2190</v>
      </c>
      <c r="E2073" s="185">
        <v>23359502</v>
      </c>
      <c r="F2073" s="185" t="s">
        <v>547</v>
      </c>
      <c r="G2073" s="185" t="s">
        <v>1862</v>
      </c>
      <c r="H2073" s="185" t="s">
        <v>1628</v>
      </c>
      <c r="I2073" s="258" t="str">
        <f t="shared" si="97"/>
        <v>2</v>
      </c>
      <c r="J2073" s="221">
        <f t="shared" si="98"/>
        <v>-122016</v>
      </c>
      <c r="K2073" s="258">
        <f t="shared" si="99"/>
        <v>8</v>
      </c>
      <c r="L2073" s="188">
        <v>0</v>
      </c>
      <c r="M2073" s="188">
        <v>122016</v>
      </c>
      <c r="N2073" s="189">
        <v>900424409</v>
      </c>
      <c r="O2073" t="s">
        <v>3138</v>
      </c>
      <c r="P2073" s="187">
        <v>45156.7183912037</v>
      </c>
      <c r="Q2073" s="186">
        <v>12881</v>
      </c>
      <c r="R2073" s="185" t="s">
        <v>844</v>
      </c>
      <c r="S2073" s="185" t="s">
        <v>1598</v>
      </c>
      <c r="T2073"/>
      <c r="U2073" t="str">
        <f>IF($L2073&gt;0,VLOOKUP($E2073,Valida!$A$1:$G$270,6,FALSE),IF($M2073&gt;=0,VLOOKUP($E2073,Valida!$A$1:$G$270,7,FALSE)))</f>
        <v>(+/-) Ajustes por el incremento (disminución) de cuentas por pagar de origen comercial</v>
      </c>
      <c r="V2073" s="190" t="str">
        <f>VLOOKUP(E2073,Valida!$A$2:$K$271,4,FALSE)</f>
        <v>Trade and other payables</v>
      </c>
      <c r="W2073" s="185" t="s">
        <v>1864</v>
      </c>
      <c r="X2073" s="185" t="s">
        <v>1865</v>
      </c>
      <c r="Y2073" s="185" t="s">
        <v>1789</v>
      </c>
      <c r="Z2073"/>
    </row>
    <row r="2074" spans="1:26">
      <c r="A2074" s="185" t="s">
        <v>3136</v>
      </c>
      <c r="B2074" s="185" t="s">
        <v>3137</v>
      </c>
      <c r="C2074" s="185" t="s">
        <v>1792</v>
      </c>
      <c r="D2074" s="185" t="s">
        <v>2190</v>
      </c>
      <c r="E2074" s="185">
        <v>23653002</v>
      </c>
      <c r="F2074" s="185" t="s">
        <v>241</v>
      </c>
      <c r="G2074" s="185" t="s">
        <v>1867</v>
      </c>
      <c r="H2074" s="185" t="s">
        <v>1628</v>
      </c>
      <c r="I2074" s="258" t="str">
        <f t="shared" si="97"/>
        <v>2</v>
      </c>
      <c r="J2074" s="221">
        <f t="shared" si="98"/>
        <v>-4280</v>
      </c>
      <c r="K2074" s="258">
        <f t="shared" si="99"/>
        <v>8</v>
      </c>
      <c r="L2074" s="188">
        <v>0</v>
      </c>
      <c r="M2074" s="188">
        <v>4280</v>
      </c>
      <c r="N2074" s="189">
        <v>900424409</v>
      </c>
      <c r="O2074" t="s">
        <v>3138</v>
      </c>
      <c r="P2074" s="187">
        <v>45156.718402777798</v>
      </c>
      <c r="Q2074" s="186">
        <v>12882</v>
      </c>
      <c r="R2074" s="185" t="s">
        <v>844</v>
      </c>
      <c r="S2074" s="185" t="s">
        <v>1598</v>
      </c>
      <c r="T2074"/>
      <c r="U2074" t="str">
        <f>IF($L2074&gt;0,VLOOKUP($E2074,Valida!$A$1:$G$270,6,FALSE),IF($M2074&gt;=0,VLOOKUP($E2074,Valida!$A$1:$G$270,7,FALSE)))</f>
        <v>(+/-) Ajustes por el incremento (disminución) de cuentas por pagar de origen comercial</v>
      </c>
      <c r="V2074" s="190" t="str">
        <f>VLOOKUP(E2074,Valida!$A$2:$K$271,4,FALSE)</f>
        <v>Trade and other payables</v>
      </c>
      <c r="W2074" s="185" t="s">
        <v>1864</v>
      </c>
      <c r="X2074" s="185" t="s">
        <v>1865</v>
      </c>
      <c r="Y2074" s="185" t="s">
        <v>1789</v>
      </c>
      <c r="Z2074"/>
    </row>
    <row r="2075" spans="1:26">
      <c r="A2075" s="185" t="s">
        <v>3136</v>
      </c>
      <c r="B2075" s="185" t="s">
        <v>3137</v>
      </c>
      <c r="C2075" s="185" t="s">
        <v>1792</v>
      </c>
      <c r="D2075" s="185" t="s">
        <v>2190</v>
      </c>
      <c r="E2075" s="185">
        <v>23680503</v>
      </c>
      <c r="F2075" s="185" t="s">
        <v>665</v>
      </c>
      <c r="G2075" s="185" t="s">
        <v>1868</v>
      </c>
      <c r="H2075" s="185" t="s">
        <v>1628</v>
      </c>
      <c r="I2075" s="258" t="str">
        <f t="shared" si="97"/>
        <v>2</v>
      </c>
      <c r="J2075" s="221">
        <f t="shared" si="98"/>
        <v>-1034</v>
      </c>
      <c r="K2075" s="258">
        <f t="shared" si="99"/>
        <v>8</v>
      </c>
      <c r="L2075" s="188">
        <v>0</v>
      </c>
      <c r="M2075" s="188">
        <v>1034</v>
      </c>
      <c r="N2075" s="189">
        <v>900424409</v>
      </c>
      <c r="O2075" t="s">
        <v>3138</v>
      </c>
      <c r="P2075" s="187">
        <v>45156.718402777798</v>
      </c>
      <c r="Q2075" s="186">
        <v>12883</v>
      </c>
      <c r="R2075" s="185" t="s">
        <v>844</v>
      </c>
      <c r="S2075" s="185" t="s">
        <v>1598</v>
      </c>
      <c r="T2075"/>
      <c r="U2075" t="str">
        <f>IF($L2075&gt;0,VLOOKUP($E2075,Valida!$A$1:$G$270,6,FALSE),IF($M2075&gt;=0,VLOOKUP($E2075,Valida!$A$1:$G$270,7,FALSE)))</f>
        <v>(+/-) Ajustes por el incremento (disminución) de cuentas por pagar de origen comercial</v>
      </c>
      <c r="V2075" s="190" t="str">
        <f>VLOOKUP(E2075,Valida!$A$2:$K$271,4,FALSE)</f>
        <v>Trade and other payables</v>
      </c>
      <c r="W2075" s="185" t="s">
        <v>1864</v>
      </c>
      <c r="X2075" s="185" t="s">
        <v>1865</v>
      </c>
      <c r="Y2075" s="185" t="s">
        <v>1789</v>
      </c>
      <c r="Z2075"/>
    </row>
    <row r="2076" spans="1:26">
      <c r="A2076" s="185" t="s">
        <v>3136</v>
      </c>
      <c r="B2076" s="185" t="s">
        <v>3139</v>
      </c>
      <c r="C2076" s="185" t="s">
        <v>1792</v>
      </c>
      <c r="D2076" s="185" t="s">
        <v>2192</v>
      </c>
      <c r="E2076" s="185">
        <v>51353001</v>
      </c>
      <c r="F2076" s="185" t="s">
        <v>516</v>
      </c>
      <c r="G2076" s="185" t="s">
        <v>1833</v>
      </c>
      <c r="H2076" s="185" t="s">
        <v>1515</v>
      </c>
      <c r="I2076" s="258" t="str">
        <f t="shared" si="97"/>
        <v>5</v>
      </c>
      <c r="J2076" s="221">
        <f t="shared" si="98"/>
        <v>5739380</v>
      </c>
      <c r="K2076" s="258">
        <f t="shared" si="99"/>
        <v>8</v>
      </c>
      <c r="L2076" s="188">
        <v>5739380</v>
      </c>
      <c r="M2076" s="188">
        <v>0</v>
      </c>
      <c r="N2076" s="189">
        <v>860063875</v>
      </c>
      <c r="O2076" t="s">
        <v>3140</v>
      </c>
      <c r="P2076" s="187">
        <v>45156.725925925901</v>
      </c>
      <c r="Q2076" s="186">
        <v>12884</v>
      </c>
      <c r="R2076" s="185" t="s">
        <v>1827</v>
      </c>
      <c r="S2076" s="185" t="s">
        <v>1572</v>
      </c>
      <c r="T2076"/>
      <c r="U2076" t="str">
        <f>IF($L2076&gt;0,VLOOKUP($E2076,Valida!$A$1:$G$270,6,FALSE),IF($M2076&gt;=0,VLOOKUP($E2076,Valida!$A$1:$G$270,7,FALSE)))</f>
        <v>(+/-) Ganancia (pérdida)</v>
      </c>
      <c r="V2076" s="190" t="str">
        <f>VLOOKUP(E2076,Valida!$A$2:$K$271,4,FALSE)</f>
        <v>P&amp;L</v>
      </c>
      <c r="W2076" s="185" t="s">
        <v>1835</v>
      </c>
      <c r="X2076" s="185"/>
      <c r="Y2076" s="185" t="s">
        <v>1789</v>
      </c>
      <c r="Z2076"/>
    </row>
    <row r="2077" spans="1:26">
      <c r="A2077" s="185" t="s">
        <v>3136</v>
      </c>
      <c r="B2077" s="185" t="s">
        <v>3139</v>
      </c>
      <c r="C2077" s="185" t="s">
        <v>1792</v>
      </c>
      <c r="D2077" s="185" t="s">
        <v>2192</v>
      </c>
      <c r="E2077" s="185">
        <v>51350502</v>
      </c>
      <c r="F2077" s="185" t="s">
        <v>1738</v>
      </c>
      <c r="G2077" s="185" t="s">
        <v>1833</v>
      </c>
      <c r="H2077" s="185" t="s">
        <v>1515</v>
      </c>
      <c r="I2077" s="258" t="str">
        <f t="shared" si="97"/>
        <v>5</v>
      </c>
      <c r="J2077" s="221">
        <f t="shared" si="98"/>
        <v>50500</v>
      </c>
      <c r="K2077" s="258">
        <f t="shared" si="99"/>
        <v>8</v>
      </c>
      <c r="L2077" s="188">
        <v>50500</v>
      </c>
      <c r="M2077" s="188">
        <v>0</v>
      </c>
      <c r="N2077" s="189">
        <v>901145808</v>
      </c>
      <c r="O2077" t="s">
        <v>3140</v>
      </c>
      <c r="P2077" s="187">
        <v>45156.725925925901</v>
      </c>
      <c r="Q2077" s="186">
        <v>12885</v>
      </c>
      <c r="R2077" s="185" t="s">
        <v>1067</v>
      </c>
      <c r="S2077" s="185" t="s">
        <v>1740</v>
      </c>
      <c r="T2077"/>
      <c r="U2077" t="str">
        <f>IF($L2077&gt;0,VLOOKUP($E2077,Valida!$A$1:$G$270,6,FALSE),IF($M2077&gt;=0,VLOOKUP($E2077,Valida!$A$1:$G$270,7,FALSE)))</f>
        <v>(+/-) Ganancia (pérdida)</v>
      </c>
      <c r="V2077" s="190" t="str">
        <f>VLOOKUP(E2077,Valida!$A$2:$K$271,4,FALSE)</f>
        <v>P&amp;L</v>
      </c>
      <c r="W2077" s="185" t="s">
        <v>1836</v>
      </c>
      <c r="X2077" s="185" t="s">
        <v>1837</v>
      </c>
      <c r="Y2077" s="185" t="s">
        <v>1789</v>
      </c>
      <c r="Z2077"/>
    </row>
    <row r="2078" spans="1:26">
      <c r="A2078" s="185" t="s">
        <v>3136</v>
      </c>
      <c r="B2078" s="185" t="s">
        <v>3139</v>
      </c>
      <c r="C2078" s="185" t="s">
        <v>1792</v>
      </c>
      <c r="D2078" s="185" t="s">
        <v>2192</v>
      </c>
      <c r="E2078" s="185">
        <v>23355005</v>
      </c>
      <c r="F2078" s="185" t="s">
        <v>516</v>
      </c>
      <c r="G2078" s="185" t="s">
        <v>1833</v>
      </c>
      <c r="H2078" s="185" t="s">
        <v>1628</v>
      </c>
      <c r="I2078" s="258" t="str">
        <f t="shared" si="97"/>
        <v>2</v>
      </c>
      <c r="J2078" s="221">
        <f t="shared" si="98"/>
        <v>-5789880</v>
      </c>
      <c r="K2078" s="258">
        <f t="shared" si="99"/>
        <v>8</v>
      </c>
      <c r="L2078" s="188">
        <v>0</v>
      </c>
      <c r="M2078" s="188">
        <v>5789880</v>
      </c>
      <c r="N2078" s="189">
        <v>860063875</v>
      </c>
      <c r="O2078" t="s">
        <v>3140</v>
      </c>
      <c r="P2078" s="187">
        <v>45156.725925925901</v>
      </c>
      <c r="Q2078" s="186">
        <v>12886</v>
      </c>
      <c r="R2078" s="185" t="s">
        <v>1827</v>
      </c>
      <c r="S2078" s="185" t="s">
        <v>1572</v>
      </c>
      <c r="T2078"/>
      <c r="U2078" t="str">
        <f>IF($L2078&gt;0,VLOOKUP($E2078,Valida!$A$1:$G$270,6,FALSE),IF($M2078&gt;=0,VLOOKUP($E2078,Valida!$A$1:$G$270,7,FALSE)))</f>
        <v>(+/-) Ajustes por el incremento (disminución) de cuentas por pagar de origen comercial</v>
      </c>
      <c r="V2078" s="190" t="str">
        <f>VLOOKUP(E2078,Valida!$A$2:$K$271,4,FALSE)</f>
        <v>Trade and other payables</v>
      </c>
      <c r="W2078" s="185" t="s">
        <v>1835</v>
      </c>
      <c r="X2078" s="185"/>
      <c r="Y2078" s="185" t="s">
        <v>1789</v>
      </c>
      <c r="Z2078"/>
    </row>
    <row r="2079" spans="1:26">
      <c r="A2079" s="185" t="s">
        <v>3141</v>
      </c>
      <c r="B2079" s="185" t="s">
        <v>3142</v>
      </c>
      <c r="C2079" s="185" t="s">
        <v>1792</v>
      </c>
      <c r="D2079" s="185" t="s">
        <v>2194</v>
      </c>
      <c r="E2079" s="185">
        <v>51201001</v>
      </c>
      <c r="F2079" s="185" t="s">
        <v>1189</v>
      </c>
      <c r="G2079" s="185" t="s">
        <v>3143</v>
      </c>
      <c r="H2079" s="185" t="s">
        <v>1515</v>
      </c>
      <c r="I2079" s="258" t="str">
        <f t="shared" si="97"/>
        <v>5</v>
      </c>
      <c r="J2079" s="221">
        <f t="shared" si="98"/>
        <v>12750000</v>
      </c>
      <c r="K2079" s="258">
        <f t="shared" si="99"/>
        <v>8</v>
      </c>
      <c r="L2079" s="188">
        <v>12750000</v>
      </c>
      <c r="M2079" s="188">
        <v>0</v>
      </c>
      <c r="N2079" s="189">
        <v>900471482</v>
      </c>
      <c r="O2079" t="s">
        <v>3144</v>
      </c>
      <c r="P2079" s="187">
        <v>45156.728217592601</v>
      </c>
      <c r="Q2079" s="186">
        <v>12887</v>
      </c>
      <c r="R2079" s="185" t="s">
        <v>6</v>
      </c>
      <c r="S2079" s="185" t="s">
        <v>1600</v>
      </c>
      <c r="T2079"/>
      <c r="U2079" t="str">
        <f>IF($L2079&gt;0,VLOOKUP($E2079,Valida!$A$1:$G$270,6,FALSE),IF($M2079&gt;=0,VLOOKUP($E2079,Valida!$A$1:$G$270,7,FALSE)))</f>
        <v>(+/-) Ganancia (pérdida)</v>
      </c>
      <c r="V2079" s="190" t="str">
        <f>VLOOKUP(E2079,Valida!$A$2:$K$271,4,FALSE)</f>
        <v>P&amp;L</v>
      </c>
      <c r="W2079" s="185" t="s">
        <v>1853</v>
      </c>
      <c r="X2079" s="185" t="s">
        <v>1854</v>
      </c>
      <c r="Y2079" s="185" t="s">
        <v>1789</v>
      </c>
      <c r="Z2079"/>
    </row>
    <row r="2080" spans="1:26">
      <c r="A2080" s="185" t="s">
        <v>3141</v>
      </c>
      <c r="B2080" s="185" t="s">
        <v>3142</v>
      </c>
      <c r="C2080" s="185" t="s">
        <v>1792</v>
      </c>
      <c r="D2080" s="185" t="s">
        <v>2194</v>
      </c>
      <c r="E2080" s="185">
        <v>24081002</v>
      </c>
      <c r="F2080" s="185" t="s">
        <v>1687</v>
      </c>
      <c r="G2080" s="185" t="s">
        <v>3143</v>
      </c>
      <c r="H2080" s="185" t="s">
        <v>1515</v>
      </c>
      <c r="I2080" s="258" t="str">
        <f t="shared" si="97"/>
        <v>2</v>
      </c>
      <c r="J2080" s="221">
        <f t="shared" si="98"/>
        <v>2422500</v>
      </c>
      <c r="K2080" s="258">
        <f t="shared" si="99"/>
        <v>8</v>
      </c>
      <c r="L2080" s="188">
        <v>2422500</v>
      </c>
      <c r="M2080" s="188">
        <v>0</v>
      </c>
      <c r="N2080" s="189">
        <v>900471482</v>
      </c>
      <c r="O2080" t="s">
        <v>3144</v>
      </c>
      <c r="P2080" s="187">
        <v>45156.728217592601</v>
      </c>
      <c r="Q2080" s="186">
        <v>12888</v>
      </c>
      <c r="R2080" s="185" t="s">
        <v>6</v>
      </c>
      <c r="S2080" s="185" t="s">
        <v>1600</v>
      </c>
      <c r="T2080"/>
      <c r="U2080" t="str">
        <f>IF($L2080&gt;0,VLOOKUP($E2080,Valida!$A$1:$G$270,6,FALSE),IF($M2080&gt;=0,VLOOKUP($E2080,Valida!$A$1:$G$270,7,FALSE)))</f>
        <v>(+/-) Ajustes por el incremento (disminución) de cuentas por pagar de origen comercial</v>
      </c>
      <c r="V2080" s="190" t="str">
        <f>VLOOKUP(E2080,Valida!$A$2:$K$271,4,FALSE)</f>
        <v>Trade and other payables</v>
      </c>
      <c r="W2080" s="185" t="s">
        <v>1853</v>
      </c>
      <c r="X2080" s="185" t="s">
        <v>1854</v>
      </c>
      <c r="Y2080" s="185" t="s">
        <v>1789</v>
      </c>
      <c r="Z2080"/>
    </row>
    <row r="2081" spans="1:26">
      <c r="A2081" s="185" t="s">
        <v>3141</v>
      </c>
      <c r="B2081" s="185" t="s">
        <v>3142</v>
      </c>
      <c r="C2081" s="185" t="s">
        <v>1792</v>
      </c>
      <c r="D2081" s="185" t="s">
        <v>2194</v>
      </c>
      <c r="E2081" s="185">
        <v>23653001</v>
      </c>
      <c r="F2081" s="185" t="s">
        <v>611</v>
      </c>
      <c r="G2081" s="185" t="s">
        <v>3143</v>
      </c>
      <c r="H2081" s="185" t="s">
        <v>1628</v>
      </c>
      <c r="I2081" s="258" t="str">
        <f t="shared" si="97"/>
        <v>2</v>
      </c>
      <c r="J2081" s="221">
        <f t="shared" si="98"/>
        <v>-446250</v>
      </c>
      <c r="K2081" s="258">
        <f t="shared" si="99"/>
        <v>8</v>
      </c>
      <c r="L2081" s="188">
        <v>0</v>
      </c>
      <c r="M2081" s="188">
        <v>446250</v>
      </c>
      <c r="N2081" s="189">
        <v>900471482</v>
      </c>
      <c r="O2081" t="s">
        <v>3144</v>
      </c>
      <c r="P2081" s="187">
        <v>45156.728217592601</v>
      </c>
      <c r="Q2081" s="186">
        <v>12889</v>
      </c>
      <c r="R2081" s="185" t="s">
        <v>6</v>
      </c>
      <c r="S2081" s="185" t="s">
        <v>1600</v>
      </c>
      <c r="T2081"/>
      <c r="U2081" t="str">
        <f>IF($L2081&gt;0,VLOOKUP($E2081,Valida!$A$1:$G$270,6,FALSE),IF($M2081&gt;=0,VLOOKUP($E2081,Valida!$A$1:$G$270,7,FALSE)))</f>
        <v>(+/-) Ajustes por el incremento (disminución) de cuentas por pagar de origen comercial</v>
      </c>
      <c r="V2081" s="190" t="str">
        <f>VLOOKUP(E2081,Valida!$A$2:$K$271,4,FALSE)</f>
        <v>Trade and other payables</v>
      </c>
      <c r="W2081" s="185" t="s">
        <v>1853</v>
      </c>
      <c r="X2081" s="185" t="s">
        <v>1854</v>
      </c>
      <c r="Y2081" s="185" t="s">
        <v>1789</v>
      </c>
      <c r="Z2081"/>
    </row>
    <row r="2082" spans="1:26">
      <c r="A2082" s="185" t="s">
        <v>3141</v>
      </c>
      <c r="B2082" s="185" t="s">
        <v>3142</v>
      </c>
      <c r="C2082" s="185" t="s">
        <v>1792</v>
      </c>
      <c r="D2082" s="185" t="s">
        <v>2194</v>
      </c>
      <c r="E2082" s="185">
        <v>23680503</v>
      </c>
      <c r="F2082" s="185" t="s">
        <v>665</v>
      </c>
      <c r="G2082" s="185" t="s">
        <v>3143</v>
      </c>
      <c r="H2082" s="185" t="s">
        <v>1628</v>
      </c>
      <c r="I2082" s="258" t="str">
        <f t="shared" si="97"/>
        <v>2</v>
      </c>
      <c r="J2082" s="221">
        <f t="shared" si="98"/>
        <v>-123165</v>
      </c>
      <c r="K2082" s="258">
        <f t="shared" si="99"/>
        <v>8</v>
      </c>
      <c r="L2082" s="188">
        <v>0</v>
      </c>
      <c r="M2082" s="188">
        <v>123165</v>
      </c>
      <c r="N2082" s="189">
        <v>900471482</v>
      </c>
      <c r="O2082" t="s">
        <v>3144</v>
      </c>
      <c r="P2082" s="187">
        <v>45156.728217592601</v>
      </c>
      <c r="Q2082" s="186">
        <v>12890</v>
      </c>
      <c r="R2082" s="185" t="s">
        <v>6</v>
      </c>
      <c r="S2082" s="185" t="s">
        <v>1600</v>
      </c>
      <c r="T2082"/>
      <c r="U2082" t="str">
        <f>IF($L2082&gt;0,VLOOKUP($E2082,Valida!$A$1:$G$270,6,FALSE),IF($M2082&gt;=0,VLOOKUP($E2082,Valida!$A$1:$G$270,7,FALSE)))</f>
        <v>(+/-) Ajustes por el incremento (disminución) de cuentas por pagar de origen comercial</v>
      </c>
      <c r="V2082" s="190" t="str">
        <f>VLOOKUP(E2082,Valida!$A$2:$K$271,4,FALSE)</f>
        <v>Trade and other payables</v>
      </c>
      <c r="W2082" s="185" t="s">
        <v>1853</v>
      </c>
      <c r="X2082" s="185" t="s">
        <v>1854</v>
      </c>
      <c r="Y2082" s="185" t="s">
        <v>1789</v>
      </c>
      <c r="Z2082"/>
    </row>
    <row r="2083" spans="1:26">
      <c r="A2083" s="185" t="s">
        <v>3141</v>
      </c>
      <c r="B2083" s="185" t="s">
        <v>3142</v>
      </c>
      <c r="C2083" s="185" t="s">
        <v>1792</v>
      </c>
      <c r="D2083" s="185" t="s">
        <v>2194</v>
      </c>
      <c r="E2083" s="185">
        <v>23354001</v>
      </c>
      <c r="F2083" s="185" t="s">
        <v>484</v>
      </c>
      <c r="G2083" s="185" t="s">
        <v>3143</v>
      </c>
      <c r="H2083" s="185" t="s">
        <v>1628</v>
      </c>
      <c r="I2083" s="258" t="str">
        <f t="shared" si="97"/>
        <v>2</v>
      </c>
      <c r="J2083" s="221">
        <f t="shared" si="98"/>
        <v>-14603085</v>
      </c>
      <c r="K2083" s="258">
        <f t="shared" si="99"/>
        <v>8</v>
      </c>
      <c r="L2083" s="188">
        <v>0</v>
      </c>
      <c r="M2083" s="188">
        <v>14603085</v>
      </c>
      <c r="N2083" s="189">
        <v>900471482</v>
      </c>
      <c r="O2083" t="s">
        <v>3144</v>
      </c>
      <c r="P2083" s="187">
        <v>45156.728217592601</v>
      </c>
      <c r="Q2083" s="186">
        <v>12891</v>
      </c>
      <c r="R2083" s="185" t="s">
        <v>6</v>
      </c>
      <c r="S2083" s="185" t="s">
        <v>1600</v>
      </c>
      <c r="T2083"/>
      <c r="U2083" t="str">
        <f>IF($L2083&gt;0,VLOOKUP($E2083,Valida!$A$1:$G$270,6,FALSE),IF($M2083&gt;=0,VLOOKUP($E2083,Valida!$A$1:$G$270,7,FALSE)))</f>
        <v>(+/-) Ajustes por el incremento (disminución) de cuentas por pagar de origen comercial</v>
      </c>
      <c r="V2083" s="190" t="str">
        <f>VLOOKUP(E2083,Valida!$A$2:$K$271,4,FALSE)</f>
        <v>Trade and other payables</v>
      </c>
      <c r="W2083" s="185" t="s">
        <v>1853</v>
      </c>
      <c r="X2083" s="185" t="s">
        <v>1854</v>
      </c>
      <c r="Y2083" s="185" t="s">
        <v>1789</v>
      </c>
      <c r="Z2083"/>
    </row>
    <row r="2084" spans="1:26">
      <c r="A2084" s="185" t="s">
        <v>3141</v>
      </c>
      <c r="B2084" s="185" t="s">
        <v>3145</v>
      </c>
      <c r="C2084" s="185" t="s">
        <v>1792</v>
      </c>
      <c r="D2084" s="185" t="s">
        <v>2196</v>
      </c>
      <c r="E2084" s="185">
        <v>51700503</v>
      </c>
      <c r="F2084" s="185" t="s">
        <v>1397</v>
      </c>
      <c r="G2084" s="185" t="s">
        <v>1818</v>
      </c>
      <c r="H2084" s="185" t="s">
        <v>1515</v>
      </c>
      <c r="I2084" s="258" t="str">
        <f t="shared" si="97"/>
        <v>5</v>
      </c>
      <c r="J2084" s="221">
        <f t="shared" si="98"/>
        <v>330000</v>
      </c>
      <c r="K2084" s="258">
        <f t="shared" si="99"/>
        <v>8</v>
      </c>
      <c r="L2084" s="188">
        <v>330000</v>
      </c>
      <c r="M2084" s="188">
        <v>0</v>
      </c>
      <c r="N2084" s="189">
        <v>800042928</v>
      </c>
      <c r="O2084" t="s">
        <v>3146</v>
      </c>
      <c r="P2084" s="187">
        <v>45156.728935185201</v>
      </c>
      <c r="Q2084" s="186">
        <v>12892</v>
      </c>
      <c r="R2084" s="185" t="s">
        <v>6</v>
      </c>
      <c r="S2084" s="185" t="s">
        <v>1554</v>
      </c>
      <c r="T2084"/>
      <c r="U2084" t="str">
        <f>IF($L2084&gt;0,VLOOKUP($E2084,Valida!$A$1:$G$270,6,FALSE),IF($M2084&gt;=0,VLOOKUP($E2084,Valida!$A$1:$G$270,7,FALSE)))</f>
        <v>(+/-) Ganancia (pérdida)</v>
      </c>
      <c r="V2084" s="190" t="str">
        <f>VLOOKUP(E2084,Valida!$A$2:$K$271,4,FALSE)</f>
        <v>P&amp;L</v>
      </c>
      <c r="W2084" s="185" t="s">
        <v>1820</v>
      </c>
      <c r="X2084" s="185" t="s">
        <v>1821</v>
      </c>
      <c r="Y2084" s="185" t="s">
        <v>1789</v>
      </c>
      <c r="Z2084"/>
    </row>
    <row r="2085" spans="1:26">
      <c r="A2085" s="185" t="s">
        <v>3141</v>
      </c>
      <c r="B2085" s="185" t="s">
        <v>3145</v>
      </c>
      <c r="C2085" s="185" t="s">
        <v>1792</v>
      </c>
      <c r="D2085" s="185" t="s">
        <v>2196</v>
      </c>
      <c r="E2085" s="185">
        <v>23359504</v>
      </c>
      <c r="F2085" s="185" t="s">
        <v>553</v>
      </c>
      <c r="G2085" s="185" t="s">
        <v>1818</v>
      </c>
      <c r="H2085" s="185" t="s">
        <v>1628</v>
      </c>
      <c r="I2085" s="258" t="str">
        <f t="shared" si="97"/>
        <v>2</v>
      </c>
      <c r="J2085" s="221">
        <f t="shared" si="98"/>
        <v>-330000</v>
      </c>
      <c r="K2085" s="258">
        <f t="shared" si="99"/>
        <v>8</v>
      </c>
      <c r="L2085" s="188">
        <v>0</v>
      </c>
      <c r="M2085" s="188">
        <v>330000</v>
      </c>
      <c r="N2085" s="189">
        <v>800042928</v>
      </c>
      <c r="O2085" t="s">
        <v>3146</v>
      </c>
      <c r="P2085" s="187">
        <v>45156.728935185201</v>
      </c>
      <c r="Q2085" s="186">
        <v>12893</v>
      </c>
      <c r="R2085" s="185" t="s">
        <v>6</v>
      </c>
      <c r="S2085" s="185" t="s">
        <v>1554</v>
      </c>
      <c r="T2085"/>
      <c r="U2085" t="str">
        <f>IF($L2085&gt;0,VLOOKUP($E2085,Valida!$A$1:$G$270,6,FALSE),IF($M2085&gt;=0,VLOOKUP($E2085,Valida!$A$1:$G$270,7,FALSE)))</f>
        <v>(+/-) Ajustes por el incremento (disminución) de cuentas por pagar de origen comercial</v>
      </c>
      <c r="V2085" s="190" t="str">
        <f>VLOOKUP(E2085,Valida!$A$2:$K$271,4,FALSE)</f>
        <v>Trade and other payables</v>
      </c>
      <c r="W2085" s="185" t="s">
        <v>1820</v>
      </c>
      <c r="X2085" s="185" t="s">
        <v>1821</v>
      </c>
      <c r="Y2085" s="185" t="s">
        <v>1789</v>
      </c>
      <c r="Z2085"/>
    </row>
    <row r="2086" spans="1:26">
      <c r="A2086" s="185" t="s">
        <v>3141</v>
      </c>
      <c r="B2086" s="185" t="s">
        <v>3147</v>
      </c>
      <c r="C2086" s="185" t="s">
        <v>1792</v>
      </c>
      <c r="D2086" s="185" t="s">
        <v>2202</v>
      </c>
      <c r="E2086" s="185">
        <v>51353501</v>
      </c>
      <c r="F2086" s="185" t="s">
        <v>502</v>
      </c>
      <c r="G2086" s="185" t="s">
        <v>2812</v>
      </c>
      <c r="H2086" s="185" t="s">
        <v>1515</v>
      </c>
      <c r="I2086" s="258" t="str">
        <f t="shared" si="97"/>
        <v>5</v>
      </c>
      <c r="J2086" s="221">
        <f t="shared" si="98"/>
        <v>33749.39</v>
      </c>
      <c r="K2086" s="258">
        <f t="shared" si="99"/>
        <v>8</v>
      </c>
      <c r="L2086" s="188">
        <v>33749.39</v>
      </c>
      <c r="M2086" s="188">
        <v>0</v>
      </c>
      <c r="N2086" s="189">
        <v>800153993</v>
      </c>
      <c r="O2086" t="s">
        <v>3148</v>
      </c>
      <c r="P2086" s="187">
        <v>45156.731192129599</v>
      </c>
      <c r="Q2086" s="186">
        <v>12894</v>
      </c>
      <c r="R2086" s="185" t="s">
        <v>1814</v>
      </c>
      <c r="S2086" s="185" t="s">
        <v>1556</v>
      </c>
      <c r="T2086"/>
      <c r="U2086" t="str">
        <f>IF($L2086&gt;0,VLOOKUP($E2086,Valida!$A$1:$G$270,6,FALSE),IF($M2086&gt;=0,VLOOKUP($E2086,Valida!$A$1:$G$270,7,FALSE)))</f>
        <v>(+/-) Ganancia (pérdida)</v>
      </c>
      <c r="V2086" s="190" t="str">
        <f>VLOOKUP(E2086,Valida!$A$2:$K$271,4,FALSE)</f>
        <v>P&amp;L</v>
      </c>
      <c r="W2086" s="185" t="s">
        <v>1815</v>
      </c>
      <c r="X2086" s="185"/>
      <c r="Y2086" s="185" t="s">
        <v>1789</v>
      </c>
      <c r="Z2086"/>
    </row>
    <row r="2087" spans="1:26">
      <c r="A2087" s="185" t="s">
        <v>3141</v>
      </c>
      <c r="B2087" s="185" t="s">
        <v>3147</v>
      </c>
      <c r="C2087" s="185" t="s">
        <v>1792</v>
      </c>
      <c r="D2087" s="185" t="s">
        <v>2202</v>
      </c>
      <c r="E2087" s="185">
        <v>23355001</v>
      </c>
      <c r="F2087" s="185" t="s">
        <v>502</v>
      </c>
      <c r="G2087" s="185" t="s">
        <v>2814</v>
      </c>
      <c r="H2087" s="185" t="s">
        <v>1628</v>
      </c>
      <c r="I2087" s="258" t="str">
        <f t="shared" si="97"/>
        <v>2</v>
      </c>
      <c r="J2087" s="221">
        <f t="shared" si="98"/>
        <v>-48918.3</v>
      </c>
      <c r="K2087" s="258">
        <f t="shared" si="99"/>
        <v>8</v>
      </c>
      <c r="L2087" s="188">
        <v>0</v>
      </c>
      <c r="M2087" s="188">
        <v>48918.3</v>
      </c>
      <c r="N2087" s="189">
        <v>800153993</v>
      </c>
      <c r="O2087" t="s">
        <v>3148</v>
      </c>
      <c r="P2087" s="187">
        <v>45156.731192129599</v>
      </c>
      <c r="Q2087" s="186">
        <v>12895</v>
      </c>
      <c r="R2087" s="185" t="s">
        <v>1814</v>
      </c>
      <c r="S2087" s="185" t="s">
        <v>1556</v>
      </c>
      <c r="T2087"/>
      <c r="U2087" t="str">
        <f>IF($L2087&gt;0,VLOOKUP($E2087,Valida!$A$1:$G$270,6,FALSE),IF($M2087&gt;=0,VLOOKUP($E2087,Valida!$A$1:$G$270,7,FALSE)))</f>
        <v>(+/-) Ajustes por el incremento (disminución) de cuentas por pagar de origen comercial</v>
      </c>
      <c r="V2087" s="190" t="str">
        <f>VLOOKUP(E2087,Valida!$A$2:$K$271,4,FALSE)</f>
        <v>Trade and other payables</v>
      </c>
      <c r="W2087" s="185" t="s">
        <v>1815</v>
      </c>
      <c r="X2087" s="185"/>
      <c r="Y2087" s="185" t="s">
        <v>1789</v>
      </c>
      <c r="Z2087"/>
    </row>
    <row r="2088" spans="1:26">
      <c r="A2088" s="185" t="s">
        <v>3141</v>
      </c>
      <c r="B2088" s="185" t="s">
        <v>3147</v>
      </c>
      <c r="C2088" s="185" t="s">
        <v>1792</v>
      </c>
      <c r="D2088" s="185" t="s">
        <v>2202</v>
      </c>
      <c r="E2088" s="185">
        <v>51353501</v>
      </c>
      <c r="F2088" s="185" t="s">
        <v>502</v>
      </c>
      <c r="G2088" s="185" t="s">
        <v>2815</v>
      </c>
      <c r="H2088" s="185" t="s">
        <v>1515</v>
      </c>
      <c r="I2088" s="258" t="str">
        <f t="shared" si="97"/>
        <v>5</v>
      </c>
      <c r="J2088" s="221">
        <f t="shared" si="98"/>
        <v>6912.52</v>
      </c>
      <c r="K2088" s="258">
        <f t="shared" si="99"/>
        <v>8</v>
      </c>
      <c r="L2088" s="188">
        <v>6912.52</v>
      </c>
      <c r="M2088" s="188">
        <v>0</v>
      </c>
      <c r="N2088" s="189">
        <v>800153993</v>
      </c>
      <c r="O2088" t="s">
        <v>3148</v>
      </c>
      <c r="P2088" s="187">
        <v>45156.731192129599</v>
      </c>
      <c r="Q2088" s="186">
        <v>12896</v>
      </c>
      <c r="R2088" s="185" t="s">
        <v>1814</v>
      </c>
      <c r="S2088" s="185" t="s">
        <v>1556</v>
      </c>
      <c r="T2088"/>
      <c r="U2088" t="str">
        <f>IF($L2088&gt;0,VLOOKUP($E2088,Valida!$A$1:$G$270,6,FALSE),IF($M2088&gt;=0,VLOOKUP($E2088,Valida!$A$1:$G$270,7,FALSE)))</f>
        <v>(+/-) Ganancia (pérdida)</v>
      </c>
      <c r="V2088" s="190" t="str">
        <f>VLOOKUP(E2088,Valida!$A$2:$K$271,4,FALSE)</f>
        <v>P&amp;L</v>
      </c>
      <c r="W2088" s="185" t="s">
        <v>1815</v>
      </c>
      <c r="X2088" s="185"/>
      <c r="Y2088" s="185" t="s">
        <v>1789</v>
      </c>
      <c r="Z2088"/>
    </row>
    <row r="2089" spans="1:26">
      <c r="A2089" s="185" t="s">
        <v>3141</v>
      </c>
      <c r="B2089" s="185" t="s">
        <v>3147</v>
      </c>
      <c r="C2089" s="185" t="s">
        <v>1792</v>
      </c>
      <c r="D2089" s="185" t="s">
        <v>2202</v>
      </c>
      <c r="E2089" s="185">
        <v>24081002</v>
      </c>
      <c r="F2089" s="185" t="s">
        <v>1687</v>
      </c>
      <c r="G2089" s="185" t="s">
        <v>2814</v>
      </c>
      <c r="H2089" s="185" t="s">
        <v>1515</v>
      </c>
      <c r="I2089" s="258" t="str">
        <f t="shared" si="97"/>
        <v>2</v>
      </c>
      <c r="J2089" s="221">
        <f t="shared" si="98"/>
        <v>7725.76</v>
      </c>
      <c r="K2089" s="258">
        <f t="shared" si="99"/>
        <v>8</v>
      </c>
      <c r="L2089" s="188">
        <v>7725.76</v>
      </c>
      <c r="M2089" s="188">
        <v>0</v>
      </c>
      <c r="N2089" s="189">
        <v>800153993</v>
      </c>
      <c r="O2089" t="s">
        <v>3148</v>
      </c>
      <c r="P2089" s="187">
        <v>45156.731203703697</v>
      </c>
      <c r="Q2089" s="186">
        <v>12897</v>
      </c>
      <c r="R2089" s="185" t="s">
        <v>1814</v>
      </c>
      <c r="S2089" s="185" t="s">
        <v>1556</v>
      </c>
      <c r="T2089"/>
      <c r="U2089" t="str">
        <f>IF($L2089&gt;0,VLOOKUP($E2089,Valida!$A$1:$G$270,6,FALSE),IF($M2089&gt;=0,VLOOKUP($E2089,Valida!$A$1:$G$270,7,FALSE)))</f>
        <v>(+/-) Ajustes por el incremento (disminución) de cuentas por pagar de origen comercial</v>
      </c>
      <c r="V2089" s="190" t="str">
        <f>VLOOKUP(E2089,Valida!$A$2:$K$271,4,FALSE)</f>
        <v>Trade and other payables</v>
      </c>
      <c r="W2089" s="185" t="s">
        <v>1815</v>
      </c>
      <c r="X2089" s="185"/>
      <c r="Y2089" s="185" t="s">
        <v>1789</v>
      </c>
      <c r="Z2089"/>
    </row>
    <row r="2090" spans="1:26">
      <c r="A2090" s="185" t="s">
        <v>3141</v>
      </c>
      <c r="B2090" s="185" t="s">
        <v>3147</v>
      </c>
      <c r="C2090" s="185" t="s">
        <v>1792</v>
      </c>
      <c r="D2090" s="185" t="s">
        <v>2202</v>
      </c>
      <c r="E2090" s="185">
        <v>51159502</v>
      </c>
      <c r="F2090" s="185" t="s">
        <v>1736</v>
      </c>
      <c r="G2090" s="185" t="s">
        <v>2814</v>
      </c>
      <c r="H2090" s="185" t="s">
        <v>1515</v>
      </c>
      <c r="I2090" s="258" t="str">
        <f t="shared" si="97"/>
        <v>5</v>
      </c>
      <c r="J2090" s="221">
        <f t="shared" si="98"/>
        <v>276.5</v>
      </c>
      <c r="K2090" s="258">
        <f t="shared" si="99"/>
        <v>8</v>
      </c>
      <c r="L2090" s="188">
        <v>276.5</v>
      </c>
      <c r="M2090" s="188">
        <v>0</v>
      </c>
      <c r="N2090" s="189">
        <v>800153993</v>
      </c>
      <c r="O2090" t="s">
        <v>3148</v>
      </c>
      <c r="P2090" s="187">
        <v>45156.731203703697</v>
      </c>
      <c r="Q2090" s="186">
        <v>12898</v>
      </c>
      <c r="R2090" s="185" t="s">
        <v>1814</v>
      </c>
      <c r="S2090" s="185" t="s">
        <v>1556</v>
      </c>
      <c r="T2090"/>
      <c r="U2090" t="str">
        <f>IF($L2090&gt;0,VLOOKUP($E2090,Valida!$A$1:$G$270,6,FALSE),IF($M2090&gt;=0,VLOOKUP($E2090,Valida!$A$1:$G$270,7,FALSE)))</f>
        <v>(+/-) Ganancia (pérdida)</v>
      </c>
      <c r="V2090" s="190" t="str">
        <f>VLOOKUP(E2090,Valida!$A$2:$K$271,4,FALSE)</f>
        <v>P&amp;L</v>
      </c>
      <c r="W2090" s="185" t="s">
        <v>1815</v>
      </c>
      <c r="X2090" s="185"/>
      <c r="Y2090" s="185" t="s">
        <v>1789</v>
      </c>
      <c r="Z2090"/>
    </row>
    <row r="2091" spans="1:26">
      <c r="A2091" s="185" t="s">
        <v>3141</v>
      </c>
      <c r="B2091" s="185" t="s">
        <v>3147</v>
      </c>
      <c r="C2091" s="185" t="s">
        <v>1792</v>
      </c>
      <c r="D2091" s="185" t="s">
        <v>2202</v>
      </c>
      <c r="E2091" s="185">
        <v>53052001</v>
      </c>
      <c r="F2091" s="185" t="s">
        <v>1749</v>
      </c>
      <c r="G2091" s="185" t="s">
        <v>2814</v>
      </c>
      <c r="H2091" s="185" t="s">
        <v>1515</v>
      </c>
      <c r="I2091" s="258" t="str">
        <f t="shared" si="97"/>
        <v>5</v>
      </c>
      <c r="J2091" s="221">
        <f t="shared" si="98"/>
        <v>254.13</v>
      </c>
      <c r="K2091" s="258">
        <f t="shared" si="99"/>
        <v>8</v>
      </c>
      <c r="L2091" s="188">
        <v>254.13</v>
      </c>
      <c r="M2091" s="188">
        <v>0</v>
      </c>
      <c r="N2091" s="189">
        <v>800153993</v>
      </c>
      <c r="O2091" t="s">
        <v>3148</v>
      </c>
      <c r="P2091" s="187">
        <v>45156.731203703697</v>
      </c>
      <c r="Q2091" s="186">
        <v>12899</v>
      </c>
      <c r="R2091" s="185" t="s">
        <v>1814</v>
      </c>
      <c r="S2091" s="185" t="s">
        <v>1556</v>
      </c>
      <c r="T2091"/>
      <c r="U2091" t="str">
        <f>IF($L2091&gt;0,VLOOKUP($E2091,Valida!$A$1:$G$270,6,FALSE),IF($M2091&gt;=0,VLOOKUP($E2091,Valida!$A$1:$G$270,7,FALSE)))</f>
        <v>(+/-) Ganancia (pérdida)</v>
      </c>
      <c r="V2091" s="190" t="str">
        <f>VLOOKUP(E2091,Valida!$A$2:$K$271,4,FALSE)</f>
        <v>P&amp;L</v>
      </c>
      <c r="W2091" s="185" t="s">
        <v>1815</v>
      </c>
      <c r="X2091" s="185"/>
      <c r="Y2091" s="185" t="s">
        <v>1789</v>
      </c>
      <c r="Z2091"/>
    </row>
    <row r="2092" spans="1:26">
      <c r="A2092" s="185" t="s">
        <v>3141</v>
      </c>
      <c r="B2092" s="185" t="s">
        <v>3149</v>
      </c>
      <c r="C2092" s="185" t="s">
        <v>1792</v>
      </c>
      <c r="D2092" s="185" t="s">
        <v>2060</v>
      </c>
      <c r="E2092" s="185">
        <v>51352002</v>
      </c>
      <c r="F2092" s="185" t="s">
        <v>1270</v>
      </c>
      <c r="G2092" s="185" t="s">
        <v>1825</v>
      </c>
      <c r="H2092" s="185" t="s">
        <v>1515</v>
      </c>
      <c r="I2092" s="258" t="str">
        <f t="shared" si="97"/>
        <v>5</v>
      </c>
      <c r="J2092" s="221">
        <f t="shared" si="98"/>
        <v>3567540</v>
      </c>
      <c r="K2092" s="258">
        <f t="shared" si="99"/>
        <v>8</v>
      </c>
      <c r="L2092" s="188">
        <v>3567540</v>
      </c>
      <c r="M2092" s="188">
        <v>0</v>
      </c>
      <c r="N2092" s="189">
        <v>800153993</v>
      </c>
      <c r="O2092" t="s">
        <v>3150</v>
      </c>
      <c r="P2092" s="187">
        <v>45156.731793981497</v>
      </c>
      <c r="Q2092" s="186">
        <v>12900</v>
      </c>
      <c r="R2092" s="185" t="s">
        <v>1814</v>
      </c>
      <c r="S2092" s="185" t="s">
        <v>1556</v>
      </c>
      <c r="T2092"/>
      <c r="U2092" t="str">
        <f>IF($L2092&gt;0,VLOOKUP($E2092,Valida!$A$1:$G$270,6,FALSE),IF($M2092&gt;=0,VLOOKUP($E2092,Valida!$A$1:$G$270,7,FALSE)))</f>
        <v>(+/-) Ganancia (pérdida)</v>
      </c>
      <c r="V2092" s="190" t="str">
        <f>VLOOKUP(E2092,Valida!$A$2:$K$271,4,FALSE)</f>
        <v>P&amp;L</v>
      </c>
      <c r="W2092" s="185" t="s">
        <v>1815</v>
      </c>
      <c r="X2092" s="185"/>
      <c r="Y2092" s="185" t="s">
        <v>1789</v>
      </c>
      <c r="Z2092"/>
    </row>
    <row r="2093" spans="1:26">
      <c r="A2093" s="185" t="s">
        <v>3141</v>
      </c>
      <c r="B2093" s="185" t="s">
        <v>3149</v>
      </c>
      <c r="C2093" s="185" t="s">
        <v>1792</v>
      </c>
      <c r="D2093" s="185" t="s">
        <v>2060</v>
      </c>
      <c r="E2093" s="185">
        <v>24081002</v>
      </c>
      <c r="F2093" s="185" t="s">
        <v>1687</v>
      </c>
      <c r="G2093" s="185" t="s">
        <v>1830</v>
      </c>
      <c r="H2093" s="185" t="s">
        <v>1515</v>
      </c>
      <c r="I2093" s="258" t="str">
        <f t="shared" si="97"/>
        <v>2</v>
      </c>
      <c r="J2093" s="221">
        <f t="shared" si="98"/>
        <v>677832.6</v>
      </c>
      <c r="K2093" s="258">
        <f t="shared" si="99"/>
        <v>8</v>
      </c>
      <c r="L2093" s="188">
        <v>677832.6</v>
      </c>
      <c r="M2093" s="188">
        <v>0</v>
      </c>
      <c r="N2093" s="189">
        <v>800153993</v>
      </c>
      <c r="O2093" t="s">
        <v>3150</v>
      </c>
      <c r="P2093" s="187">
        <v>45156.731793981497</v>
      </c>
      <c r="Q2093" s="186">
        <v>12901</v>
      </c>
      <c r="R2093" s="185" t="s">
        <v>1814</v>
      </c>
      <c r="S2093" s="185" t="s">
        <v>1556</v>
      </c>
      <c r="T2093"/>
      <c r="U2093" t="str">
        <f>IF($L2093&gt;0,VLOOKUP($E2093,Valida!$A$1:$G$270,6,FALSE),IF($M2093&gt;=0,VLOOKUP($E2093,Valida!$A$1:$G$270,7,FALSE)))</f>
        <v>(+/-) Ajustes por el incremento (disminución) de cuentas por pagar de origen comercial</v>
      </c>
      <c r="V2093" s="190" t="str">
        <f>VLOOKUP(E2093,Valida!$A$2:$K$271,4,FALSE)</f>
        <v>Trade and other payables</v>
      </c>
      <c r="W2093" s="185" t="s">
        <v>1815</v>
      </c>
      <c r="X2093" s="185"/>
      <c r="Y2093" s="185" t="s">
        <v>1789</v>
      </c>
      <c r="Z2093"/>
    </row>
    <row r="2094" spans="1:26">
      <c r="A2094" s="185" t="s">
        <v>3141</v>
      </c>
      <c r="B2094" s="185" t="s">
        <v>3149</v>
      </c>
      <c r="C2094" s="185" t="s">
        <v>1792</v>
      </c>
      <c r="D2094" s="185" t="s">
        <v>2060</v>
      </c>
      <c r="E2094" s="185">
        <v>23355006</v>
      </c>
      <c r="F2094" s="185" t="s">
        <v>519</v>
      </c>
      <c r="G2094" s="185" t="s">
        <v>1825</v>
      </c>
      <c r="H2094" s="185" t="s">
        <v>1628</v>
      </c>
      <c r="I2094" s="258" t="str">
        <f t="shared" si="97"/>
        <v>2</v>
      </c>
      <c r="J2094" s="221">
        <f t="shared" si="98"/>
        <v>-4245373</v>
      </c>
      <c r="K2094" s="258">
        <f t="shared" si="99"/>
        <v>8</v>
      </c>
      <c r="L2094" s="188">
        <v>0</v>
      </c>
      <c r="M2094" s="188">
        <v>4245373</v>
      </c>
      <c r="N2094" s="189">
        <v>800153993</v>
      </c>
      <c r="O2094" t="s">
        <v>3150</v>
      </c>
      <c r="P2094" s="187">
        <v>45156.731793981497</v>
      </c>
      <c r="Q2094" s="186">
        <v>12902</v>
      </c>
      <c r="R2094" s="185" t="s">
        <v>1814</v>
      </c>
      <c r="S2094" s="185" t="s">
        <v>1556</v>
      </c>
      <c r="T2094"/>
      <c r="U2094" t="str">
        <f>IF($L2094&gt;0,VLOOKUP($E2094,Valida!$A$1:$G$270,6,FALSE),IF($M2094&gt;=0,VLOOKUP($E2094,Valida!$A$1:$G$270,7,FALSE)))</f>
        <v>(+/-) Ajustes por el incremento (disminución) de cuentas por pagar de origen comercial</v>
      </c>
      <c r="V2094" s="190" t="str">
        <f>VLOOKUP(E2094,Valida!$A$2:$K$271,4,FALSE)</f>
        <v>Trade and other payables</v>
      </c>
      <c r="W2094" s="185" t="s">
        <v>1815</v>
      </c>
      <c r="X2094" s="185"/>
      <c r="Y2094" s="185" t="s">
        <v>1789</v>
      </c>
      <c r="Z2094"/>
    </row>
    <row r="2095" spans="1:26">
      <c r="A2095" s="185" t="s">
        <v>3141</v>
      </c>
      <c r="B2095" s="185" t="s">
        <v>3149</v>
      </c>
      <c r="C2095" s="185" t="s">
        <v>1792</v>
      </c>
      <c r="D2095" s="185" t="s">
        <v>2060</v>
      </c>
      <c r="E2095" s="185">
        <v>53059510</v>
      </c>
      <c r="F2095" s="185" t="s">
        <v>1065</v>
      </c>
      <c r="G2095" s="185" t="s">
        <v>1825</v>
      </c>
      <c r="H2095" s="185" t="s">
        <v>1515</v>
      </c>
      <c r="I2095" s="258" t="str">
        <f t="shared" si="97"/>
        <v>5</v>
      </c>
      <c r="J2095" s="221">
        <f t="shared" si="98"/>
        <v>0.4</v>
      </c>
      <c r="K2095" s="258">
        <f t="shared" si="99"/>
        <v>8</v>
      </c>
      <c r="L2095" s="188">
        <v>0.4</v>
      </c>
      <c r="M2095" s="188">
        <v>0</v>
      </c>
      <c r="N2095" s="189">
        <v>800153993</v>
      </c>
      <c r="O2095" t="s">
        <v>3150</v>
      </c>
      <c r="P2095" s="187">
        <v>45156.731793981497</v>
      </c>
      <c r="Q2095" s="186">
        <v>12903</v>
      </c>
      <c r="R2095" s="185" t="s">
        <v>1814</v>
      </c>
      <c r="S2095" s="185" t="s">
        <v>1556</v>
      </c>
      <c r="T2095"/>
      <c r="U2095" t="str">
        <f>IF($L2095&gt;0,VLOOKUP($E2095,Valida!$A$1:$G$270,6,FALSE),IF($M2095&gt;=0,VLOOKUP($E2095,Valida!$A$1:$G$270,7,FALSE)))</f>
        <v>(+/-) Ganancia (pérdida)</v>
      </c>
      <c r="V2095" s="190" t="str">
        <f>VLOOKUP(E2095,Valida!$A$2:$K$271,4,FALSE)</f>
        <v>P&amp;L</v>
      </c>
      <c r="W2095" s="185" t="s">
        <v>1815</v>
      </c>
      <c r="X2095" s="185"/>
      <c r="Y2095" s="185" t="s">
        <v>1789</v>
      </c>
      <c r="Z2095"/>
    </row>
    <row r="2096" spans="1:26">
      <c r="A2096" s="185" t="s">
        <v>3151</v>
      </c>
      <c r="B2096" s="185" t="s">
        <v>3152</v>
      </c>
      <c r="C2096" s="185" t="s">
        <v>1792</v>
      </c>
      <c r="D2096" s="185" t="s">
        <v>2063</v>
      </c>
      <c r="E2096" s="185">
        <v>51350501</v>
      </c>
      <c r="F2096" s="185" t="s">
        <v>1256</v>
      </c>
      <c r="G2096" s="185" t="s">
        <v>1794</v>
      </c>
      <c r="H2096" s="185" t="s">
        <v>1515</v>
      </c>
      <c r="I2096" s="258" t="str">
        <f t="shared" si="97"/>
        <v>5</v>
      </c>
      <c r="J2096" s="221">
        <f t="shared" si="98"/>
        <v>1285970</v>
      </c>
      <c r="K2096" s="258">
        <f t="shared" si="99"/>
        <v>8</v>
      </c>
      <c r="L2096" s="188">
        <v>1285970</v>
      </c>
      <c r="M2096" s="188">
        <v>0</v>
      </c>
      <c r="N2096" s="189">
        <v>900736537</v>
      </c>
      <c r="O2096" t="s">
        <v>3153</v>
      </c>
      <c r="P2096" s="187">
        <v>45156.733194444401</v>
      </c>
      <c r="Q2096" s="186">
        <v>12904</v>
      </c>
      <c r="R2096" s="185" t="s">
        <v>1814</v>
      </c>
      <c r="S2096" s="185" t="s">
        <v>1602</v>
      </c>
      <c r="T2096"/>
      <c r="U2096" t="str">
        <f>IF($L2096&gt;0,VLOOKUP($E2096,Valida!$A$1:$G$270,6,FALSE),IF($M2096&gt;=0,VLOOKUP($E2096,Valida!$A$1:$G$270,7,FALSE)))</f>
        <v>(+/-) Ganancia (pérdida)</v>
      </c>
      <c r="V2096" s="190" t="str">
        <f>VLOOKUP(E2096,Valida!$A$2:$K$271,4,FALSE)</f>
        <v>P&amp;L</v>
      </c>
      <c r="W2096" s="185" t="s">
        <v>2985</v>
      </c>
      <c r="X2096" s="185" t="s">
        <v>2986</v>
      </c>
      <c r="Y2096" s="185" t="s">
        <v>1789</v>
      </c>
      <c r="Z2096"/>
    </row>
    <row r="2097" spans="1:26">
      <c r="A2097" s="185" t="s">
        <v>3151</v>
      </c>
      <c r="B2097" s="185" t="s">
        <v>3152</v>
      </c>
      <c r="C2097" s="185" t="s">
        <v>1792</v>
      </c>
      <c r="D2097" s="185" t="s">
        <v>2063</v>
      </c>
      <c r="E2097" s="185">
        <v>51350501</v>
      </c>
      <c r="F2097" s="185" t="s">
        <v>1256</v>
      </c>
      <c r="G2097" s="185" t="s">
        <v>1794</v>
      </c>
      <c r="H2097" s="185" t="s">
        <v>1515</v>
      </c>
      <c r="I2097" s="258" t="str">
        <f t="shared" si="97"/>
        <v>5</v>
      </c>
      <c r="J2097" s="221">
        <f t="shared" si="98"/>
        <v>128597</v>
      </c>
      <c r="K2097" s="258">
        <f t="shared" si="99"/>
        <v>8</v>
      </c>
      <c r="L2097" s="188">
        <v>128597</v>
      </c>
      <c r="M2097" s="188">
        <v>0</v>
      </c>
      <c r="N2097" s="189">
        <v>900736537</v>
      </c>
      <c r="O2097" t="s">
        <v>3153</v>
      </c>
      <c r="P2097" s="187">
        <v>45156.733194444401</v>
      </c>
      <c r="Q2097" s="186">
        <v>12905</v>
      </c>
      <c r="R2097" s="185" t="s">
        <v>1814</v>
      </c>
      <c r="S2097" s="185" t="s">
        <v>1602</v>
      </c>
      <c r="T2097"/>
      <c r="U2097" t="str">
        <f>IF($L2097&gt;0,VLOOKUP($E2097,Valida!$A$1:$G$270,6,FALSE),IF($M2097&gt;=0,VLOOKUP($E2097,Valida!$A$1:$G$270,7,FALSE)))</f>
        <v>(+/-) Ganancia (pérdida)</v>
      </c>
      <c r="V2097" s="190" t="str">
        <f>VLOOKUP(E2097,Valida!$A$2:$K$271,4,FALSE)</f>
        <v>P&amp;L</v>
      </c>
      <c r="W2097" s="185" t="s">
        <v>2985</v>
      </c>
      <c r="X2097" s="185" t="s">
        <v>2986</v>
      </c>
      <c r="Y2097" s="185" t="s">
        <v>1789</v>
      </c>
      <c r="Z2097"/>
    </row>
    <row r="2098" spans="1:26">
      <c r="A2098" s="185" t="s">
        <v>3151</v>
      </c>
      <c r="B2098" s="185" t="s">
        <v>3152</v>
      </c>
      <c r="C2098" s="185" t="s">
        <v>1792</v>
      </c>
      <c r="D2098" s="185" t="s">
        <v>2063</v>
      </c>
      <c r="E2098" s="185">
        <v>24081002</v>
      </c>
      <c r="F2098" s="185" t="s">
        <v>1687</v>
      </c>
      <c r="G2098" s="185" t="s">
        <v>1794</v>
      </c>
      <c r="H2098" s="185" t="s">
        <v>1515</v>
      </c>
      <c r="I2098" s="258" t="str">
        <f t="shared" si="97"/>
        <v>2</v>
      </c>
      <c r="J2098" s="221">
        <f t="shared" si="98"/>
        <v>24433</v>
      </c>
      <c r="K2098" s="258">
        <f t="shared" si="99"/>
        <v>8</v>
      </c>
      <c r="L2098" s="188">
        <v>24433</v>
      </c>
      <c r="M2098" s="188">
        <v>0</v>
      </c>
      <c r="N2098" s="189">
        <v>900736537</v>
      </c>
      <c r="O2098" t="s">
        <v>3153</v>
      </c>
      <c r="P2098" s="187">
        <v>45156.733194444401</v>
      </c>
      <c r="Q2098" s="186">
        <v>12906</v>
      </c>
      <c r="R2098" s="185" t="s">
        <v>1814</v>
      </c>
      <c r="S2098" s="185" t="s">
        <v>1602</v>
      </c>
      <c r="T2098"/>
      <c r="U2098" t="str">
        <f>IF($L2098&gt;0,VLOOKUP($E2098,Valida!$A$1:$G$270,6,FALSE),IF($M2098&gt;=0,VLOOKUP($E2098,Valida!$A$1:$G$270,7,FALSE)))</f>
        <v>(+/-) Ajustes por el incremento (disminución) de cuentas por pagar de origen comercial</v>
      </c>
      <c r="V2098" s="190" t="str">
        <f>VLOOKUP(E2098,Valida!$A$2:$K$271,4,FALSE)</f>
        <v>Trade and other payables</v>
      </c>
      <c r="W2098" s="185" t="s">
        <v>2985</v>
      </c>
      <c r="X2098" s="185" t="s">
        <v>2986</v>
      </c>
      <c r="Y2098" s="185" t="s">
        <v>1789</v>
      </c>
      <c r="Z2098"/>
    </row>
    <row r="2099" spans="1:26">
      <c r="A2099" s="185" t="s">
        <v>3151</v>
      </c>
      <c r="B2099" s="185" t="s">
        <v>3152</v>
      </c>
      <c r="C2099" s="185" t="s">
        <v>1792</v>
      </c>
      <c r="D2099" s="185" t="s">
        <v>2063</v>
      </c>
      <c r="E2099" s="185">
        <v>23355004</v>
      </c>
      <c r="F2099" s="185" t="s">
        <v>513</v>
      </c>
      <c r="G2099" s="185" t="s">
        <v>1794</v>
      </c>
      <c r="H2099" s="185" t="s">
        <v>1628</v>
      </c>
      <c r="I2099" s="258" t="str">
        <f t="shared" si="97"/>
        <v>2</v>
      </c>
      <c r="J2099" s="221">
        <f t="shared" si="98"/>
        <v>-1439000</v>
      </c>
      <c r="K2099" s="258">
        <f t="shared" si="99"/>
        <v>8</v>
      </c>
      <c r="L2099" s="188">
        <v>0</v>
      </c>
      <c r="M2099" s="188">
        <v>1439000</v>
      </c>
      <c r="N2099" s="189">
        <v>900736537</v>
      </c>
      <c r="O2099" t="s">
        <v>3153</v>
      </c>
      <c r="P2099" s="187">
        <v>45156.733194444401</v>
      </c>
      <c r="Q2099" s="186">
        <v>12907</v>
      </c>
      <c r="R2099" s="185" t="s">
        <v>1814</v>
      </c>
      <c r="S2099" s="185" t="s">
        <v>1602</v>
      </c>
      <c r="T2099"/>
      <c r="U2099" t="str">
        <f>IF($L2099&gt;0,VLOOKUP($E2099,Valida!$A$1:$G$270,6,FALSE),IF($M2099&gt;=0,VLOOKUP($E2099,Valida!$A$1:$G$270,7,FALSE)))</f>
        <v>(+/-) Ajustes por el incremento (disminución) de cuentas por pagar de origen comercial</v>
      </c>
      <c r="V2099" s="190" t="str">
        <f>VLOOKUP(E2099,Valida!$A$2:$K$271,4,FALSE)</f>
        <v>Trade and other payables</v>
      </c>
      <c r="W2099" s="185" t="s">
        <v>2985</v>
      </c>
      <c r="X2099" s="185" t="s">
        <v>2986</v>
      </c>
      <c r="Y2099" s="185" t="s">
        <v>1789</v>
      </c>
      <c r="Z2099"/>
    </row>
    <row r="2100" spans="1:26">
      <c r="A2100" s="185" t="s">
        <v>3151</v>
      </c>
      <c r="B2100" s="185" t="s">
        <v>3154</v>
      </c>
      <c r="C2100" s="185" t="s">
        <v>1792</v>
      </c>
      <c r="D2100" s="185" t="s">
        <v>2066</v>
      </c>
      <c r="E2100" s="185">
        <v>51352002</v>
      </c>
      <c r="F2100" s="185" t="s">
        <v>1270</v>
      </c>
      <c r="G2100" s="185" t="s">
        <v>1825</v>
      </c>
      <c r="H2100" s="185" t="s">
        <v>1515</v>
      </c>
      <c r="I2100" s="258" t="str">
        <f t="shared" si="97"/>
        <v>5</v>
      </c>
      <c r="J2100" s="221">
        <f t="shared" si="98"/>
        <v>1224400</v>
      </c>
      <c r="K2100" s="258">
        <f t="shared" si="99"/>
        <v>8</v>
      </c>
      <c r="L2100" s="188">
        <v>1224400</v>
      </c>
      <c r="M2100" s="188">
        <v>0</v>
      </c>
      <c r="N2100" s="189">
        <v>899999115</v>
      </c>
      <c r="O2100" t="s">
        <v>3155</v>
      </c>
      <c r="P2100" s="187">
        <v>45156.733993055597</v>
      </c>
      <c r="Q2100" s="186">
        <v>12908</v>
      </c>
      <c r="R2100" s="185" t="s">
        <v>1827</v>
      </c>
      <c r="S2100" s="185" t="s">
        <v>1586</v>
      </c>
      <c r="T2100"/>
      <c r="U2100" t="str">
        <f>IF($L2100&gt;0,VLOOKUP($E2100,Valida!$A$1:$G$270,6,FALSE),IF($M2100&gt;=0,VLOOKUP($E2100,Valida!$A$1:$G$270,7,FALSE)))</f>
        <v>(+/-) Ganancia (pérdida)</v>
      </c>
      <c r="V2100" s="190" t="str">
        <f>VLOOKUP(E2100,Valida!$A$2:$K$271,4,FALSE)</f>
        <v>P&amp;L</v>
      </c>
      <c r="W2100" s="185" t="s">
        <v>1828</v>
      </c>
      <c r="X2100" s="185" t="s">
        <v>1829</v>
      </c>
      <c r="Y2100" s="185" t="s">
        <v>1789</v>
      </c>
      <c r="Z2100"/>
    </row>
    <row r="2101" spans="1:26">
      <c r="A2101" s="185" t="s">
        <v>3151</v>
      </c>
      <c r="B2101" s="185" t="s">
        <v>3154</v>
      </c>
      <c r="C2101" s="185" t="s">
        <v>1792</v>
      </c>
      <c r="D2101" s="185" t="s">
        <v>2066</v>
      </c>
      <c r="E2101" s="185">
        <v>24081002</v>
      </c>
      <c r="F2101" s="185" t="s">
        <v>1687</v>
      </c>
      <c r="G2101" s="185" t="s">
        <v>1830</v>
      </c>
      <c r="H2101" s="185" t="s">
        <v>1515</v>
      </c>
      <c r="I2101" s="258" t="str">
        <f t="shared" si="97"/>
        <v>2</v>
      </c>
      <c r="J2101" s="221">
        <f t="shared" si="98"/>
        <v>232636</v>
      </c>
      <c r="K2101" s="258">
        <f t="shared" si="99"/>
        <v>8</v>
      </c>
      <c r="L2101" s="188">
        <v>232636</v>
      </c>
      <c r="M2101" s="188">
        <v>0</v>
      </c>
      <c r="N2101" s="189">
        <v>899999115</v>
      </c>
      <c r="O2101" t="s">
        <v>3155</v>
      </c>
      <c r="P2101" s="187">
        <v>45156.733993055597</v>
      </c>
      <c r="Q2101" s="186">
        <v>12909</v>
      </c>
      <c r="R2101" s="185" t="s">
        <v>1827</v>
      </c>
      <c r="S2101" s="185" t="s">
        <v>1586</v>
      </c>
      <c r="T2101"/>
      <c r="U2101" t="str">
        <f>IF($L2101&gt;0,VLOOKUP($E2101,Valida!$A$1:$G$270,6,FALSE),IF($M2101&gt;=0,VLOOKUP($E2101,Valida!$A$1:$G$270,7,FALSE)))</f>
        <v>(+/-) Ajustes por el incremento (disminución) de cuentas por pagar de origen comercial</v>
      </c>
      <c r="V2101" s="190" t="str">
        <f>VLOOKUP(E2101,Valida!$A$2:$K$271,4,FALSE)</f>
        <v>Trade and other payables</v>
      </c>
      <c r="W2101" s="185" t="s">
        <v>1828</v>
      </c>
      <c r="X2101" s="185" t="s">
        <v>1829</v>
      </c>
      <c r="Y2101" s="185" t="s">
        <v>1789</v>
      </c>
      <c r="Z2101"/>
    </row>
    <row r="2102" spans="1:26">
      <c r="A2102" s="185" t="s">
        <v>3151</v>
      </c>
      <c r="B2102" s="185" t="s">
        <v>3154</v>
      </c>
      <c r="C2102" s="185" t="s">
        <v>1792</v>
      </c>
      <c r="D2102" s="185" t="s">
        <v>2066</v>
      </c>
      <c r="E2102" s="185">
        <v>23355006</v>
      </c>
      <c r="F2102" s="185" t="s">
        <v>519</v>
      </c>
      <c r="G2102" s="185" t="s">
        <v>1825</v>
      </c>
      <c r="H2102" s="185" t="s">
        <v>1628</v>
      </c>
      <c r="I2102" s="258" t="str">
        <f t="shared" si="97"/>
        <v>2</v>
      </c>
      <c r="J2102" s="221">
        <f t="shared" si="98"/>
        <v>-1457040</v>
      </c>
      <c r="K2102" s="258">
        <f t="shared" si="99"/>
        <v>8</v>
      </c>
      <c r="L2102" s="188">
        <v>0</v>
      </c>
      <c r="M2102" s="188">
        <v>1457040</v>
      </c>
      <c r="N2102" s="189">
        <v>899999115</v>
      </c>
      <c r="O2102" t="s">
        <v>3155</v>
      </c>
      <c r="P2102" s="187">
        <v>45156.733993055597</v>
      </c>
      <c r="Q2102" s="186">
        <v>12910</v>
      </c>
      <c r="R2102" s="185" t="s">
        <v>1827</v>
      </c>
      <c r="S2102" s="185" t="s">
        <v>1586</v>
      </c>
      <c r="T2102"/>
      <c r="U2102" t="str">
        <f>IF($L2102&gt;0,VLOOKUP($E2102,Valida!$A$1:$G$270,6,FALSE),IF($M2102&gt;=0,VLOOKUP($E2102,Valida!$A$1:$G$270,7,FALSE)))</f>
        <v>(+/-) Ajustes por el incremento (disminución) de cuentas por pagar de origen comercial</v>
      </c>
      <c r="V2102" s="190" t="str">
        <f>VLOOKUP(E2102,Valida!$A$2:$K$271,4,FALSE)</f>
        <v>Trade and other payables</v>
      </c>
      <c r="W2102" s="185" t="s">
        <v>1828</v>
      </c>
      <c r="X2102" s="185" t="s">
        <v>1829</v>
      </c>
      <c r="Y2102" s="185" t="s">
        <v>1789</v>
      </c>
      <c r="Z2102"/>
    </row>
    <row r="2103" spans="1:26">
      <c r="A2103" s="185" t="s">
        <v>3151</v>
      </c>
      <c r="B2103" s="185" t="s">
        <v>3154</v>
      </c>
      <c r="C2103" s="185" t="s">
        <v>1792</v>
      </c>
      <c r="D2103" s="185" t="s">
        <v>2066</v>
      </c>
      <c r="E2103" s="185">
        <v>53059510</v>
      </c>
      <c r="F2103" s="185" t="s">
        <v>1065</v>
      </c>
      <c r="G2103" s="185" t="s">
        <v>1825</v>
      </c>
      <c r="H2103" s="185" t="s">
        <v>1515</v>
      </c>
      <c r="I2103" s="258" t="str">
        <f t="shared" si="97"/>
        <v>5</v>
      </c>
      <c r="J2103" s="221">
        <f t="shared" si="98"/>
        <v>4</v>
      </c>
      <c r="K2103" s="258">
        <f t="shared" si="99"/>
        <v>8</v>
      </c>
      <c r="L2103" s="188">
        <v>4</v>
      </c>
      <c r="M2103" s="188">
        <v>0</v>
      </c>
      <c r="N2103" s="189">
        <v>899999115</v>
      </c>
      <c r="O2103" t="s">
        <v>3155</v>
      </c>
      <c r="P2103" s="187">
        <v>45156.733993055597</v>
      </c>
      <c r="Q2103" s="186">
        <v>12911</v>
      </c>
      <c r="R2103" s="185" t="s">
        <v>1827</v>
      </c>
      <c r="S2103" s="185" t="s">
        <v>1586</v>
      </c>
      <c r="T2103"/>
      <c r="U2103" t="str">
        <f>IF($L2103&gt;0,VLOOKUP($E2103,Valida!$A$1:$G$270,6,FALSE),IF($M2103&gt;=0,VLOOKUP($E2103,Valida!$A$1:$G$270,7,FALSE)))</f>
        <v>(+/-) Ganancia (pérdida)</v>
      </c>
      <c r="V2103" s="190" t="str">
        <f>VLOOKUP(E2103,Valida!$A$2:$K$271,4,FALSE)</f>
        <v>P&amp;L</v>
      </c>
      <c r="W2103" s="185" t="s">
        <v>1828</v>
      </c>
      <c r="X2103" s="185" t="s">
        <v>1829</v>
      </c>
      <c r="Y2103" s="185" t="s">
        <v>1789</v>
      </c>
      <c r="Z2103"/>
    </row>
    <row r="2104" spans="1:26">
      <c r="A2104" s="185" t="s">
        <v>3141</v>
      </c>
      <c r="B2104" s="185" t="s">
        <v>3156</v>
      </c>
      <c r="C2104" s="185" t="s">
        <v>1949</v>
      </c>
      <c r="D2104" s="185" t="s">
        <v>2227</v>
      </c>
      <c r="E2104" s="185">
        <v>130510</v>
      </c>
      <c r="F2104" s="185" t="s">
        <v>64</v>
      </c>
      <c r="G2104" s="185" t="s">
        <v>3157</v>
      </c>
      <c r="H2104" s="185" t="s">
        <v>1628</v>
      </c>
      <c r="I2104" s="258" t="str">
        <f t="shared" si="97"/>
        <v>1</v>
      </c>
      <c r="J2104" s="221">
        <f t="shared" si="98"/>
        <v>-86189200</v>
      </c>
      <c r="K2104" s="258">
        <f t="shared" si="99"/>
        <v>8</v>
      </c>
      <c r="L2104" s="188">
        <v>0</v>
      </c>
      <c r="M2104" s="188">
        <v>86189200</v>
      </c>
      <c r="N2104" s="189">
        <v>374795</v>
      </c>
      <c r="O2104"/>
      <c r="P2104" s="187">
        <v>45160.486087963</v>
      </c>
      <c r="Q2104" s="186">
        <v>12912</v>
      </c>
      <c r="R2104" s="185"/>
      <c r="S2104" s="185" t="s">
        <v>1544</v>
      </c>
      <c r="T2104"/>
      <c r="U2104" t="str">
        <f>IF($L2104&gt;0,VLOOKUP($E2104,Valida!$A$1:$G$270,6,FALSE),IF($M2104&gt;=0,VLOOKUP($E2104,Valida!$A$1:$G$270,7,FALSE)))</f>
        <v>(+/-) Ajustes por la disminución (incremento) de cuentas por cobrar de origen comercial</v>
      </c>
      <c r="V2104" s="190" t="str">
        <f>VLOOKUP(E2104,Valida!$A$2:$K$271,4,FALSE)</f>
        <v>Trade and other receivables</v>
      </c>
      <c r="W2104" s="185" t="s">
        <v>1803</v>
      </c>
      <c r="X2104" s="185"/>
      <c r="Y2104" s="185"/>
      <c r="Z2104"/>
    </row>
    <row r="2105" spans="1:26">
      <c r="A2105" s="185" t="s">
        <v>3141</v>
      </c>
      <c r="B2105" s="185" t="s">
        <v>3156</v>
      </c>
      <c r="C2105" s="185" t="s">
        <v>1949</v>
      </c>
      <c r="D2105" s="185" t="s">
        <v>2227</v>
      </c>
      <c r="E2105" s="185">
        <v>112005</v>
      </c>
      <c r="F2105" s="185" t="s">
        <v>24</v>
      </c>
      <c r="G2105" s="185" t="s">
        <v>3157</v>
      </c>
      <c r="H2105" s="185" t="s">
        <v>1515</v>
      </c>
      <c r="I2105" s="258" t="str">
        <f t="shared" si="97"/>
        <v>1</v>
      </c>
      <c r="J2105" s="221">
        <f t="shared" si="98"/>
        <v>88391405</v>
      </c>
      <c r="K2105" s="258">
        <f t="shared" si="99"/>
        <v>8</v>
      </c>
      <c r="L2105" s="188">
        <v>88391405</v>
      </c>
      <c r="M2105" s="188">
        <v>0</v>
      </c>
      <c r="N2105" s="189">
        <v>374795</v>
      </c>
      <c r="O2105"/>
      <c r="P2105" s="187">
        <v>45160.486087963</v>
      </c>
      <c r="Q2105" s="186">
        <v>12913</v>
      </c>
      <c r="R2105" s="185"/>
      <c r="S2105" s="185" t="s">
        <v>1544</v>
      </c>
      <c r="T2105" t="s">
        <v>1894</v>
      </c>
      <c r="U2105" t="str">
        <f>IF($L2105&gt;0,VLOOKUP($E2105,Valida!$A$1:$G$270,6,FALSE),IF($M2105&gt;=0,VLOOKUP($E2105,Valida!$A$1:$G$270,7,FALSE)))</f>
        <v>Disponible</v>
      </c>
      <c r="V2105" s="190" t="str">
        <f>VLOOKUP(E2105,Valida!$A$2:$K$271,4,FALSE)</f>
        <v>Cash and equivalents</v>
      </c>
      <c r="W2105" s="185" t="s">
        <v>1803</v>
      </c>
      <c r="X2105" s="185"/>
      <c r="Y2105" s="185"/>
      <c r="Z2105"/>
    </row>
    <row r="2106" spans="1:26">
      <c r="A2106" s="185" t="s">
        <v>3141</v>
      </c>
      <c r="B2106" s="185" t="s">
        <v>3156</v>
      </c>
      <c r="C2106" s="185" t="s">
        <v>1949</v>
      </c>
      <c r="D2106" s="185" t="s">
        <v>2227</v>
      </c>
      <c r="E2106" s="185">
        <v>42102001</v>
      </c>
      <c r="F2106" s="185" t="s">
        <v>1712</v>
      </c>
      <c r="G2106" s="185" t="s">
        <v>3157</v>
      </c>
      <c r="H2106" s="185" t="s">
        <v>1628</v>
      </c>
      <c r="I2106" s="258" t="str">
        <f t="shared" si="97"/>
        <v>4</v>
      </c>
      <c r="J2106" s="221">
        <f t="shared" si="98"/>
        <v>-2202205</v>
      </c>
      <c r="K2106" s="258">
        <f t="shared" si="99"/>
        <v>8</v>
      </c>
      <c r="L2106" s="188">
        <v>0</v>
      </c>
      <c r="M2106" s="188">
        <v>2202205</v>
      </c>
      <c r="N2106" s="189">
        <v>374795</v>
      </c>
      <c r="O2106"/>
      <c r="P2106" s="187">
        <v>45160.486087963</v>
      </c>
      <c r="Q2106" s="186">
        <v>12914</v>
      </c>
      <c r="R2106" s="185"/>
      <c r="S2106" s="185" t="s">
        <v>1544</v>
      </c>
      <c r="T2106"/>
      <c r="U2106" t="str">
        <f>IF($L2106&gt;0,VLOOKUP($E2106,Valida!$A$1:$G$270,6,FALSE),IF($M2106&gt;=0,VLOOKUP($E2106,Valida!$A$1:$G$270,7,FALSE)))</f>
        <v>(+/-) Ganancia (pérdida)</v>
      </c>
      <c r="V2106" s="190" t="str">
        <f>VLOOKUP(E2106,Valida!$A$2:$K$271,4,FALSE)</f>
        <v>P&amp;L</v>
      </c>
      <c r="W2106" s="185" t="s">
        <v>1803</v>
      </c>
      <c r="X2106" s="185"/>
      <c r="Y2106" s="185"/>
      <c r="Z2106"/>
    </row>
    <row r="2107" spans="1:26">
      <c r="A2107" s="185" t="s">
        <v>3141</v>
      </c>
      <c r="B2107" s="185" t="s">
        <v>3158</v>
      </c>
      <c r="C2107" s="185" t="s">
        <v>1949</v>
      </c>
      <c r="D2107" s="185" t="s">
        <v>2434</v>
      </c>
      <c r="E2107" s="185">
        <v>13552001</v>
      </c>
      <c r="F2107" s="185" t="s">
        <v>276</v>
      </c>
      <c r="G2107" s="185" t="s">
        <v>3159</v>
      </c>
      <c r="H2107" s="185" t="s">
        <v>1628</v>
      </c>
      <c r="I2107" s="258" t="str">
        <f t="shared" si="97"/>
        <v>1</v>
      </c>
      <c r="J2107" s="221">
        <f t="shared" si="98"/>
        <v>-11415000</v>
      </c>
      <c r="K2107" s="258">
        <f t="shared" si="99"/>
        <v>8</v>
      </c>
      <c r="L2107" s="188">
        <v>0</v>
      </c>
      <c r="M2107" s="188">
        <v>11415000</v>
      </c>
      <c r="N2107" s="189">
        <v>800197268</v>
      </c>
      <c r="O2107"/>
      <c r="P2107" s="187">
        <v>45160.487222222197</v>
      </c>
      <c r="Q2107" s="186">
        <v>12915</v>
      </c>
      <c r="R2107" s="185" t="s">
        <v>983</v>
      </c>
      <c r="S2107" s="185" t="s">
        <v>1558</v>
      </c>
      <c r="T2107"/>
      <c r="U2107" t="str">
        <f>IF($L2107&gt;0,VLOOKUP($E2107,Valida!$A$1:$G$270,6,FALSE),IF($M2107&gt;=0,VLOOKUP($E2107,Valida!$A$1:$G$270,7,FALSE)))</f>
        <v>(+/-) Ajustes por disminuciones (incrementos) en otras cuentas por cobrar derivadas de las actividades de operación</v>
      </c>
      <c r="V2107" s="190" t="str">
        <f>VLOOKUP(E2107,Valida!$A$2:$K$271,4,FALSE)</f>
        <v>Trade and other receivables</v>
      </c>
      <c r="W2107" s="185" t="s">
        <v>1944</v>
      </c>
      <c r="X2107" s="185"/>
      <c r="Y2107" s="185" t="s">
        <v>1789</v>
      </c>
      <c r="Z2107"/>
    </row>
    <row r="2108" spans="1:26">
      <c r="A2108" s="185" t="s">
        <v>3141</v>
      </c>
      <c r="B2108" s="185" t="s">
        <v>3158</v>
      </c>
      <c r="C2108" s="185" t="s">
        <v>1949</v>
      </c>
      <c r="D2108" s="185" t="s">
        <v>2434</v>
      </c>
      <c r="E2108" s="185">
        <v>112005</v>
      </c>
      <c r="F2108" s="185" t="s">
        <v>24</v>
      </c>
      <c r="G2108" s="185" t="s">
        <v>3159</v>
      </c>
      <c r="H2108" s="185" t="s">
        <v>1515</v>
      </c>
      <c r="I2108" s="258" t="str">
        <f t="shared" si="97"/>
        <v>1</v>
      </c>
      <c r="J2108" s="221">
        <f t="shared" si="98"/>
        <v>11415000</v>
      </c>
      <c r="K2108" s="258">
        <f t="shared" si="99"/>
        <v>8</v>
      </c>
      <c r="L2108" s="188">
        <v>11415000</v>
      </c>
      <c r="M2108" s="188">
        <v>0</v>
      </c>
      <c r="N2108" s="189">
        <v>800197268</v>
      </c>
      <c r="O2108"/>
      <c r="P2108" s="187">
        <v>45160.487233796302</v>
      </c>
      <c r="Q2108" s="186">
        <v>12916</v>
      </c>
      <c r="R2108" s="185" t="s">
        <v>983</v>
      </c>
      <c r="S2108" s="185" t="s">
        <v>1558</v>
      </c>
      <c r="T2108" t="s">
        <v>1894</v>
      </c>
      <c r="U2108" t="str">
        <f>IF($L2108&gt;0,VLOOKUP($E2108,Valida!$A$1:$G$270,6,FALSE),IF($M2108&gt;=0,VLOOKUP($E2108,Valida!$A$1:$G$270,7,FALSE)))</f>
        <v>Disponible</v>
      </c>
      <c r="V2108" s="190" t="str">
        <f>VLOOKUP(E2108,Valida!$A$2:$K$271,4,FALSE)</f>
        <v>Cash and equivalents</v>
      </c>
      <c r="W2108" s="185" t="s">
        <v>1944</v>
      </c>
      <c r="X2108" s="185"/>
      <c r="Y2108" s="185" t="s">
        <v>1789</v>
      </c>
      <c r="Z2108"/>
    </row>
    <row r="2109" spans="1:26">
      <c r="A2109" s="185" t="s">
        <v>3105</v>
      </c>
      <c r="B2109" s="185" t="s">
        <v>3160</v>
      </c>
      <c r="C2109" s="185" t="s">
        <v>1890</v>
      </c>
      <c r="D2109" s="185" t="s">
        <v>3161</v>
      </c>
      <c r="E2109" s="185">
        <v>23359502</v>
      </c>
      <c r="F2109" s="185" t="s">
        <v>547</v>
      </c>
      <c r="G2109" s="185" t="s">
        <v>1921</v>
      </c>
      <c r="H2109" s="185" t="s">
        <v>1515</v>
      </c>
      <c r="I2109" s="258" t="str">
        <f t="shared" si="97"/>
        <v>2</v>
      </c>
      <c r="J2109" s="221">
        <f t="shared" si="98"/>
        <v>2250293</v>
      </c>
      <c r="K2109" s="258">
        <f t="shared" si="99"/>
        <v>8</v>
      </c>
      <c r="L2109" s="188">
        <v>2250293</v>
      </c>
      <c r="M2109" s="188">
        <v>0</v>
      </c>
      <c r="N2109" s="189">
        <v>830062853</v>
      </c>
      <c r="O2109"/>
      <c r="P2109" s="187">
        <v>45160.495613425897</v>
      </c>
      <c r="Q2109" s="186">
        <v>12917</v>
      </c>
      <c r="R2109" s="185" t="s">
        <v>433</v>
      </c>
      <c r="S2109" s="185" t="s">
        <v>1564</v>
      </c>
      <c r="T2109"/>
      <c r="U2109" t="str">
        <f>IF($L2109&gt;0,VLOOKUP($E2109,Valida!$A$1:$G$270,6,FALSE),IF($M2109&gt;=0,VLOOKUP($E2109,Valida!$A$1:$G$270,7,FALSE)))</f>
        <v>(+/-) Ajustes por el incremento (disminución) de cuentas por pagar de origen comercial</v>
      </c>
      <c r="V2109" s="190" t="str">
        <f>VLOOKUP(E2109,Valida!$A$2:$K$271,4,FALSE)</f>
        <v>Trade and other payables</v>
      </c>
      <c r="W2109" s="185" t="s">
        <v>2024</v>
      </c>
      <c r="X2109" s="185" t="s">
        <v>2025</v>
      </c>
      <c r="Y2109" s="185" t="s">
        <v>1789</v>
      </c>
      <c r="Z2109"/>
    </row>
    <row r="2110" spans="1:26">
      <c r="A2110" s="185" t="s">
        <v>3105</v>
      </c>
      <c r="B2110" s="185" t="s">
        <v>3160</v>
      </c>
      <c r="C2110" s="185" t="s">
        <v>1890</v>
      </c>
      <c r="D2110" s="185" t="s">
        <v>3161</v>
      </c>
      <c r="E2110" s="185">
        <v>112005</v>
      </c>
      <c r="F2110" s="185" t="s">
        <v>24</v>
      </c>
      <c r="G2110" s="185" t="s">
        <v>1921</v>
      </c>
      <c r="H2110" s="185" t="s">
        <v>1628</v>
      </c>
      <c r="I2110" s="258" t="str">
        <f t="shared" si="97"/>
        <v>1</v>
      </c>
      <c r="J2110" s="221">
        <f t="shared" si="98"/>
        <v>-2250293</v>
      </c>
      <c r="K2110" s="258">
        <f t="shared" si="99"/>
        <v>8</v>
      </c>
      <c r="L2110" s="188">
        <v>0</v>
      </c>
      <c r="M2110" s="188">
        <v>2250293</v>
      </c>
      <c r="N2110" s="189">
        <v>830062853</v>
      </c>
      <c r="O2110"/>
      <c r="P2110" s="187">
        <v>45160.495613425897</v>
      </c>
      <c r="Q2110" s="186">
        <v>12918</v>
      </c>
      <c r="R2110" s="185" t="s">
        <v>433</v>
      </c>
      <c r="S2110" s="185" t="s">
        <v>1564</v>
      </c>
      <c r="T2110" t="s">
        <v>1894</v>
      </c>
      <c r="U2110" t="str">
        <f>IF($L2110&gt;0,VLOOKUP($E2110,Valida!$A$1:$G$270,6,FALSE),IF($M2110&gt;=0,VLOOKUP($E2110,Valida!$A$1:$G$270,7,FALSE)))</f>
        <v>Disponible</v>
      </c>
      <c r="V2110" s="190" t="str">
        <f>VLOOKUP(E2110,Valida!$A$2:$K$271,4,FALSE)</f>
        <v>Cash and equivalents</v>
      </c>
      <c r="W2110" s="185" t="s">
        <v>2024</v>
      </c>
      <c r="X2110" s="185" t="s">
        <v>2025</v>
      </c>
      <c r="Y2110" s="185" t="s">
        <v>1789</v>
      </c>
      <c r="Z2110"/>
    </row>
    <row r="2111" spans="1:26">
      <c r="A2111" s="185" t="s">
        <v>3105</v>
      </c>
      <c r="B2111" s="185" t="s">
        <v>3162</v>
      </c>
      <c r="C2111" s="185" t="s">
        <v>1890</v>
      </c>
      <c r="D2111" s="185" t="s">
        <v>3163</v>
      </c>
      <c r="E2111" s="185">
        <v>23355002</v>
      </c>
      <c r="F2111" s="185" t="s">
        <v>506</v>
      </c>
      <c r="G2111" s="185" t="s">
        <v>1921</v>
      </c>
      <c r="H2111" s="185" t="s">
        <v>1515</v>
      </c>
      <c r="I2111" s="258" t="str">
        <f t="shared" si="97"/>
        <v>2</v>
      </c>
      <c r="J2111" s="221">
        <f t="shared" si="98"/>
        <v>93992.35</v>
      </c>
      <c r="K2111" s="258">
        <f t="shared" si="99"/>
        <v>8</v>
      </c>
      <c r="L2111" s="188">
        <v>93992.35</v>
      </c>
      <c r="M2111" s="188">
        <v>0</v>
      </c>
      <c r="N2111" s="189">
        <v>440493581</v>
      </c>
      <c r="O2111"/>
      <c r="P2111" s="187">
        <v>45160.496643518498</v>
      </c>
      <c r="Q2111" s="186">
        <v>12919</v>
      </c>
      <c r="R2111" s="185"/>
      <c r="S2111" s="185" t="s">
        <v>1546</v>
      </c>
      <c r="T2111"/>
      <c r="U2111" t="str">
        <f>IF($L2111&gt;0,VLOOKUP($E2111,Valida!$A$1:$G$270,6,FALSE),IF($M2111&gt;=0,VLOOKUP($E2111,Valida!$A$1:$G$270,7,FALSE)))</f>
        <v>(+/-) Ajustes por el incremento (disminución) de cuentas por pagar de origen comercial</v>
      </c>
      <c r="V2111" s="190" t="str">
        <f>VLOOKUP(E2111,Valida!$A$2:$K$271,4,FALSE)</f>
        <v>Trade and other payables</v>
      </c>
      <c r="W2111" s="185" t="s">
        <v>1808</v>
      </c>
      <c r="X2111" s="185"/>
      <c r="Y2111" s="185"/>
      <c r="Z2111"/>
    </row>
    <row r="2112" spans="1:26">
      <c r="A2112" s="185" t="s">
        <v>3105</v>
      </c>
      <c r="B2112" s="185" t="s">
        <v>3162</v>
      </c>
      <c r="C2112" s="185" t="s">
        <v>1890</v>
      </c>
      <c r="D2112" s="185" t="s">
        <v>3163</v>
      </c>
      <c r="E2112" s="185">
        <v>112005</v>
      </c>
      <c r="F2112" s="185" t="s">
        <v>24</v>
      </c>
      <c r="G2112" s="185" t="s">
        <v>1921</v>
      </c>
      <c r="H2112" s="185" t="s">
        <v>1628</v>
      </c>
      <c r="I2112" s="258" t="str">
        <f t="shared" si="97"/>
        <v>1</v>
      </c>
      <c r="J2112" s="221">
        <f t="shared" si="98"/>
        <v>-93992.35</v>
      </c>
      <c r="K2112" s="258">
        <f t="shared" si="99"/>
        <v>8</v>
      </c>
      <c r="L2112" s="188">
        <v>0</v>
      </c>
      <c r="M2112" s="188">
        <v>93992.35</v>
      </c>
      <c r="N2112" s="189">
        <v>440493581</v>
      </c>
      <c r="O2112"/>
      <c r="P2112" s="187">
        <v>45160.496655092596</v>
      </c>
      <c r="Q2112" s="186">
        <v>12920</v>
      </c>
      <c r="R2112" s="185"/>
      <c r="S2112" s="185" t="s">
        <v>1546</v>
      </c>
      <c r="T2112" t="s">
        <v>1894</v>
      </c>
      <c r="U2112" t="str">
        <f>IF($L2112&gt;0,VLOOKUP($E2112,Valida!$A$1:$G$270,6,FALSE),IF($M2112&gt;=0,VLOOKUP($E2112,Valida!$A$1:$G$270,7,FALSE)))</f>
        <v>Disponible</v>
      </c>
      <c r="V2112" s="190" t="str">
        <f>VLOOKUP(E2112,Valida!$A$2:$K$271,4,FALSE)</f>
        <v>Cash and equivalents</v>
      </c>
      <c r="W2112" s="185" t="s">
        <v>1808</v>
      </c>
      <c r="X2112" s="185"/>
      <c r="Y2112" s="185"/>
      <c r="Z2112"/>
    </row>
    <row r="2113" spans="1:26">
      <c r="A2113" s="185" t="s">
        <v>3133</v>
      </c>
      <c r="B2113" s="185" t="s">
        <v>3164</v>
      </c>
      <c r="C2113" s="185" t="s">
        <v>1890</v>
      </c>
      <c r="D2113" s="185" t="s">
        <v>3165</v>
      </c>
      <c r="E2113" s="185">
        <v>23359505</v>
      </c>
      <c r="F2113" s="185" t="s">
        <v>557</v>
      </c>
      <c r="G2113" s="185" t="s">
        <v>1921</v>
      </c>
      <c r="H2113" s="185" t="s">
        <v>1515</v>
      </c>
      <c r="I2113" s="258" t="str">
        <f t="shared" si="97"/>
        <v>2</v>
      </c>
      <c r="J2113" s="221">
        <f t="shared" si="98"/>
        <v>510629</v>
      </c>
      <c r="K2113" s="258">
        <f t="shared" si="99"/>
        <v>8</v>
      </c>
      <c r="L2113" s="188">
        <v>510629</v>
      </c>
      <c r="M2113" s="188">
        <v>0</v>
      </c>
      <c r="N2113" s="189">
        <v>901051438</v>
      </c>
      <c r="O2113"/>
      <c r="P2113" s="187">
        <v>45160.497418981497</v>
      </c>
      <c r="Q2113" s="186">
        <v>12921</v>
      </c>
      <c r="R2113" s="185" t="s">
        <v>1841</v>
      </c>
      <c r="S2113" s="185" t="s">
        <v>1608</v>
      </c>
      <c r="T2113"/>
      <c r="U2113" t="str">
        <f>IF($L2113&gt;0,VLOOKUP($E2113,Valida!$A$1:$G$270,6,FALSE),IF($M2113&gt;=0,VLOOKUP($E2113,Valida!$A$1:$G$270,7,FALSE)))</f>
        <v>(+/-) Ajustes por el incremento (disminución) de cuentas por pagar de origen comercial</v>
      </c>
      <c r="V2113" s="190" t="str">
        <f>VLOOKUP(E2113,Valida!$A$2:$K$271,4,FALSE)</f>
        <v>Trade and other payables</v>
      </c>
      <c r="W2113" s="185" t="s">
        <v>1878</v>
      </c>
      <c r="X2113" s="185" t="s">
        <v>1879</v>
      </c>
      <c r="Y2113" s="185" t="s">
        <v>1789</v>
      </c>
      <c r="Z2113"/>
    </row>
    <row r="2114" spans="1:26">
      <c r="A2114" s="185" t="s">
        <v>3133</v>
      </c>
      <c r="B2114" s="185" t="s">
        <v>3164</v>
      </c>
      <c r="C2114" s="185" t="s">
        <v>1890</v>
      </c>
      <c r="D2114" s="185" t="s">
        <v>3165</v>
      </c>
      <c r="E2114" s="185">
        <v>112005</v>
      </c>
      <c r="F2114" s="185" t="s">
        <v>24</v>
      </c>
      <c r="G2114" s="185" t="s">
        <v>1921</v>
      </c>
      <c r="H2114" s="185" t="s">
        <v>1628</v>
      </c>
      <c r="I2114" s="258" t="str">
        <f t="shared" si="97"/>
        <v>1</v>
      </c>
      <c r="J2114" s="221">
        <f t="shared" si="98"/>
        <v>-510629</v>
      </c>
      <c r="K2114" s="258">
        <f t="shared" si="99"/>
        <v>8</v>
      </c>
      <c r="L2114" s="188">
        <v>0</v>
      </c>
      <c r="M2114" s="188">
        <v>510629</v>
      </c>
      <c r="N2114" s="189">
        <v>901051438</v>
      </c>
      <c r="O2114"/>
      <c r="P2114" s="187">
        <v>45160.497418981497</v>
      </c>
      <c r="Q2114" s="186">
        <v>12922</v>
      </c>
      <c r="R2114" s="185" t="s">
        <v>1841</v>
      </c>
      <c r="S2114" s="185" t="s">
        <v>1608</v>
      </c>
      <c r="T2114" t="s">
        <v>1894</v>
      </c>
      <c r="U2114" t="str">
        <f>IF($L2114&gt;0,VLOOKUP($E2114,Valida!$A$1:$G$270,6,FALSE),IF($M2114&gt;=0,VLOOKUP($E2114,Valida!$A$1:$G$270,7,FALSE)))</f>
        <v>Disponible</v>
      </c>
      <c r="V2114" s="190" t="str">
        <f>VLOOKUP(E2114,Valida!$A$2:$K$271,4,FALSE)</f>
        <v>Cash and equivalents</v>
      </c>
      <c r="W2114" s="185" t="s">
        <v>1878</v>
      </c>
      <c r="X2114" s="185" t="s">
        <v>1879</v>
      </c>
      <c r="Y2114" s="185" t="s">
        <v>1789</v>
      </c>
      <c r="Z2114"/>
    </row>
    <row r="2115" spans="1:26">
      <c r="A2115" s="185" t="s">
        <v>3133</v>
      </c>
      <c r="B2115" s="185" t="s">
        <v>3166</v>
      </c>
      <c r="C2115" s="185" t="s">
        <v>1890</v>
      </c>
      <c r="D2115" s="185" t="s">
        <v>3167</v>
      </c>
      <c r="E2115" s="185">
        <v>23354001</v>
      </c>
      <c r="F2115" s="185" t="s">
        <v>484</v>
      </c>
      <c r="G2115" s="185" t="s">
        <v>1921</v>
      </c>
      <c r="H2115" s="185" t="s">
        <v>1515</v>
      </c>
      <c r="I2115" s="258" t="str">
        <f t="shared" ref="I2115:I2178" si="100">LEFT(E2115,1)</f>
        <v>2</v>
      </c>
      <c r="J2115" s="221">
        <f t="shared" ref="J2115:J2178" si="101">L2115-M2115</f>
        <v>3955088</v>
      </c>
      <c r="K2115" s="258">
        <f t="shared" ref="K2115:K2178" si="102">MONTH(A2115)</f>
        <v>8</v>
      </c>
      <c r="L2115" s="188">
        <v>3955088</v>
      </c>
      <c r="M2115" s="188">
        <v>0</v>
      </c>
      <c r="N2115" s="189">
        <v>860044821</v>
      </c>
      <c r="O2115"/>
      <c r="P2115" s="187">
        <v>45160.498495370397</v>
      </c>
      <c r="Q2115" s="186">
        <v>12923</v>
      </c>
      <c r="R2115" s="185" t="s">
        <v>6</v>
      </c>
      <c r="S2115" s="185" t="s">
        <v>1570</v>
      </c>
      <c r="T2115"/>
      <c r="U2115" t="str">
        <f>IF($L2115&gt;0,VLOOKUP($E2115,Valida!$A$1:$G$270,6,FALSE),IF($M2115&gt;=0,VLOOKUP($E2115,Valida!$A$1:$G$270,7,FALSE)))</f>
        <v>(+/-) Ajustes por el incremento (disminución) de cuentas por pagar de origen comercial</v>
      </c>
      <c r="V2115" s="190" t="str">
        <f>VLOOKUP(E2115,Valida!$A$2:$K$271,4,FALSE)</f>
        <v>Trade and other payables</v>
      </c>
      <c r="W2115" s="185" t="s">
        <v>2048</v>
      </c>
      <c r="X2115" s="185"/>
      <c r="Y2115" s="185" t="s">
        <v>1789</v>
      </c>
      <c r="Z2115"/>
    </row>
    <row r="2116" spans="1:26">
      <c r="A2116" s="185" t="s">
        <v>3133</v>
      </c>
      <c r="B2116" s="185" t="s">
        <v>3166</v>
      </c>
      <c r="C2116" s="185" t="s">
        <v>1890</v>
      </c>
      <c r="D2116" s="185" t="s">
        <v>3167</v>
      </c>
      <c r="E2116" s="185">
        <v>112005</v>
      </c>
      <c r="F2116" s="185" t="s">
        <v>24</v>
      </c>
      <c r="G2116" s="185" t="s">
        <v>1921</v>
      </c>
      <c r="H2116" s="185" t="s">
        <v>1628</v>
      </c>
      <c r="I2116" s="258" t="str">
        <f t="shared" si="100"/>
        <v>1</v>
      </c>
      <c r="J2116" s="221">
        <f t="shared" si="101"/>
        <v>-3955088</v>
      </c>
      <c r="K2116" s="258">
        <f t="shared" si="102"/>
        <v>8</v>
      </c>
      <c r="L2116" s="188">
        <v>0</v>
      </c>
      <c r="M2116" s="188">
        <v>3955088</v>
      </c>
      <c r="N2116" s="189">
        <v>860044821</v>
      </c>
      <c r="O2116"/>
      <c r="P2116" s="187">
        <v>45160.498495370397</v>
      </c>
      <c r="Q2116" s="186">
        <v>12924</v>
      </c>
      <c r="R2116" s="185" t="s">
        <v>6</v>
      </c>
      <c r="S2116" s="185" t="s">
        <v>1570</v>
      </c>
      <c r="T2116" t="s">
        <v>1894</v>
      </c>
      <c r="U2116" t="str">
        <f>IF($L2116&gt;0,VLOOKUP($E2116,Valida!$A$1:$G$270,6,FALSE),IF($M2116&gt;=0,VLOOKUP($E2116,Valida!$A$1:$G$270,7,FALSE)))</f>
        <v>Disponible</v>
      </c>
      <c r="V2116" s="190" t="str">
        <f>VLOOKUP(E2116,Valida!$A$2:$K$271,4,FALSE)</f>
        <v>Cash and equivalents</v>
      </c>
      <c r="W2116" s="185" t="s">
        <v>2048</v>
      </c>
      <c r="X2116" s="185"/>
      <c r="Y2116" s="185" t="s">
        <v>1789</v>
      </c>
      <c r="Z2116"/>
    </row>
    <row r="2117" spans="1:26">
      <c r="A2117" s="185" t="s">
        <v>3136</v>
      </c>
      <c r="B2117" s="185" t="s">
        <v>3168</v>
      </c>
      <c r="C2117" s="185" t="s">
        <v>1890</v>
      </c>
      <c r="D2117" s="185" t="s">
        <v>3169</v>
      </c>
      <c r="E2117" s="185">
        <v>23355007</v>
      </c>
      <c r="F2117" s="185" t="s">
        <v>1638</v>
      </c>
      <c r="G2117" s="185" t="s">
        <v>1921</v>
      </c>
      <c r="H2117" s="185" t="s">
        <v>1515</v>
      </c>
      <c r="I2117" s="258" t="str">
        <f t="shared" si="100"/>
        <v>2</v>
      </c>
      <c r="J2117" s="221">
        <f t="shared" si="101"/>
        <v>199861.77</v>
      </c>
      <c r="K2117" s="258">
        <f t="shared" si="102"/>
        <v>8</v>
      </c>
      <c r="L2117" s="188">
        <v>199861.77</v>
      </c>
      <c r="M2117" s="188">
        <v>0</v>
      </c>
      <c r="N2117" s="189">
        <v>444444001</v>
      </c>
      <c r="O2117"/>
      <c r="P2117" s="187">
        <v>45160.5012615741</v>
      </c>
      <c r="Q2117" s="186">
        <v>12925</v>
      </c>
      <c r="R2117" s="185"/>
      <c r="S2117" s="185" t="s">
        <v>1548</v>
      </c>
      <c r="T2117"/>
      <c r="U2117" t="str">
        <f>IF($L2117&gt;0,VLOOKUP($E2117,Valida!$A$1:$G$270,6,FALSE),IF($M2117&gt;=0,VLOOKUP($E2117,Valida!$A$1:$G$270,7,FALSE)))</f>
        <v>(+/-) Ajustes por el incremento (disminución) de cuentas por pagar de origen comercial</v>
      </c>
      <c r="V2117" s="190" t="str">
        <f>VLOOKUP(E2117,Valida!$A$2:$K$271,4,FALSE)</f>
        <v>Trade and other payables</v>
      </c>
      <c r="W2117" s="185"/>
      <c r="X2117" s="185"/>
      <c r="Y2117" s="185"/>
      <c r="Z2117"/>
    </row>
    <row r="2118" spans="1:26">
      <c r="A2118" s="185" t="s">
        <v>3136</v>
      </c>
      <c r="B2118" s="185" t="s">
        <v>3168</v>
      </c>
      <c r="C2118" s="185" t="s">
        <v>1890</v>
      </c>
      <c r="D2118" s="185" t="s">
        <v>3169</v>
      </c>
      <c r="E2118" s="185">
        <v>112005</v>
      </c>
      <c r="F2118" s="185" t="s">
        <v>24</v>
      </c>
      <c r="G2118" s="185" t="s">
        <v>1921</v>
      </c>
      <c r="H2118" s="185" t="s">
        <v>1628</v>
      </c>
      <c r="I2118" s="258" t="str">
        <f t="shared" si="100"/>
        <v>1</v>
      </c>
      <c r="J2118" s="221">
        <f t="shared" si="101"/>
        <v>-199861.77</v>
      </c>
      <c r="K2118" s="258">
        <f t="shared" si="102"/>
        <v>8</v>
      </c>
      <c r="L2118" s="188">
        <v>0</v>
      </c>
      <c r="M2118" s="188">
        <v>199861.77</v>
      </c>
      <c r="N2118" s="189">
        <v>444444001</v>
      </c>
      <c r="O2118"/>
      <c r="P2118" s="187">
        <v>45160.5012615741</v>
      </c>
      <c r="Q2118" s="186">
        <v>12926</v>
      </c>
      <c r="R2118" s="185"/>
      <c r="S2118" s="185" t="s">
        <v>1548</v>
      </c>
      <c r="T2118" t="s">
        <v>1894</v>
      </c>
      <c r="U2118" t="str">
        <f>IF($L2118&gt;0,VLOOKUP($E2118,Valida!$A$1:$G$270,6,FALSE),IF($M2118&gt;=0,VLOOKUP($E2118,Valida!$A$1:$G$270,7,FALSE)))</f>
        <v>Disponible</v>
      </c>
      <c r="V2118" s="190" t="str">
        <f>VLOOKUP(E2118,Valida!$A$2:$K$271,4,FALSE)</f>
        <v>Cash and equivalents</v>
      </c>
      <c r="W2118" s="185"/>
      <c r="X2118" s="185"/>
      <c r="Y2118" s="185"/>
      <c r="Z2118"/>
    </row>
    <row r="2119" spans="1:26">
      <c r="A2119" s="185" t="s">
        <v>3170</v>
      </c>
      <c r="B2119" s="185" t="s">
        <v>3171</v>
      </c>
      <c r="C2119" s="185" t="s">
        <v>1890</v>
      </c>
      <c r="D2119" s="185" t="s">
        <v>3172</v>
      </c>
      <c r="E2119" s="185">
        <v>23354001</v>
      </c>
      <c r="F2119" s="185" t="s">
        <v>484</v>
      </c>
      <c r="G2119" s="185" t="s">
        <v>1921</v>
      </c>
      <c r="H2119" s="185" t="s">
        <v>1515</v>
      </c>
      <c r="I2119" s="258" t="str">
        <f t="shared" si="100"/>
        <v>2</v>
      </c>
      <c r="J2119" s="221">
        <f t="shared" si="101"/>
        <v>14603085</v>
      </c>
      <c r="K2119" s="258">
        <f t="shared" si="102"/>
        <v>8</v>
      </c>
      <c r="L2119" s="188">
        <v>14603085</v>
      </c>
      <c r="M2119" s="188">
        <v>0</v>
      </c>
      <c r="N2119" s="189">
        <v>900471482</v>
      </c>
      <c r="O2119"/>
      <c r="P2119" s="187">
        <v>45160.5019328704</v>
      </c>
      <c r="Q2119" s="186">
        <v>12927</v>
      </c>
      <c r="R2119" s="185" t="s">
        <v>6</v>
      </c>
      <c r="S2119" s="185" t="s">
        <v>1600</v>
      </c>
      <c r="T2119"/>
      <c r="U2119" t="str">
        <f>IF($L2119&gt;0,VLOOKUP($E2119,Valida!$A$1:$G$270,6,FALSE),IF($M2119&gt;=0,VLOOKUP($E2119,Valida!$A$1:$G$270,7,FALSE)))</f>
        <v>(+/-) Ajustes por el incremento (disminución) de cuentas por pagar de origen comercial</v>
      </c>
      <c r="V2119" s="190" t="str">
        <f>VLOOKUP(E2119,Valida!$A$2:$K$271,4,FALSE)</f>
        <v>Trade and other payables</v>
      </c>
      <c r="W2119" s="185" t="s">
        <v>1853</v>
      </c>
      <c r="X2119" s="185" t="s">
        <v>1854</v>
      </c>
      <c r="Y2119" s="185" t="s">
        <v>1789</v>
      </c>
      <c r="Z2119"/>
    </row>
    <row r="2120" spans="1:26">
      <c r="A2120" s="185" t="s">
        <v>3170</v>
      </c>
      <c r="B2120" s="185" t="s">
        <v>3171</v>
      </c>
      <c r="C2120" s="185" t="s">
        <v>1890</v>
      </c>
      <c r="D2120" s="185" t="s">
        <v>3172</v>
      </c>
      <c r="E2120" s="185">
        <v>112005</v>
      </c>
      <c r="F2120" s="185" t="s">
        <v>24</v>
      </c>
      <c r="G2120" s="185" t="s">
        <v>1921</v>
      </c>
      <c r="H2120" s="185" t="s">
        <v>1628</v>
      </c>
      <c r="I2120" s="258" t="str">
        <f t="shared" si="100"/>
        <v>1</v>
      </c>
      <c r="J2120" s="221">
        <f t="shared" si="101"/>
        <v>-14603085</v>
      </c>
      <c r="K2120" s="258">
        <f t="shared" si="102"/>
        <v>8</v>
      </c>
      <c r="L2120" s="188">
        <v>0</v>
      </c>
      <c r="M2120" s="188">
        <v>14603085</v>
      </c>
      <c r="N2120" s="189">
        <v>900471482</v>
      </c>
      <c r="O2120"/>
      <c r="P2120" s="187">
        <v>45160.5019328704</v>
      </c>
      <c r="Q2120" s="186">
        <v>12928</v>
      </c>
      <c r="R2120" s="185" t="s">
        <v>6</v>
      </c>
      <c r="S2120" s="185" t="s">
        <v>1600</v>
      </c>
      <c r="T2120" t="s">
        <v>1894</v>
      </c>
      <c r="U2120" t="str">
        <f>IF($L2120&gt;0,VLOOKUP($E2120,Valida!$A$1:$G$270,6,FALSE),IF($M2120&gt;=0,VLOOKUP($E2120,Valida!$A$1:$G$270,7,FALSE)))</f>
        <v>Disponible</v>
      </c>
      <c r="V2120" s="190" t="str">
        <f>VLOOKUP(E2120,Valida!$A$2:$K$271,4,FALSE)</f>
        <v>Cash and equivalents</v>
      </c>
      <c r="W2120" s="185" t="s">
        <v>1853</v>
      </c>
      <c r="X2120" s="185" t="s">
        <v>1854</v>
      </c>
      <c r="Y2120" s="185" t="s">
        <v>1789</v>
      </c>
      <c r="Z2120"/>
    </row>
    <row r="2121" spans="1:26">
      <c r="A2121" s="185" t="s">
        <v>3170</v>
      </c>
      <c r="B2121" s="185" t="s">
        <v>3173</v>
      </c>
      <c r="C2121" s="185" t="s">
        <v>1890</v>
      </c>
      <c r="D2121" s="185" t="s">
        <v>3174</v>
      </c>
      <c r="E2121" s="185">
        <v>23359502</v>
      </c>
      <c r="F2121" s="185" t="s">
        <v>547</v>
      </c>
      <c r="G2121" s="185" t="s">
        <v>1921</v>
      </c>
      <c r="H2121" s="185" t="s">
        <v>1515</v>
      </c>
      <c r="I2121" s="258" t="str">
        <f t="shared" si="100"/>
        <v>2</v>
      </c>
      <c r="J2121" s="221">
        <f t="shared" si="101"/>
        <v>122016</v>
      </c>
      <c r="K2121" s="258">
        <f t="shared" si="102"/>
        <v>8</v>
      </c>
      <c r="L2121" s="188">
        <v>122016</v>
      </c>
      <c r="M2121" s="188">
        <v>0</v>
      </c>
      <c r="N2121" s="189">
        <v>900424409</v>
      </c>
      <c r="O2121"/>
      <c r="P2121" s="187">
        <v>45160.502569444398</v>
      </c>
      <c r="Q2121" s="186">
        <v>12929</v>
      </c>
      <c r="R2121" s="185" t="s">
        <v>844</v>
      </c>
      <c r="S2121" s="185" t="s">
        <v>1598</v>
      </c>
      <c r="T2121"/>
      <c r="U2121" t="str">
        <f>IF($L2121&gt;0,VLOOKUP($E2121,Valida!$A$1:$G$270,6,FALSE),IF($M2121&gt;=0,VLOOKUP($E2121,Valida!$A$1:$G$270,7,FALSE)))</f>
        <v>(+/-) Ajustes por el incremento (disminución) de cuentas por pagar de origen comercial</v>
      </c>
      <c r="V2121" s="190" t="str">
        <f>VLOOKUP(E2121,Valida!$A$2:$K$271,4,FALSE)</f>
        <v>Trade and other payables</v>
      </c>
      <c r="W2121" s="185" t="s">
        <v>1864</v>
      </c>
      <c r="X2121" s="185" t="s">
        <v>1865</v>
      </c>
      <c r="Y2121" s="185" t="s">
        <v>1789</v>
      </c>
      <c r="Z2121"/>
    </row>
    <row r="2122" spans="1:26">
      <c r="A2122" s="185" t="s">
        <v>3170</v>
      </c>
      <c r="B2122" s="185" t="s">
        <v>3173</v>
      </c>
      <c r="C2122" s="185" t="s">
        <v>1890</v>
      </c>
      <c r="D2122" s="185" t="s">
        <v>3174</v>
      </c>
      <c r="E2122" s="185">
        <v>112005</v>
      </c>
      <c r="F2122" s="185" t="s">
        <v>24</v>
      </c>
      <c r="G2122" s="185" t="s">
        <v>1921</v>
      </c>
      <c r="H2122" s="185" t="s">
        <v>1628</v>
      </c>
      <c r="I2122" s="258" t="str">
        <f t="shared" si="100"/>
        <v>1</v>
      </c>
      <c r="J2122" s="221">
        <f t="shared" si="101"/>
        <v>-122016</v>
      </c>
      <c r="K2122" s="258">
        <f t="shared" si="102"/>
        <v>8</v>
      </c>
      <c r="L2122" s="188">
        <v>0</v>
      </c>
      <c r="M2122" s="188">
        <v>122016</v>
      </c>
      <c r="N2122" s="189">
        <v>900424409</v>
      </c>
      <c r="O2122"/>
      <c r="P2122" s="187">
        <v>45160.502569444398</v>
      </c>
      <c r="Q2122" s="186">
        <v>12930</v>
      </c>
      <c r="R2122" s="185" t="s">
        <v>844</v>
      </c>
      <c r="S2122" s="185" t="s">
        <v>1598</v>
      </c>
      <c r="T2122" t="s">
        <v>1894</v>
      </c>
      <c r="U2122" t="str">
        <f>IF($L2122&gt;0,VLOOKUP($E2122,Valida!$A$1:$G$270,6,FALSE),IF($M2122&gt;=0,VLOOKUP($E2122,Valida!$A$1:$G$270,7,FALSE)))</f>
        <v>Disponible</v>
      </c>
      <c r="V2122" s="190" t="str">
        <f>VLOOKUP(E2122,Valida!$A$2:$K$271,4,FALSE)</f>
        <v>Cash and equivalents</v>
      </c>
      <c r="W2122" s="185" t="s">
        <v>1864</v>
      </c>
      <c r="X2122" s="185" t="s">
        <v>1865</v>
      </c>
      <c r="Y2122" s="185" t="s">
        <v>1789</v>
      </c>
      <c r="Z2122"/>
    </row>
    <row r="2123" spans="1:26">
      <c r="A2123" s="185" t="s">
        <v>3170</v>
      </c>
      <c r="B2123" s="185" t="s">
        <v>3175</v>
      </c>
      <c r="C2123" s="185" t="s">
        <v>1890</v>
      </c>
      <c r="D2123" s="185" t="s">
        <v>3176</v>
      </c>
      <c r="E2123" s="185">
        <v>23359504</v>
      </c>
      <c r="F2123" s="185" t="s">
        <v>553</v>
      </c>
      <c r="G2123" s="185" t="s">
        <v>1921</v>
      </c>
      <c r="H2123" s="185" t="s">
        <v>1515</v>
      </c>
      <c r="I2123" s="258" t="str">
        <f t="shared" si="100"/>
        <v>2</v>
      </c>
      <c r="J2123" s="221">
        <f t="shared" si="101"/>
        <v>330000</v>
      </c>
      <c r="K2123" s="258">
        <f t="shared" si="102"/>
        <v>8</v>
      </c>
      <c r="L2123" s="188">
        <v>330000</v>
      </c>
      <c r="M2123" s="188">
        <v>0</v>
      </c>
      <c r="N2123" s="189">
        <v>800042928</v>
      </c>
      <c r="O2123"/>
      <c r="P2123" s="187">
        <v>45160.503148148098</v>
      </c>
      <c r="Q2123" s="186">
        <v>12931</v>
      </c>
      <c r="R2123" s="185" t="s">
        <v>6</v>
      </c>
      <c r="S2123" s="185" t="s">
        <v>1554</v>
      </c>
      <c r="T2123"/>
      <c r="U2123" t="str">
        <f>IF($L2123&gt;0,VLOOKUP($E2123,Valida!$A$1:$G$270,6,FALSE),IF($M2123&gt;=0,VLOOKUP($E2123,Valida!$A$1:$G$270,7,FALSE)))</f>
        <v>(+/-) Ajustes por el incremento (disminución) de cuentas por pagar de origen comercial</v>
      </c>
      <c r="V2123" s="190" t="str">
        <f>VLOOKUP(E2123,Valida!$A$2:$K$271,4,FALSE)</f>
        <v>Trade and other payables</v>
      </c>
      <c r="W2123" s="185" t="s">
        <v>1820</v>
      </c>
      <c r="X2123" s="185" t="s">
        <v>1821</v>
      </c>
      <c r="Y2123" s="185" t="s">
        <v>1789</v>
      </c>
      <c r="Z2123"/>
    </row>
    <row r="2124" spans="1:26">
      <c r="A2124" s="185" t="s">
        <v>3170</v>
      </c>
      <c r="B2124" s="185" t="s">
        <v>3175</v>
      </c>
      <c r="C2124" s="185" t="s">
        <v>1890</v>
      </c>
      <c r="D2124" s="185" t="s">
        <v>3176</v>
      </c>
      <c r="E2124" s="185">
        <v>112005</v>
      </c>
      <c r="F2124" s="185" t="s">
        <v>24</v>
      </c>
      <c r="G2124" s="185" t="s">
        <v>1921</v>
      </c>
      <c r="H2124" s="185" t="s">
        <v>1628</v>
      </c>
      <c r="I2124" s="258" t="str">
        <f t="shared" si="100"/>
        <v>1</v>
      </c>
      <c r="J2124" s="221">
        <f t="shared" si="101"/>
        <v>-330000</v>
      </c>
      <c r="K2124" s="258">
        <f t="shared" si="102"/>
        <v>8</v>
      </c>
      <c r="L2124" s="188">
        <v>0</v>
      </c>
      <c r="M2124" s="188">
        <v>330000</v>
      </c>
      <c r="N2124" s="189">
        <v>800042928</v>
      </c>
      <c r="O2124"/>
      <c r="P2124" s="187">
        <v>45160.503148148098</v>
      </c>
      <c r="Q2124" s="186">
        <v>12932</v>
      </c>
      <c r="R2124" s="185" t="s">
        <v>6</v>
      </c>
      <c r="S2124" s="185" t="s">
        <v>1554</v>
      </c>
      <c r="T2124" t="s">
        <v>1894</v>
      </c>
      <c r="U2124" t="str">
        <f>IF($L2124&gt;0,VLOOKUP($E2124,Valida!$A$1:$G$270,6,FALSE),IF($M2124&gt;=0,VLOOKUP($E2124,Valida!$A$1:$G$270,7,FALSE)))</f>
        <v>Disponible</v>
      </c>
      <c r="V2124" s="190" t="str">
        <f>VLOOKUP(E2124,Valida!$A$2:$K$271,4,FALSE)</f>
        <v>Cash and equivalents</v>
      </c>
      <c r="W2124" s="185" t="s">
        <v>1820</v>
      </c>
      <c r="X2124" s="185" t="s">
        <v>1821</v>
      </c>
      <c r="Y2124" s="185" t="s">
        <v>1789</v>
      </c>
      <c r="Z2124"/>
    </row>
    <row r="2125" spans="1:26">
      <c r="A2125" s="185" t="s">
        <v>3170</v>
      </c>
      <c r="B2125" s="185" t="s">
        <v>3177</v>
      </c>
      <c r="C2125" s="185" t="s">
        <v>1890</v>
      </c>
      <c r="D2125" s="185" t="s">
        <v>3178</v>
      </c>
      <c r="E2125" s="185">
        <v>23355001</v>
      </c>
      <c r="F2125" s="185" t="s">
        <v>502</v>
      </c>
      <c r="G2125" s="185" t="s">
        <v>1921</v>
      </c>
      <c r="H2125" s="185" t="s">
        <v>1515</v>
      </c>
      <c r="I2125" s="258" t="str">
        <f t="shared" si="100"/>
        <v>2</v>
      </c>
      <c r="J2125" s="221">
        <f t="shared" si="101"/>
        <v>48918.3</v>
      </c>
      <c r="K2125" s="258">
        <f t="shared" si="102"/>
        <v>8</v>
      </c>
      <c r="L2125" s="188">
        <v>48918.3</v>
      </c>
      <c r="M2125" s="188">
        <v>0</v>
      </c>
      <c r="N2125" s="189">
        <v>800153993</v>
      </c>
      <c r="O2125"/>
      <c r="P2125" s="187">
        <v>45160.504282407397</v>
      </c>
      <c r="Q2125" s="186">
        <v>12933</v>
      </c>
      <c r="R2125" s="185" t="s">
        <v>1814</v>
      </c>
      <c r="S2125" s="185" t="s">
        <v>1556</v>
      </c>
      <c r="T2125"/>
      <c r="U2125" t="str">
        <f>IF($L2125&gt;0,VLOOKUP($E2125,Valida!$A$1:$G$270,6,FALSE),IF($M2125&gt;=0,VLOOKUP($E2125,Valida!$A$1:$G$270,7,FALSE)))</f>
        <v>(+/-) Ajustes por el incremento (disminución) de cuentas por pagar de origen comercial</v>
      </c>
      <c r="V2125" s="190" t="str">
        <f>VLOOKUP(E2125,Valida!$A$2:$K$271,4,FALSE)</f>
        <v>Trade and other payables</v>
      </c>
      <c r="W2125" s="185" t="s">
        <v>1815</v>
      </c>
      <c r="X2125" s="185"/>
      <c r="Y2125" s="185" t="s">
        <v>1789</v>
      </c>
      <c r="Z2125"/>
    </row>
    <row r="2126" spans="1:26">
      <c r="A2126" s="185" t="s">
        <v>3170</v>
      </c>
      <c r="B2126" s="185" t="s">
        <v>3177</v>
      </c>
      <c r="C2126" s="185" t="s">
        <v>1890</v>
      </c>
      <c r="D2126" s="185" t="s">
        <v>3178</v>
      </c>
      <c r="E2126" s="185">
        <v>112005</v>
      </c>
      <c r="F2126" s="185" t="s">
        <v>24</v>
      </c>
      <c r="G2126" s="185" t="s">
        <v>1921</v>
      </c>
      <c r="H2126" s="185" t="s">
        <v>1628</v>
      </c>
      <c r="I2126" s="258" t="str">
        <f t="shared" si="100"/>
        <v>1</v>
      </c>
      <c r="J2126" s="221">
        <f t="shared" si="101"/>
        <v>-48919</v>
      </c>
      <c r="K2126" s="258">
        <f t="shared" si="102"/>
        <v>8</v>
      </c>
      <c r="L2126" s="188">
        <v>0</v>
      </c>
      <c r="M2126" s="188">
        <v>48919</v>
      </c>
      <c r="N2126" s="189">
        <v>800153993</v>
      </c>
      <c r="O2126"/>
      <c r="P2126" s="187">
        <v>45160.504282407397</v>
      </c>
      <c r="Q2126" s="186">
        <v>12934</v>
      </c>
      <c r="R2126" s="185" t="s">
        <v>1814</v>
      </c>
      <c r="S2126" s="185" t="s">
        <v>1556</v>
      </c>
      <c r="T2126" t="s">
        <v>1894</v>
      </c>
      <c r="U2126" t="str">
        <f>IF($L2126&gt;0,VLOOKUP($E2126,Valida!$A$1:$G$270,6,FALSE),IF($M2126&gt;=0,VLOOKUP($E2126,Valida!$A$1:$G$270,7,FALSE)))</f>
        <v>Disponible</v>
      </c>
      <c r="V2126" s="190" t="str">
        <f>VLOOKUP(E2126,Valida!$A$2:$K$271,4,FALSE)</f>
        <v>Cash and equivalents</v>
      </c>
      <c r="W2126" s="185" t="s">
        <v>1815</v>
      </c>
      <c r="X2126" s="185"/>
      <c r="Y2126" s="185" t="s">
        <v>1789</v>
      </c>
      <c r="Z2126"/>
    </row>
    <row r="2127" spans="1:26">
      <c r="A2127" s="185" t="s">
        <v>3170</v>
      </c>
      <c r="B2127" s="185" t="s">
        <v>3177</v>
      </c>
      <c r="C2127" s="185" t="s">
        <v>1890</v>
      </c>
      <c r="D2127" s="185" t="s">
        <v>3178</v>
      </c>
      <c r="E2127" s="185">
        <v>53059510</v>
      </c>
      <c r="F2127" s="185" t="s">
        <v>1065</v>
      </c>
      <c r="G2127" s="185" t="s">
        <v>1921</v>
      </c>
      <c r="H2127" s="185" t="s">
        <v>1515</v>
      </c>
      <c r="I2127" s="258" t="str">
        <f t="shared" si="100"/>
        <v>5</v>
      </c>
      <c r="J2127" s="221">
        <f t="shared" si="101"/>
        <v>0.7</v>
      </c>
      <c r="K2127" s="258">
        <f t="shared" si="102"/>
        <v>8</v>
      </c>
      <c r="L2127" s="188">
        <v>0.7</v>
      </c>
      <c r="M2127" s="188">
        <v>0</v>
      </c>
      <c r="N2127" s="189">
        <v>800153993</v>
      </c>
      <c r="O2127"/>
      <c r="P2127" s="187">
        <v>45160.504282407397</v>
      </c>
      <c r="Q2127" s="186">
        <v>12935</v>
      </c>
      <c r="R2127" s="185" t="s">
        <v>1814</v>
      </c>
      <c r="S2127" s="185" t="s">
        <v>1556</v>
      </c>
      <c r="T2127"/>
      <c r="U2127" t="str">
        <f>IF($L2127&gt;0,VLOOKUP($E2127,Valida!$A$1:$G$270,6,FALSE),IF($M2127&gt;=0,VLOOKUP($E2127,Valida!$A$1:$G$270,7,FALSE)))</f>
        <v>(+/-) Ganancia (pérdida)</v>
      </c>
      <c r="V2127" s="190" t="str">
        <f>VLOOKUP(E2127,Valida!$A$2:$K$271,4,FALSE)</f>
        <v>P&amp;L</v>
      </c>
      <c r="W2127" s="185" t="s">
        <v>1815</v>
      </c>
      <c r="X2127" s="185"/>
      <c r="Y2127" s="185" t="s">
        <v>1789</v>
      </c>
      <c r="Z2127"/>
    </row>
    <row r="2128" spans="1:26">
      <c r="A2128" s="185" t="s">
        <v>3170</v>
      </c>
      <c r="B2128" s="185" t="s">
        <v>3179</v>
      </c>
      <c r="C2128" s="185" t="s">
        <v>1890</v>
      </c>
      <c r="D2128" s="185" t="s">
        <v>3180</v>
      </c>
      <c r="E2128" s="185">
        <v>23355005</v>
      </c>
      <c r="F2128" s="185" t="s">
        <v>516</v>
      </c>
      <c r="G2128" s="185" t="s">
        <v>1921</v>
      </c>
      <c r="H2128" s="185" t="s">
        <v>1515</v>
      </c>
      <c r="I2128" s="258" t="str">
        <f t="shared" si="100"/>
        <v>2</v>
      </c>
      <c r="J2128" s="221">
        <f t="shared" si="101"/>
        <v>5789880</v>
      </c>
      <c r="K2128" s="258">
        <f t="shared" si="102"/>
        <v>8</v>
      </c>
      <c r="L2128" s="188">
        <v>5789880</v>
      </c>
      <c r="M2128" s="188">
        <v>0</v>
      </c>
      <c r="N2128" s="189">
        <v>860063875</v>
      </c>
      <c r="O2128"/>
      <c r="P2128" s="187">
        <v>45160.504884259302</v>
      </c>
      <c r="Q2128" s="186">
        <v>12936</v>
      </c>
      <c r="R2128" s="185" t="s">
        <v>1827</v>
      </c>
      <c r="S2128" s="185" t="s">
        <v>1572</v>
      </c>
      <c r="T2128"/>
      <c r="U2128" t="str">
        <f>IF($L2128&gt;0,VLOOKUP($E2128,Valida!$A$1:$G$270,6,FALSE),IF($M2128&gt;=0,VLOOKUP($E2128,Valida!$A$1:$G$270,7,FALSE)))</f>
        <v>(+/-) Ajustes por el incremento (disminución) de cuentas por pagar de origen comercial</v>
      </c>
      <c r="V2128" s="190" t="str">
        <f>VLOOKUP(E2128,Valida!$A$2:$K$271,4,FALSE)</f>
        <v>Trade and other payables</v>
      </c>
      <c r="W2128" s="185" t="s">
        <v>1835</v>
      </c>
      <c r="X2128" s="185"/>
      <c r="Y2128" s="185" t="s">
        <v>1789</v>
      </c>
      <c r="Z2128"/>
    </row>
    <row r="2129" spans="1:26">
      <c r="A2129" s="185" t="s">
        <v>3170</v>
      </c>
      <c r="B2129" s="185" t="s">
        <v>3179</v>
      </c>
      <c r="C2129" s="185" t="s">
        <v>1890</v>
      </c>
      <c r="D2129" s="185" t="s">
        <v>3180</v>
      </c>
      <c r="E2129" s="185">
        <v>112005</v>
      </c>
      <c r="F2129" s="185" t="s">
        <v>24</v>
      </c>
      <c r="G2129" s="185" t="s">
        <v>1921</v>
      </c>
      <c r="H2129" s="185" t="s">
        <v>1628</v>
      </c>
      <c r="I2129" s="258" t="str">
        <f t="shared" si="100"/>
        <v>1</v>
      </c>
      <c r="J2129" s="221">
        <f t="shared" si="101"/>
        <v>-5789880</v>
      </c>
      <c r="K2129" s="258">
        <f t="shared" si="102"/>
        <v>8</v>
      </c>
      <c r="L2129" s="188">
        <v>0</v>
      </c>
      <c r="M2129" s="188">
        <v>5789880</v>
      </c>
      <c r="N2129" s="189">
        <v>860063875</v>
      </c>
      <c r="O2129"/>
      <c r="P2129" s="187">
        <v>45160.504884259302</v>
      </c>
      <c r="Q2129" s="186">
        <v>12937</v>
      </c>
      <c r="R2129" s="185" t="s">
        <v>1827</v>
      </c>
      <c r="S2129" s="185" t="s">
        <v>1572</v>
      </c>
      <c r="T2129" t="s">
        <v>1894</v>
      </c>
      <c r="U2129" t="str">
        <f>IF($L2129&gt;0,VLOOKUP($E2129,Valida!$A$1:$G$270,6,FALSE),IF($M2129&gt;=0,VLOOKUP($E2129,Valida!$A$1:$G$270,7,FALSE)))</f>
        <v>Disponible</v>
      </c>
      <c r="V2129" s="190" t="str">
        <f>VLOOKUP(E2129,Valida!$A$2:$K$271,4,FALSE)</f>
        <v>Cash and equivalents</v>
      </c>
      <c r="W2129" s="185" t="s">
        <v>1835</v>
      </c>
      <c r="X2129" s="185"/>
      <c r="Y2129" s="185" t="s">
        <v>1789</v>
      </c>
      <c r="Z2129"/>
    </row>
    <row r="2130" spans="1:26">
      <c r="A2130" s="185" t="s">
        <v>3111</v>
      </c>
      <c r="B2130" s="185" t="s">
        <v>3181</v>
      </c>
      <c r="C2130" s="185" t="s">
        <v>1890</v>
      </c>
      <c r="D2130" s="185" t="s">
        <v>3182</v>
      </c>
      <c r="E2130" s="185">
        <v>236595</v>
      </c>
      <c r="F2130" s="185" t="s">
        <v>648</v>
      </c>
      <c r="G2130" s="185" t="s">
        <v>3183</v>
      </c>
      <c r="H2130" s="185" t="s">
        <v>1515</v>
      </c>
      <c r="I2130" s="258" t="str">
        <f t="shared" si="100"/>
        <v>2</v>
      </c>
      <c r="J2130" s="221">
        <f t="shared" si="101"/>
        <v>1442000</v>
      </c>
      <c r="K2130" s="258">
        <f t="shared" si="102"/>
        <v>8</v>
      </c>
      <c r="L2130" s="188">
        <v>1442000</v>
      </c>
      <c r="M2130" s="188">
        <v>0</v>
      </c>
      <c r="N2130" s="189">
        <v>800197268</v>
      </c>
      <c r="O2130"/>
      <c r="P2130" s="187">
        <v>45160.523923611101</v>
      </c>
      <c r="Q2130" s="186">
        <v>12947</v>
      </c>
      <c r="R2130" s="185" t="s">
        <v>983</v>
      </c>
      <c r="S2130" s="185" t="s">
        <v>1558</v>
      </c>
      <c r="T2130"/>
      <c r="U2130" t="str">
        <f>IF($L2130&gt;0,VLOOKUP($E2130,Valida!$A$1:$G$270,6,FALSE),IF($M2130&gt;=0,VLOOKUP($E2130,Valida!$A$1:$G$270,7,FALSE)))</f>
        <v>(+/-) Ajustes por el incremento (disminución) de cuentas por pagar de origen comercial</v>
      </c>
      <c r="V2130" s="190" t="str">
        <f>VLOOKUP(E2130,Valida!$A$2:$K$271,4,FALSE)</f>
        <v>Trade and other payables</v>
      </c>
      <c r="W2130" s="185" t="s">
        <v>1944</v>
      </c>
      <c r="X2130" s="185"/>
      <c r="Y2130" s="185" t="s">
        <v>1789</v>
      </c>
      <c r="Z2130"/>
    </row>
    <row r="2131" spans="1:26">
      <c r="A2131" s="185" t="s">
        <v>3111</v>
      </c>
      <c r="B2131" s="185" t="s">
        <v>3181</v>
      </c>
      <c r="C2131" s="185" t="s">
        <v>1890</v>
      </c>
      <c r="D2131" s="185" t="s">
        <v>3182</v>
      </c>
      <c r="E2131" s="185">
        <v>112005</v>
      </c>
      <c r="F2131" s="185" t="s">
        <v>24</v>
      </c>
      <c r="G2131" s="185" t="s">
        <v>3183</v>
      </c>
      <c r="H2131" s="185" t="s">
        <v>1628</v>
      </c>
      <c r="I2131" s="258" t="str">
        <f t="shared" si="100"/>
        <v>1</v>
      </c>
      <c r="J2131" s="221">
        <f t="shared" si="101"/>
        <v>-1442000</v>
      </c>
      <c r="K2131" s="258">
        <f t="shared" si="102"/>
        <v>8</v>
      </c>
      <c r="L2131" s="188">
        <v>0</v>
      </c>
      <c r="M2131" s="188">
        <v>1442000</v>
      </c>
      <c r="N2131" s="189">
        <v>800197268</v>
      </c>
      <c r="O2131"/>
      <c r="P2131" s="187">
        <v>45160.523923611101</v>
      </c>
      <c r="Q2131" s="186">
        <v>12948</v>
      </c>
      <c r="R2131" s="185" t="s">
        <v>983</v>
      </c>
      <c r="S2131" s="185" t="s">
        <v>1558</v>
      </c>
      <c r="T2131" t="s">
        <v>1894</v>
      </c>
      <c r="U2131" t="str">
        <f>IF($L2131&gt;0,VLOOKUP($E2131,Valida!$A$1:$G$270,6,FALSE),IF($M2131&gt;=0,VLOOKUP($E2131,Valida!$A$1:$G$270,7,FALSE)))</f>
        <v>Disponible</v>
      </c>
      <c r="V2131" s="190" t="str">
        <f>VLOOKUP(E2131,Valida!$A$2:$K$271,4,FALSE)</f>
        <v>Cash and equivalents</v>
      </c>
      <c r="W2131" s="185" t="s">
        <v>1944</v>
      </c>
      <c r="X2131" s="185"/>
      <c r="Y2131" s="185" t="s">
        <v>1789</v>
      </c>
      <c r="Z2131"/>
    </row>
    <row r="2132" spans="1:26">
      <c r="A2132" s="185" t="s">
        <v>3111</v>
      </c>
      <c r="B2132" s="185" t="s">
        <v>3184</v>
      </c>
      <c r="C2132" s="185" t="s">
        <v>1890</v>
      </c>
      <c r="D2132" s="185" t="s">
        <v>3185</v>
      </c>
      <c r="E2132" s="185">
        <v>23355006</v>
      </c>
      <c r="F2132" s="185" t="s">
        <v>519</v>
      </c>
      <c r="G2132" s="185" t="s">
        <v>1921</v>
      </c>
      <c r="H2132" s="185" t="s">
        <v>1515</v>
      </c>
      <c r="I2132" s="258" t="str">
        <f t="shared" si="100"/>
        <v>2</v>
      </c>
      <c r="J2132" s="221">
        <f t="shared" si="101"/>
        <v>4245373</v>
      </c>
      <c r="K2132" s="258">
        <f t="shared" si="102"/>
        <v>8</v>
      </c>
      <c r="L2132" s="188">
        <v>4245373</v>
      </c>
      <c r="M2132" s="188">
        <v>0</v>
      </c>
      <c r="N2132" s="189">
        <v>800153993</v>
      </c>
      <c r="O2132"/>
      <c r="P2132" s="187">
        <v>45160.524444444403</v>
      </c>
      <c r="Q2132" s="186">
        <v>12949</v>
      </c>
      <c r="R2132" s="185" t="s">
        <v>1814</v>
      </c>
      <c r="S2132" s="185" t="s">
        <v>1556</v>
      </c>
      <c r="T2132"/>
      <c r="U2132" t="str">
        <f>IF($L2132&gt;0,VLOOKUP($E2132,Valida!$A$1:$G$270,6,FALSE),IF($M2132&gt;=0,VLOOKUP($E2132,Valida!$A$1:$G$270,7,FALSE)))</f>
        <v>(+/-) Ajustes por el incremento (disminución) de cuentas por pagar de origen comercial</v>
      </c>
      <c r="V2132" s="190" t="str">
        <f>VLOOKUP(E2132,Valida!$A$2:$K$271,4,FALSE)</f>
        <v>Trade and other payables</v>
      </c>
      <c r="W2132" s="185" t="s">
        <v>1815</v>
      </c>
      <c r="X2132" s="185"/>
      <c r="Y2132" s="185" t="s">
        <v>1789</v>
      </c>
      <c r="Z2132"/>
    </row>
    <row r="2133" spans="1:26">
      <c r="A2133" s="185" t="s">
        <v>3111</v>
      </c>
      <c r="B2133" s="185" t="s">
        <v>3184</v>
      </c>
      <c r="C2133" s="185" t="s">
        <v>1890</v>
      </c>
      <c r="D2133" s="185" t="s">
        <v>3185</v>
      </c>
      <c r="E2133" s="185">
        <v>112005</v>
      </c>
      <c r="F2133" s="185" t="s">
        <v>24</v>
      </c>
      <c r="G2133" s="185" t="s">
        <v>1921</v>
      </c>
      <c r="H2133" s="185" t="s">
        <v>1628</v>
      </c>
      <c r="I2133" s="258" t="str">
        <f t="shared" si="100"/>
        <v>1</v>
      </c>
      <c r="J2133" s="221">
        <f t="shared" si="101"/>
        <v>-4245373</v>
      </c>
      <c r="K2133" s="258">
        <f t="shared" si="102"/>
        <v>8</v>
      </c>
      <c r="L2133" s="188">
        <v>0</v>
      </c>
      <c r="M2133" s="188">
        <v>4245373</v>
      </c>
      <c r="N2133" s="189">
        <v>800153993</v>
      </c>
      <c r="O2133"/>
      <c r="P2133" s="187">
        <v>45160.524444444403</v>
      </c>
      <c r="Q2133" s="186">
        <v>12950</v>
      </c>
      <c r="R2133" s="185" t="s">
        <v>1814</v>
      </c>
      <c r="S2133" s="185" t="s">
        <v>1556</v>
      </c>
      <c r="T2133" t="s">
        <v>1894</v>
      </c>
      <c r="U2133" t="str">
        <f>IF($L2133&gt;0,VLOOKUP($E2133,Valida!$A$1:$G$270,6,FALSE),IF($M2133&gt;=0,VLOOKUP($E2133,Valida!$A$1:$G$270,7,FALSE)))</f>
        <v>Disponible</v>
      </c>
      <c r="V2133" s="190" t="str">
        <f>VLOOKUP(E2133,Valida!$A$2:$K$271,4,FALSE)</f>
        <v>Cash and equivalents</v>
      </c>
      <c r="W2133" s="185" t="s">
        <v>1815</v>
      </c>
      <c r="X2133" s="185"/>
      <c r="Y2133" s="185" t="s">
        <v>1789</v>
      </c>
      <c r="Z2133"/>
    </row>
    <row r="2134" spans="1:26">
      <c r="A2134" s="185" t="s">
        <v>3117</v>
      </c>
      <c r="B2134" s="185" t="s">
        <v>3186</v>
      </c>
      <c r="C2134" s="185" t="s">
        <v>2045</v>
      </c>
      <c r="D2134" s="185" t="s">
        <v>945</v>
      </c>
      <c r="E2134" s="185">
        <v>23355007</v>
      </c>
      <c r="F2134" s="185" t="s">
        <v>1638</v>
      </c>
      <c r="G2134" s="185" t="s">
        <v>3187</v>
      </c>
      <c r="H2134" s="185" t="s">
        <v>1628</v>
      </c>
      <c r="I2134" s="258" t="str">
        <f t="shared" si="100"/>
        <v>2</v>
      </c>
      <c r="J2134" s="221">
        <f t="shared" si="101"/>
        <v>-95798.91</v>
      </c>
      <c r="K2134" s="258">
        <f t="shared" si="102"/>
        <v>8</v>
      </c>
      <c r="L2134" s="188">
        <v>0</v>
      </c>
      <c r="M2134" s="188">
        <v>95798.91</v>
      </c>
      <c r="N2134" s="189">
        <v>444444001</v>
      </c>
      <c r="O2134" t="s">
        <v>3115</v>
      </c>
      <c r="P2134" s="187">
        <v>45160.529143518499</v>
      </c>
      <c r="Q2134" s="186">
        <v>12951</v>
      </c>
      <c r="R2134" s="185"/>
      <c r="S2134" s="185" t="s">
        <v>1548</v>
      </c>
      <c r="T2134"/>
      <c r="U2134" t="str">
        <f>IF($L2134&gt;0,VLOOKUP($E2134,Valida!$A$1:$G$270,6,FALSE),IF($M2134&gt;=0,VLOOKUP($E2134,Valida!$A$1:$G$270,7,FALSE)))</f>
        <v>(+/-) Ajustes por el incremento (disminución) de cuentas por pagar de origen comercial</v>
      </c>
      <c r="V2134" s="190" t="str">
        <f>VLOOKUP(E2134,Valida!$A$2:$K$271,4,FALSE)</f>
        <v>Trade and other payables</v>
      </c>
      <c r="W2134" s="185"/>
      <c r="X2134" s="185"/>
      <c r="Y2134" s="185"/>
      <c r="Z2134"/>
    </row>
    <row r="2135" spans="1:26">
      <c r="A2135" s="185" t="s">
        <v>3117</v>
      </c>
      <c r="B2135" s="185" t="s">
        <v>3186</v>
      </c>
      <c r="C2135" s="185" t="s">
        <v>2045</v>
      </c>
      <c r="D2135" s="185" t="s">
        <v>945</v>
      </c>
      <c r="E2135" s="185">
        <v>51350504</v>
      </c>
      <c r="F2135" s="185" t="s">
        <v>1638</v>
      </c>
      <c r="G2135" s="185" t="s">
        <v>3188</v>
      </c>
      <c r="H2135" s="185" t="s">
        <v>1515</v>
      </c>
      <c r="I2135" s="258" t="str">
        <f t="shared" si="100"/>
        <v>5</v>
      </c>
      <c r="J2135" s="221">
        <f t="shared" si="101"/>
        <v>95798.91</v>
      </c>
      <c r="K2135" s="258">
        <f t="shared" si="102"/>
        <v>8</v>
      </c>
      <c r="L2135" s="188">
        <v>95798.91</v>
      </c>
      <c r="M2135" s="188">
        <v>0</v>
      </c>
      <c r="N2135" s="189">
        <v>444444001</v>
      </c>
      <c r="O2135" t="s">
        <v>3115</v>
      </c>
      <c r="P2135" s="187">
        <v>45160.529143518499</v>
      </c>
      <c r="Q2135" s="186">
        <v>12952</v>
      </c>
      <c r="R2135" s="185"/>
      <c r="S2135" s="185" t="s">
        <v>1548</v>
      </c>
      <c r="T2135"/>
      <c r="U2135" t="str">
        <f>IF($L2135&gt;0,VLOOKUP($E2135,Valida!$A$1:$G$270,6,FALSE),IF($M2135&gt;=0,VLOOKUP($E2135,Valida!$A$1:$G$270,7,FALSE)))</f>
        <v>(+/-) Ganancia (pérdida)</v>
      </c>
      <c r="V2135" s="190" t="str">
        <f>VLOOKUP(E2135,Valida!$A$2:$K$271,4,FALSE)</f>
        <v>P&amp;L</v>
      </c>
      <c r="W2135" s="185"/>
      <c r="X2135" s="185"/>
      <c r="Y2135" s="185"/>
      <c r="Z2135"/>
    </row>
    <row r="2136" spans="1:26">
      <c r="A2136" s="185" t="s">
        <v>3111</v>
      </c>
      <c r="B2136" s="185" t="s">
        <v>3189</v>
      </c>
      <c r="C2136" s="185" t="s">
        <v>1890</v>
      </c>
      <c r="D2136" s="185" t="s">
        <v>3190</v>
      </c>
      <c r="E2136" s="185">
        <v>23355007</v>
      </c>
      <c r="F2136" s="185" t="s">
        <v>1638</v>
      </c>
      <c r="G2136" s="185" t="s">
        <v>1921</v>
      </c>
      <c r="H2136" s="185" t="s">
        <v>1515</v>
      </c>
      <c r="I2136" s="258" t="str">
        <f t="shared" si="100"/>
        <v>2</v>
      </c>
      <c r="J2136" s="221">
        <f t="shared" si="101"/>
        <v>95798.91</v>
      </c>
      <c r="K2136" s="258">
        <f t="shared" si="102"/>
        <v>8</v>
      </c>
      <c r="L2136" s="188">
        <v>95798.91</v>
      </c>
      <c r="M2136" s="188">
        <v>0</v>
      </c>
      <c r="N2136" s="189">
        <v>444444001</v>
      </c>
      <c r="O2136"/>
      <c r="P2136" s="187">
        <v>45160.5300347222</v>
      </c>
      <c r="Q2136" s="186">
        <v>12953</v>
      </c>
      <c r="R2136" s="185"/>
      <c r="S2136" s="185" t="s">
        <v>1548</v>
      </c>
      <c r="T2136"/>
      <c r="U2136" t="str">
        <f>IF($L2136&gt;0,VLOOKUP($E2136,Valida!$A$1:$G$270,6,FALSE),IF($M2136&gt;=0,VLOOKUP($E2136,Valida!$A$1:$G$270,7,FALSE)))</f>
        <v>(+/-) Ajustes por el incremento (disminución) de cuentas por pagar de origen comercial</v>
      </c>
      <c r="V2136" s="190" t="str">
        <f>VLOOKUP(E2136,Valida!$A$2:$K$271,4,FALSE)</f>
        <v>Trade and other payables</v>
      </c>
      <c r="W2136" s="185"/>
      <c r="X2136" s="185"/>
      <c r="Y2136" s="185"/>
      <c r="Z2136"/>
    </row>
    <row r="2137" spans="1:26">
      <c r="A2137" s="185" t="s">
        <v>3111</v>
      </c>
      <c r="B2137" s="185" t="s">
        <v>3189</v>
      </c>
      <c r="C2137" s="185" t="s">
        <v>1890</v>
      </c>
      <c r="D2137" s="185" t="s">
        <v>3190</v>
      </c>
      <c r="E2137" s="185">
        <v>112005</v>
      </c>
      <c r="F2137" s="185" t="s">
        <v>24</v>
      </c>
      <c r="G2137" s="185" t="s">
        <v>1921</v>
      </c>
      <c r="H2137" s="185" t="s">
        <v>1628</v>
      </c>
      <c r="I2137" s="258" t="str">
        <f t="shared" si="100"/>
        <v>1</v>
      </c>
      <c r="J2137" s="221">
        <f t="shared" si="101"/>
        <v>-95798.91</v>
      </c>
      <c r="K2137" s="258">
        <f t="shared" si="102"/>
        <v>8</v>
      </c>
      <c r="L2137" s="188">
        <v>0</v>
      </c>
      <c r="M2137" s="188">
        <v>95798.91</v>
      </c>
      <c r="N2137" s="189">
        <v>0</v>
      </c>
      <c r="O2137"/>
      <c r="P2137" s="187">
        <v>45160.5300347222</v>
      </c>
      <c r="Q2137" s="186">
        <v>12954</v>
      </c>
      <c r="R2137" s="185"/>
      <c r="S2137" s="185" t="s">
        <v>1520</v>
      </c>
      <c r="T2137" t="s">
        <v>1894</v>
      </c>
      <c r="U2137" t="str">
        <f>IF($L2137&gt;0,VLOOKUP($E2137,Valida!$A$1:$G$270,6,FALSE),IF($M2137&gt;=0,VLOOKUP($E2137,Valida!$A$1:$G$270,7,FALSE)))</f>
        <v>Disponible</v>
      </c>
      <c r="V2137" s="190" t="str">
        <f>VLOOKUP(E2137,Valida!$A$2:$K$271,4,FALSE)</f>
        <v>Cash and equivalents</v>
      </c>
      <c r="W2137" s="185"/>
      <c r="X2137" s="185"/>
      <c r="Y2137" s="185"/>
      <c r="Z2137"/>
    </row>
    <row r="2138" spans="1:26">
      <c r="A2138" s="185" t="s">
        <v>3117</v>
      </c>
      <c r="B2138" s="185" t="s">
        <v>3191</v>
      </c>
      <c r="C2138" s="185" t="s">
        <v>2045</v>
      </c>
      <c r="D2138" s="185" t="s">
        <v>3192</v>
      </c>
      <c r="E2138" s="185">
        <v>23355007</v>
      </c>
      <c r="F2138" s="185" t="s">
        <v>1638</v>
      </c>
      <c r="G2138" s="185" t="s">
        <v>3193</v>
      </c>
      <c r="H2138" s="185" t="s">
        <v>1628</v>
      </c>
      <c r="I2138" s="258" t="str">
        <f t="shared" si="100"/>
        <v>2</v>
      </c>
      <c r="J2138" s="221">
        <f t="shared" si="101"/>
        <v>-199861.77</v>
      </c>
      <c r="K2138" s="258">
        <f t="shared" si="102"/>
        <v>8</v>
      </c>
      <c r="L2138" s="188">
        <v>0</v>
      </c>
      <c r="M2138" s="188">
        <v>199861.77</v>
      </c>
      <c r="N2138" s="189">
        <v>444444001</v>
      </c>
      <c r="O2138"/>
      <c r="P2138" s="187">
        <v>45160.542592592603</v>
      </c>
      <c r="Q2138" s="186">
        <v>12957</v>
      </c>
      <c r="R2138" s="185"/>
      <c r="S2138" s="185" t="s">
        <v>1548</v>
      </c>
      <c r="T2138"/>
      <c r="U2138" t="str">
        <f>IF($L2138&gt;0,VLOOKUP($E2138,Valida!$A$1:$G$270,6,FALSE),IF($M2138&gt;=0,VLOOKUP($E2138,Valida!$A$1:$G$270,7,FALSE)))</f>
        <v>(+/-) Ajustes por el incremento (disminución) de cuentas por pagar de origen comercial</v>
      </c>
      <c r="V2138" s="190" t="str">
        <f>VLOOKUP(E2138,Valida!$A$2:$K$271,4,FALSE)</f>
        <v>Trade and other payables</v>
      </c>
      <c r="W2138" s="185"/>
      <c r="X2138" s="185"/>
      <c r="Y2138" s="185"/>
      <c r="Z2138"/>
    </row>
    <row r="2139" spans="1:26">
      <c r="A2139" s="185" t="s">
        <v>3117</v>
      </c>
      <c r="B2139" s="185" t="s">
        <v>3191</v>
      </c>
      <c r="C2139" s="185" t="s">
        <v>2045</v>
      </c>
      <c r="D2139" s="185" t="s">
        <v>3192</v>
      </c>
      <c r="E2139" s="185">
        <v>51350504</v>
      </c>
      <c r="F2139" s="185" t="s">
        <v>1638</v>
      </c>
      <c r="G2139" s="185" t="s">
        <v>3194</v>
      </c>
      <c r="H2139" s="185" t="s">
        <v>1515</v>
      </c>
      <c r="I2139" s="258" t="str">
        <f t="shared" si="100"/>
        <v>5</v>
      </c>
      <c r="J2139" s="221">
        <f t="shared" si="101"/>
        <v>199861.77</v>
      </c>
      <c r="K2139" s="258">
        <f t="shared" si="102"/>
        <v>8</v>
      </c>
      <c r="L2139" s="188">
        <v>199861.77</v>
      </c>
      <c r="M2139" s="188">
        <v>0</v>
      </c>
      <c r="N2139" s="189">
        <v>444444001</v>
      </c>
      <c r="O2139"/>
      <c r="P2139" s="187">
        <v>45160.542592592603</v>
      </c>
      <c r="Q2139" s="186">
        <v>12958</v>
      </c>
      <c r="R2139" s="185"/>
      <c r="S2139" s="185" t="s">
        <v>1548</v>
      </c>
      <c r="T2139"/>
      <c r="U2139" t="str">
        <f>IF($L2139&gt;0,VLOOKUP($E2139,Valida!$A$1:$G$270,6,FALSE),IF($M2139&gt;=0,VLOOKUP($E2139,Valida!$A$1:$G$270,7,FALSE)))</f>
        <v>(+/-) Ganancia (pérdida)</v>
      </c>
      <c r="V2139" s="190" t="str">
        <f>VLOOKUP(E2139,Valida!$A$2:$K$271,4,FALSE)</f>
        <v>P&amp;L</v>
      </c>
      <c r="W2139" s="185"/>
      <c r="X2139" s="185"/>
      <c r="Y2139" s="185"/>
      <c r="Z2139"/>
    </row>
    <row r="2140" spans="1:26">
      <c r="A2140" s="185" t="s">
        <v>3111</v>
      </c>
      <c r="B2140" s="185" t="s">
        <v>3195</v>
      </c>
      <c r="C2140" s="185" t="s">
        <v>1890</v>
      </c>
      <c r="D2140" s="185" t="s">
        <v>3196</v>
      </c>
      <c r="E2140" s="185">
        <v>23355007</v>
      </c>
      <c r="F2140" s="185" t="s">
        <v>1638</v>
      </c>
      <c r="G2140" s="185" t="s">
        <v>1921</v>
      </c>
      <c r="H2140" s="185" t="s">
        <v>1515</v>
      </c>
      <c r="I2140" s="258" t="str">
        <f t="shared" si="100"/>
        <v>2</v>
      </c>
      <c r="J2140" s="221">
        <f t="shared" si="101"/>
        <v>47879.59</v>
      </c>
      <c r="K2140" s="258">
        <f t="shared" si="102"/>
        <v>8</v>
      </c>
      <c r="L2140" s="188">
        <v>47879.59</v>
      </c>
      <c r="M2140" s="188">
        <v>0</v>
      </c>
      <c r="N2140" s="189">
        <v>444444001</v>
      </c>
      <c r="O2140"/>
      <c r="P2140" s="187">
        <v>45160.545034722199</v>
      </c>
      <c r="Q2140" s="186">
        <v>12959</v>
      </c>
      <c r="R2140" s="185"/>
      <c r="S2140" s="185" t="s">
        <v>1548</v>
      </c>
      <c r="T2140"/>
      <c r="U2140" t="str">
        <f>IF($L2140&gt;0,VLOOKUP($E2140,Valida!$A$1:$G$270,6,FALSE),IF($M2140&gt;=0,VLOOKUP($E2140,Valida!$A$1:$G$270,7,FALSE)))</f>
        <v>(+/-) Ajustes por el incremento (disminución) de cuentas por pagar de origen comercial</v>
      </c>
      <c r="V2140" s="190" t="str">
        <f>VLOOKUP(E2140,Valida!$A$2:$K$271,4,FALSE)</f>
        <v>Trade and other payables</v>
      </c>
      <c r="W2140" s="185"/>
      <c r="X2140" s="185"/>
      <c r="Y2140" s="185"/>
      <c r="Z2140"/>
    </row>
    <row r="2141" spans="1:26">
      <c r="A2141" s="185" t="s">
        <v>3111</v>
      </c>
      <c r="B2141" s="185" t="s">
        <v>3195</v>
      </c>
      <c r="C2141" s="185" t="s">
        <v>1890</v>
      </c>
      <c r="D2141" s="185" t="s">
        <v>3196</v>
      </c>
      <c r="E2141" s="185">
        <v>112005</v>
      </c>
      <c r="F2141" s="185" t="s">
        <v>24</v>
      </c>
      <c r="G2141" s="185" t="s">
        <v>1921</v>
      </c>
      <c r="H2141" s="185" t="s">
        <v>1628</v>
      </c>
      <c r="I2141" s="258" t="str">
        <f t="shared" si="100"/>
        <v>1</v>
      </c>
      <c r="J2141" s="221">
        <f t="shared" si="101"/>
        <v>-47879.59</v>
      </c>
      <c r="K2141" s="258">
        <f t="shared" si="102"/>
        <v>8</v>
      </c>
      <c r="L2141" s="188">
        <v>0</v>
      </c>
      <c r="M2141" s="188">
        <v>47879.59</v>
      </c>
      <c r="N2141" s="189">
        <v>444444001</v>
      </c>
      <c r="O2141"/>
      <c r="P2141" s="187">
        <v>45160.545034722199</v>
      </c>
      <c r="Q2141" s="186">
        <v>12960</v>
      </c>
      <c r="R2141" s="185"/>
      <c r="S2141" s="185" t="s">
        <v>1548</v>
      </c>
      <c r="T2141" t="s">
        <v>1894</v>
      </c>
      <c r="U2141" t="str">
        <f>IF($L2141&gt;0,VLOOKUP($E2141,Valida!$A$1:$G$270,6,FALSE),IF($M2141&gt;=0,VLOOKUP($E2141,Valida!$A$1:$G$270,7,FALSE)))</f>
        <v>Disponible</v>
      </c>
      <c r="V2141" s="190" t="str">
        <f>VLOOKUP(E2141,Valida!$A$2:$K$271,4,FALSE)</f>
        <v>Cash and equivalents</v>
      </c>
      <c r="W2141" s="185"/>
      <c r="X2141" s="185"/>
      <c r="Y2141" s="185"/>
      <c r="Z2141"/>
    </row>
    <row r="2142" spans="1:26">
      <c r="A2142" s="185" t="s">
        <v>3117</v>
      </c>
      <c r="B2142" s="185" t="s">
        <v>3197</v>
      </c>
      <c r="C2142" s="185" t="s">
        <v>1890</v>
      </c>
      <c r="D2142" s="185" t="s">
        <v>3198</v>
      </c>
      <c r="E2142" s="185">
        <v>23355006</v>
      </c>
      <c r="F2142" s="185" t="s">
        <v>519</v>
      </c>
      <c r="G2142" s="185" t="s">
        <v>1921</v>
      </c>
      <c r="H2142" s="185" t="s">
        <v>1515</v>
      </c>
      <c r="I2142" s="258" t="str">
        <f t="shared" si="100"/>
        <v>2</v>
      </c>
      <c r="J2142" s="221">
        <f t="shared" si="101"/>
        <v>1457040</v>
      </c>
      <c r="K2142" s="258">
        <f t="shared" si="102"/>
        <v>8</v>
      </c>
      <c r="L2142" s="188">
        <v>1457040</v>
      </c>
      <c r="M2142" s="188">
        <v>0</v>
      </c>
      <c r="N2142" s="189">
        <v>899999115</v>
      </c>
      <c r="O2142"/>
      <c r="P2142" s="187">
        <v>45160.545949074098</v>
      </c>
      <c r="Q2142" s="186">
        <v>12961</v>
      </c>
      <c r="R2142" s="185" t="s">
        <v>1827</v>
      </c>
      <c r="S2142" s="185" t="s">
        <v>1586</v>
      </c>
      <c r="T2142"/>
      <c r="U2142" t="str">
        <f>IF($L2142&gt;0,VLOOKUP($E2142,Valida!$A$1:$G$270,6,FALSE),IF($M2142&gt;=0,VLOOKUP($E2142,Valida!$A$1:$G$270,7,FALSE)))</f>
        <v>(+/-) Ajustes por el incremento (disminución) de cuentas por pagar de origen comercial</v>
      </c>
      <c r="V2142" s="190" t="str">
        <f>VLOOKUP(E2142,Valida!$A$2:$K$271,4,FALSE)</f>
        <v>Trade and other payables</v>
      </c>
      <c r="W2142" s="185" t="s">
        <v>1828</v>
      </c>
      <c r="X2142" s="185" t="s">
        <v>1829</v>
      </c>
      <c r="Y2142" s="185" t="s">
        <v>1789</v>
      </c>
      <c r="Z2142"/>
    </row>
    <row r="2143" spans="1:26">
      <c r="A2143" s="185" t="s">
        <v>3117</v>
      </c>
      <c r="B2143" s="185" t="s">
        <v>3197</v>
      </c>
      <c r="C2143" s="185" t="s">
        <v>1890</v>
      </c>
      <c r="D2143" s="185" t="s">
        <v>3198</v>
      </c>
      <c r="E2143" s="185">
        <v>112005</v>
      </c>
      <c r="F2143" s="185" t="s">
        <v>24</v>
      </c>
      <c r="G2143" s="185" t="s">
        <v>1921</v>
      </c>
      <c r="H2143" s="185" t="s">
        <v>1628</v>
      </c>
      <c r="I2143" s="258" t="str">
        <f t="shared" si="100"/>
        <v>1</v>
      </c>
      <c r="J2143" s="221">
        <f t="shared" si="101"/>
        <v>-1457040</v>
      </c>
      <c r="K2143" s="258">
        <f t="shared" si="102"/>
        <v>8</v>
      </c>
      <c r="L2143" s="188">
        <v>0</v>
      </c>
      <c r="M2143" s="188">
        <v>1457040</v>
      </c>
      <c r="N2143" s="189">
        <v>899999115</v>
      </c>
      <c r="O2143"/>
      <c r="P2143" s="187">
        <v>45160.545949074098</v>
      </c>
      <c r="Q2143" s="186">
        <v>12962</v>
      </c>
      <c r="R2143" s="185" t="s">
        <v>1827</v>
      </c>
      <c r="S2143" s="185" t="s">
        <v>1586</v>
      </c>
      <c r="T2143" t="s">
        <v>1894</v>
      </c>
      <c r="U2143" t="str">
        <f>IF($L2143&gt;0,VLOOKUP($E2143,Valida!$A$1:$G$270,6,FALSE),IF($M2143&gt;=0,VLOOKUP($E2143,Valida!$A$1:$G$270,7,FALSE)))</f>
        <v>Disponible</v>
      </c>
      <c r="V2143" s="190" t="str">
        <f>VLOOKUP(E2143,Valida!$A$2:$K$271,4,FALSE)</f>
        <v>Cash and equivalents</v>
      </c>
      <c r="W2143" s="185" t="s">
        <v>1828</v>
      </c>
      <c r="X2143" s="185" t="s">
        <v>1829</v>
      </c>
      <c r="Y2143" s="185" t="s">
        <v>1789</v>
      </c>
      <c r="Z2143"/>
    </row>
    <row r="2144" spans="1:26">
      <c r="A2144" s="185" t="s">
        <v>3117</v>
      </c>
      <c r="B2144" s="185" t="s">
        <v>3199</v>
      </c>
      <c r="C2144" s="185" t="s">
        <v>1890</v>
      </c>
      <c r="D2144" s="185" t="s">
        <v>3200</v>
      </c>
      <c r="E2144" s="185">
        <v>23355007</v>
      </c>
      <c r="F2144" s="185" t="s">
        <v>1638</v>
      </c>
      <c r="G2144" s="185" t="s">
        <v>1921</v>
      </c>
      <c r="H2144" s="185" t="s">
        <v>1515</v>
      </c>
      <c r="I2144" s="258" t="str">
        <f t="shared" si="100"/>
        <v>2</v>
      </c>
      <c r="J2144" s="221">
        <f t="shared" si="101"/>
        <v>48560.89</v>
      </c>
      <c r="K2144" s="258">
        <f t="shared" si="102"/>
        <v>8</v>
      </c>
      <c r="L2144" s="188">
        <v>48560.89</v>
      </c>
      <c r="M2144" s="188">
        <v>0</v>
      </c>
      <c r="N2144" s="189">
        <v>444444001</v>
      </c>
      <c r="O2144"/>
      <c r="P2144" s="187">
        <v>45160.546550925901</v>
      </c>
      <c r="Q2144" s="186">
        <v>12963</v>
      </c>
      <c r="R2144" s="185"/>
      <c r="S2144" s="185" t="s">
        <v>1548</v>
      </c>
      <c r="T2144"/>
      <c r="U2144" t="str">
        <f>IF($L2144&gt;0,VLOOKUP($E2144,Valida!$A$1:$G$270,6,FALSE),IF($M2144&gt;=0,VLOOKUP($E2144,Valida!$A$1:$G$270,7,FALSE)))</f>
        <v>(+/-) Ajustes por el incremento (disminución) de cuentas por pagar de origen comercial</v>
      </c>
      <c r="V2144" s="190" t="str">
        <f>VLOOKUP(E2144,Valida!$A$2:$K$271,4,FALSE)</f>
        <v>Trade and other payables</v>
      </c>
      <c r="W2144" s="185"/>
      <c r="X2144" s="185"/>
      <c r="Y2144" s="185"/>
      <c r="Z2144"/>
    </row>
    <row r="2145" spans="1:26">
      <c r="A2145" s="185" t="s">
        <v>3117</v>
      </c>
      <c r="B2145" s="185" t="s">
        <v>3199</v>
      </c>
      <c r="C2145" s="185" t="s">
        <v>1890</v>
      </c>
      <c r="D2145" s="185" t="s">
        <v>3200</v>
      </c>
      <c r="E2145" s="185">
        <v>112005</v>
      </c>
      <c r="F2145" s="185" t="s">
        <v>24</v>
      </c>
      <c r="G2145" s="185" t="s">
        <v>1921</v>
      </c>
      <c r="H2145" s="185" t="s">
        <v>1628</v>
      </c>
      <c r="I2145" s="258" t="str">
        <f t="shared" si="100"/>
        <v>1</v>
      </c>
      <c r="J2145" s="221">
        <f t="shared" si="101"/>
        <v>-48560.89</v>
      </c>
      <c r="K2145" s="258">
        <f t="shared" si="102"/>
        <v>8</v>
      </c>
      <c r="L2145" s="188">
        <v>0</v>
      </c>
      <c r="M2145" s="188">
        <v>48560.89</v>
      </c>
      <c r="N2145" s="189">
        <v>444444001</v>
      </c>
      <c r="O2145"/>
      <c r="P2145" s="187">
        <v>45160.546550925901</v>
      </c>
      <c r="Q2145" s="186">
        <v>12964</v>
      </c>
      <c r="R2145" s="185"/>
      <c r="S2145" s="185" t="s">
        <v>1548</v>
      </c>
      <c r="T2145" t="s">
        <v>1894</v>
      </c>
      <c r="U2145" t="str">
        <f>IF($L2145&gt;0,VLOOKUP($E2145,Valida!$A$1:$G$270,6,FALSE),IF($M2145&gt;=0,VLOOKUP($E2145,Valida!$A$1:$G$270,7,FALSE)))</f>
        <v>Disponible</v>
      </c>
      <c r="V2145" s="190" t="str">
        <f>VLOOKUP(E2145,Valida!$A$2:$K$271,4,FALSE)</f>
        <v>Cash and equivalents</v>
      </c>
      <c r="W2145" s="185"/>
      <c r="X2145" s="185"/>
      <c r="Y2145" s="185"/>
      <c r="Z2145"/>
    </row>
    <row r="2146" spans="1:26">
      <c r="A2146" s="185" t="s">
        <v>3117</v>
      </c>
      <c r="B2146" s="185" t="s">
        <v>3201</v>
      </c>
      <c r="C2146" s="185" t="s">
        <v>1890</v>
      </c>
      <c r="D2146" s="185" t="s">
        <v>3202</v>
      </c>
      <c r="E2146" s="185">
        <v>23355007</v>
      </c>
      <c r="F2146" s="185" t="s">
        <v>1638</v>
      </c>
      <c r="G2146" s="185" t="s">
        <v>1921</v>
      </c>
      <c r="H2146" s="185" t="s">
        <v>1515</v>
      </c>
      <c r="I2146" s="258" t="str">
        <f t="shared" si="100"/>
        <v>2</v>
      </c>
      <c r="J2146" s="221">
        <f t="shared" si="101"/>
        <v>48560.89</v>
      </c>
      <c r="K2146" s="258">
        <f t="shared" si="102"/>
        <v>8</v>
      </c>
      <c r="L2146" s="188">
        <v>48560.89</v>
      </c>
      <c r="M2146" s="188">
        <v>0</v>
      </c>
      <c r="N2146" s="189">
        <v>444444001</v>
      </c>
      <c r="O2146"/>
      <c r="P2146" s="187">
        <v>45160.546898148103</v>
      </c>
      <c r="Q2146" s="186">
        <v>12965</v>
      </c>
      <c r="R2146" s="185"/>
      <c r="S2146" s="185" t="s">
        <v>1548</v>
      </c>
      <c r="T2146"/>
      <c r="U2146" t="str">
        <f>IF($L2146&gt;0,VLOOKUP($E2146,Valida!$A$1:$G$270,6,FALSE),IF($M2146&gt;=0,VLOOKUP($E2146,Valida!$A$1:$G$270,7,FALSE)))</f>
        <v>(+/-) Ajustes por el incremento (disminución) de cuentas por pagar de origen comercial</v>
      </c>
      <c r="V2146" s="190" t="str">
        <f>VLOOKUP(E2146,Valida!$A$2:$K$271,4,FALSE)</f>
        <v>Trade and other payables</v>
      </c>
      <c r="W2146" s="185"/>
      <c r="X2146" s="185"/>
      <c r="Y2146" s="185"/>
      <c r="Z2146"/>
    </row>
    <row r="2147" spans="1:26">
      <c r="A2147" s="185" t="s">
        <v>3117</v>
      </c>
      <c r="B2147" s="185" t="s">
        <v>3201</v>
      </c>
      <c r="C2147" s="185" t="s">
        <v>1890</v>
      </c>
      <c r="D2147" s="185" t="s">
        <v>3202</v>
      </c>
      <c r="E2147" s="185">
        <v>112005</v>
      </c>
      <c r="F2147" s="185" t="s">
        <v>24</v>
      </c>
      <c r="G2147" s="185" t="s">
        <v>1921</v>
      </c>
      <c r="H2147" s="185" t="s">
        <v>1628</v>
      </c>
      <c r="I2147" s="258" t="str">
        <f t="shared" si="100"/>
        <v>1</v>
      </c>
      <c r="J2147" s="221">
        <f t="shared" si="101"/>
        <v>-48560.89</v>
      </c>
      <c r="K2147" s="258">
        <f t="shared" si="102"/>
        <v>8</v>
      </c>
      <c r="L2147" s="188">
        <v>0</v>
      </c>
      <c r="M2147" s="188">
        <v>48560.89</v>
      </c>
      <c r="N2147" s="189">
        <v>444444001</v>
      </c>
      <c r="O2147"/>
      <c r="P2147" s="187">
        <v>45160.546898148103</v>
      </c>
      <c r="Q2147" s="186">
        <v>12966</v>
      </c>
      <c r="R2147" s="185"/>
      <c r="S2147" s="185" t="s">
        <v>1548</v>
      </c>
      <c r="T2147" t="s">
        <v>1894</v>
      </c>
      <c r="U2147" t="str">
        <f>IF($L2147&gt;0,VLOOKUP($E2147,Valida!$A$1:$G$270,6,FALSE),IF($M2147&gt;=0,VLOOKUP($E2147,Valida!$A$1:$G$270,7,FALSE)))</f>
        <v>Disponible</v>
      </c>
      <c r="V2147" s="190" t="str">
        <f>VLOOKUP(E2147,Valida!$A$2:$K$271,4,FALSE)</f>
        <v>Cash and equivalents</v>
      </c>
      <c r="W2147" s="185"/>
      <c r="X2147" s="185"/>
      <c r="Y2147" s="185"/>
      <c r="Z2147"/>
    </row>
    <row r="2148" spans="1:26">
      <c r="A2148" s="185" t="s">
        <v>3117</v>
      </c>
      <c r="B2148" s="185" t="s">
        <v>3203</v>
      </c>
      <c r="C2148" s="185" t="s">
        <v>1890</v>
      </c>
      <c r="D2148" s="185" t="s">
        <v>3204</v>
      </c>
      <c r="E2148" s="185">
        <v>23355007</v>
      </c>
      <c r="F2148" s="185" t="s">
        <v>1638</v>
      </c>
      <c r="G2148" s="185" t="s">
        <v>1921</v>
      </c>
      <c r="H2148" s="185" t="s">
        <v>1515</v>
      </c>
      <c r="I2148" s="258" t="str">
        <f t="shared" si="100"/>
        <v>2</v>
      </c>
      <c r="J2148" s="221">
        <f t="shared" si="101"/>
        <v>48560.89</v>
      </c>
      <c r="K2148" s="258">
        <f t="shared" si="102"/>
        <v>8</v>
      </c>
      <c r="L2148" s="188">
        <v>48560.89</v>
      </c>
      <c r="M2148" s="188">
        <v>0</v>
      </c>
      <c r="N2148" s="189">
        <v>444444001</v>
      </c>
      <c r="O2148"/>
      <c r="P2148" s="187">
        <v>45160.547268518501</v>
      </c>
      <c r="Q2148" s="186">
        <v>12967</v>
      </c>
      <c r="R2148" s="185"/>
      <c r="S2148" s="185" t="s">
        <v>1548</v>
      </c>
      <c r="T2148"/>
      <c r="U2148" t="str">
        <f>IF($L2148&gt;0,VLOOKUP($E2148,Valida!$A$1:$G$270,6,FALSE),IF($M2148&gt;=0,VLOOKUP($E2148,Valida!$A$1:$G$270,7,FALSE)))</f>
        <v>(+/-) Ajustes por el incremento (disminución) de cuentas por pagar de origen comercial</v>
      </c>
      <c r="V2148" s="190" t="str">
        <f>VLOOKUP(E2148,Valida!$A$2:$K$271,4,FALSE)</f>
        <v>Trade and other payables</v>
      </c>
      <c r="W2148" s="185"/>
      <c r="X2148" s="185"/>
      <c r="Y2148" s="185"/>
      <c r="Z2148"/>
    </row>
    <row r="2149" spans="1:26">
      <c r="A2149" s="185" t="s">
        <v>3117</v>
      </c>
      <c r="B2149" s="185" t="s">
        <v>3203</v>
      </c>
      <c r="C2149" s="185" t="s">
        <v>1890</v>
      </c>
      <c r="D2149" s="185" t="s">
        <v>3204</v>
      </c>
      <c r="E2149" s="185">
        <v>112005</v>
      </c>
      <c r="F2149" s="185" t="s">
        <v>24</v>
      </c>
      <c r="G2149" s="185" t="s">
        <v>1921</v>
      </c>
      <c r="H2149" s="185" t="s">
        <v>1628</v>
      </c>
      <c r="I2149" s="258" t="str">
        <f t="shared" si="100"/>
        <v>1</v>
      </c>
      <c r="J2149" s="221">
        <f t="shared" si="101"/>
        <v>-48560.89</v>
      </c>
      <c r="K2149" s="258">
        <f t="shared" si="102"/>
        <v>8</v>
      </c>
      <c r="L2149" s="188">
        <v>0</v>
      </c>
      <c r="M2149" s="188">
        <v>48560.89</v>
      </c>
      <c r="N2149" s="189">
        <v>444444001</v>
      </c>
      <c r="O2149"/>
      <c r="P2149" s="187">
        <v>45160.547268518501</v>
      </c>
      <c r="Q2149" s="186">
        <v>12968</v>
      </c>
      <c r="R2149" s="185"/>
      <c r="S2149" s="185" t="s">
        <v>1548</v>
      </c>
      <c r="T2149" t="s">
        <v>1894</v>
      </c>
      <c r="U2149" t="str">
        <f>IF($L2149&gt;0,VLOOKUP($E2149,Valida!$A$1:$G$270,6,FALSE),IF($M2149&gt;=0,VLOOKUP($E2149,Valida!$A$1:$G$270,7,FALSE)))</f>
        <v>Disponible</v>
      </c>
      <c r="V2149" s="190" t="str">
        <f>VLOOKUP(E2149,Valida!$A$2:$K$271,4,FALSE)</f>
        <v>Cash and equivalents</v>
      </c>
      <c r="W2149" s="185"/>
      <c r="X2149" s="185"/>
      <c r="Y2149" s="185"/>
      <c r="Z2149"/>
    </row>
    <row r="2150" spans="1:26">
      <c r="A2150" s="185" t="s">
        <v>3205</v>
      </c>
      <c r="B2150" s="185" t="s">
        <v>3206</v>
      </c>
      <c r="C2150" s="185" t="s">
        <v>1949</v>
      </c>
      <c r="D2150" s="185" t="s">
        <v>2440</v>
      </c>
      <c r="E2150" s="185">
        <v>112005</v>
      </c>
      <c r="F2150" s="185" t="s">
        <v>24</v>
      </c>
      <c r="G2150" s="185" t="s">
        <v>3207</v>
      </c>
      <c r="H2150" s="185" t="s">
        <v>1515</v>
      </c>
      <c r="I2150" s="258" t="str">
        <f t="shared" si="100"/>
        <v>1</v>
      </c>
      <c r="J2150" s="221">
        <f t="shared" si="101"/>
        <v>11282000</v>
      </c>
      <c r="K2150" s="258">
        <f t="shared" si="102"/>
        <v>8</v>
      </c>
      <c r="L2150" s="188">
        <v>11282000</v>
      </c>
      <c r="M2150" s="188">
        <v>0</v>
      </c>
      <c r="N2150" s="189">
        <v>800197268</v>
      </c>
      <c r="O2150"/>
      <c r="P2150" s="187">
        <v>45166.367789351898</v>
      </c>
      <c r="Q2150" s="186">
        <v>12969</v>
      </c>
      <c r="R2150" s="185" t="s">
        <v>983</v>
      </c>
      <c r="S2150" s="185" t="s">
        <v>1558</v>
      </c>
      <c r="T2150" t="s">
        <v>1894</v>
      </c>
      <c r="U2150" t="str">
        <f>IF($L2150&gt;0,VLOOKUP($E2150,Valida!$A$1:$G$270,6,FALSE),IF($M2150&gt;=0,VLOOKUP($E2150,Valida!$A$1:$G$270,7,FALSE)))</f>
        <v>Disponible</v>
      </c>
      <c r="V2150" s="190" t="str">
        <f>VLOOKUP(E2150,Valida!$A$2:$K$271,4,FALSE)</f>
        <v>Cash and equivalents</v>
      </c>
      <c r="W2150" s="185" t="s">
        <v>1944</v>
      </c>
      <c r="X2150" s="185"/>
      <c r="Y2150" s="185" t="s">
        <v>1789</v>
      </c>
      <c r="Z2150"/>
    </row>
    <row r="2151" spans="1:26">
      <c r="A2151" s="185" t="s">
        <v>3205</v>
      </c>
      <c r="B2151" s="185" t="s">
        <v>3206</v>
      </c>
      <c r="C2151" s="185" t="s">
        <v>1949</v>
      </c>
      <c r="D2151" s="185" t="s">
        <v>2440</v>
      </c>
      <c r="E2151" s="185">
        <v>13552001</v>
      </c>
      <c r="F2151" s="185" t="s">
        <v>276</v>
      </c>
      <c r="G2151" s="185" t="s">
        <v>3207</v>
      </c>
      <c r="H2151" s="185" t="s">
        <v>1628</v>
      </c>
      <c r="I2151" s="258" t="str">
        <f t="shared" si="100"/>
        <v>1</v>
      </c>
      <c r="J2151" s="221">
        <f t="shared" si="101"/>
        <v>-11282000</v>
      </c>
      <c r="K2151" s="258">
        <f t="shared" si="102"/>
        <v>8</v>
      </c>
      <c r="L2151" s="188">
        <v>0</v>
      </c>
      <c r="M2151" s="188">
        <v>11282000</v>
      </c>
      <c r="N2151" s="189">
        <v>800197268</v>
      </c>
      <c r="O2151"/>
      <c r="P2151" s="187">
        <v>45166.367789351898</v>
      </c>
      <c r="Q2151" s="186">
        <v>12970</v>
      </c>
      <c r="R2151" s="185" t="s">
        <v>983</v>
      </c>
      <c r="S2151" s="185" t="s">
        <v>1558</v>
      </c>
      <c r="T2151"/>
      <c r="U2151" t="str">
        <f>IF($L2151&gt;0,VLOOKUP($E2151,Valida!$A$1:$G$270,6,FALSE),IF($M2151&gt;=0,VLOOKUP($E2151,Valida!$A$1:$G$270,7,FALSE)))</f>
        <v>(+/-) Ajustes por disminuciones (incrementos) en otras cuentas por cobrar derivadas de las actividades de operación</v>
      </c>
      <c r="V2151" s="190" t="str">
        <f>VLOOKUP(E2151,Valida!$A$2:$K$271,4,FALSE)</f>
        <v>Trade and other receivables</v>
      </c>
      <c r="W2151" s="185" t="s">
        <v>1944</v>
      </c>
      <c r="X2151" s="185"/>
      <c r="Y2151" s="185" t="s">
        <v>1789</v>
      </c>
      <c r="Z2151"/>
    </row>
    <row r="2152" spans="1:26">
      <c r="A2152" s="185" t="s">
        <v>3208</v>
      </c>
      <c r="B2152" s="185" t="s">
        <v>3209</v>
      </c>
      <c r="C2152" s="185" t="s">
        <v>1890</v>
      </c>
      <c r="D2152" s="185" t="s">
        <v>3210</v>
      </c>
      <c r="E2152" s="185">
        <v>23359507</v>
      </c>
      <c r="F2152" s="185" t="s">
        <v>1644</v>
      </c>
      <c r="G2152" s="185" t="s">
        <v>3211</v>
      </c>
      <c r="H2152" s="185" t="s">
        <v>1515</v>
      </c>
      <c r="I2152" s="258" t="str">
        <f t="shared" si="100"/>
        <v>2</v>
      </c>
      <c r="J2152" s="221">
        <f t="shared" si="101"/>
        <v>200000</v>
      </c>
      <c r="K2152" s="258">
        <f t="shared" si="102"/>
        <v>8</v>
      </c>
      <c r="L2152" s="188">
        <v>200000</v>
      </c>
      <c r="M2152" s="188">
        <v>0</v>
      </c>
      <c r="N2152" s="189">
        <v>1000036375</v>
      </c>
      <c r="O2152"/>
      <c r="P2152" s="187">
        <v>45166.403888888897</v>
      </c>
      <c r="Q2152" s="186">
        <v>12971</v>
      </c>
      <c r="R2152" s="185"/>
      <c r="S2152" s="185" t="s">
        <v>1524</v>
      </c>
      <c r="T2152"/>
      <c r="U2152" t="str">
        <f>IF($L2152&gt;0,VLOOKUP($E2152,Valida!$A$1:$G$270,6,FALSE),IF($M2152&gt;=0,VLOOKUP($E2152,Valida!$A$1:$G$270,7,FALSE)))</f>
        <v>(+/-) Ajustes por el incremento (disminución) de cuentas por pagar de origen comercial</v>
      </c>
      <c r="V2152" s="190" t="str">
        <f>VLOOKUP(E2152,Valida!$A$2:$K$271,4,FALSE)</f>
        <v>Trade and other payables</v>
      </c>
      <c r="W2152" s="185" t="s">
        <v>1983</v>
      </c>
      <c r="X2152" s="185"/>
      <c r="Y2152" s="185" t="s">
        <v>1789</v>
      </c>
      <c r="Z2152"/>
    </row>
    <row r="2153" spans="1:26">
      <c r="A2153" s="185" t="s">
        <v>3208</v>
      </c>
      <c r="B2153" s="185" t="s">
        <v>3209</v>
      </c>
      <c r="C2153" s="185" t="s">
        <v>1890</v>
      </c>
      <c r="D2153" s="185" t="s">
        <v>3210</v>
      </c>
      <c r="E2153" s="185">
        <v>112005</v>
      </c>
      <c r="F2153" s="185" t="s">
        <v>24</v>
      </c>
      <c r="G2153" s="185" t="s">
        <v>3211</v>
      </c>
      <c r="H2153" s="185" t="s">
        <v>1628</v>
      </c>
      <c r="I2153" s="258" t="str">
        <f t="shared" si="100"/>
        <v>1</v>
      </c>
      <c r="J2153" s="221">
        <f t="shared" si="101"/>
        <v>-200000</v>
      </c>
      <c r="K2153" s="258">
        <f t="shared" si="102"/>
        <v>8</v>
      </c>
      <c r="L2153" s="188">
        <v>0</v>
      </c>
      <c r="M2153" s="188">
        <v>200000</v>
      </c>
      <c r="N2153" s="189">
        <v>1000036375</v>
      </c>
      <c r="O2153"/>
      <c r="P2153" s="187">
        <v>45166.403900463003</v>
      </c>
      <c r="Q2153" s="186">
        <v>12972</v>
      </c>
      <c r="R2153" s="185"/>
      <c r="S2153" s="185" t="s">
        <v>1524</v>
      </c>
      <c r="T2153" t="s">
        <v>1894</v>
      </c>
      <c r="U2153" t="str">
        <f>IF($L2153&gt;0,VLOOKUP($E2153,Valida!$A$1:$G$270,6,FALSE),IF($M2153&gt;=0,VLOOKUP($E2153,Valida!$A$1:$G$270,7,FALSE)))</f>
        <v>Disponible</v>
      </c>
      <c r="V2153" s="190" t="str">
        <f>VLOOKUP(E2153,Valida!$A$2:$K$271,4,FALSE)</f>
        <v>Cash and equivalents</v>
      </c>
      <c r="W2153" s="185" t="s">
        <v>1983</v>
      </c>
      <c r="X2153" s="185"/>
      <c r="Y2153" s="185" t="s">
        <v>1789</v>
      </c>
      <c r="Z2153"/>
    </row>
    <row r="2154" spans="1:26">
      <c r="A2154" s="185" t="s">
        <v>3208</v>
      </c>
      <c r="B2154" s="185" t="s">
        <v>3212</v>
      </c>
      <c r="C2154" s="185" t="s">
        <v>1890</v>
      </c>
      <c r="D2154" s="185" t="s">
        <v>3213</v>
      </c>
      <c r="E2154" s="185">
        <v>23359507</v>
      </c>
      <c r="F2154" s="185" t="s">
        <v>1644</v>
      </c>
      <c r="G2154" s="185" t="s">
        <v>3211</v>
      </c>
      <c r="H2154" s="185" t="s">
        <v>1515</v>
      </c>
      <c r="I2154" s="258" t="str">
        <f t="shared" si="100"/>
        <v>2</v>
      </c>
      <c r="J2154" s="221">
        <f t="shared" si="101"/>
        <v>200000</v>
      </c>
      <c r="K2154" s="258">
        <f t="shared" si="102"/>
        <v>8</v>
      </c>
      <c r="L2154" s="188">
        <v>200000</v>
      </c>
      <c r="M2154" s="188">
        <v>0</v>
      </c>
      <c r="N2154" s="189">
        <v>1000018061</v>
      </c>
      <c r="O2154"/>
      <c r="P2154" s="187">
        <v>45166.404282407399</v>
      </c>
      <c r="Q2154" s="186">
        <v>12973</v>
      </c>
      <c r="R2154" s="185"/>
      <c r="S2154" s="185" t="s">
        <v>1522</v>
      </c>
      <c r="T2154"/>
      <c r="U2154" t="str">
        <f>IF($L2154&gt;0,VLOOKUP($E2154,Valida!$A$1:$G$270,6,FALSE),IF($M2154&gt;=0,VLOOKUP($E2154,Valida!$A$1:$G$270,7,FALSE)))</f>
        <v>(+/-) Ajustes por el incremento (disminución) de cuentas por pagar de origen comercial</v>
      </c>
      <c r="V2154" s="190" t="str">
        <f>VLOOKUP(E2154,Valida!$A$2:$K$271,4,FALSE)</f>
        <v>Trade and other payables</v>
      </c>
      <c r="W2154" s="185" t="s">
        <v>1978</v>
      </c>
      <c r="X2154" s="185"/>
      <c r="Y2154" s="185" t="s">
        <v>1789</v>
      </c>
      <c r="Z2154"/>
    </row>
    <row r="2155" spans="1:26">
      <c r="A2155" s="185" t="s">
        <v>3208</v>
      </c>
      <c r="B2155" s="185" t="s">
        <v>3212</v>
      </c>
      <c r="C2155" s="185" t="s">
        <v>1890</v>
      </c>
      <c r="D2155" s="185" t="s">
        <v>3213</v>
      </c>
      <c r="E2155" s="185">
        <v>112005</v>
      </c>
      <c r="F2155" s="185" t="s">
        <v>24</v>
      </c>
      <c r="G2155" s="185" t="s">
        <v>3211</v>
      </c>
      <c r="H2155" s="185" t="s">
        <v>1628</v>
      </c>
      <c r="I2155" s="258" t="str">
        <f t="shared" si="100"/>
        <v>1</v>
      </c>
      <c r="J2155" s="221">
        <f t="shared" si="101"/>
        <v>-200000</v>
      </c>
      <c r="K2155" s="258">
        <f t="shared" si="102"/>
        <v>8</v>
      </c>
      <c r="L2155" s="188">
        <v>0</v>
      </c>
      <c r="M2155" s="188">
        <v>200000</v>
      </c>
      <c r="N2155" s="189">
        <v>1000018061</v>
      </c>
      <c r="O2155"/>
      <c r="P2155" s="187">
        <v>45166.404282407399</v>
      </c>
      <c r="Q2155" s="186">
        <v>12974</v>
      </c>
      <c r="R2155" s="185"/>
      <c r="S2155" s="185" t="s">
        <v>1522</v>
      </c>
      <c r="T2155" t="s">
        <v>1894</v>
      </c>
      <c r="U2155" t="str">
        <f>IF($L2155&gt;0,VLOOKUP($E2155,Valida!$A$1:$G$270,6,FALSE),IF($M2155&gt;=0,VLOOKUP($E2155,Valida!$A$1:$G$270,7,FALSE)))</f>
        <v>Disponible</v>
      </c>
      <c r="V2155" s="190" t="str">
        <f>VLOOKUP(E2155,Valida!$A$2:$K$271,4,FALSE)</f>
        <v>Cash and equivalents</v>
      </c>
      <c r="W2155" s="185" t="s">
        <v>1978</v>
      </c>
      <c r="X2155" s="185"/>
      <c r="Y2155" s="185" t="s">
        <v>1789</v>
      </c>
      <c r="Z2155"/>
    </row>
    <row r="2156" spans="1:26">
      <c r="A2156" s="185" t="s">
        <v>3208</v>
      </c>
      <c r="B2156" s="185" t="s">
        <v>3214</v>
      </c>
      <c r="C2156" s="185" t="s">
        <v>1890</v>
      </c>
      <c r="D2156" s="185" t="s">
        <v>3215</v>
      </c>
      <c r="E2156" s="185">
        <v>23359507</v>
      </c>
      <c r="F2156" s="185" t="s">
        <v>1644</v>
      </c>
      <c r="G2156" s="185" t="s">
        <v>3211</v>
      </c>
      <c r="H2156" s="185" t="s">
        <v>1515</v>
      </c>
      <c r="I2156" s="258" t="str">
        <f t="shared" si="100"/>
        <v>2</v>
      </c>
      <c r="J2156" s="221">
        <f t="shared" si="101"/>
        <v>200000</v>
      </c>
      <c r="K2156" s="258">
        <f t="shared" si="102"/>
        <v>8</v>
      </c>
      <c r="L2156" s="188">
        <v>200000</v>
      </c>
      <c r="M2156" s="188">
        <v>0</v>
      </c>
      <c r="N2156" s="189">
        <v>1130744136</v>
      </c>
      <c r="O2156"/>
      <c r="P2156" s="187">
        <v>45166.404606481497</v>
      </c>
      <c r="Q2156" s="186">
        <v>12975</v>
      </c>
      <c r="R2156" s="185"/>
      <c r="S2156" s="185" t="s">
        <v>1538</v>
      </c>
      <c r="T2156"/>
      <c r="U2156" t="str">
        <f>IF($L2156&gt;0,VLOOKUP($E2156,Valida!$A$1:$G$270,6,FALSE),IF($M2156&gt;=0,VLOOKUP($E2156,Valida!$A$1:$G$270,7,FALSE)))</f>
        <v>(+/-) Ajustes por el incremento (disminución) de cuentas por pagar de origen comercial</v>
      </c>
      <c r="V2156" s="190" t="str">
        <f>VLOOKUP(E2156,Valida!$A$2:$K$271,4,FALSE)</f>
        <v>Trade and other payables</v>
      </c>
      <c r="W2156" s="185" t="s">
        <v>1909</v>
      </c>
      <c r="X2156" s="185" t="s">
        <v>1910</v>
      </c>
      <c r="Y2156" s="185" t="s">
        <v>1789</v>
      </c>
      <c r="Z2156"/>
    </row>
    <row r="2157" spans="1:26">
      <c r="A2157" s="185" t="s">
        <v>3208</v>
      </c>
      <c r="B2157" s="185" t="s">
        <v>3214</v>
      </c>
      <c r="C2157" s="185" t="s">
        <v>1890</v>
      </c>
      <c r="D2157" s="185" t="s">
        <v>3215</v>
      </c>
      <c r="E2157" s="185">
        <v>112005</v>
      </c>
      <c r="F2157" s="185" t="s">
        <v>24</v>
      </c>
      <c r="G2157" s="185" t="s">
        <v>3211</v>
      </c>
      <c r="H2157" s="185" t="s">
        <v>1628</v>
      </c>
      <c r="I2157" s="258" t="str">
        <f t="shared" si="100"/>
        <v>1</v>
      </c>
      <c r="J2157" s="221">
        <f t="shared" si="101"/>
        <v>-200000</v>
      </c>
      <c r="K2157" s="258">
        <f t="shared" si="102"/>
        <v>8</v>
      </c>
      <c r="L2157" s="188">
        <v>0</v>
      </c>
      <c r="M2157" s="188">
        <v>200000</v>
      </c>
      <c r="N2157" s="189">
        <v>1130744136</v>
      </c>
      <c r="O2157"/>
      <c r="P2157" s="187">
        <v>45166.404606481497</v>
      </c>
      <c r="Q2157" s="186">
        <v>12976</v>
      </c>
      <c r="R2157" s="185"/>
      <c r="S2157" s="185" t="s">
        <v>1538</v>
      </c>
      <c r="T2157" t="s">
        <v>1894</v>
      </c>
      <c r="U2157" t="str">
        <f>IF($L2157&gt;0,VLOOKUP($E2157,Valida!$A$1:$G$270,6,FALSE),IF($M2157&gt;=0,VLOOKUP($E2157,Valida!$A$1:$G$270,7,FALSE)))</f>
        <v>Disponible</v>
      </c>
      <c r="V2157" s="190" t="str">
        <f>VLOOKUP(E2157,Valida!$A$2:$K$271,4,FALSE)</f>
        <v>Cash and equivalents</v>
      </c>
      <c r="W2157" s="185" t="s">
        <v>1909</v>
      </c>
      <c r="X2157" s="185" t="s">
        <v>1910</v>
      </c>
      <c r="Y2157" s="185" t="s">
        <v>1789</v>
      </c>
      <c r="Z2157"/>
    </row>
    <row r="2158" spans="1:26">
      <c r="A2158" s="185" t="s">
        <v>3208</v>
      </c>
      <c r="B2158" s="185" t="s">
        <v>3216</v>
      </c>
      <c r="C2158" s="185" t="s">
        <v>1890</v>
      </c>
      <c r="D2158" s="185" t="s">
        <v>3217</v>
      </c>
      <c r="E2158" s="185">
        <v>23359507</v>
      </c>
      <c r="F2158" s="185" t="s">
        <v>1644</v>
      </c>
      <c r="G2158" s="185" t="s">
        <v>3211</v>
      </c>
      <c r="H2158" s="185" t="s">
        <v>1515</v>
      </c>
      <c r="I2158" s="258" t="str">
        <f t="shared" si="100"/>
        <v>2</v>
      </c>
      <c r="J2158" s="221">
        <f t="shared" si="101"/>
        <v>200000</v>
      </c>
      <c r="K2158" s="258">
        <f t="shared" si="102"/>
        <v>8</v>
      </c>
      <c r="L2158" s="188">
        <v>200000</v>
      </c>
      <c r="M2158" s="188">
        <v>0</v>
      </c>
      <c r="N2158" s="189">
        <v>1020842223</v>
      </c>
      <c r="O2158"/>
      <c r="P2158" s="187">
        <v>45166.404953703699</v>
      </c>
      <c r="Q2158" s="186">
        <v>12977</v>
      </c>
      <c r="R2158" s="185"/>
      <c r="S2158" s="185" t="s">
        <v>1532</v>
      </c>
      <c r="T2158"/>
      <c r="U2158" t="str">
        <f>IF($L2158&gt;0,VLOOKUP($E2158,Valida!$A$1:$G$270,6,FALSE),IF($M2158&gt;=0,VLOOKUP($E2158,Valida!$A$1:$G$270,7,FALSE)))</f>
        <v>(+/-) Ajustes por el incremento (disminución) de cuentas por pagar de origen comercial</v>
      </c>
      <c r="V2158" s="190" t="str">
        <f>VLOOKUP(E2158,Valida!$A$2:$K$271,4,FALSE)</f>
        <v>Trade and other payables</v>
      </c>
      <c r="W2158" s="185" t="s">
        <v>1900</v>
      </c>
      <c r="X2158" s="185"/>
      <c r="Y2158" s="185" t="s">
        <v>1789</v>
      </c>
      <c r="Z2158"/>
    </row>
    <row r="2159" spans="1:26">
      <c r="A2159" s="185" t="s">
        <v>3208</v>
      </c>
      <c r="B2159" s="185" t="s">
        <v>3216</v>
      </c>
      <c r="C2159" s="185" t="s">
        <v>1890</v>
      </c>
      <c r="D2159" s="185" t="s">
        <v>3217</v>
      </c>
      <c r="E2159" s="185">
        <v>112005</v>
      </c>
      <c r="F2159" s="185" t="s">
        <v>24</v>
      </c>
      <c r="G2159" s="185" t="s">
        <v>3211</v>
      </c>
      <c r="H2159" s="185" t="s">
        <v>1628</v>
      </c>
      <c r="I2159" s="258" t="str">
        <f t="shared" si="100"/>
        <v>1</v>
      </c>
      <c r="J2159" s="221">
        <f t="shared" si="101"/>
        <v>-200000</v>
      </c>
      <c r="K2159" s="258">
        <f t="shared" si="102"/>
        <v>8</v>
      </c>
      <c r="L2159" s="188">
        <v>0</v>
      </c>
      <c r="M2159" s="188">
        <v>200000</v>
      </c>
      <c r="N2159" s="189">
        <v>1020842223</v>
      </c>
      <c r="O2159"/>
      <c r="P2159" s="187">
        <v>45166.404953703699</v>
      </c>
      <c r="Q2159" s="186">
        <v>12978</v>
      </c>
      <c r="R2159" s="185"/>
      <c r="S2159" s="185" t="s">
        <v>1532</v>
      </c>
      <c r="T2159" t="s">
        <v>1894</v>
      </c>
      <c r="U2159" t="str">
        <f>IF($L2159&gt;0,VLOOKUP($E2159,Valida!$A$1:$G$270,6,FALSE),IF($M2159&gt;=0,VLOOKUP($E2159,Valida!$A$1:$G$270,7,FALSE)))</f>
        <v>Disponible</v>
      </c>
      <c r="V2159" s="190" t="str">
        <f>VLOOKUP(E2159,Valida!$A$2:$K$271,4,FALSE)</f>
        <v>Cash and equivalents</v>
      </c>
      <c r="W2159" s="185" t="s">
        <v>1900</v>
      </c>
      <c r="X2159" s="185"/>
      <c r="Y2159" s="185" t="s">
        <v>1789</v>
      </c>
      <c r="Z2159"/>
    </row>
    <row r="2160" spans="1:26">
      <c r="A2160" s="185" t="s">
        <v>3208</v>
      </c>
      <c r="B2160" s="185" t="s">
        <v>3218</v>
      </c>
      <c r="C2160" s="185" t="s">
        <v>1890</v>
      </c>
      <c r="D2160" s="185" t="s">
        <v>3219</v>
      </c>
      <c r="E2160" s="185">
        <v>23359507</v>
      </c>
      <c r="F2160" s="185" t="s">
        <v>1644</v>
      </c>
      <c r="G2160" s="185" t="s">
        <v>3211</v>
      </c>
      <c r="H2160" s="185" t="s">
        <v>1515</v>
      </c>
      <c r="I2160" s="258" t="str">
        <f t="shared" si="100"/>
        <v>2</v>
      </c>
      <c r="J2160" s="221">
        <f t="shared" si="101"/>
        <v>200000</v>
      </c>
      <c r="K2160" s="258">
        <f t="shared" si="102"/>
        <v>8</v>
      </c>
      <c r="L2160" s="188">
        <v>200000</v>
      </c>
      <c r="M2160" s="188">
        <v>0</v>
      </c>
      <c r="N2160" s="189">
        <v>1010101811</v>
      </c>
      <c r="O2160"/>
      <c r="P2160" s="187">
        <v>45166.405254629601</v>
      </c>
      <c r="Q2160" s="186">
        <v>12979</v>
      </c>
      <c r="R2160" s="185"/>
      <c r="S2160" s="185" t="s">
        <v>1528</v>
      </c>
      <c r="T2160"/>
      <c r="U2160" t="str">
        <f>IF($L2160&gt;0,VLOOKUP($E2160,Valida!$A$1:$G$270,6,FALSE),IF($M2160&gt;=0,VLOOKUP($E2160,Valida!$A$1:$G$270,7,FALSE)))</f>
        <v>(+/-) Ajustes por el incremento (disminución) de cuentas por pagar de origen comercial</v>
      </c>
      <c r="V2160" s="190" t="str">
        <f>VLOOKUP(E2160,Valida!$A$2:$K$271,4,FALSE)</f>
        <v>Trade and other payables</v>
      </c>
      <c r="W2160" s="185" t="s">
        <v>1967</v>
      </c>
      <c r="X2160" s="185"/>
      <c r="Y2160" s="185" t="s">
        <v>1789</v>
      </c>
      <c r="Z2160"/>
    </row>
    <row r="2161" spans="1:26">
      <c r="A2161" s="185" t="s">
        <v>3208</v>
      </c>
      <c r="B2161" s="185" t="s">
        <v>3218</v>
      </c>
      <c r="C2161" s="185" t="s">
        <v>1890</v>
      </c>
      <c r="D2161" s="185" t="s">
        <v>3219</v>
      </c>
      <c r="E2161" s="185">
        <v>112005</v>
      </c>
      <c r="F2161" s="185" t="s">
        <v>24</v>
      </c>
      <c r="G2161" s="185" t="s">
        <v>3211</v>
      </c>
      <c r="H2161" s="185" t="s">
        <v>1628</v>
      </c>
      <c r="I2161" s="258" t="str">
        <f t="shared" si="100"/>
        <v>1</v>
      </c>
      <c r="J2161" s="221">
        <f t="shared" si="101"/>
        <v>-200000</v>
      </c>
      <c r="K2161" s="258">
        <f t="shared" si="102"/>
        <v>8</v>
      </c>
      <c r="L2161" s="188">
        <v>0</v>
      </c>
      <c r="M2161" s="188">
        <v>200000</v>
      </c>
      <c r="N2161" s="189">
        <v>1010101811</v>
      </c>
      <c r="O2161"/>
      <c r="P2161" s="187">
        <v>45166.405254629601</v>
      </c>
      <c r="Q2161" s="186">
        <v>12980</v>
      </c>
      <c r="R2161" s="185"/>
      <c r="S2161" s="185" t="s">
        <v>1528</v>
      </c>
      <c r="T2161" t="s">
        <v>1894</v>
      </c>
      <c r="U2161" t="str">
        <f>IF($L2161&gt;0,VLOOKUP($E2161,Valida!$A$1:$G$270,6,FALSE),IF($M2161&gt;=0,VLOOKUP($E2161,Valida!$A$1:$G$270,7,FALSE)))</f>
        <v>Disponible</v>
      </c>
      <c r="V2161" s="190" t="str">
        <f>VLOOKUP(E2161,Valida!$A$2:$K$271,4,FALSE)</f>
        <v>Cash and equivalents</v>
      </c>
      <c r="W2161" s="185" t="s">
        <v>1967</v>
      </c>
      <c r="X2161" s="185"/>
      <c r="Y2161" s="185" t="s">
        <v>1789</v>
      </c>
      <c r="Z2161"/>
    </row>
    <row r="2162" spans="1:26">
      <c r="A2162" s="185" t="s">
        <v>3208</v>
      </c>
      <c r="B2162" s="185" t="s">
        <v>3220</v>
      </c>
      <c r="C2162" s="185" t="s">
        <v>1792</v>
      </c>
      <c r="D2162" s="185" t="s">
        <v>2308</v>
      </c>
      <c r="E2162" s="185">
        <v>133015</v>
      </c>
      <c r="F2162" s="185" t="s">
        <v>138</v>
      </c>
      <c r="G2162" s="185" t="s">
        <v>3211</v>
      </c>
      <c r="H2162" s="185" t="s">
        <v>1515</v>
      </c>
      <c r="I2162" s="258" t="str">
        <f t="shared" si="100"/>
        <v>1</v>
      </c>
      <c r="J2162" s="221">
        <f t="shared" si="101"/>
        <v>200000</v>
      </c>
      <c r="K2162" s="258">
        <f t="shared" si="102"/>
        <v>8</v>
      </c>
      <c r="L2162" s="188">
        <v>200000</v>
      </c>
      <c r="M2162" s="188">
        <v>0</v>
      </c>
      <c r="N2162" s="189">
        <v>1010101811</v>
      </c>
      <c r="O2162"/>
      <c r="P2162" s="187">
        <v>45166.4078240741</v>
      </c>
      <c r="Q2162" s="186">
        <v>12981</v>
      </c>
      <c r="R2162" s="185"/>
      <c r="S2162" s="185" t="s">
        <v>1528</v>
      </c>
      <c r="T2162"/>
      <c r="U2162" t="str">
        <f>IF($L2162&gt;0,VLOOKUP($E2162,Valida!$A$1:$G$270,6,FALSE),IF($M2162&gt;=0,VLOOKUP($E2162,Valida!$A$1:$G$270,7,FALSE)))</f>
        <v>(+/-) Ajustes por disminuciones (incrementos) en otras cuentas por cobrar derivadas de las actividades de operación</v>
      </c>
      <c r="V2162" s="190" t="str">
        <f>VLOOKUP(E2162,Valida!$A$2:$K$271,4,FALSE)</f>
        <v>Trade and other receivables</v>
      </c>
      <c r="W2162" s="185" t="s">
        <v>1967</v>
      </c>
      <c r="X2162" s="185"/>
      <c r="Y2162" s="185" t="s">
        <v>1789</v>
      </c>
      <c r="Z2162"/>
    </row>
    <row r="2163" spans="1:26">
      <c r="A2163" s="185" t="s">
        <v>3208</v>
      </c>
      <c r="B2163" s="185" t="s">
        <v>3220</v>
      </c>
      <c r="C2163" s="185" t="s">
        <v>1792</v>
      </c>
      <c r="D2163" s="185" t="s">
        <v>2308</v>
      </c>
      <c r="E2163" s="185">
        <v>23359507</v>
      </c>
      <c r="F2163" s="185" t="s">
        <v>1644</v>
      </c>
      <c r="G2163" s="185" t="s">
        <v>3211</v>
      </c>
      <c r="H2163" s="185" t="s">
        <v>1628</v>
      </c>
      <c r="I2163" s="258" t="str">
        <f t="shared" si="100"/>
        <v>2</v>
      </c>
      <c r="J2163" s="221">
        <f t="shared" si="101"/>
        <v>-200000</v>
      </c>
      <c r="K2163" s="258">
        <f t="shared" si="102"/>
        <v>8</v>
      </c>
      <c r="L2163" s="188">
        <v>0</v>
      </c>
      <c r="M2163" s="188">
        <v>200000</v>
      </c>
      <c r="N2163" s="189">
        <v>1010101811</v>
      </c>
      <c r="O2163"/>
      <c r="P2163" s="187">
        <v>45166.4078240741</v>
      </c>
      <c r="Q2163" s="186">
        <v>12982</v>
      </c>
      <c r="R2163" s="185"/>
      <c r="S2163" s="185" t="s">
        <v>1528</v>
      </c>
      <c r="T2163"/>
      <c r="U2163" t="str">
        <f>IF($L2163&gt;0,VLOOKUP($E2163,Valida!$A$1:$G$270,6,FALSE),IF($M2163&gt;=0,VLOOKUP($E2163,Valida!$A$1:$G$270,7,FALSE)))</f>
        <v>(+/-) Ajustes por el incremento (disminución) de cuentas por pagar de origen comercial</v>
      </c>
      <c r="V2163" s="190" t="str">
        <f>VLOOKUP(E2163,Valida!$A$2:$K$271,4,FALSE)</f>
        <v>Trade and other payables</v>
      </c>
      <c r="W2163" s="185" t="s">
        <v>1967</v>
      </c>
      <c r="X2163" s="185"/>
      <c r="Y2163" s="185" t="s">
        <v>1789</v>
      </c>
      <c r="Z2163"/>
    </row>
    <row r="2164" spans="1:26">
      <c r="A2164" s="185" t="s">
        <v>3208</v>
      </c>
      <c r="B2164" s="185" t="s">
        <v>3221</v>
      </c>
      <c r="C2164" s="185" t="s">
        <v>1792</v>
      </c>
      <c r="D2164" s="185" t="s">
        <v>2311</v>
      </c>
      <c r="E2164" s="185">
        <v>133015</v>
      </c>
      <c r="F2164" s="185" t="s">
        <v>138</v>
      </c>
      <c r="G2164" s="185" t="s">
        <v>3211</v>
      </c>
      <c r="H2164" s="185" t="s">
        <v>1515</v>
      </c>
      <c r="I2164" s="258" t="str">
        <f t="shared" si="100"/>
        <v>1</v>
      </c>
      <c r="J2164" s="221">
        <f t="shared" si="101"/>
        <v>200000</v>
      </c>
      <c r="K2164" s="258">
        <f t="shared" si="102"/>
        <v>8</v>
      </c>
      <c r="L2164" s="188">
        <v>200000</v>
      </c>
      <c r="M2164" s="188">
        <v>0</v>
      </c>
      <c r="N2164" s="189">
        <v>1000018061</v>
      </c>
      <c r="O2164"/>
      <c r="P2164" s="187">
        <v>45166.408437500002</v>
      </c>
      <c r="Q2164" s="186">
        <v>12983</v>
      </c>
      <c r="R2164" s="185"/>
      <c r="S2164" s="185" t="s">
        <v>1522</v>
      </c>
      <c r="T2164"/>
      <c r="U2164" t="str">
        <f>IF($L2164&gt;0,VLOOKUP($E2164,Valida!$A$1:$G$270,6,FALSE),IF($M2164&gt;=0,VLOOKUP($E2164,Valida!$A$1:$G$270,7,FALSE)))</f>
        <v>(+/-) Ajustes por disminuciones (incrementos) en otras cuentas por cobrar derivadas de las actividades de operación</v>
      </c>
      <c r="V2164" s="190" t="str">
        <f>VLOOKUP(E2164,Valida!$A$2:$K$271,4,FALSE)</f>
        <v>Trade and other receivables</v>
      </c>
      <c r="W2164" s="185" t="s">
        <v>1978</v>
      </c>
      <c r="X2164" s="185"/>
      <c r="Y2164" s="185" t="s">
        <v>1789</v>
      </c>
      <c r="Z2164"/>
    </row>
    <row r="2165" spans="1:26">
      <c r="A2165" s="185" t="s">
        <v>3208</v>
      </c>
      <c r="B2165" s="185" t="s">
        <v>3221</v>
      </c>
      <c r="C2165" s="185" t="s">
        <v>1792</v>
      </c>
      <c r="D2165" s="185" t="s">
        <v>2311</v>
      </c>
      <c r="E2165" s="185">
        <v>23359507</v>
      </c>
      <c r="F2165" s="185" t="s">
        <v>1644</v>
      </c>
      <c r="G2165" s="185" t="s">
        <v>3211</v>
      </c>
      <c r="H2165" s="185" t="s">
        <v>1628</v>
      </c>
      <c r="I2165" s="258" t="str">
        <f t="shared" si="100"/>
        <v>2</v>
      </c>
      <c r="J2165" s="221">
        <f t="shared" si="101"/>
        <v>-200000</v>
      </c>
      <c r="K2165" s="258">
        <f t="shared" si="102"/>
        <v>8</v>
      </c>
      <c r="L2165" s="188">
        <v>0</v>
      </c>
      <c r="M2165" s="188">
        <v>200000</v>
      </c>
      <c r="N2165" s="189">
        <v>1000018061</v>
      </c>
      <c r="O2165"/>
      <c r="P2165" s="187">
        <v>45166.408437500002</v>
      </c>
      <c r="Q2165" s="186">
        <v>12984</v>
      </c>
      <c r="R2165" s="185"/>
      <c r="S2165" s="185" t="s">
        <v>1522</v>
      </c>
      <c r="T2165"/>
      <c r="U2165" t="str">
        <f>IF($L2165&gt;0,VLOOKUP($E2165,Valida!$A$1:$G$270,6,FALSE),IF($M2165&gt;=0,VLOOKUP($E2165,Valida!$A$1:$G$270,7,FALSE)))</f>
        <v>(+/-) Ajustes por el incremento (disminución) de cuentas por pagar de origen comercial</v>
      </c>
      <c r="V2165" s="190" t="str">
        <f>VLOOKUP(E2165,Valida!$A$2:$K$271,4,FALSE)</f>
        <v>Trade and other payables</v>
      </c>
      <c r="W2165" s="185" t="s">
        <v>1978</v>
      </c>
      <c r="X2165" s="185"/>
      <c r="Y2165" s="185" t="s">
        <v>1789</v>
      </c>
      <c r="Z2165"/>
    </row>
    <row r="2166" spans="1:26">
      <c r="A2166" s="185" t="s">
        <v>3208</v>
      </c>
      <c r="B2166" s="185" t="s">
        <v>3222</v>
      </c>
      <c r="C2166" s="185" t="s">
        <v>1792</v>
      </c>
      <c r="D2166" s="185" t="s">
        <v>2314</v>
      </c>
      <c r="E2166" s="185">
        <v>133015</v>
      </c>
      <c r="F2166" s="185" t="s">
        <v>138</v>
      </c>
      <c r="G2166" s="185" t="s">
        <v>3211</v>
      </c>
      <c r="H2166" s="185" t="s">
        <v>1515</v>
      </c>
      <c r="I2166" s="258" t="str">
        <f t="shared" si="100"/>
        <v>1</v>
      </c>
      <c r="J2166" s="221">
        <f t="shared" si="101"/>
        <v>200000</v>
      </c>
      <c r="K2166" s="258">
        <f t="shared" si="102"/>
        <v>8</v>
      </c>
      <c r="L2166" s="188">
        <v>200000</v>
      </c>
      <c r="M2166" s="188">
        <v>0</v>
      </c>
      <c r="N2166" s="189">
        <v>1020842223</v>
      </c>
      <c r="O2166"/>
      <c r="P2166" s="187">
        <v>45166.4089467593</v>
      </c>
      <c r="Q2166" s="186">
        <v>12985</v>
      </c>
      <c r="R2166" s="185"/>
      <c r="S2166" s="185" t="s">
        <v>1532</v>
      </c>
      <c r="T2166"/>
      <c r="U2166" t="str">
        <f>IF($L2166&gt;0,VLOOKUP($E2166,Valida!$A$1:$G$270,6,FALSE),IF($M2166&gt;=0,VLOOKUP($E2166,Valida!$A$1:$G$270,7,FALSE)))</f>
        <v>(+/-) Ajustes por disminuciones (incrementos) en otras cuentas por cobrar derivadas de las actividades de operación</v>
      </c>
      <c r="V2166" s="190" t="str">
        <f>VLOOKUP(E2166,Valida!$A$2:$K$271,4,FALSE)</f>
        <v>Trade and other receivables</v>
      </c>
      <c r="W2166" s="185" t="s">
        <v>1900</v>
      </c>
      <c r="X2166" s="185"/>
      <c r="Y2166" s="185" t="s">
        <v>1789</v>
      </c>
      <c r="Z2166"/>
    </row>
    <row r="2167" spans="1:26">
      <c r="A2167" s="185" t="s">
        <v>3208</v>
      </c>
      <c r="B2167" s="185" t="s">
        <v>3222</v>
      </c>
      <c r="C2167" s="185" t="s">
        <v>1792</v>
      </c>
      <c r="D2167" s="185" t="s">
        <v>2314</v>
      </c>
      <c r="E2167" s="185">
        <v>23359507</v>
      </c>
      <c r="F2167" s="185" t="s">
        <v>1644</v>
      </c>
      <c r="G2167" s="185" t="s">
        <v>3211</v>
      </c>
      <c r="H2167" s="185" t="s">
        <v>1628</v>
      </c>
      <c r="I2167" s="258" t="str">
        <f t="shared" si="100"/>
        <v>2</v>
      </c>
      <c r="J2167" s="221">
        <f t="shared" si="101"/>
        <v>-200000</v>
      </c>
      <c r="K2167" s="258">
        <f t="shared" si="102"/>
        <v>8</v>
      </c>
      <c r="L2167" s="188">
        <v>0</v>
      </c>
      <c r="M2167" s="188">
        <v>200000</v>
      </c>
      <c r="N2167" s="189">
        <v>1020842223</v>
      </c>
      <c r="O2167"/>
      <c r="P2167" s="187">
        <v>45166.4089467593</v>
      </c>
      <c r="Q2167" s="186">
        <v>12986</v>
      </c>
      <c r="R2167" s="185"/>
      <c r="S2167" s="185" t="s">
        <v>1532</v>
      </c>
      <c r="T2167"/>
      <c r="U2167" t="str">
        <f>IF($L2167&gt;0,VLOOKUP($E2167,Valida!$A$1:$G$270,6,FALSE),IF($M2167&gt;=0,VLOOKUP($E2167,Valida!$A$1:$G$270,7,FALSE)))</f>
        <v>(+/-) Ajustes por el incremento (disminución) de cuentas por pagar de origen comercial</v>
      </c>
      <c r="V2167" s="190" t="str">
        <f>VLOOKUP(E2167,Valida!$A$2:$K$271,4,FALSE)</f>
        <v>Trade and other payables</v>
      </c>
      <c r="W2167" s="185" t="s">
        <v>1900</v>
      </c>
      <c r="X2167" s="185"/>
      <c r="Y2167" s="185" t="s">
        <v>1789</v>
      </c>
      <c r="Z2167"/>
    </row>
    <row r="2168" spans="1:26">
      <c r="A2168" s="185" t="s">
        <v>3208</v>
      </c>
      <c r="B2168" s="185" t="s">
        <v>3223</v>
      </c>
      <c r="C2168" s="185" t="s">
        <v>1792</v>
      </c>
      <c r="D2168" s="185" t="s">
        <v>2317</v>
      </c>
      <c r="E2168" s="185">
        <v>133015</v>
      </c>
      <c r="F2168" s="185" t="s">
        <v>138</v>
      </c>
      <c r="G2168" s="185" t="s">
        <v>3211</v>
      </c>
      <c r="H2168" s="185" t="s">
        <v>1515</v>
      </c>
      <c r="I2168" s="258" t="str">
        <f t="shared" si="100"/>
        <v>1</v>
      </c>
      <c r="J2168" s="221">
        <f t="shared" si="101"/>
        <v>200000</v>
      </c>
      <c r="K2168" s="258">
        <f t="shared" si="102"/>
        <v>8</v>
      </c>
      <c r="L2168" s="188">
        <v>200000</v>
      </c>
      <c r="M2168" s="188">
        <v>0</v>
      </c>
      <c r="N2168" s="189">
        <v>1130744136</v>
      </c>
      <c r="O2168"/>
      <c r="P2168" s="187">
        <v>45166.416099536997</v>
      </c>
      <c r="Q2168" s="186">
        <v>12987</v>
      </c>
      <c r="R2168" s="185"/>
      <c r="S2168" s="185" t="s">
        <v>1538</v>
      </c>
      <c r="T2168"/>
      <c r="U2168" t="str">
        <f>IF($L2168&gt;0,VLOOKUP($E2168,Valida!$A$1:$G$270,6,FALSE),IF($M2168&gt;=0,VLOOKUP($E2168,Valida!$A$1:$G$270,7,FALSE)))</f>
        <v>(+/-) Ajustes por disminuciones (incrementos) en otras cuentas por cobrar derivadas de las actividades de operación</v>
      </c>
      <c r="V2168" s="190" t="str">
        <f>VLOOKUP(E2168,Valida!$A$2:$K$271,4,FALSE)</f>
        <v>Trade and other receivables</v>
      </c>
      <c r="W2168" s="185" t="s">
        <v>1909</v>
      </c>
      <c r="X2168" s="185" t="s">
        <v>1910</v>
      </c>
      <c r="Y2168" s="185" t="s">
        <v>1789</v>
      </c>
      <c r="Z2168"/>
    </row>
    <row r="2169" spans="1:26">
      <c r="A2169" s="185" t="s">
        <v>3208</v>
      </c>
      <c r="B2169" s="185" t="s">
        <v>3223</v>
      </c>
      <c r="C2169" s="185" t="s">
        <v>1792</v>
      </c>
      <c r="D2169" s="185" t="s">
        <v>2317</v>
      </c>
      <c r="E2169" s="185">
        <v>23359507</v>
      </c>
      <c r="F2169" s="185" t="s">
        <v>1644</v>
      </c>
      <c r="G2169" s="185" t="s">
        <v>3211</v>
      </c>
      <c r="H2169" s="185" t="s">
        <v>1628</v>
      </c>
      <c r="I2169" s="258" t="str">
        <f t="shared" si="100"/>
        <v>2</v>
      </c>
      <c r="J2169" s="221">
        <f t="shared" si="101"/>
        <v>-200000</v>
      </c>
      <c r="K2169" s="258">
        <f t="shared" si="102"/>
        <v>8</v>
      </c>
      <c r="L2169" s="188">
        <v>0</v>
      </c>
      <c r="M2169" s="188">
        <v>200000</v>
      </c>
      <c r="N2169" s="189">
        <v>1130744136</v>
      </c>
      <c r="O2169"/>
      <c r="P2169" s="187">
        <v>45166.416099536997</v>
      </c>
      <c r="Q2169" s="186">
        <v>12988</v>
      </c>
      <c r="R2169" s="185"/>
      <c r="S2169" s="185" t="s">
        <v>1538</v>
      </c>
      <c r="T2169"/>
      <c r="U2169" t="str">
        <f>IF($L2169&gt;0,VLOOKUP($E2169,Valida!$A$1:$G$270,6,FALSE),IF($M2169&gt;=0,VLOOKUP($E2169,Valida!$A$1:$G$270,7,FALSE)))</f>
        <v>(+/-) Ajustes por el incremento (disminución) de cuentas por pagar de origen comercial</v>
      </c>
      <c r="V2169" s="190" t="str">
        <f>VLOOKUP(E2169,Valida!$A$2:$K$271,4,FALSE)</f>
        <v>Trade and other payables</v>
      </c>
      <c r="W2169" s="185" t="s">
        <v>1909</v>
      </c>
      <c r="X2169" s="185" t="s">
        <v>1910</v>
      </c>
      <c r="Y2169" s="185" t="s">
        <v>1789</v>
      </c>
      <c r="Z2169"/>
    </row>
    <row r="2170" spans="1:26">
      <c r="A2170" s="185" t="s">
        <v>3208</v>
      </c>
      <c r="B2170" s="185" t="s">
        <v>3224</v>
      </c>
      <c r="C2170" s="185" t="s">
        <v>1792</v>
      </c>
      <c r="D2170" s="185" t="s">
        <v>2320</v>
      </c>
      <c r="E2170" s="185">
        <v>133015</v>
      </c>
      <c r="F2170" s="185" t="s">
        <v>138</v>
      </c>
      <c r="G2170" s="185" t="s">
        <v>3211</v>
      </c>
      <c r="H2170" s="185" t="s">
        <v>1515</v>
      </c>
      <c r="I2170" s="258" t="str">
        <f t="shared" si="100"/>
        <v>1</v>
      </c>
      <c r="J2170" s="221">
        <f t="shared" si="101"/>
        <v>200000</v>
      </c>
      <c r="K2170" s="258">
        <f t="shared" si="102"/>
        <v>8</v>
      </c>
      <c r="L2170" s="188">
        <v>200000</v>
      </c>
      <c r="M2170" s="188">
        <v>0</v>
      </c>
      <c r="N2170" s="189">
        <v>1000036375</v>
      </c>
      <c r="O2170"/>
      <c r="P2170" s="187">
        <v>45166.416793981502</v>
      </c>
      <c r="Q2170" s="186">
        <v>12989</v>
      </c>
      <c r="R2170" s="185"/>
      <c r="S2170" s="185" t="s">
        <v>1524</v>
      </c>
      <c r="T2170"/>
      <c r="U2170" t="str">
        <f>IF($L2170&gt;0,VLOOKUP($E2170,Valida!$A$1:$G$270,6,FALSE),IF($M2170&gt;=0,VLOOKUP($E2170,Valida!$A$1:$G$270,7,FALSE)))</f>
        <v>(+/-) Ajustes por disminuciones (incrementos) en otras cuentas por cobrar derivadas de las actividades de operación</v>
      </c>
      <c r="V2170" s="190" t="str">
        <f>VLOOKUP(E2170,Valida!$A$2:$K$271,4,FALSE)</f>
        <v>Trade and other receivables</v>
      </c>
      <c r="W2170" s="185" t="s">
        <v>1983</v>
      </c>
      <c r="X2170" s="185"/>
      <c r="Y2170" s="185" t="s">
        <v>1789</v>
      </c>
      <c r="Z2170"/>
    </row>
    <row r="2171" spans="1:26">
      <c r="A2171" s="185" t="s">
        <v>3208</v>
      </c>
      <c r="B2171" s="185" t="s">
        <v>3224</v>
      </c>
      <c r="C2171" s="185" t="s">
        <v>1792</v>
      </c>
      <c r="D2171" s="185" t="s">
        <v>2320</v>
      </c>
      <c r="E2171" s="185">
        <v>23359507</v>
      </c>
      <c r="F2171" s="185" t="s">
        <v>1644</v>
      </c>
      <c r="G2171" s="185" t="s">
        <v>3211</v>
      </c>
      <c r="H2171" s="185" t="s">
        <v>1628</v>
      </c>
      <c r="I2171" s="258" t="str">
        <f t="shared" si="100"/>
        <v>2</v>
      </c>
      <c r="J2171" s="221">
        <f t="shared" si="101"/>
        <v>-200000</v>
      </c>
      <c r="K2171" s="258">
        <f t="shared" si="102"/>
        <v>8</v>
      </c>
      <c r="L2171" s="188">
        <v>0</v>
      </c>
      <c r="M2171" s="188">
        <v>200000</v>
      </c>
      <c r="N2171" s="189">
        <v>1000036375</v>
      </c>
      <c r="O2171"/>
      <c r="P2171" s="187">
        <v>45166.416793981502</v>
      </c>
      <c r="Q2171" s="186">
        <v>12990</v>
      </c>
      <c r="R2171" s="185"/>
      <c r="S2171" s="185" t="s">
        <v>1524</v>
      </c>
      <c r="T2171"/>
      <c r="U2171" t="str">
        <f>IF($L2171&gt;0,VLOOKUP($E2171,Valida!$A$1:$G$270,6,FALSE),IF($M2171&gt;=0,VLOOKUP($E2171,Valida!$A$1:$G$270,7,FALSE)))</f>
        <v>(+/-) Ajustes por el incremento (disminución) de cuentas por pagar de origen comercial</v>
      </c>
      <c r="V2171" s="190" t="str">
        <f>VLOOKUP(E2171,Valida!$A$2:$K$271,4,FALSE)</f>
        <v>Trade and other payables</v>
      </c>
      <c r="W2171" s="185" t="s">
        <v>1983</v>
      </c>
      <c r="X2171" s="185"/>
      <c r="Y2171" s="185" t="s">
        <v>1789</v>
      </c>
      <c r="Z2171"/>
    </row>
    <row r="2172" spans="1:26">
      <c r="A2172" s="185" t="s">
        <v>3208</v>
      </c>
      <c r="B2172" s="185" t="s">
        <v>3225</v>
      </c>
      <c r="C2172" s="185" t="s">
        <v>1792</v>
      </c>
      <c r="D2172" s="185" t="s">
        <v>2324</v>
      </c>
      <c r="E2172" s="185">
        <v>13300502</v>
      </c>
      <c r="F2172" s="185" t="s">
        <v>129</v>
      </c>
      <c r="G2172" s="185" t="s">
        <v>3226</v>
      </c>
      <c r="H2172" s="185" t="s">
        <v>1515</v>
      </c>
      <c r="I2172" s="258" t="str">
        <f t="shared" si="100"/>
        <v>1</v>
      </c>
      <c r="J2172" s="221">
        <f t="shared" si="101"/>
        <v>1840381</v>
      </c>
      <c r="K2172" s="258">
        <f t="shared" si="102"/>
        <v>8</v>
      </c>
      <c r="L2172" s="188">
        <v>1840381</v>
      </c>
      <c r="M2172" s="188">
        <v>0</v>
      </c>
      <c r="N2172" s="189">
        <v>830062853</v>
      </c>
      <c r="O2172" t="s">
        <v>3227</v>
      </c>
      <c r="P2172" s="187">
        <v>45166.421840277799</v>
      </c>
      <c r="Q2172" s="186">
        <v>12991</v>
      </c>
      <c r="R2172" s="185" t="s">
        <v>433</v>
      </c>
      <c r="S2172" s="185" t="s">
        <v>1564</v>
      </c>
      <c r="T2172"/>
      <c r="U2172" t="str">
        <f>IF($L2172&gt;0,VLOOKUP($E2172,Valida!$A$1:$G$270,6,FALSE),IF($M2172&gt;=0,VLOOKUP($E2172,Valida!$A$1:$G$270,7,FALSE)))</f>
        <v>(+/-) Ajustes por disminuciones (incrementos) en otras cuentas por cobrar derivadas de las actividades de operación</v>
      </c>
      <c r="V2172" s="190" t="str">
        <f>VLOOKUP(E2172,Valida!$A$2:$K$271,4,FALSE)</f>
        <v>Trade and other receivables</v>
      </c>
      <c r="W2172" s="185" t="s">
        <v>2024</v>
      </c>
      <c r="X2172" s="185" t="s">
        <v>2025</v>
      </c>
      <c r="Y2172" s="185" t="s">
        <v>1789</v>
      </c>
      <c r="Z2172"/>
    </row>
    <row r="2173" spans="1:26">
      <c r="A2173" s="185" t="s">
        <v>3208</v>
      </c>
      <c r="B2173" s="185" t="s">
        <v>3225</v>
      </c>
      <c r="C2173" s="185" t="s">
        <v>1792</v>
      </c>
      <c r="D2173" s="185" t="s">
        <v>2324</v>
      </c>
      <c r="E2173" s="185">
        <v>23359502</v>
      </c>
      <c r="F2173" s="185" t="s">
        <v>547</v>
      </c>
      <c r="G2173" s="185" t="s">
        <v>3226</v>
      </c>
      <c r="H2173" s="185" t="s">
        <v>1628</v>
      </c>
      <c r="I2173" s="258" t="str">
        <f t="shared" si="100"/>
        <v>2</v>
      </c>
      <c r="J2173" s="221">
        <f t="shared" si="101"/>
        <v>-1840381</v>
      </c>
      <c r="K2173" s="258">
        <f t="shared" si="102"/>
        <v>8</v>
      </c>
      <c r="L2173" s="188">
        <v>0</v>
      </c>
      <c r="M2173" s="188">
        <v>1840381</v>
      </c>
      <c r="N2173" s="189">
        <v>830062853</v>
      </c>
      <c r="O2173" t="s">
        <v>3227</v>
      </c>
      <c r="P2173" s="187">
        <v>45166.421851851897</v>
      </c>
      <c r="Q2173" s="186">
        <v>12992</v>
      </c>
      <c r="R2173" s="185" t="s">
        <v>433</v>
      </c>
      <c r="S2173" s="185" t="s">
        <v>1564</v>
      </c>
      <c r="T2173"/>
      <c r="U2173" t="str">
        <f>IF($L2173&gt;0,VLOOKUP($E2173,Valida!$A$1:$G$270,6,FALSE),IF($M2173&gt;=0,VLOOKUP($E2173,Valida!$A$1:$G$270,7,FALSE)))</f>
        <v>(+/-) Ajustes por el incremento (disminución) de cuentas por pagar de origen comercial</v>
      </c>
      <c r="V2173" s="190" t="str">
        <f>VLOOKUP(E2173,Valida!$A$2:$K$271,4,FALSE)</f>
        <v>Trade and other payables</v>
      </c>
      <c r="W2173" s="185" t="s">
        <v>2024</v>
      </c>
      <c r="X2173" s="185" t="s">
        <v>2025</v>
      </c>
      <c r="Y2173" s="185" t="s">
        <v>1789</v>
      </c>
      <c r="Z2173"/>
    </row>
    <row r="2174" spans="1:26">
      <c r="A2174" s="185" t="s">
        <v>3228</v>
      </c>
      <c r="B2174" s="185" t="s">
        <v>3229</v>
      </c>
      <c r="C2174" s="185" t="s">
        <v>2045</v>
      </c>
      <c r="D2174" s="185" t="s">
        <v>963</v>
      </c>
      <c r="E2174" s="185">
        <v>23355007</v>
      </c>
      <c r="F2174" s="185" t="s">
        <v>1638</v>
      </c>
      <c r="G2174" s="185" t="s">
        <v>3230</v>
      </c>
      <c r="H2174" s="185" t="s">
        <v>1628</v>
      </c>
      <c r="I2174" s="258" t="str">
        <f t="shared" si="100"/>
        <v>2</v>
      </c>
      <c r="J2174" s="221">
        <f t="shared" si="101"/>
        <v>-517151.09</v>
      </c>
      <c r="K2174" s="258">
        <f t="shared" si="102"/>
        <v>8</v>
      </c>
      <c r="L2174" s="188">
        <v>0</v>
      </c>
      <c r="M2174" s="188">
        <v>517151.09</v>
      </c>
      <c r="N2174" s="189">
        <v>444444001</v>
      </c>
      <c r="O2174" t="s">
        <v>3231</v>
      </c>
      <c r="P2174" s="187">
        <v>45166.425995370402</v>
      </c>
      <c r="Q2174" s="186">
        <v>12993</v>
      </c>
      <c r="R2174" s="185"/>
      <c r="S2174" s="185" t="s">
        <v>1548</v>
      </c>
      <c r="T2174"/>
      <c r="U2174" t="str">
        <f>IF($L2174&gt;0,VLOOKUP($E2174,Valida!$A$1:$G$270,6,FALSE),IF($M2174&gt;=0,VLOOKUP($E2174,Valida!$A$1:$G$270,7,FALSE)))</f>
        <v>(+/-) Ajustes por el incremento (disminución) de cuentas por pagar de origen comercial</v>
      </c>
      <c r="V2174" s="190" t="str">
        <f>VLOOKUP(E2174,Valida!$A$2:$K$271,4,FALSE)</f>
        <v>Trade and other payables</v>
      </c>
      <c r="W2174" s="185"/>
      <c r="X2174" s="185"/>
      <c r="Y2174" s="185"/>
      <c r="Z2174"/>
    </row>
    <row r="2175" spans="1:26">
      <c r="A2175" s="185" t="s">
        <v>3228</v>
      </c>
      <c r="B2175" s="185" t="s">
        <v>3229</v>
      </c>
      <c r="C2175" s="185" t="s">
        <v>2045</v>
      </c>
      <c r="D2175" s="185" t="s">
        <v>963</v>
      </c>
      <c r="E2175" s="185">
        <v>51350504</v>
      </c>
      <c r="F2175" s="185" t="s">
        <v>1638</v>
      </c>
      <c r="G2175" s="185" t="s">
        <v>3232</v>
      </c>
      <c r="H2175" s="185" t="s">
        <v>1515</v>
      </c>
      <c r="I2175" s="258" t="str">
        <f t="shared" si="100"/>
        <v>5</v>
      </c>
      <c r="J2175" s="221">
        <f t="shared" si="101"/>
        <v>517151.09</v>
      </c>
      <c r="K2175" s="258">
        <f t="shared" si="102"/>
        <v>8</v>
      </c>
      <c r="L2175" s="188">
        <v>517151.09</v>
      </c>
      <c r="M2175" s="188">
        <v>0</v>
      </c>
      <c r="N2175" s="189">
        <v>444444001</v>
      </c>
      <c r="O2175" t="s">
        <v>3231</v>
      </c>
      <c r="P2175" s="187">
        <v>45166.425995370402</v>
      </c>
      <c r="Q2175" s="186">
        <v>12994</v>
      </c>
      <c r="R2175" s="185"/>
      <c r="S2175" s="185" t="s">
        <v>1548</v>
      </c>
      <c r="T2175"/>
      <c r="U2175" t="str">
        <f>IF($L2175&gt;0,VLOOKUP($E2175,Valida!$A$1:$G$270,6,FALSE),IF($M2175&gt;=0,VLOOKUP($E2175,Valida!$A$1:$G$270,7,FALSE)))</f>
        <v>(+/-) Ganancia (pérdida)</v>
      </c>
      <c r="V2175" s="190" t="str">
        <f>VLOOKUP(E2175,Valida!$A$2:$K$271,4,FALSE)</f>
        <v>P&amp;L</v>
      </c>
      <c r="W2175" s="185"/>
      <c r="X2175" s="185"/>
      <c r="Y2175" s="185"/>
      <c r="Z2175"/>
    </row>
    <row r="2176" spans="1:26">
      <c r="A2176" s="185" t="s">
        <v>3233</v>
      </c>
      <c r="B2176" s="185" t="s">
        <v>3234</v>
      </c>
      <c r="C2176" s="185" t="s">
        <v>1792</v>
      </c>
      <c r="D2176" s="185" t="s">
        <v>2328</v>
      </c>
      <c r="E2176" s="185">
        <v>510551</v>
      </c>
      <c r="F2176" s="185" t="s">
        <v>799</v>
      </c>
      <c r="G2176" s="185" t="s">
        <v>3235</v>
      </c>
      <c r="H2176" s="185" t="s">
        <v>1515</v>
      </c>
      <c r="I2176" s="258" t="str">
        <f t="shared" si="100"/>
        <v>5</v>
      </c>
      <c r="J2176" s="221">
        <f t="shared" si="101"/>
        <v>168067</v>
      </c>
      <c r="K2176" s="258">
        <f t="shared" si="102"/>
        <v>8</v>
      </c>
      <c r="L2176" s="188">
        <v>168067</v>
      </c>
      <c r="M2176" s="188">
        <v>0</v>
      </c>
      <c r="N2176" s="189">
        <v>890801339</v>
      </c>
      <c r="O2176" t="s">
        <v>3236</v>
      </c>
      <c r="P2176" s="187">
        <v>45166.446782407402</v>
      </c>
      <c r="Q2176" s="186">
        <v>12995</v>
      </c>
      <c r="R2176" s="185" t="s">
        <v>1827</v>
      </c>
      <c r="S2176" s="185" t="s">
        <v>1676</v>
      </c>
      <c r="T2176"/>
      <c r="U2176" t="str">
        <f>IF($L2176&gt;0,VLOOKUP($E2176,Valida!$A$1:$G$270,6,FALSE),IF($M2176&gt;=0,VLOOKUP($E2176,Valida!$A$1:$G$270,7,FALSE)))</f>
        <v>(+/-) Ganancia (pérdida)</v>
      </c>
      <c r="V2176" s="190" t="str">
        <f>VLOOKUP(E2176,Valida!$A$2:$K$271,4,FALSE)</f>
        <v>P&amp;L</v>
      </c>
      <c r="W2176" s="185" t="s">
        <v>3237</v>
      </c>
      <c r="X2176" s="185" t="s">
        <v>3238</v>
      </c>
      <c r="Y2176" s="185" t="s">
        <v>3239</v>
      </c>
      <c r="Z2176"/>
    </row>
    <row r="2177" spans="1:26">
      <c r="A2177" s="185" t="s">
        <v>3233</v>
      </c>
      <c r="B2177" s="185" t="s">
        <v>3234</v>
      </c>
      <c r="C2177" s="185" t="s">
        <v>1792</v>
      </c>
      <c r="D2177" s="185" t="s">
        <v>2328</v>
      </c>
      <c r="E2177" s="185">
        <v>24081001</v>
      </c>
      <c r="F2177" s="185" t="s">
        <v>1670</v>
      </c>
      <c r="G2177" s="185" t="s">
        <v>3235</v>
      </c>
      <c r="H2177" s="185" t="s">
        <v>1515</v>
      </c>
      <c r="I2177" s="258" t="str">
        <f t="shared" si="100"/>
        <v>2</v>
      </c>
      <c r="J2177" s="221">
        <f t="shared" si="101"/>
        <v>31933</v>
      </c>
      <c r="K2177" s="258">
        <f t="shared" si="102"/>
        <v>8</v>
      </c>
      <c r="L2177" s="188">
        <v>31933</v>
      </c>
      <c r="M2177" s="188">
        <v>0</v>
      </c>
      <c r="N2177" s="189">
        <v>890801339</v>
      </c>
      <c r="O2177" t="s">
        <v>3236</v>
      </c>
      <c r="P2177" s="187">
        <v>45166.446782407402</v>
      </c>
      <c r="Q2177" s="186">
        <v>12996</v>
      </c>
      <c r="R2177" s="185" t="s">
        <v>1827</v>
      </c>
      <c r="S2177" s="185" t="s">
        <v>1676</v>
      </c>
      <c r="T2177"/>
      <c r="U2177" t="str">
        <f>IF($L2177&gt;0,VLOOKUP($E2177,Valida!$A$1:$G$270,6,FALSE),IF($M2177&gt;=0,VLOOKUP($E2177,Valida!$A$1:$G$270,7,FALSE)))</f>
        <v>(+/-) Ajustes por el incremento (disminución) de cuentas por pagar de origen comercial</v>
      </c>
      <c r="V2177" s="190" t="str">
        <f>VLOOKUP(E2177,Valida!$A$2:$K$271,4,FALSE)</f>
        <v>Trade and other payables</v>
      </c>
      <c r="W2177" s="185" t="s">
        <v>3237</v>
      </c>
      <c r="X2177" s="185" t="s">
        <v>3238</v>
      </c>
      <c r="Y2177" s="185" t="s">
        <v>3239</v>
      </c>
      <c r="Z2177"/>
    </row>
    <row r="2178" spans="1:26">
      <c r="A2178" s="185" t="s">
        <v>3233</v>
      </c>
      <c r="B2178" s="185" t="s">
        <v>3234</v>
      </c>
      <c r="C2178" s="185" t="s">
        <v>1792</v>
      </c>
      <c r="D2178" s="185" t="s">
        <v>2328</v>
      </c>
      <c r="E2178" s="185">
        <v>133015</v>
      </c>
      <c r="F2178" s="185" t="s">
        <v>138</v>
      </c>
      <c r="G2178" s="185" t="s">
        <v>3235</v>
      </c>
      <c r="H2178" s="185" t="s">
        <v>1628</v>
      </c>
      <c r="I2178" s="258" t="str">
        <f t="shared" si="100"/>
        <v>1</v>
      </c>
      <c r="J2178" s="221">
        <f t="shared" si="101"/>
        <v>-200000</v>
      </c>
      <c r="K2178" s="258">
        <f t="shared" si="102"/>
        <v>8</v>
      </c>
      <c r="L2178" s="188">
        <v>0</v>
      </c>
      <c r="M2178" s="188">
        <v>200000</v>
      </c>
      <c r="N2178" s="189">
        <v>1000018061</v>
      </c>
      <c r="O2178" t="s">
        <v>3236</v>
      </c>
      <c r="P2178" s="187">
        <v>45166.446782407402</v>
      </c>
      <c r="Q2178" s="186">
        <v>12997</v>
      </c>
      <c r="R2178" s="185"/>
      <c r="S2178" s="185" t="s">
        <v>1522</v>
      </c>
      <c r="T2178"/>
      <c r="U2178" t="str">
        <f>IF($L2178&gt;0,VLOOKUP($E2178,Valida!$A$1:$G$270,6,FALSE),IF($M2178&gt;=0,VLOOKUP($E2178,Valida!$A$1:$G$270,7,FALSE)))</f>
        <v>(+/-) Ajustes por disminuciones (incrementos) en otras cuentas por cobrar derivadas de las actividades de operación</v>
      </c>
      <c r="V2178" s="190" t="str">
        <f>VLOOKUP(E2178,Valida!$A$2:$K$271,4,FALSE)</f>
        <v>Trade and other receivables</v>
      </c>
      <c r="W2178" s="185" t="s">
        <v>1978</v>
      </c>
      <c r="X2178" s="185"/>
      <c r="Y2178" s="185" t="s">
        <v>1789</v>
      </c>
      <c r="Z2178"/>
    </row>
    <row r="2179" spans="1:26">
      <c r="A2179" s="185" t="s">
        <v>3205</v>
      </c>
      <c r="B2179" s="185" t="s">
        <v>3240</v>
      </c>
      <c r="C2179" s="185" t="s">
        <v>1792</v>
      </c>
      <c r="D2179" s="185" t="s">
        <v>2335</v>
      </c>
      <c r="E2179" s="185">
        <v>510551</v>
      </c>
      <c r="F2179" s="185" t="s">
        <v>799</v>
      </c>
      <c r="G2179" s="185" t="s">
        <v>3241</v>
      </c>
      <c r="H2179" s="185" t="s">
        <v>1515</v>
      </c>
      <c r="I2179" s="258" t="str">
        <f t="shared" ref="I2179:I2242" si="103">LEFT(E2179,1)</f>
        <v>5</v>
      </c>
      <c r="J2179" s="221">
        <f t="shared" ref="J2179:J2242" si="104">L2179-M2179</f>
        <v>200000</v>
      </c>
      <c r="K2179" s="258">
        <f t="shared" ref="K2179:K2242" si="105">MONTH(A2179)</f>
        <v>8</v>
      </c>
      <c r="L2179" s="188">
        <v>200000</v>
      </c>
      <c r="M2179" s="188">
        <v>0</v>
      </c>
      <c r="N2179" s="189">
        <v>222222222</v>
      </c>
      <c r="O2179" t="s">
        <v>3242</v>
      </c>
      <c r="P2179" s="187">
        <v>45166.450081018498</v>
      </c>
      <c r="Q2179" s="186">
        <v>12998</v>
      </c>
      <c r="R2179" s="185"/>
      <c r="S2179" s="185" t="s">
        <v>1542</v>
      </c>
      <c r="T2179"/>
      <c r="U2179" t="str">
        <f>IF($L2179&gt;0,VLOOKUP($E2179,Valida!$A$1:$G$270,6,FALSE),IF($M2179&gt;=0,VLOOKUP($E2179,Valida!$A$1:$G$270,7,FALSE)))</f>
        <v>(+/-) Ganancia (pérdida)</v>
      </c>
      <c r="V2179" s="190" t="str">
        <f>VLOOKUP(E2179,Valida!$A$2:$K$271,4,FALSE)</f>
        <v>P&amp;L</v>
      </c>
      <c r="W2179" s="185" t="s">
        <v>1909</v>
      </c>
      <c r="X2179" s="185" t="s">
        <v>1910</v>
      </c>
      <c r="Y2179" s="185" t="s">
        <v>1789</v>
      </c>
      <c r="Z2179"/>
    </row>
    <row r="2180" spans="1:26">
      <c r="A2180" s="185" t="s">
        <v>3205</v>
      </c>
      <c r="B2180" s="185" t="s">
        <v>3240</v>
      </c>
      <c r="C2180" s="185" t="s">
        <v>1792</v>
      </c>
      <c r="D2180" s="185" t="s">
        <v>2335</v>
      </c>
      <c r="E2180" s="185">
        <v>133015</v>
      </c>
      <c r="F2180" s="185" t="s">
        <v>138</v>
      </c>
      <c r="G2180" s="185" t="s">
        <v>3241</v>
      </c>
      <c r="H2180" s="185" t="s">
        <v>1628</v>
      </c>
      <c r="I2180" s="258" t="str">
        <f t="shared" si="103"/>
        <v>1</v>
      </c>
      <c r="J2180" s="221">
        <f t="shared" si="104"/>
        <v>-200000</v>
      </c>
      <c r="K2180" s="258">
        <f t="shared" si="105"/>
        <v>8</v>
      </c>
      <c r="L2180" s="188">
        <v>0</v>
      </c>
      <c r="M2180" s="188">
        <v>200000</v>
      </c>
      <c r="N2180" s="189">
        <v>1020842223</v>
      </c>
      <c r="O2180" t="s">
        <v>3242</v>
      </c>
      <c r="P2180" s="187">
        <v>45166.450081018498</v>
      </c>
      <c r="Q2180" s="186">
        <v>12999</v>
      </c>
      <c r="R2180" s="185"/>
      <c r="S2180" s="185" t="s">
        <v>1532</v>
      </c>
      <c r="T2180"/>
      <c r="U2180" t="str">
        <f>IF($L2180&gt;0,VLOOKUP($E2180,Valida!$A$1:$G$270,6,FALSE),IF($M2180&gt;=0,VLOOKUP($E2180,Valida!$A$1:$G$270,7,FALSE)))</f>
        <v>(+/-) Ajustes por disminuciones (incrementos) en otras cuentas por cobrar derivadas de las actividades de operación</v>
      </c>
      <c r="V2180" s="190" t="str">
        <f>VLOOKUP(E2180,Valida!$A$2:$K$271,4,FALSE)</f>
        <v>Trade and other receivables</v>
      </c>
      <c r="W2180" s="185" t="s">
        <v>1900</v>
      </c>
      <c r="X2180" s="185"/>
      <c r="Y2180" s="185" t="s">
        <v>1789</v>
      </c>
      <c r="Z2180"/>
    </row>
    <row r="2181" spans="1:26">
      <c r="A2181" s="185" t="s">
        <v>3243</v>
      </c>
      <c r="B2181" s="185" t="s">
        <v>3244</v>
      </c>
      <c r="C2181" s="185" t="s">
        <v>1792</v>
      </c>
      <c r="D2181" s="185" t="s">
        <v>3245</v>
      </c>
      <c r="E2181" s="185">
        <v>510551</v>
      </c>
      <c r="F2181" s="185" t="s">
        <v>799</v>
      </c>
      <c r="G2181" s="185" t="s">
        <v>3246</v>
      </c>
      <c r="H2181" s="185" t="s">
        <v>1515</v>
      </c>
      <c r="I2181" s="258" t="str">
        <f t="shared" si="103"/>
        <v>5</v>
      </c>
      <c r="J2181" s="221">
        <f t="shared" si="104"/>
        <v>168067</v>
      </c>
      <c r="K2181" s="258">
        <f t="shared" si="105"/>
        <v>8</v>
      </c>
      <c r="L2181" s="188">
        <v>168067</v>
      </c>
      <c r="M2181" s="188">
        <v>0</v>
      </c>
      <c r="N2181" s="189">
        <v>900342297</v>
      </c>
      <c r="O2181" t="s">
        <v>3247</v>
      </c>
      <c r="P2181" s="187">
        <v>45166.4840162037</v>
      </c>
      <c r="Q2181" s="186">
        <v>13019</v>
      </c>
      <c r="R2181" s="185" t="s">
        <v>433</v>
      </c>
      <c r="S2181" s="185" t="s">
        <v>1680</v>
      </c>
      <c r="T2181"/>
      <c r="U2181" t="str">
        <f>IF($L2181&gt;0,VLOOKUP($E2181,Valida!$A$1:$G$270,6,FALSE),IF($M2181&gt;=0,VLOOKUP($E2181,Valida!$A$1:$G$270,7,FALSE)))</f>
        <v>(+/-) Ganancia (pérdida)</v>
      </c>
      <c r="V2181" s="190" t="str">
        <f>VLOOKUP(E2181,Valida!$A$2:$K$271,4,FALSE)</f>
        <v>P&amp;L</v>
      </c>
      <c r="W2181" s="185" t="s">
        <v>3248</v>
      </c>
      <c r="X2181" s="185"/>
      <c r="Y2181" s="185" t="s">
        <v>1789</v>
      </c>
      <c r="Z2181"/>
    </row>
    <row r="2182" spans="1:26">
      <c r="A2182" s="185" t="s">
        <v>3205</v>
      </c>
      <c r="B2182" s="185" t="s">
        <v>3249</v>
      </c>
      <c r="C2182" s="185" t="s">
        <v>1792</v>
      </c>
      <c r="D2182" s="185" t="s">
        <v>2338</v>
      </c>
      <c r="E2182" s="185">
        <v>51350501</v>
      </c>
      <c r="F2182" s="185" t="s">
        <v>1256</v>
      </c>
      <c r="G2182" s="185" t="s">
        <v>1794</v>
      </c>
      <c r="H2182" s="185" t="s">
        <v>1515</v>
      </c>
      <c r="I2182" s="258" t="str">
        <f t="shared" si="103"/>
        <v>5</v>
      </c>
      <c r="J2182" s="221">
        <f t="shared" si="104"/>
        <v>2280608</v>
      </c>
      <c r="K2182" s="258">
        <f t="shared" si="105"/>
        <v>8</v>
      </c>
      <c r="L2182" s="188">
        <v>2280608</v>
      </c>
      <c r="M2182" s="188">
        <v>0</v>
      </c>
      <c r="N2182" s="189">
        <v>900994552</v>
      </c>
      <c r="O2182" t="s">
        <v>3250</v>
      </c>
      <c r="P2182" s="187">
        <v>45166.466967592598</v>
      </c>
      <c r="Q2182" s="186">
        <v>13000</v>
      </c>
      <c r="R2182" s="185" t="s">
        <v>844</v>
      </c>
      <c r="S2182" s="185" t="s">
        <v>1606</v>
      </c>
      <c r="T2182"/>
      <c r="U2182" t="str">
        <f>IF($L2182&gt;0,VLOOKUP($E2182,Valida!$A$1:$G$270,6,FALSE),IF($M2182&gt;=0,VLOOKUP($E2182,Valida!$A$1:$G$270,7,FALSE)))</f>
        <v>(+/-) Ganancia (pérdida)</v>
      </c>
      <c r="V2182" s="190" t="str">
        <f>VLOOKUP(E2182,Valida!$A$2:$K$271,4,FALSE)</f>
        <v>P&amp;L</v>
      </c>
      <c r="W2182" s="185" t="s">
        <v>1796</v>
      </c>
      <c r="X2182" s="185" t="s">
        <v>1797</v>
      </c>
      <c r="Y2182" s="185" t="s">
        <v>1789</v>
      </c>
      <c r="Z2182"/>
    </row>
    <row r="2183" spans="1:26">
      <c r="A2183" s="185" t="s">
        <v>3205</v>
      </c>
      <c r="B2183" s="185" t="s">
        <v>3249</v>
      </c>
      <c r="C2183" s="185" t="s">
        <v>1792</v>
      </c>
      <c r="D2183" s="185" t="s">
        <v>2338</v>
      </c>
      <c r="E2183" s="185">
        <v>51350501</v>
      </c>
      <c r="F2183" s="185" t="s">
        <v>1256</v>
      </c>
      <c r="G2183" s="185" t="s">
        <v>1794</v>
      </c>
      <c r="H2183" s="185" t="s">
        <v>1515</v>
      </c>
      <c r="I2183" s="258" t="str">
        <f t="shared" si="103"/>
        <v>5</v>
      </c>
      <c r="J2183" s="221">
        <f t="shared" si="104"/>
        <v>228061</v>
      </c>
      <c r="K2183" s="258">
        <f t="shared" si="105"/>
        <v>8</v>
      </c>
      <c r="L2183" s="188">
        <v>228061</v>
      </c>
      <c r="M2183" s="188">
        <v>0</v>
      </c>
      <c r="N2183" s="189">
        <v>900994552</v>
      </c>
      <c r="O2183" t="s">
        <v>3250</v>
      </c>
      <c r="P2183" s="187">
        <v>45166.466967592598</v>
      </c>
      <c r="Q2183" s="186">
        <v>13001</v>
      </c>
      <c r="R2183" s="185" t="s">
        <v>844</v>
      </c>
      <c r="S2183" s="185" t="s">
        <v>1606</v>
      </c>
      <c r="T2183"/>
      <c r="U2183" t="str">
        <f>IF($L2183&gt;0,VLOOKUP($E2183,Valida!$A$1:$G$270,6,FALSE),IF($M2183&gt;=0,VLOOKUP($E2183,Valida!$A$1:$G$270,7,FALSE)))</f>
        <v>(+/-) Ganancia (pérdida)</v>
      </c>
      <c r="V2183" s="190" t="str">
        <f>VLOOKUP(E2183,Valida!$A$2:$K$271,4,FALSE)</f>
        <v>P&amp;L</v>
      </c>
      <c r="W2183" s="185" t="s">
        <v>1796</v>
      </c>
      <c r="X2183" s="185" t="s">
        <v>1797</v>
      </c>
      <c r="Y2183" s="185" t="s">
        <v>1789</v>
      </c>
      <c r="Z2183"/>
    </row>
    <row r="2184" spans="1:26">
      <c r="A2184" s="185" t="s">
        <v>3205</v>
      </c>
      <c r="B2184" s="185" t="s">
        <v>3249</v>
      </c>
      <c r="C2184" s="185" t="s">
        <v>1792</v>
      </c>
      <c r="D2184" s="185" t="s">
        <v>2338</v>
      </c>
      <c r="E2184" s="185">
        <v>24081002</v>
      </c>
      <c r="F2184" s="185" t="s">
        <v>1687</v>
      </c>
      <c r="G2184" s="185" t="s">
        <v>1794</v>
      </c>
      <c r="H2184" s="185" t="s">
        <v>1515</v>
      </c>
      <c r="I2184" s="258" t="str">
        <f t="shared" si="103"/>
        <v>2</v>
      </c>
      <c r="J2184" s="221">
        <f t="shared" si="104"/>
        <v>43332</v>
      </c>
      <c r="K2184" s="258">
        <f t="shared" si="105"/>
        <v>8</v>
      </c>
      <c r="L2184" s="188">
        <v>43332</v>
      </c>
      <c r="M2184" s="188">
        <v>0</v>
      </c>
      <c r="N2184" s="189">
        <v>900994552</v>
      </c>
      <c r="O2184" t="s">
        <v>3250</v>
      </c>
      <c r="P2184" s="187">
        <v>45166.466967592598</v>
      </c>
      <c r="Q2184" s="186">
        <v>13002</v>
      </c>
      <c r="R2184" s="185" t="s">
        <v>844</v>
      </c>
      <c r="S2184" s="185" t="s">
        <v>1606</v>
      </c>
      <c r="T2184"/>
      <c r="U2184" t="str">
        <f>IF($L2184&gt;0,VLOOKUP($E2184,Valida!$A$1:$G$270,6,FALSE),IF($M2184&gt;=0,VLOOKUP($E2184,Valida!$A$1:$G$270,7,FALSE)))</f>
        <v>(+/-) Ajustes por el incremento (disminución) de cuentas por pagar de origen comercial</v>
      </c>
      <c r="V2184" s="190" t="str">
        <f>VLOOKUP(E2184,Valida!$A$2:$K$271,4,FALSE)</f>
        <v>Trade and other payables</v>
      </c>
      <c r="W2184" s="185" t="s">
        <v>1796</v>
      </c>
      <c r="X2184" s="185" t="s">
        <v>1797</v>
      </c>
      <c r="Y2184" s="185" t="s">
        <v>1789</v>
      </c>
      <c r="Z2184"/>
    </row>
    <row r="2185" spans="1:26">
      <c r="A2185" s="185" t="s">
        <v>3205</v>
      </c>
      <c r="B2185" s="185" t="s">
        <v>3249</v>
      </c>
      <c r="C2185" s="185" t="s">
        <v>1792</v>
      </c>
      <c r="D2185" s="185" t="s">
        <v>2338</v>
      </c>
      <c r="E2185" s="185">
        <v>23355004</v>
      </c>
      <c r="F2185" s="185" t="s">
        <v>513</v>
      </c>
      <c r="G2185" s="185" t="s">
        <v>1794</v>
      </c>
      <c r="H2185" s="185" t="s">
        <v>1628</v>
      </c>
      <c r="I2185" s="258" t="str">
        <f t="shared" si="103"/>
        <v>2</v>
      </c>
      <c r="J2185" s="221">
        <f t="shared" si="104"/>
        <v>-2722000</v>
      </c>
      <c r="K2185" s="258">
        <f t="shared" si="105"/>
        <v>8</v>
      </c>
      <c r="L2185" s="188">
        <v>0</v>
      </c>
      <c r="M2185" s="188">
        <v>2722000</v>
      </c>
      <c r="N2185" s="189">
        <v>900994552</v>
      </c>
      <c r="O2185" t="s">
        <v>3250</v>
      </c>
      <c r="P2185" s="187">
        <v>45166.466967592598</v>
      </c>
      <c r="Q2185" s="186">
        <v>13003</v>
      </c>
      <c r="R2185" s="185" t="s">
        <v>844</v>
      </c>
      <c r="S2185" s="185" t="s">
        <v>1606</v>
      </c>
      <c r="T2185"/>
      <c r="U2185" t="str">
        <f>IF($L2185&gt;0,VLOOKUP($E2185,Valida!$A$1:$G$270,6,FALSE),IF($M2185&gt;=0,VLOOKUP($E2185,Valida!$A$1:$G$270,7,FALSE)))</f>
        <v>(+/-) Ajustes por el incremento (disminución) de cuentas por pagar de origen comercial</v>
      </c>
      <c r="V2185" s="190" t="str">
        <f>VLOOKUP(E2185,Valida!$A$2:$K$271,4,FALSE)</f>
        <v>Trade and other payables</v>
      </c>
      <c r="W2185" s="185" t="s">
        <v>1796</v>
      </c>
      <c r="X2185" s="185" t="s">
        <v>1797</v>
      </c>
      <c r="Y2185" s="185" t="s">
        <v>1789</v>
      </c>
      <c r="Z2185"/>
    </row>
    <row r="2186" spans="1:26">
      <c r="A2186" s="185" t="s">
        <v>3205</v>
      </c>
      <c r="B2186" s="185" t="s">
        <v>3249</v>
      </c>
      <c r="C2186" s="185" t="s">
        <v>1792</v>
      </c>
      <c r="D2186" s="185" t="s">
        <v>2338</v>
      </c>
      <c r="E2186" s="185">
        <v>51350501</v>
      </c>
      <c r="F2186" s="185" t="s">
        <v>1256</v>
      </c>
      <c r="G2186" s="185" t="s">
        <v>1794</v>
      </c>
      <c r="H2186" s="185" t="s">
        <v>1515</v>
      </c>
      <c r="I2186" s="258" t="str">
        <f t="shared" si="103"/>
        <v>5</v>
      </c>
      <c r="J2186" s="221">
        <f t="shared" si="104"/>
        <v>151921</v>
      </c>
      <c r="K2186" s="258">
        <f t="shared" si="105"/>
        <v>8</v>
      </c>
      <c r="L2186" s="188">
        <v>151921</v>
      </c>
      <c r="M2186" s="188">
        <v>0</v>
      </c>
      <c r="N2186" s="189">
        <v>900994552</v>
      </c>
      <c r="O2186" t="s">
        <v>3250</v>
      </c>
      <c r="P2186" s="187">
        <v>45166.466967592598</v>
      </c>
      <c r="Q2186" s="186">
        <v>13004</v>
      </c>
      <c r="R2186" s="185" t="s">
        <v>844</v>
      </c>
      <c r="S2186" s="185" t="s">
        <v>1606</v>
      </c>
      <c r="T2186"/>
      <c r="U2186" t="str">
        <f>IF($L2186&gt;0,VLOOKUP($E2186,Valida!$A$1:$G$270,6,FALSE),IF($M2186&gt;=0,VLOOKUP($E2186,Valida!$A$1:$G$270,7,FALSE)))</f>
        <v>(+/-) Ganancia (pérdida)</v>
      </c>
      <c r="V2186" s="190" t="str">
        <f>VLOOKUP(E2186,Valida!$A$2:$K$271,4,FALSE)</f>
        <v>P&amp;L</v>
      </c>
      <c r="W2186" s="185" t="s">
        <v>1796</v>
      </c>
      <c r="X2186" s="185" t="s">
        <v>1797</v>
      </c>
      <c r="Y2186" s="185" t="s">
        <v>1789</v>
      </c>
      <c r="Z2186"/>
    </row>
    <row r="2187" spans="1:26">
      <c r="A2187" s="185" t="s">
        <v>3205</v>
      </c>
      <c r="B2187" s="185" t="s">
        <v>3249</v>
      </c>
      <c r="C2187" s="185" t="s">
        <v>1792</v>
      </c>
      <c r="D2187" s="185" t="s">
        <v>2338</v>
      </c>
      <c r="E2187" s="185">
        <v>24081002</v>
      </c>
      <c r="F2187" s="185" t="s">
        <v>1687</v>
      </c>
      <c r="G2187" s="185" t="s">
        <v>1794</v>
      </c>
      <c r="H2187" s="185" t="s">
        <v>1515</v>
      </c>
      <c r="I2187" s="258" t="str">
        <f t="shared" si="103"/>
        <v>2</v>
      </c>
      <c r="J2187" s="221">
        <f t="shared" si="104"/>
        <v>2886</v>
      </c>
      <c r="K2187" s="258">
        <f t="shared" si="105"/>
        <v>8</v>
      </c>
      <c r="L2187" s="188">
        <v>2886</v>
      </c>
      <c r="M2187" s="188">
        <v>0</v>
      </c>
      <c r="N2187" s="189">
        <v>900994552</v>
      </c>
      <c r="O2187" t="s">
        <v>3250</v>
      </c>
      <c r="P2187" s="187">
        <v>45166.466979166697</v>
      </c>
      <c r="Q2187" s="186">
        <v>13005</v>
      </c>
      <c r="R2187" s="185" t="s">
        <v>844</v>
      </c>
      <c r="S2187" s="185" t="s">
        <v>1606</v>
      </c>
      <c r="T2187"/>
      <c r="U2187" t="str">
        <f>IF($L2187&gt;0,VLOOKUP($E2187,Valida!$A$1:$G$270,6,FALSE),IF($M2187&gt;=0,VLOOKUP($E2187,Valida!$A$1:$G$270,7,FALSE)))</f>
        <v>(+/-) Ajustes por el incremento (disminución) de cuentas por pagar de origen comercial</v>
      </c>
      <c r="V2187" s="190" t="str">
        <f>VLOOKUP(E2187,Valida!$A$2:$K$271,4,FALSE)</f>
        <v>Trade and other payables</v>
      </c>
      <c r="W2187" s="185" t="s">
        <v>1796</v>
      </c>
      <c r="X2187" s="185" t="s">
        <v>1797</v>
      </c>
      <c r="Y2187" s="185" t="s">
        <v>1789</v>
      </c>
      <c r="Z2187"/>
    </row>
    <row r="2188" spans="1:26">
      <c r="A2188" s="185" t="s">
        <v>3205</v>
      </c>
      <c r="B2188" s="185" t="s">
        <v>3249</v>
      </c>
      <c r="C2188" s="185" t="s">
        <v>1792</v>
      </c>
      <c r="D2188" s="185" t="s">
        <v>2338</v>
      </c>
      <c r="E2188" s="185">
        <v>51350501</v>
      </c>
      <c r="F2188" s="185" t="s">
        <v>1256</v>
      </c>
      <c r="G2188" s="185" t="s">
        <v>1794</v>
      </c>
      <c r="H2188" s="185" t="s">
        <v>1515</v>
      </c>
      <c r="I2188" s="258" t="str">
        <f t="shared" si="103"/>
        <v>5</v>
      </c>
      <c r="J2188" s="221">
        <f t="shared" si="104"/>
        <v>15192</v>
      </c>
      <c r="K2188" s="258">
        <f t="shared" si="105"/>
        <v>8</v>
      </c>
      <c r="L2188" s="188">
        <v>15192</v>
      </c>
      <c r="M2188" s="188">
        <v>0</v>
      </c>
      <c r="N2188" s="189">
        <v>900994552</v>
      </c>
      <c r="O2188" t="s">
        <v>3250</v>
      </c>
      <c r="P2188" s="187">
        <v>45166.466979166697</v>
      </c>
      <c r="Q2188" s="186">
        <v>13006</v>
      </c>
      <c r="R2188" s="185" t="s">
        <v>844</v>
      </c>
      <c r="S2188" s="185" t="s">
        <v>1606</v>
      </c>
      <c r="T2188"/>
      <c r="U2188" t="str">
        <f>IF($L2188&gt;0,VLOOKUP($E2188,Valida!$A$1:$G$270,6,FALSE),IF($M2188&gt;=0,VLOOKUP($E2188,Valida!$A$1:$G$270,7,FALSE)))</f>
        <v>(+/-) Ganancia (pérdida)</v>
      </c>
      <c r="V2188" s="190" t="str">
        <f>VLOOKUP(E2188,Valida!$A$2:$K$271,4,FALSE)</f>
        <v>P&amp;L</v>
      </c>
      <c r="W2188" s="185" t="s">
        <v>1796</v>
      </c>
      <c r="X2188" s="185" t="s">
        <v>1797</v>
      </c>
      <c r="Y2188" s="185" t="s">
        <v>1789</v>
      </c>
      <c r="Z2188"/>
    </row>
    <row r="2189" spans="1:26">
      <c r="A2189" s="185" t="s">
        <v>3243</v>
      </c>
      <c r="B2189" s="185" t="s">
        <v>3251</v>
      </c>
      <c r="C2189" s="185" t="s">
        <v>1792</v>
      </c>
      <c r="D2189" s="185" t="s">
        <v>2340</v>
      </c>
      <c r="E2189" s="185">
        <v>510551</v>
      </c>
      <c r="F2189" s="185" t="s">
        <v>799</v>
      </c>
      <c r="G2189" s="185" t="s">
        <v>3252</v>
      </c>
      <c r="H2189" s="185" t="s">
        <v>1515</v>
      </c>
      <c r="I2189" s="258" t="str">
        <f t="shared" si="103"/>
        <v>5</v>
      </c>
      <c r="J2189" s="221">
        <f t="shared" si="104"/>
        <v>160000</v>
      </c>
      <c r="K2189" s="258">
        <f t="shared" si="105"/>
        <v>8</v>
      </c>
      <c r="L2189" s="188">
        <v>160000</v>
      </c>
      <c r="M2189" s="188">
        <v>0</v>
      </c>
      <c r="N2189" s="189">
        <v>222222222</v>
      </c>
      <c r="O2189"/>
      <c r="P2189" s="187">
        <v>45166.469780092601</v>
      </c>
      <c r="Q2189" s="186">
        <v>13007</v>
      </c>
      <c r="R2189" s="185"/>
      <c r="S2189" s="185" t="s">
        <v>1542</v>
      </c>
      <c r="T2189"/>
      <c r="U2189" t="str">
        <f>IF($L2189&gt;0,VLOOKUP($E2189,Valida!$A$1:$G$270,6,FALSE),IF($M2189&gt;=0,VLOOKUP($E2189,Valida!$A$1:$G$270,7,FALSE)))</f>
        <v>(+/-) Ganancia (pérdida)</v>
      </c>
      <c r="V2189" s="190" t="str">
        <f>VLOOKUP(E2189,Valida!$A$2:$K$271,4,FALSE)</f>
        <v>P&amp;L</v>
      </c>
      <c r="W2189" s="185" t="s">
        <v>1909</v>
      </c>
      <c r="X2189" s="185" t="s">
        <v>1910</v>
      </c>
      <c r="Y2189" s="185" t="s">
        <v>1789</v>
      </c>
      <c r="Z2189"/>
    </row>
    <row r="2190" spans="1:26">
      <c r="A2190" s="185" t="s">
        <v>3243</v>
      </c>
      <c r="B2190" s="185" t="s">
        <v>3251</v>
      </c>
      <c r="C2190" s="185" t="s">
        <v>1792</v>
      </c>
      <c r="D2190" s="185" t="s">
        <v>2340</v>
      </c>
      <c r="E2190" s="185">
        <v>133015</v>
      </c>
      <c r="F2190" s="185" t="s">
        <v>138</v>
      </c>
      <c r="G2190" s="185" t="s">
        <v>3252</v>
      </c>
      <c r="H2190" s="185" t="s">
        <v>1628</v>
      </c>
      <c r="I2190" s="258" t="str">
        <f t="shared" si="103"/>
        <v>1</v>
      </c>
      <c r="J2190" s="221">
        <f t="shared" si="104"/>
        <v>-160000</v>
      </c>
      <c r="K2190" s="258">
        <f t="shared" si="105"/>
        <v>8</v>
      </c>
      <c r="L2190" s="188">
        <v>0</v>
      </c>
      <c r="M2190" s="188">
        <v>160000</v>
      </c>
      <c r="N2190" s="189">
        <v>1010101811</v>
      </c>
      <c r="O2190"/>
      <c r="P2190" s="187">
        <v>45166.469780092601</v>
      </c>
      <c r="Q2190" s="186">
        <v>13008</v>
      </c>
      <c r="R2190" s="185"/>
      <c r="S2190" s="185" t="s">
        <v>1528</v>
      </c>
      <c r="T2190"/>
      <c r="U2190" t="str">
        <f>IF($L2190&gt;0,VLOOKUP($E2190,Valida!$A$1:$G$270,6,FALSE),IF($M2190&gt;=0,VLOOKUP($E2190,Valida!$A$1:$G$270,7,FALSE)))</f>
        <v>(+/-) Ajustes por disminuciones (incrementos) en otras cuentas por cobrar derivadas de las actividades de operación</v>
      </c>
      <c r="V2190" s="190" t="str">
        <f>VLOOKUP(E2190,Valida!$A$2:$K$271,4,FALSE)</f>
        <v>Trade and other receivables</v>
      </c>
      <c r="W2190" s="185" t="s">
        <v>1967</v>
      </c>
      <c r="X2190" s="185"/>
      <c r="Y2190" s="185" t="s">
        <v>1789</v>
      </c>
      <c r="Z2190"/>
    </row>
    <row r="2191" spans="1:26">
      <c r="A2191" s="185" t="s">
        <v>3243</v>
      </c>
      <c r="B2191" s="185" t="s">
        <v>3253</v>
      </c>
      <c r="C2191" s="185" t="s">
        <v>1792</v>
      </c>
      <c r="D2191" s="185" t="s">
        <v>2343</v>
      </c>
      <c r="E2191" s="185">
        <v>510551</v>
      </c>
      <c r="F2191" s="185" t="s">
        <v>799</v>
      </c>
      <c r="G2191" s="185" t="s">
        <v>3254</v>
      </c>
      <c r="H2191" s="185" t="s">
        <v>1515</v>
      </c>
      <c r="I2191" s="258" t="str">
        <f t="shared" si="103"/>
        <v>5</v>
      </c>
      <c r="J2191" s="221">
        <f t="shared" si="104"/>
        <v>168067</v>
      </c>
      <c r="K2191" s="258">
        <f t="shared" si="105"/>
        <v>8</v>
      </c>
      <c r="L2191" s="188">
        <v>168067</v>
      </c>
      <c r="M2191" s="188">
        <v>0</v>
      </c>
      <c r="N2191" s="189">
        <v>901109106</v>
      </c>
      <c r="O2191" t="s">
        <v>3255</v>
      </c>
      <c r="P2191" s="187">
        <v>45166.474837962996</v>
      </c>
      <c r="Q2191" s="186">
        <v>13009</v>
      </c>
      <c r="R2191" s="185"/>
      <c r="S2191" s="185" t="s">
        <v>1684</v>
      </c>
      <c r="T2191"/>
      <c r="U2191" t="str">
        <f>IF($L2191&gt;0,VLOOKUP($E2191,Valida!$A$1:$G$270,6,FALSE),IF($M2191&gt;=0,VLOOKUP($E2191,Valida!$A$1:$G$270,7,FALSE)))</f>
        <v>(+/-) Ganancia (pérdida)</v>
      </c>
      <c r="V2191" s="190" t="str">
        <f>VLOOKUP(E2191,Valida!$A$2:$K$271,4,FALSE)</f>
        <v>P&amp;L</v>
      </c>
      <c r="W2191" s="185" t="s">
        <v>3256</v>
      </c>
      <c r="X2191" s="185"/>
      <c r="Y2191" s="185" t="s">
        <v>1789</v>
      </c>
      <c r="Z2191"/>
    </row>
    <row r="2192" spans="1:26">
      <c r="A2192" s="185" t="s">
        <v>3243</v>
      </c>
      <c r="B2192" s="185" t="s">
        <v>3253</v>
      </c>
      <c r="C2192" s="185" t="s">
        <v>1792</v>
      </c>
      <c r="D2192" s="185" t="s">
        <v>2343</v>
      </c>
      <c r="E2192" s="185">
        <v>24081001</v>
      </c>
      <c r="F2192" s="185" t="s">
        <v>1670</v>
      </c>
      <c r="G2192" s="185" t="s">
        <v>3254</v>
      </c>
      <c r="H2192" s="185" t="s">
        <v>1515</v>
      </c>
      <c r="I2192" s="258" t="str">
        <f t="shared" si="103"/>
        <v>2</v>
      </c>
      <c r="J2192" s="221">
        <f t="shared" si="104"/>
        <v>31933</v>
      </c>
      <c r="K2192" s="258">
        <f t="shared" si="105"/>
        <v>8</v>
      </c>
      <c r="L2192" s="188">
        <v>31933</v>
      </c>
      <c r="M2192" s="188">
        <v>0</v>
      </c>
      <c r="N2192" s="189">
        <v>901109106</v>
      </c>
      <c r="O2192" t="s">
        <v>3255</v>
      </c>
      <c r="P2192" s="187">
        <v>45166.474837962996</v>
      </c>
      <c r="Q2192" s="186">
        <v>13010</v>
      </c>
      <c r="R2192" s="185"/>
      <c r="S2192" s="185" t="s">
        <v>1684</v>
      </c>
      <c r="T2192"/>
      <c r="U2192" t="str">
        <f>IF($L2192&gt;0,VLOOKUP($E2192,Valida!$A$1:$G$270,6,FALSE),IF($M2192&gt;=0,VLOOKUP($E2192,Valida!$A$1:$G$270,7,FALSE)))</f>
        <v>(+/-) Ajustes por el incremento (disminución) de cuentas por pagar de origen comercial</v>
      </c>
      <c r="V2192" s="190" t="str">
        <f>VLOOKUP(E2192,Valida!$A$2:$K$271,4,FALSE)</f>
        <v>Trade and other payables</v>
      </c>
      <c r="W2192" s="185" t="s">
        <v>3256</v>
      </c>
      <c r="X2192" s="185"/>
      <c r="Y2192" s="185" t="s">
        <v>1789</v>
      </c>
      <c r="Z2192"/>
    </row>
    <row r="2193" spans="1:26">
      <c r="A2193" s="185" t="s">
        <v>3243</v>
      </c>
      <c r="B2193" s="185" t="s">
        <v>3253</v>
      </c>
      <c r="C2193" s="185" t="s">
        <v>1792</v>
      </c>
      <c r="D2193" s="185" t="s">
        <v>2343</v>
      </c>
      <c r="E2193" s="185">
        <v>133015</v>
      </c>
      <c r="F2193" s="185" t="s">
        <v>138</v>
      </c>
      <c r="G2193" s="185" t="s">
        <v>3254</v>
      </c>
      <c r="H2193" s="185" t="s">
        <v>1628</v>
      </c>
      <c r="I2193" s="258" t="str">
        <f t="shared" si="103"/>
        <v>1</v>
      </c>
      <c r="J2193" s="221">
        <f t="shared" si="104"/>
        <v>-200000</v>
      </c>
      <c r="K2193" s="258">
        <f t="shared" si="105"/>
        <v>8</v>
      </c>
      <c r="L2193" s="188">
        <v>0</v>
      </c>
      <c r="M2193" s="188">
        <v>200000</v>
      </c>
      <c r="N2193" s="189">
        <v>1000036375</v>
      </c>
      <c r="O2193" t="s">
        <v>3255</v>
      </c>
      <c r="P2193" s="187">
        <v>45166.474837962996</v>
      </c>
      <c r="Q2193" s="186">
        <v>13011</v>
      </c>
      <c r="R2193" s="185"/>
      <c r="S2193" s="185" t="s">
        <v>1524</v>
      </c>
      <c r="T2193"/>
      <c r="U2193" t="str">
        <f>IF($L2193&gt;0,VLOOKUP($E2193,Valida!$A$1:$G$270,6,FALSE),IF($M2193&gt;=0,VLOOKUP($E2193,Valida!$A$1:$G$270,7,FALSE)))</f>
        <v>(+/-) Ajustes por disminuciones (incrementos) en otras cuentas por cobrar derivadas de las actividades de operación</v>
      </c>
      <c r="V2193" s="190" t="str">
        <f>VLOOKUP(E2193,Valida!$A$2:$K$271,4,FALSE)</f>
        <v>Trade and other receivables</v>
      </c>
      <c r="W2193" s="185" t="s">
        <v>1983</v>
      </c>
      <c r="X2193" s="185"/>
      <c r="Y2193" s="185" t="s">
        <v>1789</v>
      </c>
      <c r="Z2193"/>
    </row>
    <row r="2194" spans="1:26">
      <c r="A2194" s="185" t="s">
        <v>3243</v>
      </c>
      <c r="B2194" s="185" t="s">
        <v>3257</v>
      </c>
      <c r="C2194" s="185" t="s">
        <v>1792</v>
      </c>
      <c r="D2194" s="185" t="s">
        <v>2345</v>
      </c>
      <c r="E2194" s="185">
        <v>51952501</v>
      </c>
      <c r="F2194" s="185" t="s">
        <v>1412</v>
      </c>
      <c r="G2194" s="185" t="s">
        <v>1412</v>
      </c>
      <c r="H2194" s="185" t="s">
        <v>1515</v>
      </c>
      <c r="I2194" s="258" t="str">
        <f t="shared" si="103"/>
        <v>5</v>
      </c>
      <c r="J2194" s="221">
        <f t="shared" si="104"/>
        <v>840908</v>
      </c>
      <c r="K2194" s="258">
        <f t="shared" si="105"/>
        <v>8</v>
      </c>
      <c r="L2194" s="188">
        <v>840908</v>
      </c>
      <c r="M2194" s="188">
        <v>0</v>
      </c>
      <c r="N2194" s="189">
        <v>830062853</v>
      </c>
      <c r="O2194" t="s">
        <v>3258</v>
      </c>
      <c r="P2194" s="187">
        <v>45166.480532407397</v>
      </c>
      <c r="Q2194" s="186">
        <v>13012</v>
      </c>
      <c r="R2194" s="185" t="s">
        <v>433</v>
      </c>
      <c r="S2194" s="185" t="s">
        <v>1564</v>
      </c>
      <c r="T2194"/>
      <c r="U2194" t="str">
        <f>IF($L2194&gt;0,VLOOKUP($E2194,Valida!$A$1:$G$270,6,FALSE),IF($M2194&gt;=0,VLOOKUP($E2194,Valida!$A$1:$G$270,7,FALSE)))</f>
        <v>(+/-) Ganancia (pérdida)</v>
      </c>
      <c r="V2194" s="190" t="str">
        <f>VLOOKUP(E2194,Valida!$A$2:$K$271,4,FALSE)</f>
        <v>P&amp;L</v>
      </c>
      <c r="W2194" s="185" t="s">
        <v>2024</v>
      </c>
      <c r="X2194" s="185" t="s">
        <v>2025</v>
      </c>
      <c r="Y2194" s="185" t="s">
        <v>1789</v>
      </c>
      <c r="Z2194"/>
    </row>
    <row r="2195" spans="1:26">
      <c r="A2195" s="185" t="s">
        <v>3243</v>
      </c>
      <c r="B2195" s="185" t="s">
        <v>3257</v>
      </c>
      <c r="C2195" s="185" t="s">
        <v>1792</v>
      </c>
      <c r="D2195" s="185" t="s">
        <v>2345</v>
      </c>
      <c r="E2195" s="185">
        <v>24081002</v>
      </c>
      <c r="F2195" s="185" t="s">
        <v>1687</v>
      </c>
      <c r="G2195" s="185" t="s">
        <v>1412</v>
      </c>
      <c r="H2195" s="185" t="s">
        <v>1515</v>
      </c>
      <c r="I2195" s="258" t="str">
        <f t="shared" si="103"/>
        <v>2</v>
      </c>
      <c r="J2195" s="221">
        <f t="shared" si="104"/>
        <v>159772</v>
      </c>
      <c r="K2195" s="258">
        <f t="shared" si="105"/>
        <v>8</v>
      </c>
      <c r="L2195" s="188">
        <v>159772</v>
      </c>
      <c r="M2195" s="188">
        <v>0</v>
      </c>
      <c r="N2195" s="189">
        <v>830062853</v>
      </c>
      <c r="O2195" t="s">
        <v>3258</v>
      </c>
      <c r="P2195" s="187">
        <v>45166.480532407397</v>
      </c>
      <c r="Q2195" s="186">
        <v>13013</v>
      </c>
      <c r="R2195" s="185" t="s">
        <v>433</v>
      </c>
      <c r="S2195" s="185" t="s">
        <v>1564</v>
      </c>
      <c r="T2195"/>
      <c r="U2195" t="str">
        <f>IF($L2195&gt;0,VLOOKUP($E2195,Valida!$A$1:$G$270,6,FALSE),IF($M2195&gt;=0,VLOOKUP($E2195,Valida!$A$1:$G$270,7,FALSE)))</f>
        <v>(+/-) Ajustes por el incremento (disminución) de cuentas por pagar de origen comercial</v>
      </c>
      <c r="V2195" s="190" t="str">
        <f>VLOOKUP(E2195,Valida!$A$2:$K$271,4,FALSE)</f>
        <v>Trade and other payables</v>
      </c>
      <c r="W2195" s="185" t="s">
        <v>2024</v>
      </c>
      <c r="X2195" s="185" t="s">
        <v>2025</v>
      </c>
      <c r="Y2195" s="185" t="s">
        <v>1789</v>
      </c>
      <c r="Z2195"/>
    </row>
    <row r="2196" spans="1:26">
      <c r="A2196" s="185" t="s">
        <v>3243</v>
      </c>
      <c r="B2196" s="185" t="s">
        <v>3257</v>
      </c>
      <c r="C2196" s="185" t="s">
        <v>1792</v>
      </c>
      <c r="D2196" s="185" t="s">
        <v>2345</v>
      </c>
      <c r="E2196" s="185">
        <v>51952502</v>
      </c>
      <c r="F2196" s="185" t="s">
        <v>1414</v>
      </c>
      <c r="G2196" s="185" t="s">
        <v>1414</v>
      </c>
      <c r="H2196" s="185" t="s">
        <v>1515</v>
      </c>
      <c r="I2196" s="258" t="str">
        <f t="shared" si="103"/>
        <v>5</v>
      </c>
      <c r="J2196" s="221">
        <f t="shared" si="104"/>
        <v>863592</v>
      </c>
      <c r="K2196" s="258">
        <f t="shared" si="105"/>
        <v>8</v>
      </c>
      <c r="L2196" s="188">
        <v>863592</v>
      </c>
      <c r="M2196" s="188">
        <v>0</v>
      </c>
      <c r="N2196" s="189">
        <v>830062853</v>
      </c>
      <c r="O2196" t="s">
        <v>3258</v>
      </c>
      <c r="P2196" s="187">
        <v>45166.480532407397</v>
      </c>
      <c r="Q2196" s="186">
        <v>13014</v>
      </c>
      <c r="R2196" s="185" t="s">
        <v>433</v>
      </c>
      <c r="S2196" s="185" t="s">
        <v>1564</v>
      </c>
      <c r="T2196"/>
      <c r="U2196" t="str">
        <f>IF($L2196&gt;0,VLOOKUP($E2196,Valida!$A$1:$G$270,6,FALSE),IF($M2196&gt;=0,VLOOKUP($E2196,Valida!$A$1:$G$270,7,FALSE)))</f>
        <v>(+/-) Ganancia (pérdida)</v>
      </c>
      <c r="V2196" s="190" t="str">
        <f>VLOOKUP(E2196,Valida!$A$2:$K$271,4,FALSE)</f>
        <v>P&amp;L</v>
      </c>
      <c r="W2196" s="185" t="s">
        <v>2024</v>
      </c>
      <c r="X2196" s="185" t="s">
        <v>2025</v>
      </c>
      <c r="Y2196" s="185" t="s">
        <v>1789</v>
      </c>
      <c r="Z2196"/>
    </row>
    <row r="2197" spans="1:26">
      <c r="A2197" s="185" t="s">
        <v>3243</v>
      </c>
      <c r="B2197" s="185" t="s">
        <v>3257</v>
      </c>
      <c r="C2197" s="185" t="s">
        <v>1792</v>
      </c>
      <c r="D2197" s="185" t="s">
        <v>2345</v>
      </c>
      <c r="E2197" s="185">
        <v>24081005</v>
      </c>
      <c r="F2197" s="185" t="s">
        <v>1688</v>
      </c>
      <c r="G2197" s="185" t="s">
        <v>1414</v>
      </c>
      <c r="H2197" s="185" t="s">
        <v>1515</v>
      </c>
      <c r="I2197" s="258" t="str">
        <f t="shared" si="103"/>
        <v>2</v>
      </c>
      <c r="J2197" s="221">
        <f t="shared" si="104"/>
        <v>43180</v>
      </c>
      <c r="K2197" s="258">
        <f t="shared" si="105"/>
        <v>8</v>
      </c>
      <c r="L2197" s="188">
        <v>43180</v>
      </c>
      <c r="M2197" s="188">
        <v>0</v>
      </c>
      <c r="N2197" s="189">
        <v>830062853</v>
      </c>
      <c r="O2197" t="s">
        <v>3258</v>
      </c>
      <c r="P2197" s="187">
        <v>45166.480532407397</v>
      </c>
      <c r="Q2197" s="186">
        <v>13015</v>
      </c>
      <c r="R2197" s="185" t="s">
        <v>433</v>
      </c>
      <c r="S2197" s="185" t="s">
        <v>1564</v>
      </c>
      <c r="T2197"/>
      <c r="U2197" t="str">
        <f>IF($L2197&gt;0,VLOOKUP($E2197,Valida!$A$1:$G$270,6,FALSE),IF($M2197&gt;=0,VLOOKUP($E2197,Valida!$A$1:$G$270,7,FALSE)))</f>
        <v>(+/-) Ajustes por el incremento (disminución) de cuentas por pagar de origen comercial</v>
      </c>
      <c r="V2197" s="190" t="str">
        <f>VLOOKUP(E2197,Valida!$A$2:$K$271,4,FALSE)</f>
        <v>Trade and other payables</v>
      </c>
      <c r="W2197" s="185" t="s">
        <v>2024</v>
      </c>
      <c r="X2197" s="185" t="s">
        <v>2025</v>
      </c>
      <c r="Y2197" s="185" t="s">
        <v>1789</v>
      </c>
      <c r="Z2197"/>
    </row>
    <row r="2198" spans="1:26">
      <c r="A2198" s="185" t="s">
        <v>3243</v>
      </c>
      <c r="B2198" s="185" t="s">
        <v>3257</v>
      </c>
      <c r="C2198" s="185" t="s">
        <v>1792</v>
      </c>
      <c r="D2198" s="185" t="s">
        <v>2345</v>
      </c>
      <c r="E2198" s="185">
        <v>23654001</v>
      </c>
      <c r="F2198" s="185" t="s">
        <v>622</v>
      </c>
      <c r="G2198" s="185" t="s">
        <v>547</v>
      </c>
      <c r="H2198" s="185" t="s">
        <v>1628</v>
      </c>
      <c r="I2198" s="258" t="str">
        <f t="shared" si="103"/>
        <v>2</v>
      </c>
      <c r="J2198" s="221">
        <f t="shared" si="104"/>
        <v>-42613</v>
      </c>
      <c r="K2198" s="258">
        <f t="shared" si="105"/>
        <v>8</v>
      </c>
      <c r="L2198" s="188">
        <v>0</v>
      </c>
      <c r="M2198" s="188">
        <v>42613</v>
      </c>
      <c r="N2198" s="189">
        <v>830062853</v>
      </c>
      <c r="O2198" t="s">
        <v>3258</v>
      </c>
      <c r="P2198" s="187">
        <v>45166.480532407397</v>
      </c>
      <c r="Q2198" s="186">
        <v>13016</v>
      </c>
      <c r="R2198" s="185" t="s">
        <v>433</v>
      </c>
      <c r="S2198" s="185" t="s">
        <v>1564</v>
      </c>
      <c r="T2198"/>
      <c r="U2198" t="str">
        <f>IF($L2198&gt;0,VLOOKUP($E2198,Valida!$A$1:$G$270,6,FALSE),IF($M2198&gt;=0,VLOOKUP($E2198,Valida!$A$1:$G$270,7,FALSE)))</f>
        <v>(+/-) Ajustes por el incremento (disminución) de cuentas por pagar de origen comercial</v>
      </c>
      <c r="V2198" s="190" t="str">
        <f>VLOOKUP(E2198,Valida!$A$2:$K$271,4,FALSE)</f>
        <v>Trade and other payables</v>
      </c>
      <c r="W2198" s="185" t="s">
        <v>2024</v>
      </c>
      <c r="X2198" s="185" t="s">
        <v>2025</v>
      </c>
      <c r="Y2198" s="185" t="s">
        <v>1789</v>
      </c>
      <c r="Z2198"/>
    </row>
    <row r="2199" spans="1:26">
      <c r="A2199" s="185" t="s">
        <v>3243</v>
      </c>
      <c r="B2199" s="185" t="s">
        <v>3257</v>
      </c>
      <c r="C2199" s="185" t="s">
        <v>1792</v>
      </c>
      <c r="D2199" s="185" t="s">
        <v>2345</v>
      </c>
      <c r="E2199" s="185">
        <v>23680504</v>
      </c>
      <c r="F2199" s="185" t="s">
        <v>668</v>
      </c>
      <c r="G2199" s="185" t="s">
        <v>547</v>
      </c>
      <c r="H2199" s="185" t="s">
        <v>1628</v>
      </c>
      <c r="I2199" s="258" t="str">
        <f t="shared" si="103"/>
        <v>2</v>
      </c>
      <c r="J2199" s="221">
        <f t="shared" si="104"/>
        <v>-18818</v>
      </c>
      <c r="K2199" s="258">
        <f t="shared" si="105"/>
        <v>8</v>
      </c>
      <c r="L2199" s="188">
        <v>0</v>
      </c>
      <c r="M2199" s="188">
        <v>18818</v>
      </c>
      <c r="N2199" s="189">
        <v>830062853</v>
      </c>
      <c r="O2199" t="s">
        <v>3258</v>
      </c>
      <c r="P2199" s="187">
        <v>45166.480532407397</v>
      </c>
      <c r="Q2199" s="186">
        <v>13017</v>
      </c>
      <c r="R2199" s="185" t="s">
        <v>433</v>
      </c>
      <c r="S2199" s="185" t="s">
        <v>1564</v>
      </c>
      <c r="T2199"/>
      <c r="U2199" t="str">
        <f>IF($L2199&gt;0,VLOOKUP($E2199,Valida!$A$1:$G$270,6,FALSE),IF($M2199&gt;=0,VLOOKUP($E2199,Valida!$A$1:$G$270,7,FALSE)))</f>
        <v>(+/-) Ajustes por el incremento (disminución) de cuentas por pagar de origen comercial</v>
      </c>
      <c r="V2199" s="190" t="str">
        <f>VLOOKUP(E2199,Valida!$A$2:$K$271,4,FALSE)</f>
        <v>Trade and other payables</v>
      </c>
      <c r="W2199" s="185" t="s">
        <v>2024</v>
      </c>
      <c r="X2199" s="185" t="s">
        <v>2025</v>
      </c>
      <c r="Y2199" s="185" t="s">
        <v>1789</v>
      </c>
      <c r="Z2199"/>
    </row>
    <row r="2200" spans="1:26">
      <c r="A2200" s="185" t="s">
        <v>3243</v>
      </c>
      <c r="B2200" s="185" t="s">
        <v>3257</v>
      </c>
      <c r="C2200" s="185" t="s">
        <v>1792</v>
      </c>
      <c r="D2200" s="185" t="s">
        <v>2345</v>
      </c>
      <c r="E2200" s="185">
        <v>13300502</v>
      </c>
      <c r="F2200" s="185" t="s">
        <v>129</v>
      </c>
      <c r="G2200" s="185" t="s">
        <v>547</v>
      </c>
      <c r="H2200" s="185" t="s">
        <v>1628</v>
      </c>
      <c r="I2200" s="258" t="str">
        <f t="shared" si="103"/>
        <v>1</v>
      </c>
      <c r="J2200" s="221">
        <f t="shared" si="104"/>
        <v>-1846021</v>
      </c>
      <c r="K2200" s="258">
        <f t="shared" si="105"/>
        <v>8</v>
      </c>
      <c r="L2200" s="188">
        <v>0</v>
      </c>
      <c r="M2200" s="188">
        <v>1846021</v>
      </c>
      <c r="N2200" s="189">
        <v>830062853</v>
      </c>
      <c r="O2200" t="s">
        <v>3258</v>
      </c>
      <c r="P2200" s="187">
        <v>45166.480532407397</v>
      </c>
      <c r="Q2200" s="186">
        <v>13018</v>
      </c>
      <c r="R2200" s="185" t="s">
        <v>433</v>
      </c>
      <c r="S2200" s="185" t="s">
        <v>1564</v>
      </c>
      <c r="T2200"/>
      <c r="U2200" t="str">
        <f>IF($L2200&gt;0,VLOOKUP($E2200,Valida!$A$1:$G$270,6,FALSE),IF($M2200&gt;=0,VLOOKUP($E2200,Valida!$A$1:$G$270,7,FALSE)))</f>
        <v>(+/-) Ajustes por disminuciones (incrementos) en otras cuentas por cobrar derivadas de las actividades de operación</v>
      </c>
      <c r="V2200" s="190" t="str">
        <f>VLOOKUP(E2200,Valida!$A$2:$K$271,4,FALSE)</f>
        <v>Trade and other receivables</v>
      </c>
      <c r="W2200" s="185" t="s">
        <v>2024</v>
      </c>
      <c r="X2200" s="185" t="s">
        <v>2025</v>
      </c>
      <c r="Y2200" s="185" t="s">
        <v>1789</v>
      </c>
      <c r="Z2200"/>
    </row>
    <row r="2201" spans="1:26">
      <c r="A2201" s="185" t="s">
        <v>3243</v>
      </c>
      <c r="B2201" s="185" t="s">
        <v>3244</v>
      </c>
      <c r="C2201" s="185" t="s">
        <v>1792</v>
      </c>
      <c r="D2201" s="185" t="s">
        <v>3245</v>
      </c>
      <c r="E2201" s="185">
        <v>24081001</v>
      </c>
      <c r="F2201" s="185" t="s">
        <v>1670</v>
      </c>
      <c r="G2201" s="185" t="s">
        <v>3246</v>
      </c>
      <c r="H2201" s="185" t="s">
        <v>1515</v>
      </c>
      <c r="I2201" s="258" t="str">
        <f t="shared" si="103"/>
        <v>2</v>
      </c>
      <c r="J2201" s="221">
        <f t="shared" si="104"/>
        <v>31933</v>
      </c>
      <c r="K2201" s="258">
        <f t="shared" si="105"/>
        <v>8</v>
      </c>
      <c r="L2201" s="188">
        <v>31933</v>
      </c>
      <c r="M2201" s="188">
        <v>0</v>
      </c>
      <c r="N2201" s="189">
        <v>900342297</v>
      </c>
      <c r="O2201" t="s">
        <v>3247</v>
      </c>
      <c r="P2201" s="187">
        <v>45166.4840162037</v>
      </c>
      <c r="Q2201" s="186">
        <v>13020</v>
      </c>
      <c r="R2201" s="185" t="s">
        <v>433</v>
      </c>
      <c r="S2201" s="185" t="s">
        <v>1680</v>
      </c>
      <c r="T2201"/>
      <c r="U2201" t="str">
        <f>IF($L2201&gt;0,VLOOKUP($E2201,Valida!$A$1:$G$270,6,FALSE),IF($M2201&gt;=0,VLOOKUP($E2201,Valida!$A$1:$G$270,7,FALSE)))</f>
        <v>(+/-) Ajustes por el incremento (disminución) de cuentas por pagar de origen comercial</v>
      </c>
      <c r="V2201" s="190" t="str">
        <f>VLOOKUP(E2201,Valida!$A$2:$K$271,4,FALSE)</f>
        <v>Trade and other payables</v>
      </c>
      <c r="W2201" s="185" t="s">
        <v>3248</v>
      </c>
      <c r="X2201" s="185"/>
      <c r="Y2201" s="185" t="s">
        <v>1789</v>
      </c>
      <c r="Z2201"/>
    </row>
    <row r="2202" spans="1:26">
      <c r="A2202" s="185" t="s">
        <v>3243</v>
      </c>
      <c r="B2202" s="185" t="s">
        <v>3244</v>
      </c>
      <c r="C2202" s="185" t="s">
        <v>1792</v>
      </c>
      <c r="D2202" s="185" t="s">
        <v>3245</v>
      </c>
      <c r="E2202" s="185">
        <v>133015</v>
      </c>
      <c r="F2202" s="185" t="s">
        <v>138</v>
      </c>
      <c r="G2202" s="185" t="s">
        <v>3246</v>
      </c>
      <c r="H2202" s="185" t="s">
        <v>1628</v>
      </c>
      <c r="I2202" s="258" t="str">
        <f t="shared" si="103"/>
        <v>1</v>
      </c>
      <c r="J2202" s="221">
        <f t="shared" si="104"/>
        <v>-200000</v>
      </c>
      <c r="K2202" s="258">
        <f t="shared" si="105"/>
        <v>8</v>
      </c>
      <c r="L2202" s="188">
        <v>0</v>
      </c>
      <c r="M2202" s="188">
        <v>200000</v>
      </c>
      <c r="N2202" s="189">
        <v>1130744136</v>
      </c>
      <c r="O2202" t="s">
        <v>3247</v>
      </c>
      <c r="P2202" s="187">
        <v>45166.4840162037</v>
      </c>
      <c r="Q2202" s="186">
        <v>13021</v>
      </c>
      <c r="R2202" s="185"/>
      <c r="S2202" s="185" t="s">
        <v>1538</v>
      </c>
      <c r="T2202"/>
      <c r="U2202" t="str">
        <f>IF($L2202&gt;0,VLOOKUP($E2202,Valida!$A$1:$G$270,6,FALSE),IF($M2202&gt;=0,VLOOKUP($E2202,Valida!$A$1:$G$270,7,FALSE)))</f>
        <v>(+/-) Ajustes por disminuciones (incrementos) en otras cuentas por cobrar derivadas de las actividades de operación</v>
      </c>
      <c r="V2202" s="190" t="str">
        <f>VLOOKUP(E2202,Valida!$A$2:$K$271,4,FALSE)</f>
        <v>Trade and other receivables</v>
      </c>
      <c r="W2202" s="185" t="s">
        <v>1909</v>
      </c>
      <c r="X2202" s="185" t="s">
        <v>1910</v>
      </c>
      <c r="Y2202" s="185" t="s">
        <v>1789</v>
      </c>
      <c r="Z2202"/>
    </row>
    <row r="2203" spans="1:26">
      <c r="A2203" s="185" t="s">
        <v>3208</v>
      </c>
      <c r="B2203" s="185" t="s">
        <v>3259</v>
      </c>
      <c r="C2203" s="185" t="s">
        <v>1890</v>
      </c>
      <c r="D2203" s="185" t="s">
        <v>3260</v>
      </c>
      <c r="E2203" s="185">
        <v>23359502</v>
      </c>
      <c r="F2203" s="185" t="s">
        <v>547</v>
      </c>
      <c r="G2203" s="185" t="s">
        <v>3261</v>
      </c>
      <c r="H2203" s="185" t="s">
        <v>1515</v>
      </c>
      <c r="I2203" s="258" t="str">
        <f t="shared" si="103"/>
        <v>2</v>
      </c>
      <c r="J2203" s="221">
        <f t="shared" si="104"/>
        <v>1840381</v>
      </c>
      <c r="K2203" s="258">
        <f t="shared" si="105"/>
        <v>8</v>
      </c>
      <c r="L2203" s="188">
        <v>1840381</v>
      </c>
      <c r="M2203" s="188">
        <v>0</v>
      </c>
      <c r="N2203" s="189">
        <v>830062853</v>
      </c>
      <c r="O2203"/>
      <c r="P2203" s="187">
        <v>45166.485787037003</v>
      </c>
      <c r="Q2203" s="186">
        <v>13022</v>
      </c>
      <c r="R2203" s="185" t="s">
        <v>433</v>
      </c>
      <c r="S2203" s="185" t="s">
        <v>1564</v>
      </c>
      <c r="T2203"/>
      <c r="U2203" t="str">
        <f>IF($L2203&gt;0,VLOOKUP($E2203,Valida!$A$1:$G$270,6,FALSE),IF($M2203&gt;=0,VLOOKUP($E2203,Valida!$A$1:$G$270,7,FALSE)))</f>
        <v>(+/-) Ajustes por el incremento (disminución) de cuentas por pagar de origen comercial</v>
      </c>
      <c r="V2203" s="190" t="str">
        <f>VLOOKUP(E2203,Valida!$A$2:$K$271,4,FALSE)</f>
        <v>Trade and other payables</v>
      </c>
      <c r="W2203" s="185" t="s">
        <v>2024</v>
      </c>
      <c r="X2203" s="185" t="s">
        <v>2025</v>
      </c>
      <c r="Y2203" s="185" t="s">
        <v>1789</v>
      </c>
      <c r="Z2203"/>
    </row>
    <row r="2204" spans="1:26">
      <c r="A2204" s="185" t="s">
        <v>3208</v>
      </c>
      <c r="B2204" s="185" t="s">
        <v>3259</v>
      </c>
      <c r="C2204" s="185" t="s">
        <v>1890</v>
      </c>
      <c r="D2204" s="185" t="s">
        <v>3260</v>
      </c>
      <c r="E2204" s="185">
        <v>112005</v>
      </c>
      <c r="F2204" s="185" t="s">
        <v>24</v>
      </c>
      <c r="G2204" s="185" t="s">
        <v>3261</v>
      </c>
      <c r="H2204" s="185" t="s">
        <v>1628</v>
      </c>
      <c r="I2204" s="258" t="str">
        <f t="shared" si="103"/>
        <v>1</v>
      </c>
      <c r="J2204" s="221">
        <f t="shared" si="104"/>
        <v>-1840381</v>
      </c>
      <c r="K2204" s="258">
        <f t="shared" si="105"/>
        <v>8</v>
      </c>
      <c r="L2204" s="188">
        <v>0</v>
      </c>
      <c r="M2204" s="188">
        <v>1840381</v>
      </c>
      <c r="N2204" s="189">
        <v>830062853</v>
      </c>
      <c r="O2204"/>
      <c r="P2204" s="187">
        <v>45166.485787037003</v>
      </c>
      <c r="Q2204" s="186">
        <v>13023</v>
      </c>
      <c r="R2204" s="185" t="s">
        <v>433</v>
      </c>
      <c r="S2204" s="185" t="s">
        <v>1564</v>
      </c>
      <c r="T2204" t="s">
        <v>1894</v>
      </c>
      <c r="U2204" t="str">
        <f>IF($L2204&gt;0,VLOOKUP($E2204,Valida!$A$1:$G$270,6,FALSE),IF($M2204&gt;=0,VLOOKUP($E2204,Valida!$A$1:$G$270,7,FALSE)))</f>
        <v>Disponible</v>
      </c>
      <c r="V2204" s="190" t="str">
        <f>VLOOKUP(E2204,Valida!$A$2:$K$271,4,FALSE)</f>
        <v>Cash and equivalents</v>
      </c>
      <c r="W2204" s="185" t="s">
        <v>2024</v>
      </c>
      <c r="X2204" s="185" t="s">
        <v>2025</v>
      </c>
      <c r="Y2204" s="185" t="s">
        <v>1789</v>
      </c>
      <c r="Z2204"/>
    </row>
    <row r="2205" spans="1:26">
      <c r="A2205" s="185" t="s">
        <v>3228</v>
      </c>
      <c r="B2205" s="185" t="s">
        <v>3262</v>
      </c>
      <c r="C2205" s="185" t="s">
        <v>1890</v>
      </c>
      <c r="D2205" s="185" t="s">
        <v>3263</v>
      </c>
      <c r="E2205" s="185">
        <v>23355007</v>
      </c>
      <c r="F2205" s="185" t="s">
        <v>1638</v>
      </c>
      <c r="G2205" s="185" t="s">
        <v>1921</v>
      </c>
      <c r="H2205" s="185" t="s">
        <v>1515</v>
      </c>
      <c r="I2205" s="258" t="str">
        <f t="shared" si="103"/>
        <v>2</v>
      </c>
      <c r="J2205" s="221">
        <f t="shared" si="104"/>
        <v>517151.09</v>
      </c>
      <c r="K2205" s="258">
        <f t="shared" si="105"/>
        <v>8</v>
      </c>
      <c r="L2205" s="188">
        <v>517151.09</v>
      </c>
      <c r="M2205" s="188">
        <v>0</v>
      </c>
      <c r="N2205" s="189">
        <v>444444001</v>
      </c>
      <c r="O2205"/>
      <c r="P2205" s="187">
        <v>45166.487928240698</v>
      </c>
      <c r="Q2205" s="186">
        <v>13024</v>
      </c>
      <c r="R2205" s="185"/>
      <c r="S2205" s="185" t="s">
        <v>1548</v>
      </c>
      <c r="T2205"/>
      <c r="U2205" t="str">
        <f>IF($L2205&gt;0,VLOOKUP($E2205,Valida!$A$1:$G$270,6,FALSE),IF($M2205&gt;=0,VLOOKUP($E2205,Valida!$A$1:$G$270,7,FALSE)))</f>
        <v>(+/-) Ajustes por el incremento (disminución) de cuentas por pagar de origen comercial</v>
      </c>
      <c r="V2205" s="190" t="str">
        <f>VLOOKUP(E2205,Valida!$A$2:$K$271,4,FALSE)</f>
        <v>Trade and other payables</v>
      </c>
      <c r="W2205" s="185"/>
      <c r="X2205" s="185"/>
      <c r="Y2205" s="185"/>
      <c r="Z2205"/>
    </row>
    <row r="2206" spans="1:26">
      <c r="A2206" s="185" t="s">
        <v>3264</v>
      </c>
      <c r="B2206" s="185" t="s">
        <v>3265</v>
      </c>
      <c r="C2206" s="185" t="s">
        <v>1897</v>
      </c>
      <c r="D2206" s="185" t="s">
        <v>3266</v>
      </c>
      <c r="E2206" s="185">
        <v>510506</v>
      </c>
      <c r="F2206" s="185" t="s">
        <v>1076</v>
      </c>
      <c r="G2206" s="185" t="s">
        <v>3267</v>
      </c>
      <c r="H2206" s="185" t="s">
        <v>1515</v>
      </c>
      <c r="I2206" s="258" t="str">
        <f t="shared" si="103"/>
        <v>5</v>
      </c>
      <c r="J2206" s="221">
        <f t="shared" si="104"/>
        <v>1160000</v>
      </c>
      <c r="K2206" s="258">
        <f t="shared" si="105"/>
        <v>8</v>
      </c>
      <c r="L2206" s="188">
        <v>1160000</v>
      </c>
      <c r="M2206" s="188">
        <v>0</v>
      </c>
      <c r="N2206" s="189">
        <v>1130744136</v>
      </c>
      <c r="O2206" t="s">
        <v>3265</v>
      </c>
      <c r="P2206" s="187">
        <v>45166</v>
      </c>
      <c r="Q2206" s="186">
        <v>13026</v>
      </c>
      <c r="R2206" s="185"/>
      <c r="S2206" s="185" t="s">
        <v>1538</v>
      </c>
      <c r="T2206" t="s">
        <v>2729</v>
      </c>
      <c r="U2206" t="str">
        <f>IF($L2206&gt;0,VLOOKUP($E2206,Valida!$A$1:$G$270,6,FALSE),IF($M2206&gt;=0,VLOOKUP($E2206,Valida!$A$1:$G$270,7,FALSE)))</f>
        <v>(+/-) Ganancia (pérdida)</v>
      </c>
      <c r="V2206" s="190" t="str">
        <f>VLOOKUP(E2206,Valida!$A$2:$K$271,4,FALSE)</f>
        <v>P&amp;L</v>
      </c>
      <c r="W2206" s="185" t="s">
        <v>1909</v>
      </c>
      <c r="X2206" s="185" t="s">
        <v>1910</v>
      </c>
      <c r="Y2206" s="185" t="s">
        <v>1789</v>
      </c>
      <c r="Z2206"/>
    </row>
    <row r="2207" spans="1:26">
      <c r="A2207" s="185" t="s">
        <v>3228</v>
      </c>
      <c r="B2207" s="185" t="s">
        <v>3262</v>
      </c>
      <c r="C2207" s="185" t="s">
        <v>1890</v>
      </c>
      <c r="D2207" s="185" t="s">
        <v>3263</v>
      </c>
      <c r="E2207" s="185">
        <v>112005</v>
      </c>
      <c r="F2207" s="185" t="s">
        <v>24</v>
      </c>
      <c r="G2207" s="185" t="s">
        <v>1921</v>
      </c>
      <c r="H2207" s="185" t="s">
        <v>1628</v>
      </c>
      <c r="I2207" s="258" t="str">
        <f t="shared" si="103"/>
        <v>1</v>
      </c>
      <c r="J2207" s="221">
        <f t="shared" si="104"/>
        <v>-517151.09</v>
      </c>
      <c r="K2207" s="258">
        <f t="shared" si="105"/>
        <v>8</v>
      </c>
      <c r="L2207" s="188">
        <v>0</v>
      </c>
      <c r="M2207" s="188">
        <v>517151.09</v>
      </c>
      <c r="N2207" s="189">
        <v>444444001</v>
      </c>
      <c r="O2207"/>
      <c r="P2207" s="187">
        <v>45166.487928240698</v>
      </c>
      <c r="Q2207" s="186">
        <v>13025</v>
      </c>
      <c r="R2207" s="185"/>
      <c r="S2207" s="185" t="s">
        <v>1548</v>
      </c>
      <c r="T2207" t="s">
        <v>1894</v>
      </c>
      <c r="U2207" t="str">
        <f>IF($L2207&gt;0,VLOOKUP($E2207,Valida!$A$1:$G$270,6,FALSE),IF($M2207&gt;=0,VLOOKUP($E2207,Valida!$A$1:$G$270,7,FALSE)))</f>
        <v>Disponible</v>
      </c>
      <c r="V2207" s="190" t="str">
        <f>VLOOKUP(E2207,Valida!$A$2:$K$271,4,FALSE)</f>
        <v>Cash and equivalents</v>
      </c>
      <c r="W2207" s="185"/>
      <c r="X2207" s="185"/>
      <c r="Y2207" s="185"/>
      <c r="Z2207"/>
    </row>
    <row r="2208" spans="1:26">
      <c r="A2208" s="185" t="s">
        <v>3264</v>
      </c>
      <c r="B2208" s="185" t="s">
        <v>3265</v>
      </c>
      <c r="C2208" s="185" t="s">
        <v>1897</v>
      </c>
      <c r="D2208" s="185" t="s">
        <v>3266</v>
      </c>
      <c r="E2208" s="185">
        <v>510527</v>
      </c>
      <c r="F2208" s="185" t="s">
        <v>1089</v>
      </c>
      <c r="G2208" s="185" t="s">
        <v>3267</v>
      </c>
      <c r="H2208" s="185" t="s">
        <v>1515</v>
      </c>
      <c r="I2208" s="258" t="str">
        <f t="shared" si="103"/>
        <v>5</v>
      </c>
      <c r="J2208" s="221">
        <f t="shared" si="104"/>
        <v>140606</v>
      </c>
      <c r="K2208" s="258">
        <f t="shared" si="105"/>
        <v>8</v>
      </c>
      <c r="L2208" s="188">
        <v>140606</v>
      </c>
      <c r="M2208" s="188">
        <v>0</v>
      </c>
      <c r="N2208" s="189">
        <v>1130744136</v>
      </c>
      <c r="O2208" t="s">
        <v>3265</v>
      </c>
      <c r="P2208" s="187">
        <v>45166</v>
      </c>
      <c r="Q2208" s="186">
        <v>13027</v>
      </c>
      <c r="R2208" s="185"/>
      <c r="S2208" s="185" t="s">
        <v>1538</v>
      </c>
      <c r="T2208" t="s">
        <v>2729</v>
      </c>
      <c r="U2208" t="str">
        <f>IF($L2208&gt;0,VLOOKUP($E2208,Valida!$A$1:$G$270,6,FALSE),IF($M2208&gt;=0,VLOOKUP($E2208,Valida!$A$1:$G$270,7,FALSE)))</f>
        <v>(+/-) Ganancia (pérdida)</v>
      </c>
      <c r="V2208" s="190" t="str">
        <f>VLOOKUP(E2208,Valida!$A$2:$K$271,4,FALSE)</f>
        <v>P&amp;L</v>
      </c>
      <c r="W2208" s="185" t="s">
        <v>1909</v>
      </c>
      <c r="X2208" s="185" t="s">
        <v>1910</v>
      </c>
      <c r="Y2208" s="185" t="s">
        <v>1789</v>
      </c>
      <c r="Z2208"/>
    </row>
    <row r="2209" spans="1:26">
      <c r="A2209" s="185" t="s">
        <v>3264</v>
      </c>
      <c r="B2209" s="185" t="s">
        <v>3265</v>
      </c>
      <c r="C2209" s="185" t="s">
        <v>1897</v>
      </c>
      <c r="D2209" s="185" t="s">
        <v>3266</v>
      </c>
      <c r="E2209" s="185">
        <v>237005</v>
      </c>
      <c r="F2209" s="185" t="s">
        <v>676</v>
      </c>
      <c r="G2209" s="185" t="s">
        <v>3267</v>
      </c>
      <c r="H2209" s="185" t="s">
        <v>1628</v>
      </c>
      <c r="I2209" s="258" t="str">
        <f t="shared" si="103"/>
        <v>2</v>
      </c>
      <c r="J2209" s="221">
        <f t="shared" si="104"/>
        <v>-46400</v>
      </c>
      <c r="K2209" s="258">
        <f t="shared" si="105"/>
        <v>8</v>
      </c>
      <c r="L2209" s="188">
        <v>0</v>
      </c>
      <c r="M2209" s="188">
        <v>46400</v>
      </c>
      <c r="N2209" s="189">
        <v>800251440</v>
      </c>
      <c r="O2209" t="s">
        <v>3265</v>
      </c>
      <c r="P2209" s="187">
        <v>45166</v>
      </c>
      <c r="Q2209" s="186">
        <v>13028</v>
      </c>
      <c r="R2209" s="185" t="s">
        <v>1901</v>
      </c>
      <c r="S2209" s="185" t="s">
        <v>1560</v>
      </c>
      <c r="T2209" t="s">
        <v>2729</v>
      </c>
      <c r="U2209" t="str">
        <f>IF($L2209&gt;0,VLOOKUP($E2209,Valida!$A$1:$G$270,6,FALSE),IF($M2209&gt;=0,VLOOKUP($E2209,Valida!$A$1:$G$270,7,FALSE)))</f>
        <v>(+/-) Ajustes por el incremento (disminución) de cuentas por pagar de origen comercial</v>
      </c>
      <c r="V2209" s="190" t="str">
        <f>VLOOKUP(E2209,Valida!$A$2:$K$271,4,FALSE)</f>
        <v>Trade and other payables</v>
      </c>
      <c r="W2209" s="185" t="s">
        <v>1902</v>
      </c>
      <c r="X2209" s="185" t="s">
        <v>1903</v>
      </c>
      <c r="Y2209" s="185" t="s">
        <v>1789</v>
      </c>
      <c r="Z2209"/>
    </row>
    <row r="2210" spans="1:26">
      <c r="A2210" s="185" t="s">
        <v>3264</v>
      </c>
      <c r="B2210" s="185" t="s">
        <v>3265</v>
      </c>
      <c r="C2210" s="185" t="s">
        <v>1897</v>
      </c>
      <c r="D2210" s="185" t="s">
        <v>3266</v>
      </c>
      <c r="E2210" s="185">
        <v>238030</v>
      </c>
      <c r="F2210" s="185" t="s">
        <v>721</v>
      </c>
      <c r="G2210" s="185" t="s">
        <v>3267</v>
      </c>
      <c r="H2210" s="185" t="s">
        <v>1628</v>
      </c>
      <c r="I2210" s="258" t="str">
        <f t="shared" si="103"/>
        <v>2</v>
      </c>
      <c r="J2210" s="221">
        <f t="shared" si="104"/>
        <v>-46400</v>
      </c>
      <c r="K2210" s="258">
        <f t="shared" si="105"/>
        <v>8</v>
      </c>
      <c r="L2210" s="188">
        <v>0</v>
      </c>
      <c r="M2210" s="188">
        <v>46400</v>
      </c>
      <c r="N2210" s="189">
        <v>800224808</v>
      </c>
      <c r="O2210" t="s">
        <v>3265</v>
      </c>
      <c r="P2210" s="187">
        <v>45166</v>
      </c>
      <c r="Q2210" s="186">
        <v>13029</v>
      </c>
      <c r="R2210" s="185" t="s">
        <v>1827</v>
      </c>
      <c r="S2210" s="185" t="s">
        <v>1662</v>
      </c>
      <c r="T2210" t="s">
        <v>2729</v>
      </c>
      <c r="U2210" t="str">
        <f>IF($L2210&gt;0,VLOOKUP($E2210,Valida!$A$1:$G$270,6,FALSE),IF($M2210&gt;=0,VLOOKUP($E2210,Valida!$A$1:$G$270,7,FALSE)))</f>
        <v>(+/-) Ajustes por el incremento (disminución) de cuentas por pagar de origen comercial</v>
      </c>
      <c r="V2210" s="190" t="str">
        <f>VLOOKUP(E2210,Valida!$A$2:$K$271,4,FALSE)</f>
        <v>Trade and other payables</v>
      </c>
      <c r="W2210" s="185" t="s">
        <v>1911</v>
      </c>
      <c r="X2210" s="185"/>
      <c r="Y2210" s="185" t="s">
        <v>1789</v>
      </c>
      <c r="Z2210"/>
    </row>
    <row r="2211" spans="1:26">
      <c r="A2211" s="185" t="s">
        <v>3264</v>
      </c>
      <c r="B2211" s="185" t="s">
        <v>3265</v>
      </c>
      <c r="C2211" s="185" t="s">
        <v>1897</v>
      </c>
      <c r="D2211" s="185" t="s">
        <v>3266</v>
      </c>
      <c r="E2211" s="185">
        <v>510506</v>
      </c>
      <c r="F2211" s="185" t="s">
        <v>1076</v>
      </c>
      <c r="G2211" s="185" t="s">
        <v>3267</v>
      </c>
      <c r="H2211" s="185" t="s">
        <v>1515</v>
      </c>
      <c r="I2211" s="258" t="str">
        <f t="shared" si="103"/>
        <v>5</v>
      </c>
      <c r="J2211" s="221">
        <f t="shared" si="104"/>
        <v>1500000</v>
      </c>
      <c r="K2211" s="258">
        <f t="shared" si="105"/>
        <v>8</v>
      </c>
      <c r="L2211" s="188">
        <v>1500000</v>
      </c>
      <c r="M2211" s="188">
        <v>0</v>
      </c>
      <c r="N2211" s="189">
        <v>1010101811</v>
      </c>
      <c r="O2211" t="s">
        <v>3265</v>
      </c>
      <c r="P2211" s="187">
        <v>45166</v>
      </c>
      <c r="Q2211" s="186">
        <v>13030</v>
      </c>
      <c r="R2211" s="185"/>
      <c r="S2211" s="185" t="s">
        <v>1528</v>
      </c>
      <c r="T2211" t="s">
        <v>2729</v>
      </c>
      <c r="U2211" t="str">
        <f>IF($L2211&gt;0,VLOOKUP($E2211,Valida!$A$1:$G$270,6,FALSE),IF($M2211&gt;=0,VLOOKUP($E2211,Valida!$A$1:$G$270,7,FALSE)))</f>
        <v>(+/-) Ganancia (pérdida)</v>
      </c>
      <c r="V2211" s="190" t="str">
        <f>VLOOKUP(E2211,Valida!$A$2:$K$271,4,FALSE)</f>
        <v>P&amp;L</v>
      </c>
      <c r="W2211" s="185" t="s">
        <v>1967</v>
      </c>
      <c r="X2211" s="185"/>
      <c r="Y2211" s="185" t="s">
        <v>1789</v>
      </c>
      <c r="Z2211"/>
    </row>
    <row r="2212" spans="1:26">
      <c r="A2212" s="185" t="s">
        <v>3264</v>
      </c>
      <c r="B2212" s="185" t="s">
        <v>3265</v>
      </c>
      <c r="C2212" s="185" t="s">
        <v>1897</v>
      </c>
      <c r="D2212" s="185" t="s">
        <v>3266</v>
      </c>
      <c r="E2212" s="185">
        <v>510527</v>
      </c>
      <c r="F2212" s="185" t="s">
        <v>1089</v>
      </c>
      <c r="G2212" s="185" t="s">
        <v>3267</v>
      </c>
      <c r="H2212" s="185" t="s">
        <v>1515</v>
      </c>
      <c r="I2212" s="258" t="str">
        <f t="shared" si="103"/>
        <v>5</v>
      </c>
      <c r="J2212" s="221">
        <f t="shared" si="104"/>
        <v>140606</v>
      </c>
      <c r="K2212" s="258">
        <f t="shared" si="105"/>
        <v>8</v>
      </c>
      <c r="L2212" s="188">
        <v>140606</v>
      </c>
      <c r="M2212" s="188">
        <v>0</v>
      </c>
      <c r="N2212" s="189">
        <v>1010101811</v>
      </c>
      <c r="O2212" t="s">
        <v>3265</v>
      </c>
      <c r="P2212" s="187">
        <v>45166</v>
      </c>
      <c r="Q2212" s="186">
        <v>13031</v>
      </c>
      <c r="R2212" s="185"/>
      <c r="S2212" s="185" t="s">
        <v>1528</v>
      </c>
      <c r="T2212" t="s">
        <v>2729</v>
      </c>
      <c r="U2212" t="str">
        <f>IF($L2212&gt;0,VLOOKUP($E2212,Valida!$A$1:$G$270,6,FALSE),IF($M2212&gt;=0,VLOOKUP($E2212,Valida!$A$1:$G$270,7,FALSE)))</f>
        <v>(+/-) Ganancia (pérdida)</v>
      </c>
      <c r="V2212" s="190" t="str">
        <f>VLOOKUP(E2212,Valida!$A$2:$K$271,4,FALSE)</f>
        <v>P&amp;L</v>
      </c>
      <c r="W2212" s="185" t="s">
        <v>1967</v>
      </c>
      <c r="X2212" s="185"/>
      <c r="Y2212" s="185" t="s">
        <v>1789</v>
      </c>
      <c r="Z2212"/>
    </row>
    <row r="2213" spans="1:26">
      <c r="A2213" s="185" t="s">
        <v>3264</v>
      </c>
      <c r="B2213" s="185" t="s">
        <v>3265</v>
      </c>
      <c r="C2213" s="185" t="s">
        <v>1897</v>
      </c>
      <c r="D2213" s="185" t="s">
        <v>3266</v>
      </c>
      <c r="E2213" s="185">
        <v>237005</v>
      </c>
      <c r="F2213" s="185" t="s">
        <v>676</v>
      </c>
      <c r="G2213" s="185" t="s">
        <v>3267</v>
      </c>
      <c r="H2213" s="185" t="s">
        <v>1628</v>
      </c>
      <c r="I2213" s="258" t="str">
        <f t="shared" si="103"/>
        <v>2</v>
      </c>
      <c r="J2213" s="221">
        <f t="shared" si="104"/>
        <v>-60000</v>
      </c>
      <c r="K2213" s="258">
        <f t="shared" si="105"/>
        <v>8</v>
      </c>
      <c r="L2213" s="188">
        <v>0</v>
      </c>
      <c r="M2213" s="188">
        <v>60000</v>
      </c>
      <c r="N2213" s="189">
        <v>860066942</v>
      </c>
      <c r="O2213" t="s">
        <v>3265</v>
      </c>
      <c r="P2213" s="187">
        <v>45166</v>
      </c>
      <c r="Q2213" s="186">
        <v>13032</v>
      </c>
      <c r="R2213" s="185" t="s">
        <v>1814</v>
      </c>
      <c r="S2213" s="185" t="s">
        <v>1574</v>
      </c>
      <c r="T2213" t="s">
        <v>2729</v>
      </c>
      <c r="U2213" t="str">
        <f>IF($L2213&gt;0,VLOOKUP($E2213,Valida!$A$1:$G$270,6,FALSE),IF($M2213&gt;=0,VLOOKUP($E2213,Valida!$A$1:$G$270,7,FALSE)))</f>
        <v>(+/-) Ajustes por el incremento (disminución) de cuentas por pagar de origen comercial</v>
      </c>
      <c r="V2213" s="190" t="str">
        <f>VLOOKUP(E2213,Valida!$A$2:$K$271,4,FALSE)</f>
        <v>Trade and other payables</v>
      </c>
      <c r="W2213" s="185" t="s">
        <v>1914</v>
      </c>
      <c r="X2213" s="185" t="s">
        <v>1915</v>
      </c>
      <c r="Y2213" s="185" t="s">
        <v>1789</v>
      </c>
      <c r="Z2213"/>
    </row>
    <row r="2214" spans="1:26">
      <c r="A2214" s="185" t="s">
        <v>3264</v>
      </c>
      <c r="B2214" s="185" t="s">
        <v>3265</v>
      </c>
      <c r="C2214" s="185" t="s">
        <v>1897</v>
      </c>
      <c r="D2214" s="185" t="s">
        <v>3266</v>
      </c>
      <c r="E2214" s="185">
        <v>238030</v>
      </c>
      <c r="F2214" s="185" t="s">
        <v>721</v>
      </c>
      <c r="G2214" s="185" t="s">
        <v>3267</v>
      </c>
      <c r="H2214" s="185" t="s">
        <v>1628</v>
      </c>
      <c r="I2214" s="258" t="str">
        <f t="shared" si="103"/>
        <v>2</v>
      </c>
      <c r="J2214" s="221">
        <f t="shared" si="104"/>
        <v>-60000</v>
      </c>
      <c r="K2214" s="258">
        <f t="shared" si="105"/>
        <v>8</v>
      </c>
      <c r="L2214" s="188">
        <v>0</v>
      </c>
      <c r="M2214" s="188">
        <v>60000</v>
      </c>
      <c r="N2214" s="189">
        <v>800224808</v>
      </c>
      <c r="O2214" t="s">
        <v>3265</v>
      </c>
      <c r="P2214" s="187">
        <v>45166</v>
      </c>
      <c r="Q2214" s="186">
        <v>13033</v>
      </c>
      <c r="R2214" s="185" t="s">
        <v>1827</v>
      </c>
      <c r="S2214" s="185" t="s">
        <v>1662</v>
      </c>
      <c r="T2214" t="s">
        <v>2729</v>
      </c>
      <c r="U2214" t="str">
        <f>IF($L2214&gt;0,VLOOKUP($E2214,Valida!$A$1:$G$270,6,FALSE),IF($M2214&gt;=0,VLOOKUP($E2214,Valida!$A$1:$G$270,7,FALSE)))</f>
        <v>(+/-) Ajustes por el incremento (disminución) de cuentas por pagar de origen comercial</v>
      </c>
      <c r="V2214" s="190" t="str">
        <f>VLOOKUP(E2214,Valida!$A$2:$K$271,4,FALSE)</f>
        <v>Trade and other payables</v>
      </c>
      <c r="W2214" s="185" t="s">
        <v>1911</v>
      </c>
      <c r="X2214" s="185"/>
      <c r="Y2214" s="185" t="s">
        <v>1789</v>
      </c>
      <c r="Z2214"/>
    </row>
    <row r="2215" spans="1:26">
      <c r="A2215" s="185" t="s">
        <v>3264</v>
      </c>
      <c r="B2215" s="185" t="s">
        <v>3265</v>
      </c>
      <c r="C2215" s="185" t="s">
        <v>1897</v>
      </c>
      <c r="D2215" s="185" t="s">
        <v>3266</v>
      </c>
      <c r="E2215" s="185">
        <v>51052403</v>
      </c>
      <c r="F2215" s="185" t="s">
        <v>1720</v>
      </c>
      <c r="G2215" s="185" t="s">
        <v>3267</v>
      </c>
      <c r="H2215" s="185" t="s">
        <v>1515</v>
      </c>
      <c r="I2215" s="258" t="str">
        <f t="shared" si="103"/>
        <v>5</v>
      </c>
      <c r="J2215" s="221">
        <f t="shared" si="104"/>
        <v>1160000</v>
      </c>
      <c r="K2215" s="258">
        <f t="shared" si="105"/>
        <v>8</v>
      </c>
      <c r="L2215" s="188">
        <v>1160000</v>
      </c>
      <c r="M2215" s="188">
        <v>0</v>
      </c>
      <c r="N2215" s="189">
        <v>1020842223</v>
      </c>
      <c r="O2215" t="s">
        <v>3265</v>
      </c>
      <c r="P2215" s="187">
        <v>45166</v>
      </c>
      <c r="Q2215" s="186">
        <v>13034</v>
      </c>
      <c r="R2215" s="185"/>
      <c r="S2215" s="185" t="s">
        <v>1532</v>
      </c>
      <c r="T2215" t="s">
        <v>2729</v>
      </c>
      <c r="U2215" t="str">
        <f>IF($L2215&gt;0,VLOOKUP($E2215,Valida!$A$1:$G$270,6,FALSE),IF($M2215&gt;=0,VLOOKUP($E2215,Valida!$A$1:$G$270,7,FALSE)))</f>
        <v>(+/-) Ganancia (pérdida)</v>
      </c>
      <c r="V2215" s="190" t="str">
        <f>VLOOKUP(E2215,Valida!$A$2:$K$271,4,FALSE)</f>
        <v>P&amp;L</v>
      </c>
      <c r="W2215" s="185" t="s">
        <v>1900</v>
      </c>
      <c r="X2215" s="185"/>
      <c r="Y2215" s="185" t="s">
        <v>1789</v>
      </c>
      <c r="Z2215"/>
    </row>
    <row r="2216" spans="1:26">
      <c r="A2216" s="185" t="s">
        <v>3264</v>
      </c>
      <c r="B2216" s="185" t="s">
        <v>3265</v>
      </c>
      <c r="C2216" s="185" t="s">
        <v>1897</v>
      </c>
      <c r="D2216" s="185" t="s">
        <v>3266</v>
      </c>
      <c r="E2216" s="185">
        <v>237005</v>
      </c>
      <c r="F2216" s="185" t="s">
        <v>676</v>
      </c>
      <c r="G2216" s="185" t="s">
        <v>3267</v>
      </c>
      <c r="H2216" s="185" t="s">
        <v>1628</v>
      </c>
      <c r="I2216" s="258" t="str">
        <f t="shared" si="103"/>
        <v>2</v>
      </c>
      <c r="J2216" s="221">
        <f t="shared" si="104"/>
        <v>-46400</v>
      </c>
      <c r="K2216" s="258">
        <f t="shared" si="105"/>
        <v>8</v>
      </c>
      <c r="L2216" s="188">
        <v>0</v>
      </c>
      <c r="M2216" s="188">
        <v>46400</v>
      </c>
      <c r="N2216" s="189">
        <v>800251440</v>
      </c>
      <c r="O2216" t="s">
        <v>3265</v>
      </c>
      <c r="P2216" s="187">
        <v>45166</v>
      </c>
      <c r="Q2216" s="186">
        <v>13035</v>
      </c>
      <c r="R2216" s="185" t="s">
        <v>1901</v>
      </c>
      <c r="S2216" s="185" t="s">
        <v>1560</v>
      </c>
      <c r="T2216" t="s">
        <v>2729</v>
      </c>
      <c r="U2216" t="str">
        <f>IF($L2216&gt;0,VLOOKUP($E2216,Valida!$A$1:$G$270,6,FALSE),IF($M2216&gt;=0,VLOOKUP($E2216,Valida!$A$1:$G$270,7,FALSE)))</f>
        <v>(+/-) Ajustes por el incremento (disminución) de cuentas por pagar de origen comercial</v>
      </c>
      <c r="V2216" s="190" t="str">
        <f>VLOOKUP(E2216,Valida!$A$2:$K$271,4,FALSE)</f>
        <v>Trade and other payables</v>
      </c>
      <c r="W2216" s="185" t="s">
        <v>1902</v>
      </c>
      <c r="X2216" s="185" t="s">
        <v>1903</v>
      </c>
      <c r="Y2216" s="185" t="s">
        <v>1789</v>
      </c>
      <c r="Z2216"/>
    </row>
    <row r="2217" spans="1:26">
      <c r="A2217" s="185" t="s">
        <v>3264</v>
      </c>
      <c r="B2217" s="185" t="s">
        <v>3265</v>
      </c>
      <c r="C2217" s="185" t="s">
        <v>1897</v>
      </c>
      <c r="D2217" s="185" t="s">
        <v>3266</v>
      </c>
      <c r="E2217" s="185">
        <v>238030</v>
      </c>
      <c r="F2217" s="185" t="s">
        <v>721</v>
      </c>
      <c r="G2217" s="185" t="s">
        <v>3267</v>
      </c>
      <c r="H2217" s="185" t="s">
        <v>1628</v>
      </c>
      <c r="I2217" s="258" t="str">
        <f t="shared" si="103"/>
        <v>2</v>
      </c>
      <c r="J2217" s="221">
        <f t="shared" si="104"/>
        <v>-46400</v>
      </c>
      <c r="K2217" s="258">
        <f t="shared" si="105"/>
        <v>8</v>
      </c>
      <c r="L2217" s="188">
        <v>0</v>
      </c>
      <c r="M2217" s="188">
        <v>46400</v>
      </c>
      <c r="N2217" s="189">
        <v>800224808</v>
      </c>
      <c r="O2217" t="s">
        <v>3265</v>
      </c>
      <c r="P2217" s="187">
        <v>45166</v>
      </c>
      <c r="Q2217" s="186">
        <v>13036</v>
      </c>
      <c r="R2217" s="185" t="s">
        <v>1827</v>
      </c>
      <c r="S2217" s="185" t="s">
        <v>1662</v>
      </c>
      <c r="T2217" t="s">
        <v>2729</v>
      </c>
      <c r="U2217" t="str">
        <f>IF($L2217&gt;0,VLOOKUP($E2217,Valida!$A$1:$G$270,6,FALSE),IF($M2217&gt;=0,VLOOKUP($E2217,Valida!$A$1:$G$270,7,FALSE)))</f>
        <v>(+/-) Ajustes por el incremento (disminución) de cuentas por pagar de origen comercial</v>
      </c>
      <c r="V2217" s="190" t="str">
        <f>VLOOKUP(E2217,Valida!$A$2:$K$271,4,FALSE)</f>
        <v>Trade and other payables</v>
      </c>
      <c r="W2217" s="185" t="s">
        <v>1911</v>
      </c>
      <c r="X2217" s="185"/>
      <c r="Y2217" s="185" t="s">
        <v>1789</v>
      </c>
      <c r="Z2217"/>
    </row>
    <row r="2218" spans="1:26">
      <c r="A2218" s="185" t="s">
        <v>3264</v>
      </c>
      <c r="B2218" s="185" t="s">
        <v>3265</v>
      </c>
      <c r="C2218" s="185" t="s">
        <v>1897</v>
      </c>
      <c r="D2218" s="185" t="s">
        <v>3266</v>
      </c>
      <c r="E2218" s="185">
        <v>510506</v>
      </c>
      <c r="F2218" s="185" t="s">
        <v>1076</v>
      </c>
      <c r="G2218" s="185" t="s">
        <v>3267</v>
      </c>
      <c r="H2218" s="185" t="s">
        <v>1515</v>
      </c>
      <c r="I2218" s="258" t="str">
        <f t="shared" si="103"/>
        <v>5</v>
      </c>
      <c r="J2218" s="221">
        <f t="shared" si="104"/>
        <v>1276000</v>
      </c>
      <c r="K2218" s="258">
        <f t="shared" si="105"/>
        <v>8</v>
      </c>
      <c r="L2218" s="188">
        <v>1276000</v>
      </c>
      <c r="M2218" s="188">
        <v>0</v>
      </c>
      <c r="N2218" s="189">
        <v>1000018061</v>
      </c>
      <c r="O2218" t="s">
        <v>3265</v>
      </c>
      <c r="P2218" s="187">
        <v>45166</v>
      </c>
      <c r="Q2218" s="186">
        <v>13037</v>
      </c>
      <c r="R2218" s="185"/>
      <c r="S2218" s="185" t="s">
        <v>1522</v>
      </c>
      <c r="T2218" t="s">
        <v>2729</v>
      </c>
      <c r="U2218" t="str">
        <f>IF($L2218&gt;0,VLOOKUP($E2218,Valida!$A$1:$G$270,6,FALSE),IF($M2218&gt;=0,VLOOKUP($E2218,Valida!$A$1:$G$270,7,FALSE)))</f>
        <v>(+/-) Ganancia (pérdida)</v>
      </c>
      <c r="V2218" s="190" t="str">
        <f>VLOOKUP(E2218,Valida!$A$2:$K$271,4,FALSE)</f>
        <v>P&amp;L</v>
      </c>
      <c r="W2218" s="185" t="s">
        <v>1978</v>
      </c>
      <c r="X2218" s="185"/>
      <c r="Y2218" s="185" t="s">
        <v>1789</v>
      </c>
      <c r="Z2218"/>
    </row>
    <row r="2219" spans="1:26">
      <c r="A2219" s="185" t="s">
        <v>3264</v>
      </c>
      <c r="B2219" s="185" t="s">
        <v>3265</v>
      </c>
      <c r="C2219" s="185" t="s">
        <v>1897</v>
      </c>
      <c r="D2219" s="185" t="s">
        <v>3266</v>
      </c>
      <c r="E2219" s="185">
        <v>510527</v>
      </c>
      <c r="F2219" s="185" t="s">
        <v>1089</v>
      </c>
      <c r="G2219" s="185" t="s">
        <v>3267</v>
      </c>
      <c r="H2219" s="185" t="s">
        <v>1515</v>
      </c>
      <c r="I2219" s="258" t="str">
        <f t="shared" si="103"/>
        <v>5</v>
      </c>
      <c r="J2219" s="221">
        <f t="shared" si="104"/>
        <v>140606</v>
      </c>
      <c r="K2219" s="258">
        <f t="shared" si="105"/>
        <v>8</v>
      </c>
      <c r="L2219" s="188">
        <v>140606</v>
      </c>
      <c r="M2219" s="188">
        <v>0</v>
      </c>
      <c r="N2219" s="189">
        <v>1000018061</v>
      </c>
      <c r="O2219" t="s">
        <v>3265</v>
      </c>
      <c r="P2219" s="187">
        <v>45166</v>
      </c>
      <c r="Q2219" s="186">
        <v>13038</v>
      </c>
      <c r="R2219" s="185"/>
      <c r="S2219" s="185" t="s">
        <v>1522</v>
      </c>
      <c r="T2219" t="s">
        <v>2729</v>
      </c>
      <c r="U2219" t="str">
        <f>IF($L2219&gt;0,VLOOKUP($E2219,Valida!$A$1:$G$270,6,FALSE),IF($M2219&gt;=0,VLOOKUP($E2219,Valida!$A$1:$G$270,7,FALSE)))</f>
        <v>(+/-) Ganancia (pérdida)</v>
      </c>
      <c r="V2219" s="190" t="str">
        <f>VLOOKUP(E2219,Valida!$A$2:$K$271,4,FALSE)</f>
        <v>P&amp;L</v>
      </c>
      <c r="W2219" s="185" t="s">
        <v>1978</v>
      </c>
      <c r="X2219" s="185"/>
      <c r="Y2219" s="185" t="s">
        <v>1789</v>
      </c>
      <c r="Z2219"/>
    </row>
    <row r="2220" spans="1:26">
      <c r="A2220" s="185" t="s">
        <v>3264</v>
      </c>
      <c r="B2220" s="185" t="s">
        <v>3265</v>
      </c>
      <c r="C2220" s="185" t="s">
        <v>1897</v>
      </c>
      <c r="D2220" s="185" t="s">
        <v>3266</v>
      </c>
      <c r="E2220" s="185">
        <v>237005</v>
      </c>
      <c r="F2220" s="185" t="s">
        <v>676</v>
      </c>
      <c r="G2220" s="185" t="s">
        <v>3267</v>
      </c>
      <c r="H2220" s="185" t="s">
        <v>1628</v>
      </c>
      <c r="I2220" s="258" t="str">
        <f t="shared" si="103"/>
        <v>2</v>
      </c>
      <c r="J2220" s="221">
        <f t="shared" si="104"/>
        <v>-51040</v>
      </c>
      <c r="K2220" s="258">
        <f t="shared" si="105"/>
        <v>8</v>
      </c>
      <c r="L2220" s="188">
        <v>0</v>
      </c>
      <c r="M2220" s="188">
        <v>51040</v>
      </c>
      <c r="N2220" s="189">
        <v>830003564</v>
      </c>
      <c r="O2220" t="s">
        <v>3265</v>
      </c>
      <c r="P2220" s="187">
        <v>45166</v>
      </c>
      <c r="Q2220" s="186">
        <v>13039</v>
      </c>
      <c r="R2220" s="185" t="s">
        <v>1814</v>
      </c>
      <c r="S2220" s="185" t="s">
        <v>1652</v>
      </c>
      <c r="T2220" t="s">
        <v>2729</v>
      </c>
      <c r="U2220" t="str">
        <f>IF($L2220&gt;0,VLOOKUP($E2220,Valida!$A$1:$G$270,6,FALSE),IF($M2220&gt;=0,VLOOKUP($E2220,Valida!$A$1:$G$270,7,FALSE)))</f>
        <v>(+/-) Ajustes por el incremento (disminución) de cuentas por pagar de origen comercial</v>
      </c>
      <c r="V2220" s="190" t="str">
        <f>VLOOKUP(E2220,Valida!$A$2:$K$271,4,FALSE)</f>
        <v>Trade and other payables</v>
      </c>
      <c r="W2220" s="185" t="s">
        <v>1973</v>
      </c>
      <c r="X2220" s="185" t="s">
        <v>1974</v>
      </c>
      <c r="Y2220" s="185" t="s">
        <v>1789</v>
      </c>
      <c r="Z2220"/>
    </row>
    <row r="2221" spans="1:26">
      <c r="A2221" s="185" t="s">
        <v>3264</v>
      </c>
      <c r="B2221" s="185" t="s">
        <v>3265</v>
      </c>
      <c r="C2221" s="185" t="s">
        <v>1897</v>
      </c>
      <c r="D2221" s="185" t="s">
        <v>3266</v>
      </c>
      <c r="E2221" s="185">
        <v>238030</v>
      </c>
      <c r="F2221" s="185" t="s">
        <v>721</v>
      </c>
      <c r="G2221" s="185" t="s">
        <v>3267</v>
      </c>
      <c r="H2221" s="185" t="s">
        <v>1628</v>
      </c>
      <c r="I2221" s="258" t="str">
        <f t="shared" si="103"/>
        <v>2</v>
      </c>
      <c r="J2221" s="221">
        <f t="shared" si="104"/>
        <v>-51040</v>
      </c>
      <c r="K2221" s="258">
        <f t="shared" si="105"/>
        <v>8</v>
      </c>
      <c r="L2221" s="188">
        <v>0</v>
      </c>
      <c r="M2221" s="188">
        <v>51040</v>
      </c>
      <c r="N2221" s="189">
        <v>800227940</v>
      </c>
      <c r="O2221" t="s">
        <v>3265</v>
      </c>
      <c r="P2221" s="187">
        <v>45166</v>
      </c>
      <c r="Q2221" s="186">
        <v>13040</v>
      </c>
      <c r="R2221" s="185"/>
      <c r="S2221" s="185" t="s">
        <v>1664</v>
      </c>
      <c r="T2221" t="s">
        <v>2729</v>
      </c>
      <c r="U2221" t="str">
        <f>IF($L2221&gt;0,VLOOKUP($E2221,Valida!$A$1:$G$270,6,FALSE),IF($M2221&gt;=0,VLOOKUP($E2221,Valida!$A$1:$G$270,7,FALSE)))</f>
        <v>(+/-) Ajustes por el incremento (disminución) de cuentas por pagar de origen comercial</v>
      </c>
      <c r="V2221" s="190" t="str">
        <f>VLOOKUP(E2221,Valida!$A$2:$K$271,4,FALSE)</f>
        <v>Trade and other payables</v>
      </c>
      <c r="W2221" s="185"/>
      <c r="X2221" s="185"/>
      <c r="Y2221" s="185"/>
      <c r="Z2221"/>
    </row>
    <row r="2222" spans="1:26">
      <c r="A2222" s="185" t="s">
        <v>3264</v>
      </c>
      <c r="B2222" s="185" t="s">
        <v>3265</v>
      </c>
      <c r="C2222" s="185" t="s">
        <v>1897</v>
      </c>
      <c r="D2222" s="185" t="s">
        <v>3266</v>
      </c>
      <c r="E2222" s="185">
        <v>510506</v>
      </c>
      <c r="F2222" s="185" t="s">
        <v>1076</v>
      </c>
      <c r="G2222" s="185" t="s">
        <v>3267</v>
      </c>
      <c r="H2222" s="185" t="s">
        <v>1515</v>
      </c>
      <c r="I2222" s="258" t="str">
        <f t="shared" si="103"/>
        <v>5</v>
      </c>
      <c r="J2222" s="221">
        <f t="shared" si="104"/>
        <v>1500000</v>
      </c>
      <c r="K2222" s="258">
        <f t="shared" si="105"/>
        <v>8</v>
      </c>
      <c r="L2222" s="188">
        <v>1500000</v>
      </c>
      <c r="M2222" s="188">
        <v>0</v>
      </c>
      <c r="N2222" s="189">
        <v>1000036375</v>
      </c>
      <c r="O2222" t="s">
        <v>3265</v>
      </c>
      <c r="P2222" s="187">
        <v>45166</v>
      </c>
      <c r="Q2222" s="186">
        <v>13041</v>
      </c>
      <c r="R2222" s="185"/>
      <c r="S2222" s="185" t="s">
        <v>1524</v>
      </c>
      <c r="T2222" t="s">
        <v>2729</v>
      </c>
      <c r="U2222" t="str">
        <f>IF($L2222&gt;0,VLOOKUP($E2222,Valida!$A$1:$G$270,6,FALSE),IF($M2222&gt;=0,VLOOKUP($E2222,Valida!$A$1:$G$270,7,FALSE)))</f>
        <v>(+/-) Ganancia (pérdida)</v>
      </c>
      <c r="V2222" s="190" t="str">
        <f>VLOOKUP(E2222,Valida!$A$2:$K$271,4,FALSE)</f>
        <v>P&amp;L</v>
      </c>
      <c r="W2222" s="185" t="s">
        <v>1983</v>
      </c>
      <c r="X2222" s="185"/>
      <c r="Y2222" s="185" t="s">
        <v>1789</v>
      </c>
      <c r="Z2222"/>
    </row>
    <row r="2223" spans="1:26">
      <c r="A2223" s="185" t="s">
        <v>3264</v>
      </c>
      <c r="B2223" s="185" t="s">
        <v>3265</v>
      </c>
      <c r="C2223" s="185" t="s">
        <v>1897</v>
      </c>
      <c r="D2223" s="185" t="s">
        <v>3266</v>
      </c>
      <c r="E2223" s="185">
        <v>510527</v>
      </c>
      <c r="F2223" s="185" t="s">
        <v>1089</v>
      </c>
      <c r="G2223" s="185" t="s">
        <v>3267</v>
      </c>
      <c r="H2223" s="185" t="s">
        <v>1515</v>
      </c>
      <c r="I2223" s="258" t="str">
        <f t="shared" si="103"/>
        <v>5</v>
      </c>
      <c r="J2223" s="221">
        <f t="shared" si="104"/>
        <v>140606</v>
      </c>
      <c r="K2223" s="258">
        <f t="shared" si="105"/>
        <v>8</v>
      </c>
      <c r="L2223" s="188">
        <v>140606</v>
      </c>
      <c r="M2223" s="188">
        <v>0</v>
      </c>
      <c r="N2223" s="189">
        <v>1000036375</v>
      </c>
      <c r="O2223" t="s">
        <v>3265</v>
      </c>
      <c r="P2223" s="187">
        <v>45166</v>
      </c>
      <c r="Q2223" s="186">
        <v>13042</v>
      </c>
      <c r="R2223" s="185"/>
      <c r="S2223" s="185" t="s">
        <v>1524</v>
      </c>
      <c r="T2223" t="s">
        <v>2729</v>
      </c>
      <c r="U2223" t="str">
        <f>IF($L2223&gt;0,VLOOKUP($E2223,Valida!$A$1:$G$270,6,FALSE),IF($M2223&gt;=0,VLOOKUP($E2223,Valida!$A$1:$G$270,7,FALSE)))</f>
        <v>(+/-) Ganancia (pérdida)</v>
      </c>
      <c r="V2223" s="190" t="str">
        <f>VLOOKUP(E2223,Valida!$A$2:$K$271,4,FALSE)</f>
        <v>P&amp;L</v>
      </c>
      <c r="W2223" s="185" t="s">
        <v>1983</v>
      </c>
      <c r="X2223" s="185"/>
      <c r="Y2223" s="185" t="s">
        <v>1789</v>
      </c>
      <c r="Z2223"/>
    </row>
    <row r="2224" spans="1:26">
      <c r="A2224" s="185" t="s">
        <v>3264</v>
      </c>
      <c r="B2224" s="185" t="s">
        <v>3265</v>
      </c>
      <c r="C2224" s="185" t="s">
        <v>1897</v>
      </c>
      <c r="D2224" s="185" t="s">
        <v>3266</v>
      </c>
      <c r="E2224" s="185">
        <v>510515</v>
      </c>
      <c r="F2224" s="185" t="s">
        <v>1080</v>
      </c>
      <c r="G2224" s="185" t="s">
        <v>3267</v>
      </c>
      <c r="H2224" s="185" t="s">
        <v>1515</v>
      </c>
      <c r="I2224" s="258" t="str">
        <f t="shared" si="103"/>
        <v>5</v>
      </c>
      <c r="J2224" s="221">
        <f t="shared" si="104"/>
        <v>132812</v>
      </c>
      <c r="K2224" s="258">
        <f t="shared" si="105"/>
        <v>8</v>
      </c>
      <c r="L2224" s="188">
        <v>132812</v>
      </c>
      <c r="M2224" s="188">
        <v>0</v>
      </c>
      <c r="N2224" s="189">
        <v>1000036375</v>
      </c>
      <c r="O2224" t="s">
        <v>3265</v>
      </c>
      <c r="P2224" s="187">
        <v>45166</v>
      </c>
      <c r="Q2224" s="186">
        <v>13043</v>
      </c>
      <c r="R2224" s="185"/>
      <c r="S2224" s="185" t="s">
        <v>1524</v>
      </c>
      <c r="T2224" t="s">
        <v>2729</v>
      </c>
      <c r="U2224" t="str">
        <f>IF($L2224&gt;0,VLOOKUP($E2224,Valida!$A$1:$G$270,6,FALSE),IF($M2224&gt;=0,VLOOKUP($E2224,Valida!$A$1:$G$270,7,FALSE)))</f>
        <v>(+/-) Ganancia (pérdida)</v>
      </c>
      <c r="V2224" s="190" t="str">
        <f>VLOOKUP(E2224,Valida!$A$2:$K$271,4,FALSE)</f>
        <v>P&amp;L</v>
      </c>
      <c r="W2224" s="185" t="s">
        <v>1983</v>
      </c>
      <c r="X2224" s="185"/>
      <c r="Y2224" s="185" t="s">
        <v>1789</v>
      </c>
      <c r="Z2224"/>
    </row>
    <row r="2225" spans="1:26">
      <c r="A2225" s="185" t="s">
        <v>3264</v>
      </c>
      <c r="B2225" s="185" t="s">
        <v>3265</v>
      </c>
      <c r="C2225" s="185" t="s">
        <v>1897</v>
      </c>
      <c r="D2225" s="185" t="s">
        <v>3266</v>
      </c>
      <c r="E2225" s="185">
        <v>510515</v>
      </c>
      <c r="F2225" s="185" t="s">
        <v>1080</v>
      </c>
      <c r="G2225" s="185" t="s">
        <v>3267</v>
      </c>
      <c r="H2225" s="185" t="s">
        <v>1515</v>
      </c>
      <c r="I2225" s="258" t="str">
        <f t="shared" si="103"/>
        <v>5</v>
      </c>
      <c r="J2225" s="221">
        <f t="shared" si="104"/>
        <v>187500</v>
      </c>
      <c r="K2225" s="258">
        <f t="shared" si="105"/>
        <v>8</v>
      </c>
      <c r="L2225" s="188">
        <v>187500</v>
      </c>
      <c r="M2225" s="188">
        <v>0</v>
      </c>
      <c r="N2225" s="189">
        <v>1000036375</v>
      </c>
      <c r="O2225" t="s">
        <v>3265</v>
      </c>
      <c r="P2225" s="187">
        <v>45166</v>
      </c>
      <c r="Q2225" s="186">
        <v>13044</v>
      </c>
      <c r="R2225" s="185"/>
      <c r="S2225" s="185" t="s">
        <v>1524</v>
      </c>
      <c r="T2225" t="s">
        <v>2729</v>
      </c>
      <c r="U2225" t="str">
        <f>IF($L2225&gt;0,VLOOKUP($E2225,Valida!$A$1:$G$270,6,FALSE),IF($M2225&gt;=0,VLOOKUP($E2225,Valida!$A$1:$G$270,7,FALSE)))</f>
        <v>(+/-) Ganancia (pérdida)</v>
      </c>
      <c r="V2225" s="190" t="str">
        <f>VLOOKUP(E2225,Valida!$A$2:$K$271,4,FALSE)</f>
        <v>P&amp;L</v>
      </c>
      <c r="W2225" s="185" t="s">
        <v>1983</v>
      </c>
      <c r="X2225" s="185"/>
      <c r="Y2225" s="185" t="s">
        <v>1789</v>
      </c>
      <c r="Z2225"/>
    </row>
    <row r="2226" spans="1:26">
      <c r="A2226" s="185" t="s">
        <v>3264</v>
      </c>
      <c r="B2226" s="185" t="s">
        <v>3265</v>
      </c>
      <c r="C2226" s="185" t="s">
        <v>1897</v>
      </c>
      <c r="D2226" s="185" t="s">
        <v>3266</v>
      </c>
      <c r="E2226" s="185">
        <v>237005</v>
      </c>
      <c r="F2226" s="185" t="s">
        <v>676</v>
      </c>
      <c r="G2226" s="185" t="s">
        <v>3267</v>
      </c>
      <c r="H2226" s="185" t="s">
        <v>1628</v>
      </c>
      <c r="I2226" s="258" t="str">
        <f t="shared" si="103"/>
        <v>2</v>
      </c>
      <c r="J2226" s="221">
        <f t="shared" si="104"/>
        <v>-72812</v>
      </c>
      <c r="K2226" s="258">
        <f t="shared" si="105"/>
        <v>8</v>
      </c>
      <c r="L2226" s="188">
        <v>0</v>
      </c>
      <c r="M2226" s="188">
        <v>72812</v>
      </c>
      <c r="N2226" s="189">
        <v>900156264</v>
      </c>
      <c r="O2226" t="s">
        <v>3265</v>
      </c>
      <c r="P2226" s="187">
        <v>45166</v>
      </c>
      <c r="Q2226" s="186">
        <v>13045</v>
      </c>
      <c r="R2226" s="185" t="s">
        <v>433</v>
      </c>
      <c r="S2226" s="185" t="s">
        <v>1654</v>
      </c>
      <c r="T2226" t="s">
        <v>2729</v>
      </c>
      <c r="U2226" t="str">
        <f>IF($L2226&gt;0,VLOOKUP($E2226,Valida!$A$1:$G$270,6,FALSE),IF($M2226&gt;=0,VLOOKUP($E2226,Valida!$A$1:$G$270,7,FALSE)))</f>
        <v>(+/-) Ajustes por el incremento (disminución) de cuentas por pagar de origen comercial</v>
      </c>
      <c r="V2226" s="190" t="str">
        <f>VLOOKUP(E2226,Valida!$A$2:$K$271,4,FALSE)</f>
        <v>Trade and other payables</v>
      </c>
      <c r="W2226" s="185" t="s">
        <v>1926</v>
      </c>
      <c r="X2226" s="185" t="s">
        <v>1927</v>
      </c>
      <c r="Y2226" s="185" t="s">
        <v>1789</v>
      </c>
      <c r="Z2226"/>
    </row>
    <row r="2227" spans="1:26">
      <c r="A2227" s="185" t="s">
        <v>3264</v>
      </c>
      <c r="B2227" s="185" t="s">
        <v>3265</v>
      </c>
      <c r="C2227" s="185" t="s">
        <v>1897</v>
      </c>
      <c r="D2227" s="185" t="s">
        <v>3266</v>
      </c>
      <c r="E2227" s="185">
        <v>238030</v>
      </c>
      <c r="F2227" s="185" t="s">
        <v>721</v>
      </c>
      <c r="G2227" s="185" t="s">
        <v>3267</v>
      </c>
      <c r="H2227" s="185" t="s">
        <v>1628</v>
      </c>
      <c r="I2227" s="258" t="str">
        <f t="shared" si="103"/>
        <v>2</v>
      </c>
      <c r="J2227" s="221">
        <f t="shared" si="104"/>
        <v>-72812</v>
      </c>
      <c r="K2227" s="258">
        <f t="shared" si="105"/>
        <v>8</v>
      </c>
      <c r="L2227" s="188">
        <v>0</v>
      </c>
      <c r="M2227" s="188">
        <v>72812</v>
      </c>
      <c r="N2227" s="189">
        <v>800224808</v>
      </c>
      <c r="O2227" t="s">
        <v>3265</v>
      </c>
      <c r="P2227" s="187">
        <v>45166</v>
      </c>
      <c r="Q2227" s="186">
        <v>13046</v>
      </c>
      <c r="R2227" s="185" t="s">
        <v>1827</v>
      </c>
      <c r="S2227" s="185" t="s">
        <v>1662</v>
      </c>
      <c r="T2227" t="s">
        <v>2729</v>
      </c>
      <c r="U2227" t="str">
        <f>IF($L2227&gt;0,VLOOKUP($E2227,Valida!$A$1:$G$270,6,FALSE),IF($M2227&gt;=0,VLOOKUP($E2227,Valida!$A$1:$G$270,7,FALSE)))</f>
        <v>(+/-) Ajustes por el incremento (disminución) de cuentas por pagar de origen comercial</v>
      </c>
      <c r="V2227" s="190" t="str">
        <f>VLOOKUP(E2227,Valida!$A$2:$K$271,4,FALSE)</f>
        <v>Trade and other payables</v>
      </c>
      <c r="W2227" s="185" t="s">
        <v>1911</v>
      </c>
      <c r="X2227" s="185"/>
      <c r="Y2227" s="185" t="s">
        <v>1789</v>
      </c>
      <c r="Z2227"/>
    </row>
    <row r="2228" spans="1:26">
      <c r="A2228" s="185" t="s">
        <v>3264</v>
      </c>
      <c r="B2228" s="185" t="s">
        <v>3265</v>
      </c>
      <c r="C2228" s="185" t="s">
        <v>1897</v>
      </c>
      <c r="D2228" s="185" t="s">
        <v>3266</v>
      </c>
      <c r="E2228" s="185">
        <v>250505</v>
      </c>
      <c r="F2228" s="185" t="s">
        <v>767</v>
      </c>
      <c r="G2228" s="185" t="s">
        <v>3267</v>
      </c>
      <c r="H2228" s="185" t="s">
        <v>1628</v>
      </c>
      <c r="I2228" s="258" t="str">
        <f t="shared" si="103"/>
        <v>2</v>
      </c>
      <c r="J2228" s="221">
        <f t="shared" si="104"/>
        <v>-1314526</v>
      </c>
      <c r="K2228" s="258">
        <f t="shared" si="105"/>
        <v>8</v>
      </c>
      <c r="L2228" s="188">
        <v>0</v>
      </c>
      <c r="M2228" s="188">
        <v>1314526</v>
      </c>
      <c r="N2228" s="189">
        <v>1000018061</v>
      </c>
      <c r="O2228" t="s">
        <v>3265</v>
      </c>
      <c r="P2228" s="187">
        <v>45166</v>
      </c>
      <c r="Q2228" s="186">
        <v>13047</v>
      </c>
      <c r="R2228" s="185"/>
      <c r="S2228" s="185" t="s">
        <v>1522</v>
      </c>
      <c r="T2228" t="s">
        <v>2729</v>
      </c>
      <c r="U2228" t="str">
        <f>IF($L2228&gt;0,VLOOKUP($E2228,Valida!$A$1:$G$270,6,FALSE),IF($M2228&gt;=0,VLOOKUP($E2228,Valida!$A$1:$G$270,7,FALSE)))</f>
        <v>(+/-) Ajustes por el incremento (disminución) de cuentas por pagar de origen comercial</v>
      </c>
      <c r="V2228" s="190" t="str">
        <f>VLOOKUP(E2228,Valida!$A$2:$K$271,4,FALSE)</f>
        <v>Trade and other payables</v>
      </c>
      <c r="W2228" s="185" t="s">
        <v>1978</v>
      </c>
      <c r="X2228" s="185"/>
      <c r="Y2228" s="185" t="s">
        <v>1789</v>
      </c>
      <c r="Z2228"/>
    </row>
    <row r="2229" spans="1:26">
      <c r="A2229" s="185" t="s">
        <v>3264</v>
      </c>
      <c r="B2229" s="185" t="s">
        <v>3265</v>
      </c>
      <c r="C2229" s="185" t="s">
        <v>1897</v>
      </c>
      <c r="D2229" s="185" t="s">
        <v>3266</v>
      </c>
      <c r="E2229" s="185">
        <v>250505</v>
      </c>
      <c r="F2229" s="185" t="s">
        <v>767</v>
      </c>
      <c r="G2229" s="185" t="s">
        <v>3267</v>
      </c>
      <c r="H2229" s="185" t="s">
        <v>1628</v>
      </c>
      <c r="I2229" s="258" t="str">
        <f t="shared" si="103"/>
        <v>2</v>
      </c>
      <c r="J2229" s="221">
        <f t="shared" si="104"/>
        <v>-1815294</v>
      </c>
      <c r="K2229" s="258">
        <f t="shared" si="105"/>
        <v>8</v>
      </c>
      <c r="L2229" s="188">
        <v>0</v>
      </c>
      <c r="M2229" s="188">
        <v>1815294</v>
      </c>
      <c r="N2229" s="189">
        <v>1000036375</v>
      </c>
      <c r="O2229" t="s">
        <v>3265</v>
      </c>
      <c r="P2229" s="187">
        <v>45166</v>
      </c>
      <c r="Q2229" s="186">
        <v>13048</v>
      </c>
      <c r="R2229" s="185"/>
      <c r="S2229" s="185" t="s">
        <v>1524</v>
      </c>
      <c r="T2229" t="s">
        <v>2729</v>
      </c>
      <c r="U2229" t="str">
        <f>IF($L2229&gt;0,VLOOKUP($E2229,Valida!$A$1:$G$270,6,FALSE),IF($M2229&gt;=0,VLOOKUP($E2229,Valida!$A$1:$G$270,7,FALSE)))</f>
        <v>(+/-) Ajustes por el incremento (disminución) de cuentas por pagar de origen comercial</v>
      </c>
      <c r="V2229" s="190" t="str">
        <f>VLOOKUP(E2229,Valida!$A$2:$K$271,4,FALSE)</f>
        <v>Trade and other payables</v>
      </c>
      <c r="W2229" s="185" t="s">
        <v>1983</v>
      </c>
      <c r="X2229" s="185"/>
      <c r="Y2229" s="185" t="s">
        <v>1789</v>
      </c>
      <c r="Z2229"/>
    </row>
    <row r="2230" spans="1:26">
      <c r="A2230" s="185" t="s">
        <v>3264</v>
      </c>
      <c r="B2230" s="185" t="s">
        <v>3265</v>
      </c>
      <c r="C2230" s="185" t="s">
        <v>1897</v>
      </c>
      <c r="D2230" s="185" t="s">
        <v>3266</v>
      </c>
      <c r="E2230" s="185">
        <v>250505</v>
      </c>
      <c r="F2230" s="185" t="s">
        <v>767</v>
      </c>
      <c r="G2230" s="185" t="s">
        <v>3267</v>
      </c>
      <c r="H2230" s="185" t="s">
        <v>1628</v>
      </c>
      <c r="I2230" s="258" t="str">
        <f t="shared" si="103"/>
        <v>2</v>
      </c>
      <c r="J2230" s="221">
        <f t="shared" si="104"/>
        <v>-1520606</v>
      </c>
      <c r="K2230" s="258">
        <f t="shared" si="105"/>
        <v>8</v>
      </c>
      <c r="L2230" s="188">
        <v>0</v>
      </c>
      <c r="M2230" s="188">
        <v>1520606</v>
      </c>
      <c r="N2230" s="189">
        <v>1010101811</v>
      </c>
      <c r="O2230" t="s">
        <v>3265</v>
      </c>
      <c r="P2230" s="187">
        <v>45166</v>
      </c>
      <c r="Q2230" s="186">
        <v>13049</v>
      </c>
      <c r="R2230" s="185"/>
      <c r="S2230" s="185" t="s">
        <v>1528</v>
      </c>
      <c r="T2230" t="s">
        <v>2729</v>
      </c>
      <c r="U2230" t="str">
        <f>IF($L2230&gt;0,VLOOKUP($E2230,Valida!$A$1:$G$270,6,FALSE),IF($M2230&gt;=0,VLOOKUP($E2230,Valida!$A$1:$G$270,7,FALSE)))</f>
        <v>(+/-) Ajustes por el incremento (disminución) de cuentas por pagar de origen comercial</v>
      </c>
      <c r="V2230" s="190" t="str">
        <f>VLOOKUP(E2230,Valida!$A$2:$K$271,4,FALSE)</f>
        <v>Trade and other payables</v>
      </c>
      <c r="W2230" s="185" t="s">
        <v>1967</v>
      </c>
      <c r="X2230" s="185"/>
      <c r="Y2230" s="185" t="s">
        <v>1789</v>
      </c>
      <c r="Z2230"/>
    </row>
    <row r="2231" spans="1:26">
      <c r="A2231" s="185" t="s">
        <v>3264</v>
      </c>
      <c r="B2231" s="185" t="s">
        <v>3265</v>
      </c>
      <c r="C2231" s="185" t="s">
        <v>1897</v>
      </c>
      <c r="D2231" s="185" t="s">
        <v>3266</v>
      </c>
      <c r="E2231" s="185">
        <v>250505</v>
      </c>
      <c r="F2231" s="185" t="s">
        <v>767</v>
      </c>
      <c r="G2231" s="185" t="s">
        <v>3267</v>
      </c>
      <c r="H2231" s="185" t="s">
        <v>1628</v>
      </c>
      <c r="I2231" s="258" t="str">
        <f t="shared" si="103"/>
        <v>2</v>
      </c>
      <c r="J2231" s="221">
        <f t="shared" si="104"/>
        <v>-1067200</v>
      </c>
      <c r="K2231" s="258">
        <f t="shared" si="105"/>
        <v>8</v>
      </c>
      <c r="L2231" s="188">
        <v>0</v>
      </c>
      <c r="M2231" s="188">
        <v>1067200</v>
      </c>
      <c r="N2231" s="189">
        <v>1020842223</v>
      </c>
      <c r="O2231" t="s">
        <v>3265</v>
      </c>
      <c r="P2231" s="187">
        <v>45166</v>
      </c>
      <c r="Q2231" s="186">
        <v>13050</v>
      </c>
      <c r="R2231" s="185"/>
      <c r="S2231" s="185" t="s">
        <v>1532</v>
      </c>
      <c r="T2231" t="s">
        <v>2729</v>
      </c>
      <c r="U2231" t="str">
        <f>IF($L2231&gt;0,VLOOKUP($E2231,Valida!$A$1:$G$270,6,FALSE),IF($M2231&gt;=0,VLOOKUP($E2231,Valida!$A$1:$G$270,7,FALSE)))</f>
        <v>(+/-) Ajustes por el incremento (disminución) de cuentas por pagar de origen comercial</v>
      </c>
      <c r="V2231" s="190" t="str">
        <f>VLOOKUP(E2231,Valida!$A$2:$K$271,4,FALSE)</f>
        <v>Trade and other payables</v>
      </c>
      <c r="W2231" s="185" t="s">
        <v>1900</v>
      </c>
      <c r="X2231" s="185"/>
      <c r="Y2231" s="185" t="s">
        <v>1789</v>
      </c>
      <c r="Z2231"/>
    </row>
    <row r="2232" spans="1:26">
      <c r="A2232" s="185" t="s">
        <v>3264</v>
      </c>
      <c r="B2232" s="185" t="s">
        <v>3265</v>
      </c>
      <c r="C2232" s="185" t="s">
        <v>1897</v>
      </c>
      <c r="D2232" s="185" t="s">
        <v>3266</v>
      </c>
      <c r="E2232" s="185">
        <v>250505</v>
      </c>
      <c r="F2232" s="185" t="s">
        <v>767</v>
      </c>
      <c r="G2232" s="185" t="s">
        <v>3267</v>
      </c>
      <c r="H2232" s="185" t="s">
        <v>1628</v>
      </c>
      <c r="I2232" s="258" t="str">
        <f t="shared" si="103"/>
        <v>2</v>
      </c>
      <c r="J2232" s="221">
        <f t="shared" si="104"/>
        <v>-1207806</v>
      </c>
      <c r="K2232" s="258">
        <f t="shared" si="105"/>
        <v>8</v>
      </c>
      <c r="L2232" s="188">
        <v>0</v>
      </c>
      <c r="M2232" s="188">
        <v>1207806</v>
      </c>
      <c r="N2232" s="189">
        <v>1130744136</v>
      </c>
      <c r="O2232" t="s">
        <v>3265</v>
      </c>
      <c r="P2232" s="187">
        <v>45166</v>
      </c>
      <c r="Q2232" s="186">
        <v>13051</v>
      </c>
      <c r="R2232" s="185"/>
      <c r="S2232" s="185" t="s">
        <v>1538</v>
      </c>
      <c r="T2232" t="s">
        <v>2729</v>
      </c>
      <c r="U2232" t="str">
        <f>IF($L2232&gt;0,VLOOKUP($E2232,Valida!$A$1:$G$270,6,FALSE),IF($M2232&gt;=0,VLOOKUP($E2232,Valida!$A$1:$G$270,7,FALSE)))</f>
        <v>(+/-) Ajustes por el incremento (disminución) de cuentas por pagar de origen comercial</v>
      </c>
      <c r="V2232" s="190" t="str">
        <f>VLOOKUP(E2232,Valida!$A$2:$K$271,4,FALSE)</f>
        <v>Trade and other payables</v>
      </c>
      <c r="W2232" s="185" t="s">
        <v>1909</v>
      </c>
      <c r="X2232" s="185" t="s">
        <v>1910</v>
      </c>
      <c r="Y2232" s="185" t="s">
        <v>1789</v>
      </c>
      <c r="Z2232"/>
    </row>
    <row r="2233" spans="1:26">
      <c r="A2233" s="185" t="s">
        <v>3264</v>
      </c>
      <c r="B2233" s="185" t="s">
        <v>3268</v>
      </c>
      <c r="C2233" s="185" t="s">
        <v>1897</v>
      </c>
      <c r="D2233" s="185" t="s">
        <v>3269</v>
      </c>
      <c r="E2233" s="185">
        <v>237006</v>
      </c>
      <c r="F2233" s="185" t="s">
        <v>680</v>
      </c>
      <c r="G2233" s="185" t="s">
        <v>3270</v>
      </c>
      <c r="H2233" s="185" t="s">
        <v>1628</v>
      </c>
      <c r="I2233" s="258" t="str">
        <f t="shared" si="103"/>
        <v>2</v>
      </c>
      <c r="J2233" s="221">
        <f t="shared" si="104"/>
        <v>-7830</v>
      </c>
      <c r="K2233" s="258">
        <f t="shared" si="105"/>
        <v>8</v>
      </c>
      <c r="L2233" s="188">
        <v>0</v>
      </c>
      <c r="M2233" s="188">
        <v>7830</v>
      </c>
      <c r="N2233" s="189">
        <v>860002503</v>
      </c>
      <c r="O2233" t="s">
        <v>3268</v>
      </c>
      <c r="P2233" s="187">
        <v>45166</v>
      </c>
      <c r="Q2233" s="186">
        <v>13052</v>
      </c>
      <c r="R2233" s="185" t="s">
        <v>433</v>
      </c>
      <c r="S2233" s="185" t="s">
        <v>1656</v>
      </c>
      <c r="T2233" t="s">
        <v>2729</v>
      </c>
      <c r="U2233" t="str">
        <f>IF($L2233&gt;0,VLOOKUP($E2233,Valida!$A$1:$G$270,6,FALSE),IF($M2233&gt;=0,VLOOKUP($E2233,Valida!$A$1:$G$270,7,FALSE)))</f>
        <v>(+/-) Ajustes por el incremento (disminución) de cuentas por pagar de origen comercial</v>
      </c>
      <c r="V2233" s="190" t="str">
        <f>VLOOKUP(E2233,Valida!$A$2:$K$271,4,FALSE)</f>
        <v>Trade and other payables</v>
      </c>
      <c r="W2233" s="185" t="s">
        <v>1912</v>
      </c>
      <c r="X2233" s="185" t="s">
        <v>1913</v>
      </c>
      <c r="Y2233" s="185" t="s">
        <v>1789</v>
      </c>
      <c r="Z2233"/>
    </row>
    <row r="2234" spans="1:26">
      <c r="A2234" s="185" t="s">
        <v>3264</v>
      </c>
      <c r="B2234" s="185" t="s">
        <v>3268</v>
      </c>
      <c r="C2234" s="185" t="s">
        <v>1897</v>
      </c>
      <c r="D2234" s="185" t="s">
        <v>3269</v>
      </c>
      <c r="E2234" s="185">
        <v>237006</v>
      </c>
      <c r="F2234" s="185" t="s">
        <v>680</v>
      </c>
      <c r="G2234" s="185" t="s">
        <v>3270</v>
      </c>
      <c r="H2234" s="185" t="s">
        <v>1628</v>
      </c>
      <c r="I2234" s="258" t="str">
        <f t="shared" si="103"/>
        <v>2</v>
      </c>
      <c r="J2234" s="221">
        <f t="shared" si="104"/>
        <v>-6661</v>
      </c>
      <c r="K2234" s="258">
        <f t="shared" si="105"/>
        <v>8</v>
      </c>
      <c r="L2234" s="188">
        <v>0</v>
      </c>
      <c r="M2234" s="188">
        <v>6661</v>
      </c>
      <c r="N2234" s="189">
        <v>860002503</v>
      </c>
      <c r="O2234" t="s">
        <v>3268</v>
      </c>
      <c r="P2234" s="187">
        <v>45166</v>
      </c>
      <c r="Q2234" s="186">
        <v>13053</v>
      </c>
      <c r="R2234" s="185" t="s">
        <v>433</v>
      </c>
      <c r="S2234" s="185" t="s">
        <v>1656</v>
      </c>
      <c r="T2234" t="s">
        <v>2729</v>
      </c>
      <c r="U2234" t="str">
        <f>IF($L2234&gt;0,VLOOKUP($E2234,Valida!$A$1:$G$270,6,FALSE),IF($M2234&gt;=0,VLOOKUP($E2234,Valida!$A$1:$G$270,7,FALSE)))</f>
        <v>(+/-) Ajustes por el incremento (disminución) de cuentas por pagar de origen comercial</v>
      </c>
      <c r="V2234" s="190" t="str">
        <f>VLOOKUP(E2234,Valida!$A$2:$K$271,4,FALSE)</f>
        <v>Trade and other payables</v>
      </c>
      <c r="W2234" s="185" t="s">
        <v>1912</v>
      </c>
      <c r="X2234" s="185" t="s">
        <v>1913</v>
      </c>
      <c r="Y2234" s="185" t="s">
        <v>1789</v>
      </c>
      <c r="Z2234"/>
    </row>
    <row r="2235" spans="1:26">
      <c r="A2235" s="185" t="s">
        <v>3264</v>
      </c>
      <c r="B2235" s="185" t="s">
        <v>3268</v>
      </c>
      <c r="C2235" s="185" t="s">
        <v>1897</v>
      </c>
      <c r="D2235" s="185" t="s">
        <v>3269</v>
      </c>
      <c r="E2235" s="185">
        <v>237006</v>
      </c>
      <c r="F2235" s="185" t="s">
        <v>680</v>
      </c>
      <c r="G2235" s="185" t="s">
        <v>3270</v>
      </c>
      <c r="H2235" s="185" t="s">
        <v>1628</v>
      </c>
      <c r="I2235" s="258" t="str">
        <f t="shared" si="103"/>
        <v>2</v>
      </c>
      <c r="J2235" s="221">
        <f t="shared" si="104"/>
        <v>-9502</v>
      </c>
      <c r="K2235" s="258">
        <f t="shared" si="105"/>
        <v>8</v>
      </c>
      <c r="L2235" s="188">
        <v>0</v>
      </c>
      <c r="M2235" s="188">
        <v>9502</v>
      </c>
      <c r="N2235" s="189">
        <v>860002503</v>
      </c>
      <c r="O2235" t="s">
        <v>3268</v>
      </c>
      <c r="P2235" s="187">
        <v>45166</v>
      </c>
      <c r="Q2235" s="186">
        <v>13054</v>
      </c>
      <c r="R2235" s="185" t="s">
        <v>433</v>
      </c>
      <c r="S2235" s="185" t="s">
        <v>1656</v>
      </c>
      <c r="T2235" t="s">
        <v>2729</v>
      </c>
      <c r="U2235" t="str">
        <f>IF($L2235&gt;0,VLOOKUP($E2235,Valida!$A$1:$G$270,6,FALSE),IF($M2235&gt;=0,VLOOKUP($E2235,Valida!$A$1:$G$270,7,FALSE)))</f>
        <v>(+/-) Ajustes por el incremento (disminución) de cuentas por pagar de origen comercial</v>
      </c>
      <c r="V2235" s="190" t="str">
        <f>VLOOKUP(E2235,Valida!$A$2:$K$271,4,FALSE)</f>
        <v>Trade and other payables</v>
      </c>
      <c r="W2235" s="185" t="s">
        <v>1912</v>
      </c>
      <c r="X2235" s="185" t="s">
        <v>1913</v>
      </c>
      <c r="Y2235" s="185" t="s">
        <v>1789</v>
      </c>
      <c r="Z2235"/>
    </row>
    <row r="2236" spans="1:26">
      <c r="A2236" s="185" t="s">
        <v>3264</v>
      </c>
      <c r="B2236" s="185" t="s">
        <v>3268</v>
      </c>
      <c r="C2236" s="185" t="s">
        <v>1897</v>
      </c>
      <c r="D2236" s="185" t="s">
        <v>3269</v>
      </c>
      <c r="E2236" s="185">
        <v>237006</v>
      </c>
      <c r="F2236" s="185" t="s">
        <v>680</v>
      </c>
      <c r="G2236" s="185" t="s">
        <v>3270</v>
      </c>
      <c r="H2236" s="185" t="s">
        <v>1628</v>
      </c>
      <c r="I2236" s="258" t="str">
        <f t="shared" si="103"/>
        <v>2</v>
      </c>
      <c r="J2236" s="221">
        <f t="shared" si="104"/>
        <v>-6055</v>
      </c>
      <c r="K2236" s="258">
        <f t="shared" si="105"/>
        <v>8</v>
      </c>
      <c r="L2236" s="188">
        <v>0</v>
      </c>
      <c r="M2236" s="188">
        <v>6055</v>
      </c>
      <c r="N2236" s="189">
        <v>860002503</v>
      </c>
      <c r="O2236" t="s">
        <v>3268</v>
      </c>
      <c r="P2236" s="187">
        <v>45166</v>
      </c>
      <c r="Q2236" s="186">
        <v>13055</v>
      </c>
      <c r="R2236" s="185" t="s">
        <v>433</v>
      </c>
      <c r="S2236" s="185" t="s">
        <v>1656</v>
      </c>
      <c r="T2236" t="s">
        <v>2729</v>
      </c>
      <c r="U2236" t="str">
        <f>IF($L2236&gt;0,VLOOKUP($E2236,Valida!$A$1:$G$270,6,FALSE),IF($M2236&gt;=0,VLOOKUP($E2236,Valida!$A$1:$G$270,7,FALSE)))</f>
        <v>(+/-) Ajustes por el incremento (disminución) de cuentas por pagar de origen comercial</v>
      </c>
      <c r="V2236" s="190" t="str">
        <f>VLOOKUP(E2236,Valida!$A$2:$K$271,4,FALSE)</f>
        <v>Trade and other payables</v>
      </c>
      <c r="W2236" s="185" t="s">
        <v>1912</v>
      </c>
      <c r="X2236" s="185" t="s">
        <v>1913</v>
      </c>
      <c r="Y2236" s="185" t="s">
        <v>1789</v>
      </c>
      <c r="Z2236"/>
    </row>
    <row r="2237" spans="1:26">
      <c r="A2237" s="185" t="s">
        <v>3264</v>
      </c>
      <c r="B2237" s="185" t="s">
        <v>3268</v>
      </c>
      <c r="C2237" s="185" t="s">
        <v>1897</v>
      </c>
      <c r="D2237" s="185" t="s">
        <v>3269</v>
      </c>
      <c r="E2237" s="185">
        <v>237006</v>
      </c>
      <c r="F2237" s="185" t="s">
        <v>680</v>
      </c>
      <c r="G2237" s="185" t="s">
        <v>3270</v>
      </c>
      <c r="H2237" s="185" t="s">
        <v>1628</v>
      </c>
      <c r="I2237" s="258" t="str">
        <f t="shared" si="103"/>
        <v>2</v>
      </c>
      <c r="J2237" s="221">
        <f t="shared" si="104"/>
        <v>0</v>
      </c>
      <c r="K2237" s="258">
        <f t="shared" si="105"/>
        <v>8</v>
      </c>
      <c r="L2237" s="188">
        <v>0</v>
      </c>
      <c r="M2237" s="188">
        <v>0</v>
      </c>
      <c r="N2237" s="189">
        <v>860002503</v>
      </c>
      <c r="O2237" t="s">
        <v>3268</v>
      </c>
      <c r="P2237" s="187">
        <v>45166</v>
      </c>
      <c r="Q2237" s="186">
        <v>13056</v>
      </c>
      <c r="R2237" s="185" t="s">
        <v>433</v>
      </c>
      <c r="S2237" s="185" t="s">
        <v>1656</v>
      </c>
      <c r="T2237" t="s">
        <v>2729</v>
      </c>
      <c r="U2237" t="str">
        <f>IF($L2237&gt;0,VLOOKUP($E2237,Valida!$A$1:$G$270,6,FALSE),IF($M2237&gt;=0,VLOOKUP($E2237,Valida!$A$1:$G$270,7,FALSE)))</f>
        <v>(+/-) Ajustes por el incremento (disminución) de cuentas por pagar de origen comercial</v>
      </c>
      <c r="V2237" s="190" t="str">
        <f>VLOOKUP(E2237,Valida!$A$2:$K$271,4,FALSE)</f>
        <v>Trade and other payables</v>
      </c>
      <c r="W2237" s="185" t="s">
        <v>1912</v>
      </c>
      <c r="X2237" s="185" t="s">
        <v>1913</v>
      </c>
      <c r="Y2237" s="185" t="s">
        <v>1789</v>
      </c>
      <c r="Z2237"/>
    </row>
    <row r="2238" spans="1:26">
      <c r="A2238" s="185" t="s">
        <v>3264</v>
      </c>
      <c r="B2238" s="185" t="s">
        <v>3268</v>
      </c>
      <c r="C2238" s="185" t="s">
        <v>1897</v>
      </c>
      <c r="D2238" s="185" t="s">
        <v>3269</v>
      </c>
      <c r="E2238" s="185">
        <v>237010</v>
      </c>
      <c r="F2238" s="185" t="s">
        <v>683</v>
      </c>
      <c r="G2238" s="185" t="s">
        <v>3271</v>
      </c>
      <c r="H2238" s="185" t="s">
        <v>1628</v>
      </c>
      <c r="I2238" s="258" t="str">
        <f t="shared" si="103"/>
        <v>2</v>
      </c>
      <c r="J2238" s="221">
        <f t="shared" si="104"/>
        <v>-45000</v>
      </c>
      <c r="K2238" s="258">
        <f t="shared" si="105"/>
        <v>8</v>
      </c>
      <c r="L2238" s="188">
        <v>0</v>
      </c>
      <c r="M2238" s="188">
        <v>45000</v>
      </c>
      <c r="N2238" s="189">
        <v>860066942</v>
      </c>
      <c r="O2238" t="s">
        <v>3268</v>
      </c>
      <c r="P2238" s="187">
        <v>45166</v>
      </c>
      <c r="Q2238" s="186">
        <v>13057</v>
      </c>
      <c r="R2238" s="185" t="s">
        <v>1814</v>
      </c>
      <c r="S2238" s="185" t="s">
        <v>1574</v>
      </c>
      <c r="T2238" t="s">
        <v>2729</v>
      </c>
      <c r="U2238" t="str">
        <f>IF($L2238&gt;0,VLOOKUP($E2238,Valida!$A$1:$G$270,6,FALSE),IF($M2238&gt;=0,VLOOKUP($E2238,Valida!$A$1:$G$270,7,FALSE)))</f>
        <v>(+/-) Ajustes por el incremento (disminución) de cuentas por pagar de origen comercial</v>
      </c>
      <c r="V2238" s="190" t="str">
        <f>VLOOKUP(E2238,Valida!$A$2:$K$271,4,FALSE)</f>
        <v>Trade and other payables</v>
      </c>
      <c r="W2238" s="185" t="s">
        <v>1914</v>
      </c>
      <c r="X2238" s="185" t="s">
        <v>1915</v>
      </c>
      <c r="Y2238" s="185" t="s">
        <v>1789</v>
      </c>
      <c r="Z2238"/>
    </row>
    <row r="2239" spans="1:26">
      <c r="A2239" s="185" t="s">
        <v>3264</v>
      </c>
      <c r="B2239" s="185" t="s">
        <v>3268</v>
      </c>
      <c r="C2239" s="185" t="s">
        <v>1897</v>
      </c>
      <c r="D2239" s="185" t="s">
        <v>3269</v>
      </c>
      <c r="E2239" s="185">
        <v>237010</v>
      </c>
      <c r="F2239" s="185" t="s">
        <v>683</v>
      </c>
      <c r="G2239" s="185" t="s">
        <v>3271</v>
      </c>
      <c r="H2239" s="185" t="s">
        <v>1628</v>
      </c>
      <c r="I2239" s="258" t="str">
        <f t="shared" si="103"/>
        <v>2</v>
      </c>
      <c r="J2239" s="221">
        <f t="shared" si="104"/>
        <v>-38300</v>
      </c>
      <c r="K2239" s="258">
        <f t="shared" si="105"/>
        <v>8</v>
      </c>
      <c r="L2239" s="188">
        <v>0</v>
      </c>
      <c r="M2239" s="188">
        <v>38300</v>
      </c>
      <c r="N2239" s="189">
        <v>860066942</v>
      </c>
      <c r="O2239" t="s">
        <v>3268</v>
      </c>
      <c r="P2239" s="187">
        <v>45166</v>
      </c>
      <c r="Q2239" s="186">
        <v>13058</v>
      </c>
      <c r="R2239" s="185" t="s">
        <v>1814</v>
      </c>
      <c r="S2239" s="185" t="s">
        <v>1574</v>
      </c>
      <c r="T2239" t="s">
        <v>2729</v>
      </c>
      <c r="U2239" t="str">
        <f>IF($L2239&gt;0,VLOOKUP($E2239,Valida!$A$1:$G$270,6,FALSE),IF($M2239&gt;=0,VLOOKUP($E2239,Valida!$A$1:$G$270,7,FALSE)))</f>
        <v>(+/-) Ajustes por el incremento (disminución) de cuentas por pagar de origen comercial</v>
      </c>
      <c r="V2239" s="190" t="str">
        <f>VLOOKUP(E2239,Valida!$A$2:$K$271,4,FALSE)</f>
        <v>Trade and other payables</v>
      </c>
      <c r="W2239" s="185" t="s">
        <v>1914</v>
      </c>
      <c r="X2239" s="185" t="s">
        <v>1915</v>
      </c>
      <c r="Y2239" s="185" t="s">
        <v>1789</v>
      </c>
      <c r="Z2239"/>
    </row>
    <row r="2240" spans="1:26">
      <c r="A2240" s="185" t="s">
        <v>3264</v>
      </c>
      <c r="B2240" s="185" t="s">
        <v>3268</v>
      </c>
      <c r="C2240" s="185" t="s">
        <v>1897</v>
      </c>
      <c r="D2240" s="185" t="s">
        <v>3269</v>
      </c>
      <c r="E2240" s="185">
        <v>237010</v>
      </c>
      <c r="F2240" s="185" t="s">
        <v>683</v>
      </c>
      <c r="G2240" s="185" t="s">
        <v>3271</v>
      </c>
      <c r="H2240" s="185" t="s">
        <v>1628</v>
      </c>
      <c r="I2240" s="258" t="str">
        <f t="shared" si="103"/>
        <v>2</v>
      </c>
      <c r="J2240" s="221">
        <f t="shared" si="104"/>
        <v>-54600</v>
      </c>
      <c r="K2240" s="258">
        <f t="shared" si="105"/>
        <v>8</v>
      </c>
      <c r="L2240" s="188">
        <v>0</v>
      </c>
      <c r="M2240" s="188">
        <v>54600</v>
      </c>
      <c r="N2240" s="189">
        <v>860066942</v>
      </c>
      <c r="O2240" t="s">
        <v>3268</v>
      </c>
      <c r="P2240" s="187">
        <v>45166</v>
      </c>
      <c r="Q2240" s="186">
        <v>13059</v>
      </c>
      <c r="R2240" s="185" t="s">
        <v>1814</v>
      </c>
      <c r="S2240" s="185" t="s">
        <v>1574</v>
      </c>
      <c r="T2240" t="s">
        <v>2729</v>
      </c>
      <c r="U2240" t="str">
        <f>IF($L2240&gt;0,VLOOKUP($E2240,Valida!$A$1:$G$270,6,FALSE),IF($M2240&gt;=0,VLOOKUP($E2240,Valida!$A$1:$G$270,7,FALSE)))</f>
        <v>(+/-) Ajustes por el incremento (disminución) de cuentas por pagar de origen comercial</v>
      </c>
      <c r="V2240" s="190" t="str">
        <f>VLOOKUP(E2240,Valida!$A$2:$K$271,4,FALSE)</f>
        <v>Trade and other payables</v>
      </c>
      <c r="W2240" s="185" t="s">
        <v>1914</v>
      </c>
      <c r="X2240" s="185" t="s">
        <v>1915</v>
      </c>
      <c r="Y2240" s="185" t="s">
        <v>1789</v>
      </c>
      <c r="Z2240"/>
    </row>
    <row r="2241" spans="1:26">
      <c r="A2241" s="185" t="s">
        <v>3264</v>
      </c>
      <c r="B2241" s="185" t="s">
        <v>3268</v>
      </c>
      <c r="C2241" s="185" t="s">
        <v>1897</v>
      </c>
      <c r="D2241" s="185" t="s">
        <v>3269</v>
      </c>
      <c r="E2241" s="185">
        <v>237010</v>
      </c>
      <c r="F2241" s="185" t="s">
        <v>683</v>
      </c>
      <c r="G2241" s="185" t="s">
        <v>3271</v>
      </c>
      <c r="H2241" s="185" t="s">
        <v>1628</v>
      </c>
      <c r="I2241" s="258" t="str">
        <f t="shared" si="103"/>
        <v>2</v>
      </c>
      <c r="J2241" s="221">
        <f t="shared" si="104"/>
        <v>-34800</v>
      </c>
      <c r="K2241" s="258">
        <f t="shared" si="105"/>
        <v>8</v>
      </c>
      <c r="L2241" s="188">
        <v>0</v>
      </c>
      <c r="M2241" s="188">
        <v>34800</v>
      </c>
      <c r="N2241" s="189">
        <v>860066942</v>
      </c>
      <c r="O2241" t="s">
        <v>3268</v>
      </c>
      <c r="P2241" s="187">
        <v>45166</v>
      </c>
      <c r="Q2241" s="186">
        <v>13060</v>
      </c>
      <c r="R2241" s="185" t="s">
        <v>1814</v>
      </c>
      <c r="S2241" s="185" t="s">
        <v>1574</v>
      </c>
      <c r="T2241" t="s">
        <v>2729</v>
      </c>
      <c r="U2241" t="str">
        <f>IF($L2241&gt;0,VLOOKUP($E2241,Valida!$A$1:$G$270,6,FALSE),IF($M2241&gt;=0,VLOOKUP($E2241,Valida!$A$1:$G$270,7,FALSE)))</f>
        <v>(+/-) Ajustes por el incremento (disminución) de cuentas por pagar de origen comercial</v>
      </c>
      <c r="V2241" s="190" t="str">
        <f>VLOOKUP(E2241,Valida!$A$2:$K$271,4,FALSE)</f>
        <v>Trade and other payables</v>
      </c>
      <c r="W2241" s="185" t="s">
        <v>1914</v>
      </c>
      <c r="X2241" s="185" t="s">
        <v>1915</v>
      </c>
      <c r="Y2241" s="185" t="s">
        <v>1789</v>
      </c>
      <c r="Z2241"/>
    </row>
    <row r="2242" spans="1:26">
      <c r="A2242" s="185" t="s">
        <v>3264</v>
      </c>
      <c r="B2242" s="185" t="s">
        <v>3268</v>
      </c>
      <c r="C2242" s="185" t="s">
        <v>1897</v>
      </c>
      <c r="D2242" s="185" t="s">
        <v>3269</v>
      </c>
      <c r="E2242" s="185">
        <v>237010</v>
      </c>
      <c r="F2242" s="185" t="s">
        <v>683</v>
      </c>
      <c r="G2242" s="185" t="s">
        <v>3271</v>
      </c>
      <c r="H2242" s="185" t="s">
        <v>1628</v>
      </c>
      <c r="I2242" s="258" t="str">
        <f t="shared" si="103"/>
        <v>2</v>
      </c>
      <c r="J2242" s="221">
        <f t="shared" si="104"/>
        <v>-34800</v>
      </c>
      <c r="K2242" s="258">
        <f t="shared" si="105"/>
        <v>8</v>
      </c>
      <c r="L2242" s="188">
        <v>0</v>
      </c>
      <c r="M2242" s="188">
        <v>34800</v>
      </c>
      <c r="N2242" s="189">
        <v>860066942</v>
      </c>
      <c r="O2242" t="s">
        <v>3268</v>
      </c>
      <c r="P2242" s="187">
        <v>45166</v>
      </c>
      <c r="Q2242" s="186">
        <v>13061</v>
      </c>
      <c r="R2242" s="185" t="s">
        <v>1814</v>
      </c>
      <c r="S2242" s="185" t="s">
        <v>1574</v>
      </c>
      <c r="T2242" t="s">
        <v>2729</v>
      </c>
      <c r="U2242" t="str">
        <f>IF($L2242&gt;0,VLOOKUP($E2242,Valida!$A$1:$G$270,6,FALSE),IF($M2242&gt;=0,VLOOKUP($E2242,Valida!$A$1:$G$270,7,FALSE)))</f>
        <v>(+/-) Ajustes por el incremento (disminución) de cuentas por pagar de origen comercial</v>
      </c>
      <c r="V2242" s="190" t="str">
        <f>VLOOKUP(E2242,Valida!$A$2:$K$271,4,FALSE)</f>
        <v>Trade and other payables</v>
      </c>
      <c r="W2242" s="185" t="s">
        <v>1914</v>
      </c>
      <c r="X2242" s="185" t="s">
        <v>1915</v>
      </c>
      <c r="Y2242" s="185" t="s">
        <v>1789</v>
      </c>
      <c r="Z2242"/>
    </row>
    <row r="2243" spans="1:26">
      <c r="A2243" s="185" t="s">
        <v>3264</v>
      </c>
      <c r="B2243" s="185" t="s">
        <v>3268</v>
      </c>
      <c r="C2243" s="185" t="s">
        <v>1897</v>
      </c>
      <c r="D2243" s="185" t="s">
        <v>3269</v>
      </c>
      <c r="E2243" s="185">
        <v>238030</v>
      </c>
      <c r="F2243" s="185" t="s">
        <v>721</v>
      </c>
      <c r="G2243" s="185" t="s">
        <v>3272</v>
      </c>
      <c r="H2243" s="185" t="s">
        <v>1628</v>
      </c>
      <c r="I2243" s="258" t="str">
        <f t="shared" ref="I2243:I2306" si="106">LEFT(E2243,1)</f>
        <v>2</v>
      </c>
      <c r="J2243" s="221">
        <f t="shared" ref="J2243:J2306" si="107">L2243-M2243</f>
        <v>-180000</v>
      </c>
      <c r="K2243" s="258">
        <f t="shared" ref="K2243:K2306" si="108">MONTH(A2243)</f>
        <v>8</v>
      </c>
      <c r="L2243" s="188">
        <v>0</v>
      </c>
      <c r="M2243" s="188">
        <v>180000</v>
      </c>
      <c r="N2243" s="189">
        <v>800224808</v>
      </c>
      <c r="O2243" t="s">
        <v>3268</v>
      </c>
      <c r="P2243" s="187">
        <v>45166</v>
      </c>
      <c r="Q2243" s="186">
        <v>13062</v>
      </c>
      <c r="R2243" s="185" t="s">
        <v>1827</v>
      </c>
      <c r="S2243" s="185" t="s">
        <v>1662</v>
      </c>
      <c r="T2243" t="s">
        <v>2729</v>
      </c>
      <c r="U2243" t="str">
        <f>IF($L2243&gt;0,VLOOKUP($E2243,Valida!$A$1:$G$270,6,FALSE),IF($M2243&gt;=0,VLOOKUP($E2243,Valida!$A$1:$G$270,7,FALSE)))</f>
        <v>(+/-) Ajustes por el incremento (disminución) de cuentas por pagar de origen comercial</v>
      </c>
      <c r="V2243" s="190" t="str">
        <f>VLOOKUP(E2243,Valida!$A$2:$K$271,4,FALSE)</f>
        <v>Trade and other payables</v>
      </c>
      <c r="W2243" s="185" t="s">
        <v>1911</v>
      </c>
      <c r="X2243" s="185"/>
      <c r="Y2243" s="185" t="s">
        <v>1789</v>
      </c>
      <c r="Z2243"/>
    </row>
    <row r="2244" spans="1:26">
      <c r="A2244" s="185" t="s">
        <v>3264</v>
      </c>
      <c r="B2244" s="185" t="s">
        <v>3268</v>
      </c>
      <c r="C2244" s="185" t="s">
        <v>1897</v>
      </c>
      <c r="D2244" s="185" t="s">
        <v>3269</v>
      </c>
      <c r="E2244" s="185">
        <v>238030</v>
      </c>
      <c r="F2244" s="185" t="s">
        <v>721</v>
      </c>
      <c r="G2244" s="185" t="s">
        <v>3272</v>
      </c>
      <c r="H2244" s="185" t="s">
        <v>1628</v>
      </c>
      <c r="I2244" s="258" t="str">
        <f t="shared" si="106"/>
        <v>2</v>
      </c>
      <c r="J2244" s="221">
        <f t="shared" si="107"/>
        <v>-218437</v>
      </c>
      <c r="K2244" s="258">
        <f t="shared" si="108"/>
        <v>8</v>
      </c>
      <c r="L2244" s="188">
        <v>0</v>
      </c>
      <c r="M2244" s="188">
        <v>218437</v>
      </c>
      <c r="N2244" s="189">
        <v>800224808</v>
      </c>
      <c r="O2244" t="s">
        <v>3268</v>
      </c>
      <c r="P2244" s="187">
        <v>45166</v>
      </c>
      <c r="Q2244" s="186">
        <v>13063</v>
      </c>
      <c r="R2244" s="185" t="s">
        <v>1827</v>
      </c>
      <c r="S2244" s="185" t="s">
        <v>1662</v>
      </c>
      <c r="T2244" t="s">
        <v>2729</v>
      </c>
      <c r="U2244" t="str">
        <f>IF($L2244&gt;0,VLOOKUP($E2244,Valida!$A$1:$G$270,6,FALSE),IF($M2244&gt;=0,VLOOKUP($E2244,Valida!$A$1:$G$270,7,FALSE)))</f>
        <v>(+/-) Ajustes por el incremento (disminución) de cuentas por pagar de origen comercial</v>
      </c>
      <c r="V2244" s="190" t="str">
        <f>VLOOKUP(E2244,Valida!$A$2:$K$271,4,FALSE)</f>
        <v>Trade and other payables</v>
      </c>
      <c r="W2244" s="185" t="s">
        <v>1911</v>
      </c>
      <c r="X2244" s="185"/>
      <c r="Y2244" s="185" t="s">
        <v>1789</v>
      </c>
      <c r="Z2244"/>
    </row>
    <row r="2245" spans="1:26">
      <c r="A2245" s="185" t="s">
        <v>3264</v>
      </c>
      <c r="B2245" s="185" t="s">
        <v>3268</v>
      </c>
      <c r="C2245" s="185" t="s">
        <v>1897</v>
      </c>
      <c r="D2245" s="185" t="s">
        <v>3269</v>
      </c>
      <c r="E2245" s="185">
        <v>238030</v>
      </c>
      <c r="F2245" s="185" t="s">
        <v>721</v>
      </c>
      <c r="G2245" s="185" t="s">
        <v>3272</v>
      </c>
      <c r="H2245" s="185" t="s">
        <v>1628</v>
      </c>
      <c r="I2245" s="258" t="str">
        <f t="shared" si="106"/>
        <v>2</v>
      </c>
      <c r="J2245" s="221">
        <f t="shared" si="107"/>
        <v>-139200</v>
      </c>
      <c r="K2245" s="258">
        <f t="shared" si="108"/>
        <v>8</v>
      </c>
      <c r="L2245" s="188">
        <v>0</v>
      </c>
      <c r="M2245" s="188">
        <v>139200</v>
      </c>
      <c r="N2245" s="189">
        <v>800224808</v>
      </c>
      <c r="O2245" t="s">
        <v>3268</v>
      </c>
      <c r="P2245" s="187">
        <v>45166</v>
      </c>
      <c r="Q2245" s="186">
        <v>13064</v>
      </c>
      <c r="R2245" s="185" t="s">
        <v>1827</v>
      </c>
      <c r="S2245" s="185" t="s">
        <v>1662</v>
      </c>
      <c r="T2245" t="s">
        <v>2729</v>
      </c>
      <c r="U2245" t="str">
        <f>IF($L2245&gt;0,VLOOKUP($E2245,Valida!$A$1:$G$270,6,FALSE),IF($M2245&gt;=0,VLOOKUP($E2245,Valida!$A$1:$G$270,7,FALSE)))</f>
        <v>(+/-) Ajustes por el incremento (disminución) de cuentas por pagar de origen comercial</v>
      </c>
      <c r="V2245" s="190" t="str">
        <f>VLOOKUP(E2245,Valida!$A$2:$K$271,4,FALSE)</f>
        <v>Trade and other payables</v>
      </c>
      <c r="W2245" s="185" t="s">
        <v>1911</v>
      </c>
      <c r="X2245" s="185"/>
      <c r="Y2245" s="185" t="s">
        <v>1789</v>
      </c>
      <c r="Z2245"/>
    </row>
    <row r="2246" spans="1:26">
      <c r="A2246" s="185" t="s">
        <v>3264</v>
      </c>
      <c r="B2246" s="185" t="s">
        <v>3268</v>
      </c>
      <c r="C2246" s="185" t="s">
        <v>1897</v>
      </c>
      <c r="D2246" s="185" t="s">
        <v>3269</v>
      </c>
      <c r="E2246" s="185">
        <v>238030</v>
      </c>
      <c r="F2246" s="185" t="s">
        <v>721</v>
      </c>
      <c r="G2246" s="185" t="s">
        <v>3272</v>
      </c>
      <c r="H2246" s="185" t="s">
        <v>1628</v>
      </c>
      <c r="I2246" s="258" t="str">
        <f t="shared" si="106"/>
        <v>2</v>
      </c>
      <c r="J2246" s="221">
        <f t="shared" si="107"/>
        <v>-92800</v>
      </c>
      <c r="K2246" s="258">
        <f t="shared" si="108"/>
        <v>8</v>
      </c>
      <c r="L2246" s="188">
        <v>0</v>
      </c>
      <c r="M2246" s="188">
        <v>92800</v>
      </c>
      <c r="N2246" s="189">
        <v>800224808</v>
      </c>
      <c r="O2246" t="s">
        <v>3268</v>
      </c>
      <c r="P2246" s="187">
        <v>45166</v>
      </c>
      <c r="Q2246" s="186">
        <v>13065</v>
      </c>
      <c r="R2246" s="185" t="s">
        <v>1827</v>
      </c>
      <c r="S2246" s="185" t="s">
        <v>1662</v>
      </c>
      <c r="T2246" t="s">
        <v>2729</v>
      </c>
      <c r="U2246" t="str">
        <f>IF($L2246&gt;0,VLOOKUP($E2246,Valida!$A$1:$G$270,6,FALSE),IF($M2246&gt;=0,VLOOKUP($E2246,Valida!$A$1:$G$270,7,FALSE)))</f>
        <v>(+/-) Ajustes por el incremento (disminución) de cuentas por pagar de origen comercial</v>
      </c>
      <c r="V2246" s="190" t="str">
        <f>VLOOKUP(E2246,Valida!$A$2:$K$271,4,FALSE)</f>
        <v>Trade and other payables</v>
      </c>
      <c r="W2246" s="185" t="s">
        <v>1911</v>
      </c>
      <c r="X2246" s="185"/>
      <c r="Y2246" s="185" t="s">
        <v>1789</v>
      </c>
      <c r="Z2246"/>
    </row>
    <row r="2247" spans="1:26">
      <c r="A2247" s="185" t="s">
        <v>3264</v>
      </c>
      <c r="B2247" s="185" t="s">
        <v>3268</v>
      </c>
      <c r="C2247" s="185" t="s">
        <v>1897</v>
      </c>
      <c r="D2247" s="185" t="s">
        <v>3269</v>
      </c>
      <c r="E2247" s="185">
        <v>238030</v>
      </c>
      <c r="F2247" s="185" t="s">
        <v>721</v>
      </c>
      <c r="G2247" s="185" t="s">
        <v>3272</v>
      </c>
      <c r="H2247" s="185" t="s">
        <v>1628</v>
      </c>
      <c r="I2247" s="258" t="str">
        <f t="shared" si="106"/>
        <v>2</v>
      </c>
      <c r="J2247" s="221">
        <f t="shared" si="107"/>
        <v>-153120</v>
      </c>
      <c r="K2247" s="258">
        <f t="shared" si="108"/>
        <v>8</v>
      </c>
      <c r="L2247" s="188">
        <v>0</v>
      </c>
      <c r="M2247" s="188">
        <v>153120</v>
      </c>
      <c r="N2247" s="189">
        <v>800227940</v>
      </c>
      <c r="O2247" t="s">
        <v>3268</v>
      </c>
      <c r="P2247" s="187">
        <v>45166</v>
      </c>
      <c r="Q2247" s="186">
        <v>13066</v>
      </c>
      <c r="R2247" s="185"/>
      <c r="S2247" s="185" t="s">
        <v>1664</v>
      </c>
      <c r="T2247" t="s">
        <v>2729</v>
      </c>
      <c r="U2247" t="str">
        <f>IF($L2247&gt;0,VLOOKUP($E2247,Valida!$A$1:$G$270,6,FALSE),IF($M2247&gt;=0,VLOOKUP($E2247,Valida!$A$1:$G$270,7,FALSE)))</f>
        <v>(+/-) Ajustes por el incremento (disminución) de cuentas por pagar de origen comercial</v>
      </c>
      <c r="V2247" s="190" t="str">
        <f>VLOOKUP(E2247,Valida!$A$2:$K$271,4,FALSE)</f>
        <v>Trade and other payables</v>
      </c>
      <c r="W2247" s="185"/>
      <c r="X2247" s="185"/>
      <c r="Y2247" s="185"/>
      <c r="Z2247"/>
    </row>
    <row r="2248" spans="1:26">
      <c r="A2248" s="185" t="s">
        <v>3264</v>
      </c>
      <c r="B2248" s="185" t="s">
        <v>3268</v>
      </c>
      <c r="C2248" s="185" t="s">
        <v>1897</v>
      </c>
      <c r="D2248" s="185" t="s">
        <v>3269</v>
      </c>
      <c r="E2248" s="185">
        <v>251010</v>
      </c>
      <c r="F2248" s="185" t="s">
        <v>776</v>
      </c>
      <c r="G2248" s="185" t="s">
        <v>3273</v>
      </c>
      <c r="H2248" s="185" t="s">
        <v>1628</v>
      </c>
      <c r="I2248" s="258" t="str">
        <f t="shared" si="106"/>
        <v>2</v>
      </c>
      <c r="J2248" s="221">
        <f t="shared" si="107"/>
        <v>-118003</v>
      </c>
      <c r="K2248" s="258">
        <f t="shared" si="108"/>
        <v>8</v>
      </c>
      <c r="L2248" s="188">
        <v>0</v>
      </c>
      <c r="M2248" s="188">
        <v>118003</v>
      </c>
      <c r="N2248" s="189">
        <v>1000018061</v>
      </c>
      <c r="O2248" t="s">
        <v>3268</v>
      </c>
      <c r="P2248" s="187">
        <v>45166</v>
      </c>
      <c r="Q2248" s="186">
        <v>13067</v>
      </c>
      <c r="R2248" s="185"/>
      <c r="S2248" s="185" t="s">
        <v>1522</v>
      </c>
      <c r="T2248" t="s">
        <v>2729</v>
      </c>
      <c r="U2248" t="str">
        <f>IF($L2248&gt;0,VLOOKUP($E2248,Valida!$A$1:$G$270,6,FALSE),IF($M2248&gt;=0,VLOOKUP($E2248,Valida!$A$1:$G$270,7,FALSE)))</f>
        <v>(+/-) Ajustes por el incremento (disminución) de cuentas por pagar de origen comercial</v>
      </c>
      <c r="V2248" s="190" t="str">
        <f>VLOOKUP(E2248,Valida!$A$2:$K$271,4,FALSE)</f>
        <v>Trade and other payables</v>
      </c>
      <c r="W2248" s="185" t="s">
        <v>1978</v>
      </c>
      <c r="X2248" s="185"/>
      <c r="Y2248" s="185" t="s">
        <v>1789</v>
      </c>
      <c r="Z2248"/>
    </row>
    <row r="2249" spans="1:26">
      <c r="A2249" s="185" t="s">
        <v>3264</v>
      </c>
      <c r="B2249" s="185" t="s">
        <v>3268</v>
      </c>
      <c r="C2249" s="185" t="s">
        <v>1897</v>
      </c>
      <c r="D2249" s="185" t="s">
        <v>3269</v>
      </c>
      <c r="E2249" s="185">
        <v>251010</v>
      </c>
      <c r="F2249" s="185" t="s">
        <v>776</v>
      </c>
      <c r="G2249" s="185" t="s">
        <v>3273</v>
      </c>
      <c r="H2249" s="185" t="s">
        <v>1628</v>
      </c>
      <c r="I2249" s="258" t="str">
        <f t="shared" si="106"/>
        <v>2</v>
      </c>
      <c r="J2249" s="221">
        <f t="shared" si="107"/>
        <v>-163344</v>
      </c>
      <c r="K2249" s="258">
        <f t="shared" si="108"/>
        <v>8</v>
      </c>
      <c r="L2249" s="188">
        <v>0</v>
      </c>
      <c r="M2249" s="188">
        <v>163344</v>
      </c>
      <c r="N2249" s="189">
        <v>1000036375</v>
      </c>
      <c r="O2249" t="s">
        <v>3268</v>
      </c>
      <c r="P2249" s="187">
        <v>45166</v>
      </c>
      <c r="Q2249" s="186">
        <v>13068</v>
      </c>
      <c r="R2249" s="185"/>
      <c r="S2249" s="185" t="s">
        <v>1524</v>
      </c>
      <c r="T2249" t="s">
        <v>2729</v>
      </c>
      <c r="U2249" t="str">
        <f>IF($L2249&gt;0,VLOOKUP($E2249,Valida!$A$1:$G$270,6,FALSE),IF($M2249&gt;=0,VLOOKUP($E2249,Valida!$A$1:$G$270,7,FALSE)))</f>
        <v>(+/-) Ajustes por el incremento (disminución) de cuentas por pagar de origen comercial</v>
      </c>
      <c r="V2249" s="190" t="str">
        <f>VLOOKUP(E2249,Valida!$A$2:$K$271,4,FALSE)</f>
        <v>Trade and other payables</v>
      </c>
      <c r="W2249" s="185" t="s">
        <v>1983</v>
      </c>
      <c r="X2249" s="185"/>
      <c r="Y2249" s="185" t="s">
        <v>1789</v>
      </c>
      <c r="Z2249"/>
    </row>
    <row r="2250" spans="1:26">
      <c r="A2250" s="185" t="s">
        <v>3264</v>
      </c>
      <c r="B2250" s="185" t="s">
        <v>3268</v>
      </c>
      <c r="C2250" s="185" t="s">
        <v>1897</v>
      </c>
      <c r="D2250" s="185" t="s">
        <v>3269</v>
      </c>
      <c r="E2250" s="185">
        <v>251010</v>
      </c>
      <c r="F2250" s="185" t="s">
        <v>776</v>
      </c>
      <c r="G2250" s="185" t="s">
        <v>3273</v>
      </c>
      <c r="H2250" s="185" t="s">
        <v>1628</v>
      </c>
      <c r="I2250" s="258" t="str">
        <f t="shared" si="106"/>
        <v>2</v>
      </c>
      <c r="J2250" s="221">
        <f t="shared" si="107"/>
        <v>-136662</v>
      </c>
      <c r="K2250" s="258">
        <f t="shared" si="108"/>
        <v>8</v>
      </c>
      <c r="L2250" s="188">
        <v>0</v>
      </c>
      <c r="M2250" s="188">
        <v>136662</v>
      </c>
      <c r="N2250" s="189">
        <v>1010101811</v>
      </c>
      <c r="O2250" t="s">
        <v>3268</v>
      </c>
      <c r="P2250" s="187">
        <v>45166</v>
      </c>
      <c r="Q2250" s="186">
        <v>13069</v>
      </c>
      <c r="R2250" s="185"/>
      <c r="S2250" s="185" t="s">
        <v>1528</v>
      </c>
      <c r="T2250" t="s">
        <v>2729</v>
      </c>
      <c r="U2250" t="str">
        <f>IF($L2250&gt;0,VLOOKUP($E2250,Valida!$A$1:$G$270,6,FALSE),IF($M2250&gt;=0,VLOOKUP($E2250,Valida!$A$1:$G$270,7,FALSE)))</f>
        <v>(+/-) Ajustes por el incremento (disminución) de cuentas por pagar de origen comercial</v>
      </c>
      <c r="V2250" s="190" t="str">
        <f>VLOOKUP(E2250,Valida!$A$2:$K$271,4,FALSE)</f>
        <v>Trade and other payables</v>
      </c>
      <c r="W2250" s="185" t="s">
        <v>1967</v>
      </c>
      <c r="X2250" s="185"/>
      <c r="Y2250" s="185" t="s">
        <v>1789</v>
      </c>
      <c r="Z2250"/>
    </row>
    <row r="2251" spans="1:26">
      <c r="A2251" s="185" t="s">
        <v>3264</v>
      </c>
      <c r="B2251" s="185" t="s">
        <v>3268</v>
      </c>
      <c r="C2251" s="185" t="s">
        <v>1897</v>
      </c>
      <c r="D2251" s="185" t="s">
        <v>3269</v>
      </c>
      <c r="E2251" s="185">
        <v>251010</v>
      </c>
      <c r="F2251" s="185" t="s">
        <v>776</v>
      </c>
      <c r="G2251" s="185" t="s">
        <v>3273</v>
      </c>
      <c r="H2251" s="185" t="s">
        <v>1628</v>
      </c>
      <c r="I2251" s="258" t="str">
        <f t="shared" si="106"/>
        <v>2</v>
      </c>
      <c r="J2251" s="221">
        <f t="shared" si="107"/>
        <v>-96628</v>
      </c>
      <c r="K2251" s="258">
        <f t="shared" si="108"/>
        <v>8</v>
      </c>
      <c r="L2251" s="188">
        <v>0</v>
      </c>
      <c r="M2251" s="188">
        <v>96628</v>
      </c>
      <c r="N2251" s="189">
        <v>1020842223</v>
      </c>
      <c r="O2251" t="s">
        <v>3268</v>
      </c>
      <c r="P2251" s="187">
        <v>45166</v>
      </c>
      <c r="Q2251" s="186">
        <v>13070</v>
      </c>
      <c r="R2251" s="185"/>
      <c r="S2251" s="185" t="s">
        <v>1532</v>
      </c>
      <c r="T2251" t="s">
        <v>2729</v>
      </c>
      <c r="U2251" t="str">
        <f>IF($L2251&gt;0,VLOOKUP($E2251,Valida!$A$1:$G$270,6,FALSE),IF($M2251&gt;=0,VLOOKUP($E2251,Valida!$A$1:$G$270,7,FALSE)))</f>
        <v>(+/-) Ajustes por el incremento (disminución) de cuentas por pagar de origen comercial</v>
      </c>
      <c r="V2251" s="190" t="str">
        <f>VLOOKUP(E2251,Valida!$A$2:$K$271,4,FALSE)</f>
        <v>Trade and other payables</v>
      </c>
      <c r="W2251" s="185" t="s">
        <v>1900</v>
      </c>
      <c r="X2251" s="185"/>
      <c r="Y2251" s="185" t="s">
        <v>1789</v>
      </c>
      <c r="Z2251"/>
    </row>
    <row r="2252" spans="1:26">
      <c r="A2252" s="185" t="s">
        <v>3264</v>
      </c>
      <c r="B2252" s="185" t="s">
        <v>3268</v>
      </c>
      <c r="C2252" s="185" t="s">
        <v>1897</v>
      </c>
      <c r="D2252" s="185" t="s">
        <v>3269</v>
      </c>
      <c r="E2252" s="185">
        <v>251010</v>
      </c>
      <c r="F2252" s="185" t="s">
        <v>776</v>
      </c>
      <c r="G2252" s="185" t="s">
        <v>3273</v>
      </c>
      <c r="H2252" s="185" t="s">
        <v>1628</v>
      </c>
      <c r="I2252" s="258" t="str">
        <f t="shared" si="106"/>
        <v>2</v>
      </c>
      <c r="J2252" s="221">
        <f t="shared" si="107"/>
        <v>-108340</v>
      </c>
      <c r="K2252" s="258">
        <f t="shared" si="108"/>
        <v>8</v>
      </c>
      <c r="L2252" s="188">
        <v>0</v>
      </c>
      <c r="M2252" s="188">
        <v>108340</v>
      </c>
      <c r="N2252" s="189">
        <v>1130744136</v>
      </c>
      <c r="O2252" t="s">
        <v>3268</v>
      </c>
      <c r="P2252" s="187">
        <v>45166</v>
      </c>
      <c r="Q2252" s="186">
        <v>13071</v>
      </c>
      <c r="R2252" s="185"/>
      <c r="S2252" s="185" t="s">
        <v>1538</v>
      </c>
      <c r="T2252" t="s">
        <v>2729</v>
      </c>
      <c r="U2252" t="str">
        <f>IF($L2252&gt;0,VLOOKUP($E2252,Valida!$A$1:$G$270,6,FALSE),IF($M2252&gt;=0,VLOOKUP($E2252,Valida!$A$1:$G$270,7,FALSE)))</f>
        <v>(+/-) Ajustes por el incremento (disminución) de cuentas por pagar de origen comercial</v>
      </c>
      <c r="V2252" s="190" t="str">
        <f>VLOOKUP(E2252,Valida!$A$2:$K$271,4,FALSE)</f>
        <v>Trade and other payables</v>
      </c>
      <c r="W2252" s="185" t="s">
        <v>1909</v>
      </c>
      <c r="X2252" s="185" t="s">
        <v>1910</v>
      </c>
      <c r="Y2252" s="185" t="s">
        <v>1789</v>
      </c>
      <c r="Z2252"/>
    </row>
    <row r="2253" spans="1:26">
      <c r="A2253" s="185" t="s">
        <v>3264</v>
      </c>
      <c r="B2253" s="185" t="s">
        <v>3268</v>
      </c>
      <c r="C2253" s="185" t="s">
        <v>1897</v>
      </c>
      <c r="D2253" s="185" t="s">
        <v>3269</v>
      </c>
      <c r="E2253" s="185">
        <v>251505</v>
      </c>
      <c r="F2253" s="185" t="s">
        <v>779</v>
      </c>
      <c r="G2253" s="185" t="s">
        <v>3274</v>
      </c>
      <c r="H2253" s="185" t="s">
        <v>1628</v>
      </c>
      <c r="I2253" s="258" t="str">
        <f t="shared" si="106"/>
        <v>2</v>
      </c>
      <c r="J2253" s="221">
        <f t="shared" si="107"/>
        <v>-16406</v>
      </c>
      <c r="K2253" s="258">
        <f t="shared" si="108"/>
        <v>8</v>
      </c>
      <c r="L2253" s="188">
        <v>0</v>
      </c>
      <c r="M2253" s="188">
        <v>16406</v>
      </c>
      <c r="N2253" s="189">
        <v>800224808</v>
      </c>
      <c r="O2253" t="s">
        <v>3268</v>
      </c>
      <c r="P2253" s="187">
        <v>45166</v>
      </c>
      <c r="Q2253" s="186">
        <v>13072</v>
      </c>
      <c r="R2253" s="185" t="s">
        <v>1827</v>
      </c>
      <c r="S2253" s="185" t="s">
        <v>1662</v>
      </c>
      <c r="T2253" t="s">
        <v>2729</v>
      </c>
      <c r="U2253" t="str">
        <f>IF($L2253&gt;0,VLOOKUP($E2253,Valida!$A$1:$G$270,6,FALSE),IF($M2253&gt;=0,VLOOKUP($E2253,Valida!$A$1:$G$270,7,FALSE)))</f>
        <v>(+/-) Ajustes por el incremento (disminución) de cuentas por pagar de origen comercial</v>
      </c>
      <c r="V2253" s="190" t="str">
        <f>VLOOKUP(E2253,Valida!$A$2:$K$271,4,FALSE)</f>
        <v>Trade and other payables</v>
      </c>
      <c r="W2253" s="185" t="s">
        <v>1911</v>
      </c>
      <c r="X2253" s="185"/>
      <c r="Y2253" s="185" t="s">
        <v>1789</v>
      </c>
      <c r="Z2253"/>
    </row>
    <row r="2254" spans="1:26">
      <c r="A2254" s="185" t="s">
        <v>3264</v>
      </c>
      <c r="B2254" s="185" t="s">
        <v>3268</v>
      </c>
      <c r="C2254" s="185" t="s">
        <v>1897</v>
      </c>
      <c r="D2254" s="185" t="s">
        <v>3269</v>
      </c>
      <c r="E2254" s="185">
        <v>251505</v>
      </c>
      <c r="F2254" s="185" t="s">
        <v>779</v>
      </c>
      <c r="G2254" s="185" t="s">
        <v>3274</v>
      </c>
      <c r="H2254" s="185" t="s">
        <v>1628</v>
      </c>
      <c r="I2254" s="258" t="str">
        <f t="shared" si="106"/>
        <v>2</v>
      </c>
      <c r="J2254" s="221">
        <f t="shared" si="107"/>
        <v>-19609</v>
      </c>
      <c r="K2254" s="258">
        <f t="shared" si="108"/>
        <v>8</v>
      </c>
      <c r="L2254" s="188">
        <v>0</v>
      </c>
      <c r="M2254" s="188">
        <v>19609</v>
      </c>
      <c r="N2254" s="189">
        <v>800224808</v>
      </c>
      <c r="O2254" t="s">
        <v>3268</v>
      </c>
      <c r="P2254" s="187">
        <v>45166</v>
      </c>
      <c r="Q2254" s="186">
        <v>13073</v>
      </c>
      <c r="R2254" s="185" t="s">
        <v>1827</v>
      </c>
      <c r="S2254" s="185" t="s">
        <v>1662</v>
      </c>
      <c r="T2254" t="s">
        <v>2729</v>
      </c>
      <c r="U2254" t="str">
        <f>IF($L2254&gt;0,VLOOKUP($E2254,Valida!$A$1:$G$270,6,FALSE),IF($M2254&gt;=0,VLOOKUP($E2254,Valida!$A$1:$G$270,7,FALSE)))</f>
        <v>(+/-) Ajustes por el incremento (disminución) de cuentas por pagar de origen comercial</v>
      </c>
      <c r="V2254" s="190" t="str">
        <f>VLOOKUP(E2254,Valida!$A$2:$K$271,4,FALSE)</f>
        <v>Trade and other payables</v>
      </c>
      <c r="W2254" s="185" t="s">
        <v>1911</v>
      </c>
      <c r="X2254" s="185"/>
      <c r="Y2254" s="185" t="s">
        <v>1789</v>
      </c>
      <c r="Z2254"/>
    </row>
    <row r="2255" spans="1:26">
      <c r="A2255" s="185" t="s">
        <v>3264</v>
      </c>
      <c r="B2255" s="185" t="s">
        <v>3268</v>
      </c>
      <c r="C2255" s="185" t="s">
        <v>1897</v>
      </c>
      <c r="D2255" s="185" t="s">
        <v>3269</v>
      </c>
      <c r="E2255" s="185">
        <v>251505</v>
      </c>
      <c r="F2255" s="185" t="s">
        <v>779</v>
      </c>
      <c r="G2255" s="185" t="s">
        <v>3274</v>
      </c>
      <c r="H2255" s="185" t="s">
        <v>1628</v>
      </c>
      <c r="I2255" s="258" t="str">
        <f t="shared" si="106"/>
        <v>2</v>
      </c>
      <c r="J2255" s="221">
        <f t="shared" si="107"/>
        <v>-13006</v>
      </c>
      <c r="K2255" s="258">
        <f t="shared" si="108"/>
        <v>8</v>
      </c>
      <c r="L2255" s="188">
        <v>0</v>
      </c>
      <c r="M2255" s="188">
        <v>13006</v>
      </c>
      <c r="N2255" s="189">
        <v>800224808</v>
      </c>
      <c r="O2255" t="s">
        <v>3268</v>
      </c>
      <c r="P2255" s="187">
        <v>45166</v>
      </c>
      <c r="Q2255" s="186">
        <v>13074</v>
      </c>
      <c r="R2255" s="185" t="s">
        <v>1827</v>
      </c>
      <c r="S2255" s="185" t="s">
        <v>1662</v>
      </c>
      <c r="T2255" t="s">
        <v>2729</v>
      </c>
      <c r="U2255" t="str">
        <f>IF($L2255&gt;0,VLOOKUP($E2255,Valida!$A$1:$G$270,6,FALSE),IF($M2255&gt;=0,VLOOKUP($E2255,Valida!$A$1:$G$270,7,FALSE)))</f>
        <v>(+/-) Ajustes por el incremento (disminución) de cuentas por pagar de origen comercial</v>
      </c>
      <c r="V2255" s="190" t="str">
        <f>VLOOKUP(E2255,Valida!$A$2:$K$271,4,FALSE)</f>
        <v>Trade and other payables</v>
      </c>
      <c r="W2255" s="185" t="s">
        <v>1911</v>
      </c>
      <c r="X2255" s="185"/>
      <c r="Y2255" s="185" t="s">
        <v>1789</v>
      </c>
      <c r="Z2255"/>
    </row>
    <row r="2256" spans="1:26">
      <c r="A2256" s="185" t="s">
        <v>3264</v>
      </c>
      <c r="B2256" s="185" t="s">
        <v>3268</v>
      </c>
      <c r="C2256" s="185" t="s">
        <v>1897</v>
      </c>
      <c r="D2256" s="185" t="s">
        <v>3269</v>
      </c>
      <c r="E2256" s="185">
        <v>251505</v>
      </c>
      <c r="F2256" s="185" t="s">
        <v>779</v>
      </c>
      <c r="G2256" s="185" t="s">
        <v>3274</v>
      </c>
      <c r="H2256" s="185" t="s">
        <v>1628</v>
      </c>
      <c r="I2256" s="258" t="str">
        <f t="shared" si="106"/>
        <v>2</v>
      </c>
      <c r="J2256" s="221">
        <f t="shared" si="107"/>
        <v>-11600</v>
      </c>
      <c r="K2256" s="258">
        <f t="shared" si="108"/>
        <v>8</v>
      </c>
      <c r="L2256" s="188">
        <v>0</v>
      </c>
      <c r="M2256" s="188">
        <v>11600</v>
      </c>
      <c r="N2256" s="189">
        <v>800224808</v>
      </c>
      <c r="O2256" t="s">
        <v>3268</v>
      </c>
      <c r="P2256" s="187">
        <v>45166</v>
      </c>
      <c r="Q2256" s="186">
        <v>13075</v>
      </c>
      <c r="R2256" s="185" t="s">
        <v>1827</v>
      </c>
      <c r="S2256" s="185" t="s">
        <v>1662</v>
      </c>
      <c r="T2256" t="s">
        <v>2729</v>
      </c>
      <c r="U2256" t="str">
        <f>IF($L2256&gt;0,VLOOKUP($E2256,Valida!$A$1:$G$270,6,FALSE),IF($M2256&gt;=0,VLOOKUP($E2256,Valida!$A$1:$G$270,7,FALSE)))</f>
        <v>(+/-) Ajustes por el incremento (disminución) de cuentas por pagar de origen comercial</v>
      </c>
      <c r="V2256" s="190" t="str">
        <f>VLOOKUP(E2256,Valida!$A$2:$K$271,4,FALSE)</f>
        <v>Trade and other payables</v>
      </c>
      <c r="W2256" s="185" t="s">
        <v>1911</v>
      </c>
      <c r="X2256" s="185"/>
      <c r="Y2256" s="185" t="s">
        <v>1789</v>
      </c>
      <c r="Z2256"/>
    </row>
    <row r="2257" spans="1:26">
      <c r="A2257" s="185" t="s">
        <v>3264</v>
      </c>
      <c r="B2257" s="185" t="s">
        <v>3268</v>
      </c>
      <c r="C2257" s="185" t="s">
        <v>1897</v>
      </c>
      <c r="D2257" s="185" t="s">
        <v>3269</v>
      </c>
      <c r="E2257" s="185">
        <v>251505</v>
      </c>
      <c r="F2257" s="185" t="s">
        <v>779</v>
      </c>
      <c r="G2257" s="185" t="s">
        <v>3274</v>
      </c>
      <c r="H2257" s="185" t="s">
        <v>1628</v>
      </c>
      <c r="I2257" s="258" t="str">
        <f t="shared" si="106"/>
        <v>2</v>
      </c>
      <c r="J2257" s="221">
        <f t="shared" si="107"/>
        <v>-14166</v>
      </c>
      <c r="K2257" s="258">
        <f t="shared" si="108"/>
        <v>8</v>
      </c>
      <c r="L2257" s="188">
        <v>0</v>
      </c>
      <c r="M2257" s="188">
        <v>14166</v>
      </c>
      <c r="N2257" s="189">
        <v>800227940</v>
      </c>
      <c r="O2257" t="s">
        <v>3268</v>
      </c>
      <c r="P2257" s="187">
        <v>45166</v>
      </c>
      <c r="Q2257" s="186">
        <v>13076</v>
      </c>
      <c r="R2257" s="185"/>
      <c r="S2257" s="185" t="s">
        <v>1664</v>
      </c>
      <c r="T2257" t="s">
        <v>2729</v>
      </c>
      <c r="U2257" t="str">
        <f>IF($L2257&gt;0,VLOOKUP($E2257,Valida!$A$1:$G$270,6,FALSE),IF($M2257&gt;=0,VLOOKUP($E2257,Valida!$A$1:$G$270,7,FALSE)))</f>
        <v>(+/-) Ajustes por el incremento (disminución) de cuentas por pagar de origen comercial</v>
      </c>
      <c r="V2257" s="190" t="str">
        <f>VLOOKUP(E2257,Valida!$A$2:$K$271,4,FALSE)</f>
        <v>Trade and other payables</v>
      </c>
      <c r="W2257" s="185"/>
      <c r="X2257" s="185"/>
      <c r="Y2257" s="185"/>
      <c r="Z2257"/>
    </row>
    <row r="2258" spans="1:26">
      <c r="A2258" s="185" t="s">
        <v>3264</v>
      </c>
      <c r="B2258" s="185" t="s">
        <v>3268</v>
      </c>
      <c r="C2258" s="185" t="s">
        <v>1897</v>
      </c>
      <c r="D2258" s="185" t="s">
        <v>3269</v>
      </c>
      <c r="E2258" s="185">
        <v>252005</v>
      </c>
      <c r="F2258" s="185" t="s">
        <v>783</v>
      </c>
      <c r="G2258" s="185" t="s">
        <v>3275</v>
      </c>
      <c r="H2258" s="185" t="s">
        <v>1628</v>
      </c>
      <c r="I2258" s="258" t="str">
        <f t="shared" si="106"/>
        <v>2</v>
      </c>
      <c r="J2258" s="221">
        <f t="shared" si="107"/>
        <v>-118003</v>
      </c>
      <c r="K2258" s="258">
        <f t="shared" si="108"/>
        <v>8</v>
      </c>
      <c r="L2258" s="188">
        <v>0</v>
      </c>
      <c r="M2258" s="188">
        <v>118003</v>
      </c>
      <c r="N2258" s="189">
        <v>1000018061</v>
      </c>
      <c r="O2258" t="s">
        <v>3268</v>
      </c>
      <c r="P2258" s="187">
        <v>45166</v>
      </c>
      <c r="Q2258" s="186">
        <v>13077</v>
      </c>
      <c r="R2258" s="185"/>
      <c r="S2258" s="185" t="s">
        <v>1522</v>
      </c>
      <c r="T2258" t="s">
        <v>2729</v>
      </c>
      <c r="U2258" t="str">
        <f>IF($L2258&gt;0,VLOOKUP($E2258,Valida!$A$1:$G$270,6,FALSE),IF($M2258&gt;=0,VLOOKUP($E2258,Valida!$A$1:$G$270,7,FALSE)))</f>
        <v>(+/-) Ajustes por el incremento (disminución) de cuentas por pagar de origen comercial</v>
      </c>
      <c r="V2258" s="190" t="str">
        <f>VLOOKUP(E2258,Valida!$A$2:$K$271,4,FALSE)</f>
        <v>Trade and other payables</v>
      </c>
      <c r="W2258" s="185" t="s">
        <v>1978</v>
      </c>
      <c r="X2258" s="185"/>
      <c r="Y2258" s="185" t="s">
        <v>1789</v>
      </c>
      <c r="Z2258"/>
    </row>
    <row r="2259" spans="1:26">
      <c r="A2259" s="185" t="s">
        <v>3264</v>
      </c>
      <c r="B2259" s="185" t="s">
        <v>3268</v>
      </c>
      <c r="C2259" s="185" t="s">
        <v>1897</v>
      </c>
      <c r="D2259" s="185" t="s">
        <v>3269</v>
      </c>
      <c r="E2259" s="185">
        <v>252005</v>
      </c>
      <c r="F2259" s="185" t="s">
        <v>783</v>
      </c>
      <c r="G2259" s="185" t="s">
        <v>3275</v>
      </c>
      <c r="H2259" s="185" t="s">
        <v>1628</v>
      </c>
      <c r="I2259" s="258" t="str">
        <f t="shared" si="106"/>
        <v>2</v>
      </c>
      <c r="J2259" s="221">
        <f t="shared" si="107"/>
        <v>-163344</v>
      </c>
      <c r="K2259" s="258">
        <f t="shared" si="108"/>
        <v>8</v>
      </c>
      <c r="L2259" s="188">
        <v>0</v>
      </c>
      <c r="M2259" s="188">
        <v>163344</v>
      </c>
      <c r="N2259" s="189">
        <v>1000036375</v>
      </c>
      <c r="O2259" t="s">
        <v>3268</v>
      </c>
      <c r="P2259" s="187">
        <v>45166</v>
      </c>
      <c r="Q2259" s="186">
        <v>13078</v>
      </c>
      <c r="R2259" s="185"/>
      <c r="S2259" s="185" t="s">
        <v>1524</v>
      </c>
      <c r="T2259" t="s">
        <v>2729</v>
      </c>
      <c r="U2259" t="str">
        <f>IF($L2259&gt;0,VLOOKUP($E2259,Valida!$A$1:$G$270,6,FALSE),IF($M2259&gt;=0,VLOOKUP($E2259,Valida!$A$1:$G$270,7,FALSE)))</f>
        <v>(+/-) Ajustes por el incremento (disminución) de cuentas por pagar de origen comercial</v>
      </c>
      <c r="V2259" s="190" t="str">
        <f>VLOOKUP(E2259,Valida!$A$2:$K$271,4,FALSE)</f>
        <v>Trade and other payables</v>
      </c>
      <c r="W2259" s="185" t="s">
        <v>1983</v>
      </c>
      <c r="X2259" s="185"/>
      <c r="Y2259" s="185" t="s">
        <v>1789</v>
      </c>
      <c r="Z2259"/>
    </row>
    <row r="2260" spans="1:26">
      <c r="A2260" s="185" t="s">
        <v>3264</v>
      </c>
      <c r="B2260" s="185" t="s">
        <v>3268</v>
      </c>
      <c r="C2260" s="185" t="s">
        <v>1897</v>
      </c>
      <c r="D2260" s="185" t="s">
        <v>3269</v>
      </c>
      <c r="E2260" s="185">
        <v>252005</v>
      </c>
      <c r="F2260" s="185" t="s">
        <v>783</v>
      </c>
      <c r="G2260" s="185" t="s">
        <v>3275</v>
      </c>
      <c r="H2260" s="185" t="s">
        <v>1628</v>
      </c>
      <c r="I2260" s="258" t="str">
        <f t="shared" si="106"/>
        <v>2</v>
      </c>
      <c r="J2260" s="221">
        <f t="shared" si="107"/>
        <v>-136662</v>
      </c>
      <c r="K2260" s="258">
        <f t="shared" si="108"/>
        <v>8</v>
      </c>
      <c r="L2260" s="188">
        <v>0</v>
      </c>
      <c r="M2260" s="188">
        <v>136662</v>
      </c>
      <c r="N2260" s="189">
        <v>1010101811</v>
      </c>
      <c r="O2260" t="s">
        <v>3268</v>
      </c>
      <c r="P2260" s="187">
        <v>45166</v>
      </c>
      <c r="Q2260" s="186">
        <v>13079</v>
      </c>
      <c r="R2260" s="185"/>
      <c r="S2260" s="185" t="s">
        <v>1528</v>
      </c>
      <c r="T2260" t="s">
        <v>2729</v>
      </c>
      <c r="U2260" t="str">
        <f>IF($L2260&gt;0,VLOOKUP($E2260,Valida!$A$1:$G$270,6,FALSE),IF($M2260&gt;=0,VLOOKUP($E2260,Valida!$A$1:$G$270,7,FALSE)))</f>
        <v>(+/-) Ajustes por el incremento (disminución) de cuentas por pagar de origen comercial</v>
      </c>
      <c r="V2260" s="190" t="str">
        <f>VLOOKUP(E2260,Valida!$A$2:$K$271,4,FALSE)</f>
        <v>Trade and other payables</v>
      </c>
      <c r="W2260" s="185" t="s">
        <v>1967</v>
      </c>
      <c r="X2260" s="185"/>
      <c r="Y2260" s="185" t="s">
        <v>1789</v>
      </c>
      <c r="Z2260"/>
    </row>
    <row r="2261" spans="1:26">
      <c r="A2261" s="185" t="s">
        <v>3264</v>
      </c>
      <c r="B2261" s="185" t="s">
        <v>3268</v>
      </c>
      <c r="C2261" s="185" t="s">
        <v>1897</v>
      </c>
      <c r="D2261" s="185" t="s">
        <v>3269</v>
      </c>
      <c r="E2261" s="185">
        <v>252005</v>
      </c>
      <c r="F2261" s="185" t="s">
        <v>783</v>
      </c>
      <c r="G2261" s="185" t="s">
        <v>3275</v>
      </c>
      <c r="H2261" s="185" t="s">
        <v>1628</v>
      </c>
      <c r="I2261" s="258" t="str">
        <f t="shared" si="106"/>
        <v>2</v>
      </c>
      <c r="J2261" s="221">
        <f t="shared" si="107"/>
        <v>-96628</v>
      </c>
      <c r="K2261" s="258">
        <f t="shared" si="108"/>
        <v>8</v>
      </c>
      <c r="L2261" s="188">
        <v>0</v>
      </c>
      <c r="M2261" s="188">
        <v>96628</v>
      </c>
      <c r="N2261" s="189">
        <v>1020842223</v>
      </c>
      <c r="O2261" t="s">
        <v>3268</v>
      </c>
      <c r="P2261" s="187">
        <v>45166</v>
      </c>
      <c r="Q2261" s="186">
        <v>13080</v>
      </c>
      <c r="R2261" s="185"/>
      <c r="S2261" s="185" t="s">
        <v>1532</v>
      </c>
      <c r="T2261" t="s">
        <v>2729</v>
      </c>
      <c r="U2261" t="str">
        <f>IF($L2261&gt;0,VLOOKUP($E2261,Valida!$A$1:$G$270,6,FALSE),IF($M2261&gt;=0,VLOOKUP($E2261,Valida!$A$1:$G$270,7,FALSE)))</f>
        <v>(+/-) Ajustes por el incremento (disminución) de cuentas por pagar de origen comercial</v>
      </c>
      <c r="V2261" s="190" t="str">
        <f>VLOOKUP(E2261,Valida!$A$2:$K$271,4,FALSE)</f>
        <v>Trade and other payables</v>
      </c>
      <c r="W2261" s="185" t="s">
        <v>1900</v>
      </c>
      <c r="X2261" s="185"/>
      <c r="Y2261" s="185" t="s">
        <v>1789</v>
      </c>
      <c r="Z2261"/>
    </row>
    <row r="2262" spans="1:26">
      <c r="A2262" s="185" t="s">
        <v>3264</v>
      </c>
      <c r="B2262" s="185" t="s">
        <v>3268</v>
      </c>
      <c r="C2262" s="185" t="s">
        <v>1897</v>
      </c>
      <c r="D2262" s="185" t="s">
        <v>3269</v>
      </c>
      <c r="E2262" s="185">
        <v>252005</v>
      </c>
      <c r="F2262" s="185" t="s">
        <v>783</v>
      </c>
      <c r="G2262" s="185" t="s">
        <v>3275</v>
      </c>
      <c r="H2262" s="185" t="s">
        <v>1628</v>
      </c>
      <c r="I2262" s="258" t="str">
        <f t="shared" si="106"/>
        <v>2</v>
      </c>
      <c r="J2262" s="221">
        <f t="shared" si="107"/>
        <v>-108340</v>
      </c>
      <c r="K2262" s="258">
        <f t="shared" si="108"/>
        <v>8</v>
      </c>
      <c r="L2262" s="188">
        <v>0</v>
      </c>
      <c r="M2262" s="188">
        <v>108340</v>
      </c>
      <c r="N2262" s="189">
        <v>1130744136</v>
      </c>
      <c r="O2262" t="s">
        <v>3268</v>
      </c>
      <c r="P2262" s="187">
        <v>45166</v>
      </c>
      <c r="Q2262" s="186">
        <v>13081</v>
      </c>
      <c r="R2262" s="185"/>
      <c r="S2262" s="185" t="s">
        <v>1538</v>
      </c>
      <c r="T2262" t="s">
        <v>2729</v>
      </c>
      <c r="U2262" t="str">
        <f>IF($L2262&gt;0,VLOOKUP($E2262,Valida!$A$1:$G$270,6,FALSE),IF($M2262&gt;=0,VLOOKUP($E2262,Valida!$A$1:$G$270,7,FALSE)))</f>
        <v>(+/-) Ajustes por el incremento (disminución) de cuentas por pagar de origen comercial</v>
      </c>
      <c r="V2262" s="190" t="str">
        <f>VLOOKUP(E2262,Valida!$A$2:$K$271,4,FALSE)</f>
        <v>Trade and other payables</v>
      </c>
      <c r="W2262" s="185" t="s">
        <v>1909</v>
      </c>
      <c r="X2262" s="185" t="s">
        <v>1910</v>
      </c>
      <c r="Y2262" s="185" t="s">
        <v>1789</v>
      </c>
      <c r="Z2262"/>
    </row>
    <row r="2263" spans="1:26">
      <c r="A2263" s="185" t="s">
        <v>3264</v>
      </c>
      <c r="B2263" s="185" t="s">
        <v>3268</v>
      </c>
      <c r="C2263" s="185" t="s">
        <v>1897</v>
      </c>
      <c r="D2263" s="185" t="s">
        <v>3269</v>
      </c>
      <c r="E2263" s="185">
        <v>252505</v>
      </c>
      <c r="F2263" s="185" t="s">
        <v>787</v>
      </c>
      <c r="G2263" s="185" t="s">
        <v>3276</v>
      </c>
      <c r="H2263" s="185" t="s">
        <v>1628</v>
      </c>
      <c r="I2263" s="258" t="str">
        <f t="shared" si="106"/>
        <v>2</v>
      </c>
      <c r="J2263" s="221">
        <f t="shared" si="107"/>
        <v>-53209</v>
      </c>
      <c r="K2263" s="258">
        <f t="shared" si="108"/>
        <v>8</v>
      </c>
      <c r="L2263" s="188">
        <v>0</v>
      </c>
      <c r="M2263" s="188">
        <v>53209</v>
      </c>
      <c r="N2263" s="189">
        <v>1000018061</v>
      </c>
      <c r="O2263" t="s">
        <v>3268</v>
      </c>
      <c r="P2263" s="187">
        <v>45166</v>
      </c>
      <c r="Q2263" s="186">
        <v>13082</v>
      </c>
      <c r="R2263" s="185"/>
      <c r="S2263" s="185" t="s">
        <v>1522</v>
      </c>
      <c r="T2263" t="s">
        <v>2729</v>
      </c>
      <c r="U2263" t="str">
        <f>IF($L2263&gt;0,VLOOKUP($E2263,Valida!$A$1:$G$270,6,FALSE),IF($M2263&gt;=0,VLOOKUP($E2263,Valida!$A$1:$G$270,7,FALSE)))</f>
        <v>(+/-) Ajustes por el incremento (disminución) de cuentas por pagar de origen comercial</v>
      </c>
      <c r="V2263" s="190" t="str">
        <f>VLOOKUP(E2263,Valida!$A$2:$K$271,4,FALSE)</f>
        <v>Trade and other payables</v>
      </c>
      <c r="W2263" s="185" t="s">
        <v>1978</v>
      </c>
      <c r="X2263" s="185"/>
      <c r="Y2263" s="185" t="s">
        <v>1789</v>
      </c>
      <c r="Z2263"/>
    </row>
    <row r="2264" spans="1:26">
      <c r="A2264" s="185" t="s">
        <v>3264</v>
      </c>
      <c r="B2264" s="185" t="s">
        <v>3268</v>
      </c>
      <c r="C2264" s="185" t="s">
        <v>1897</v>
      </c>
      <c r="D2264" s="185" t="s">
        <v>3269</v>
      </c>
      <c r="E2264" s="185">
        <v>252505</v>
      </c>
      <c r="F2264" s="185" t="s">
        <v>787</v>
      </c>
      <c r="G2264" s="185" t="s">
        <v>3276</v>
      </c>
      <c r="H2264" s="185" t="s">
        <v>1628</v>
      </c>
      <c r="I2264" s="258" t="str">
        <f t="shared" si="106"/>
        <v>2</v>
      </c>
      <c r="J2264" s="221">
        <f t="shared" si="107"/>
        <v>-70369</v>
      </c>
      <c r="K2264" s="258">
        <f t="shared" si="108"/>
        <v>8</v>
      </c>
      <c r="L2264" s="188">
        <v>0</v>
      </c>
      <c r="M2264" s="188">
        <v>70369</v>
      </c>
      <c r="N2264" s="189">
        <v>1000036375</v>
      </c>
      <c r="O2264" t="s">
        <v>3268</v>
      </c>
      <c r="P2264" s="187">
        <v>45166</v>
      </c>
      <c r="Q2264" s="186">
        <v>13083</v>
      </c>
      <c r="R2264" s="185"/>
      <c r="S2264" s="185" t="s">
        <v>1524</v>
      </c>
      <c r="T2264" t="s">
        <v>2729</v>
      </c>
      <c r="U2264" t="str">
        <f>IF($L2264&gt;0,VLOOKUP($E2264,Valida!$A$1:$G$270,6,FALSE),IF($M2264&gt;=0,VLOOKUP($E2264,Valida!$A$1:$G$270,7,FALSE)))</f>
        <v>(+/-) Ajustes por el incremento (disminución) de cuentas por pagar de origen comercial</v>
      </c>
      <c r="V2264" s="190" t="str">
        <f>VLOOKUP(E2264,Valida!$A$2:$K$271,4,FALSE)</f>
        <v>Trade and other payables</v>
      </c>
      <c r="W2264" s="185" t="s">
        <v>1983</v>
      </c>
      <c r="X2264" s="185"/>
      <c r="Y2264" s="185" t="s">
        <v>1789</v>
      </c>
      <c r="Z2264"/>
    </row>
    <row r="2265" spans="1:26">
      <c r="A2265" s="185" t="s">
        <v>3264</v>
      </c>
      <c r="B2265" s="185" t="s">
        <v>3268</v>
      </c>
      <c r="C2265" s="185" t="s">
        <v>1897</v>
      </c>
      <c r="D2265" s="185" t="s">
        <v>3269</v>
      </c>
      <c r="E2265" s="185">
        <v>252505</v>
      </c>
      <c r="F2265" s="185" t="s">
        <v>787</v>
      </c>
      <c r="G2265" s="185" t="s">
        <v>3276</v>
      </c>
      <c r="H2265" s="185" t="s">
        <v>1628</v>
      </c>
      <c r="I2265" s="258" t="str">
        <f t="shared" si="106"/>
        <v>2</v>
      </c>
      <c r="J2265" s="221">
        <f t="shared" si="107"/>
        <v>-62550</v>
      </c>
      <c r="K2265" s="258">
        <f t="shared" si="108"/>
        <v>8</v>
      </c>
      <c r="L2265" s="188">
        <v>0</v>
      </c>
      <c r="M2265" s="188">
        <v>62550</v>
      </c>
      <c r="N2265" s="189">
        <v>1010101811</v>
      </c>
      <c r="O2265" t="s">
        <v>3268</v>
      </c>
      <c r="P2265" s="187">
        <v>45166</v>
      </c>
      <c r="Q2265" s="186">
        <v>13084</v>
      </c>
      <c r="R2265" s="185"/>
      <c r="S2265" s="185" t="s">
        <v>1528</v>
      </c>
      <c r="T2265" t="s">
        <v>2729</v>
      </c>
      <c r="U2265" t="str">
        <f>IF($L2265&gt;0,VLOOKUP($E2265,Valida!$A$1:$G$270,6,FALSE),IF($M2265&gt;=0,VLOOKUP($E2265,Valida!$A$1:$G$270,7,FALSE)))</f>
        <v>(+/-) Ajustes por el incremento (disminución) de cuentas por pagar de origen comercial</v>
      </c>
      <c r="V2265" s="190" t="str">
        <f>VLOOKUP(E2265,Valida!$A$2:$K$271,4,FALSE)</f>
        <v>Trade and other payables</v>
      </c>
      <c r="W2265" s="185" t="s">
        <v>1967</v>
      </c>
      <c r="X2265" s="185"/>
      <c r="Y2265" s="185" t="s">
        <v>1789</v>
      </c>
      <c r="Z2265"/>
    </row>
    <row r="2266" spans="1:26">
      <c r="A2266" s="185" t="s">
        <v>3264</v>
      </c>
      <c r="B2266" s="185" t="s">
        <v>3268</v>
      </c>
      <c r="C2266" s="185" t="s">
        <v>1897</v>
      </c>
      <c r="D2266" s="185" t="s">
        <v>3269</v>
      </c>
      <c r="E2266" s="185">
        <v>252505</v>
      </c>
      <c r="F2266" s="185" t="s">
        <v>787</v>
      </c>
      <c r="G2266" s="185" t="s">
        <v>3276</v>
      </c>
      <c r="H2266" s="185" t="s">
        <v>1628</v>
      </c>
      <c r="I2266" s="258" t="str">
        <f t="shared" si="106"/>
        <v>2</v>
      </c>
      <c r="J2266" s="221">
        <f t="shared" si="107"/>
        <v>-48372</v>
      </c>
      <c r="K2266" s="258">
        <f t="shared" si="108"/>
        <v>8</v>
      </c>
      <c r="L2266" s="188">
        <v>0</v>
      </c>
      <c r="M2266" s="188">
        <v>48372</v>
      </c>
      <c r="N2266" s="189">
        <v>1020842223</v>
      </c>
      <c r="O2266" t="s">
        <v>3268</v>
      </c>
      <c r="P2266" s="187">
        <v>45166</v>
      </c>
      <c r="Q2266" s="186">
        <v>13085</v>
      </c>
      <c r="R2266" s="185"/>
      <c r="S2266" s="185" t="s">
        <v>1532</v>
      </c>
      <c r="T2266" t="s">
        <v>2729</v>
      </c>
      <c r="U2266" t="str">
        <f>IF($L2266&gt;0,VLOOKUP($E2266,Valida!$A$1:$G$270,6,FALSE),IF($M2266&gt;=0,VLOOKUP($E2266,Valida!$A$1:$G$270,7,FALSE)))</f>
        <v>(+/-) Ajustes por el incremento (disminución) de cuentas por pagar de origen comercial</v>
      </c>
      <c r="V2266" s="190" t="str">
        <f>VLOOKUP(E2266,Valida!$A$2:$K$271,4,FALSE)</f>
        <v>Trade and other payables</v>
      </c>
      <c r="W2266" s="185" t="s">
        <v>1900</v>
      </c>
      <c r="X2266" s="185"/>
      <c r="Y2266" s="185" t="s">
        <v>1789</v>
      </c>
      <c r="Z2266"/>
    </row>
    <row r="2267" spans="1:26">
      <c r="A2267" s="185" t="s">
        <v>3264</v>
      </c>
      <c r="B2267" s="185" t="s">
        <v>3268</v>
      </c>
      <c r="C2267" s="185" t="s">
        <v>1897</v>
      </c>
      <c r="D2267" s="185" t="s">
        <v>3269</v>
      </c>
      <c r="E2267" s="185">
        <v>252505</v>
      </c>
      <c r="F2267" s="185" t="s">
        <v>787</v>
      </c>
      <c r="G2267" s="185" t="s">
        <v>3276</v>
      </c>
      <c r="H2267" s="185" t="s">
        <v>1628</v>
      </c>
      <c r="I2267" s="258" t="str">
        <f t="shared" si="106"/>
        <v>2</v>
      </c>
      <c r="J2267" s="221">
        <f t="shared" si="107"/>
        <v>-48372</v>
      </c>
      <c r="K2267" s="258">
        <f t="shared" si="108"/>
        <v>8</v>
      </c>
      <c r="L2267" s="188">
        <v>0</v>
      </c>
      <c r="M2267" s="188">
        <v>48372</v>
      </c>
      <c r="N2267" s="189">
        <v>1130744136</v>
      </c>
      <c r="O2267" t="s">
        <v>3268</v>
      </c>
      <c r="P2267" s="187">
        <v>45166</v>
      </c>
      <c r="Q2267" s="186">
        <v>13086</v>
      </c>
      <c r="R2267" s="185"/>
      <c r="S2267" s="185" t="s">
        <v>1538</v>
      </c>
      <c r="T2267" t="s">
        <v>2729</v>
      </c>
      <c r="U2267" t="str">
        <f>IF($L2267&gt;0,VLOOKUP($E2267,Valida!$A$1:$G$270,6,FALSE),IF($M2267&gt;=0,VLOOKUP($E2267,Valida!$A$1:$G$270,7,FALSE)))</f>
        <v>(+/-) Ajustes por el incremento (disminución) de cuentas por pagar de origen comercial</v>
      </c>
      <c r="V2267" s="190" t="str">
        <f>VLOOKUP(E2267,Valida!$A$2:$K$271,4,FALSE)</f>
        <v>Trade and other payables</v>
      </c>
      <c r="W2267" s="185" t="s">
        <v>1909</v>
      </c>
      <c r="X2267" s="185" t="s">
        <v>1910</v>
      </c>
      <c r="Y2267" s="185" t="s">
        <v>1789</v>
      </c>
      <c r="Z2267"/>
    </row>
    <row r="2268" spans="1:26">
      <c r="A2268" s="185" t="s">
        <v>3264</v>
      </c>
      <c r="B2268" s="185" t="s">
        <v>3268</v>
      </c>
      <c r="C2268" s="185" t="s">
        <v>1897</v>
      </c>
      <c r="D2268" s="185" t="s">
        <v>3269</v>
      </c>
      <c r="E2268" s="185">
        <v>510530</v>
      </c>
      <c r="F2268" s="185" t="s">
        <v>813</v>
      </c>
      <c r="G2268" s="185" t="s">
        <v>3273</v>
      </c>
      <c r="H2268" s="185" t="s">
        <v>1515</v>
      </c>
      <c r="I2268" s="258" t="str">
        <f t="shared" si="106"/>
        <v>5</v>
      </c>
      <c r="J2268" s="221">
        <f t="shared" si="107"/>
        <v>118003</v>
      </c>
      <c r="K2268" s="258">
        <f t="shared" si="108"/>
        <v>8</v>
      </c>
      <c r="L2268" s="188">
        <v>118003</v>
      </c>
      <c r="M2268" s="188">
        <v>0</v>
      </c>
      <c r="N2268" s="189">
        <v>1000018061</v>
      </c>
      <c r="O2268" t="s">
        <v>3268</v>
      </c>
      <c r="P2268" s="187">
        <v>45166</v>
      </c>
      <c r="Q2268" s="186">
        <v>13087</v>
      </c>
      <c r="R2268" s="185"/>
      <c r="S2268" s="185" t="s">
        <v>1522</v>
      </c>
      <c r="T2268" t="s">
        <v>2729</v>
      </c>
      <c r="U2268" t="str">
        <f>IF($L2268&gt;0,VLOOKUP($E2268,Valida!$A$1:$G$270,6,FALSE),IF($M2268&gt;=0,VLOOKUP($E2268,Valida!$A$1:$G$270,7,FALSE)))</f>
        <v>(+/-) Ganancia (pérdida)</v>
      </c>
      <c r="V2268" s="190" t="str">
        <f>VLOOKUP(E2268,Valida!$A$2:$K$271,4,FALSE)</f>
        <v>P&amp;L</v>
      </c>
      <c r="W2268" s="185" t="s">
        <v>1978</v>
      </c>
      <c r="X2268" s="185"/>
      <c r="Y2268" s="185" t="s">
        <v>1789</v>
      </c>
      <c r="Z2268"/>
    </row>
    <row r="2269" spans="1:26">
      <c r="A2269" s="185" t="s">
        <v>3264</v>
      </c>
      <c r="B2269" s="185" t="s">
        <v>3268</v>
      </c>
      <c r="C2269" s="185" t="s">
        <v>1897</v>
      </c>
      <c r="D2269" s="185" t="s">
        <v>3269</v>
      </c>
      <c r="E2269" s="185">
        <v>510530</v>
      </c>
      <c r="F2269" s="185" t="s">
        <v>813</v>
      </c>
      <c r="G2269" s="185" t="s">
        <v>3273</v>
      </c>
      <c r="H2269" s="185" t="s">
        <v>1515</v>
      </c>
      <c r="I2269" s="258" t="str">
        <f t="shared" si="106"/>
        <v>5</v>
      </c>
      <c r="J2269" s="221">
        <f t="shared" si="107"/>
        <v>163344</v>
      </c>
      <c r="K2269" s="258">
        <f t="shared" si="108"/>
        <v>8</v>
      </c>
      <c r="L2269" s="188">
        <v>163344</v>
      </c>
      <c r="M2269" s="188">
        <v>0</v>
      </c>
      <c r="N2269" s="189">
        <v>1000036375</v>
      </c>
      <c r="O2269" t="s">
        <v>3268</v>
      </c>
      <c r="P2269" s="187">
        <v>45166</v>
      </c>
      <c r="Q2269" s="186">
        <v>13088</v>
      </c>
      <c r="R2269" s="185"/>
      <c r="S2269" s="185" t="s">
        <v>1524</v>
      </c>
      <c r="T2269" t="s">
        <v>2729</v>
      </c>
      <c r="U2269" t="str">
        <f>IF($L2269&gt;0,VLOOKUP($E2269,Valida!$A$1:$G$270,6,FALSE),IF($M2269&gt;=0,VLOOKUP($E2269,Valida!$A$1:$G$270,7,FALSE)))</f>
        <v>(+/-) Ganancia (pérdida)</v>
      </c>
      <c r="V2269" s="190" t="str">
        <f>VLOOKUP(E2269,Valida!$A$2:$K$271,4,FALSE)</f>
        <v>P&amp;L</v>
      </c>
      <c r="W2269" s="185" t="s">
        <v>1983</v>
      </c>
      <c r="X2269" s="185"/>
      <c r="Y2269" s="185" t="s">
        <v>1789</v>
      </c>
      <c r="Z2269"/>
    </row>
    <row r="2270" spans="1:26">
      <c r="A2270" s="185" t="s">
        <v>3264</v>
      </c>
      <c r="B2270" s="185" t="s">
        <v>3268</v>
      </c>
      <c r="C2270" s="185" t="s">
        <v>1897</v>
      </c>
      <c r="D2270" s="185" t="s">
        <v>3269</v>
      </c>
      <c r="E2270" s="185">
        <v>510530</v>
      </c>
      <c r="F2270" s="185" t="s">
        <v>813</v>
      </c>
      <c r="G2270" s="185" t="s">
        <v>3273</v>
      </c>
      <c r="H2270" s="185" t="s">
        <v>1515</v>
      </c>
      <c r="I2270" s="258" t="str">
        <f t="shared" si="106"/>
        <v>5</v>
      </c>
      <c r="J2270" s="221">
        <f t="shared" si="107"/>
        <v>136662</v>
      </c>
      <c r="K2270" s="258">
        <f t="shared" si="108"/>
        <v>8</v>
      </c>
      <c r="L2270" s="188">
        <v>136662</v>
      </c>
      <c r="M2270" s="188">
        <v>0</v>
      </c>
      <c r="N2270" s="189">
        <v>1010101811</v>
      </c>
      <c r="O2270" t="s">
        <v>3268</v>
      </c>
      <c r="P2270" s="187">
        <v>45166</v>
      </c>
      <c r="Q2270" s="186">
        <v>13089</v>
      </c>
      <c r="R2270" s="185"/>
      <c r="S2270" s="185" t="s">
        <v>1528</v>
      </c>
      <c r="T2270" t="s">
        <v>2729</v>
      </c>
      <c r="U2270" t="str">
        <f>IF($L2270&gt;0,VLOOKUP($E2270,Valida!$A$1:$G$270,6,FALSE),IF($M2270&gt;=0,VLOOKUP($E2270,Valida!$A$1:$G$270,7,FALSE)))</f>
        <v>(+/-) Ganancia (pérdida)</v>
      </c>
      <c r="V2270" s="190" t="str">
        <f>VLOOKUP(E2270,Valida!$A$2:$K$271,4,FALSE)</f>
        <v>P&amp;L</v>
      </c>
      <c r="W2270" s="185" t="s">
        <v>1967</v>
      </c>
      <c r="X2270" s="185"/>
      <c r="Y2270" s="185" t="s">
        <v>1789</v>
      </c>
      <c r="Z2270"/>
    </row>
    <row r="2271" spans="1:26">
      <c r="A2271" s="185" t="s">
        <v>3264</v>
      </c>
      <c r="B2271" s="185" t="s">
        <v>3268</v>
      </c>
      <c r="C2271" s="185" t="s">
        <v>1897</v>
      </c>
      <c r="D2271" s="185" t="s">
        <v>3269</v>
      </c>
      <c r="E2271" s="185">
        <v>510530</v>
      </c>
      <c r="F2271" s="185" t="s">
        <v>813</v>
      </c>
      <c r="G2271" s="185" t="s">
        <v>3273</v>
      </c>
      <c r="H2271" s="185" t="s">
        <v>1515</v>
      </c>
      <c r="I2271" s="258" t="str">
        <f t="shared" si="106"/>
        <v>5</v>
      </c>
      <c r="J2271" s="221">
        <f t="shared" si="107"/>
        <v>96628</v>
      </c>
      <c r="K2271" s="258">
        <f t="shared" si="108"/>
        <v>8</v>
      </c>
      <c r="L2271" s="188">
        <v>96628</v>
      </c>
      <c r="M2271" s="188">
        <v>0</v>
      </c>
      <c r="N2271" s="189">
        <v>1020842223</v>
      </c>
      <c r="O2271" t="s">
        <v>3268</v>
      </c>
      <c r="P2271" s="187">
        <v>45166</v>
      </c>
      <c r="Q2271" s="186">
        <v>13090</v>
      </c>
      <c r="R2271" s="185"/>
      <c r="S2271" s="185" t="s">
        <v>1532</v>
      </c>
      <c r="T2271" t="s">
        <v>2729</v>
      </c>
      <c r="U2271" t="str">
        <f>IF($L2271&gt;0,VLOOKUP($E2271,Valida!$A$1:$G$270,6,FALSE),IF($M2271&gt;=0,VLOOKUP($E2271,Valida!$A$1:$G$270,7,FALSE)))</f>
        <v>(+/-) Ganancia (pérdida)</v>
      </c>
      <c r="V2271" s="190" t="str">
        <f>VLOOKUP(E2271,Valida!$A$2:$K$271,4,FALSE)</f>
        <v>P&amp;L</v>
      </c>
      <c r="W2271" s="185" t="s">
        <v>1900</v>
      </c>
      <c r="X2271" s="185"/>
      <c r="Y2271" s="185" t="s">
        <v>1789</v>
      </c>
      <c r="Z2271"/>
    </row>
    <row r="2272" spans="1:26">
      <c r="A2272" s="185" t="s">
        <v>3264</v>
      </c>
      <c r="B2272" s="185" t="s">
        <v>3268</v>
      </c>
      <c r="C2272" s="185" t="s">
        <v>1897</v>
      </c>
      <c r="D2272" s="185" t="s">
        <v>3269</v>
      </c>
      <c r="E2272" s="185">
        <v>510530</v>
      </c>
      <c r="F2272" s="185" t="s">
        <v>813</v>
      </c>
      <c r="G2272" s="185" t="s">
        <v>3273</v>
      </c>
      <c r="H2272" s="185" t="s">
        <v>1515</v>
      </c>
      <c r="I2272" s="258" t="str">
        <f t="shared" si="106"/>
        <v>5</v>
      </c>
      <c r="J2272" s="221">
        <f t="shared" si="107"/>
        <v>108340</v>
      </c>
      <c r="K2272" s="258">
        <f t="shared" si="108"/>
        <v>8</v>
      </c>
      <c r="L2272" s="188">
        <v>108340</v>
      </c>
      <c r="M2272" s="188">
        <v>0</v>
      </c>
      <c r="N2272" s="189">
        <v>1130744136</v>
      </c>
      <c r="O2272" t="s">
        <v>3268</v>
      </c>
      <c r="P2272" s="187">
        <v>45166</v>
      </c>
      <c r="Q2272" s="186">
        <v>13091</v>
      </c>
      <c r="R2272" s="185"/>
      <c r="S2272" s="185" t="s">
        <v>1538</v>
      </c>
      <c r="T2272" t="s">
        <v>2729</v>
      </c>
      <c r="U2272" t="str">
        <f>IF($L2272&gt;0,VLOOKUP($E2272,Valida!$A$1:$G$270,6,FALSE),IF($M2272&gt;=0,VLOOKUP($E2272,Valida!$A$1:$G$270,7,FALSE)))</f>
        <v>(+/-) Ganancia (pérdida)</v>
      </c>
      <c r="V2272" s="190" t="str">
        <f>VLOOKUP(E2272,Valida!$A$2:$K$271,4,FALSE)</f>
        <v>P&amp;L</v>
      </c>
      <c r="W2272" s="185" t="s">
        <v>1909</v>
      </c>
      <c r="X2272" s="185" t="s">
        <v>1910</v>
      </c>
      <c r="Y2272" s="185" t="s">
        <v>1789</v>
      </c>
      <c r="Z2272"/>
    </row>
    <row r="2273" spans="1:26">
      <c r="A2273" s="185" t="s">
        <v>3264</v>
      </c>
      <c r="B2273" s="185" t="s">
        <v>3268</v>
      </c>
      <c r="C2273" s="185" t="s">
        <v>1897</v>
      </c>
      <c r="D2273" s="185" t="s">
        <v>3269</v>
      </c>
      <c r="E2273" s="185">
        <v>510533</v>
      </c>
      <c r="F2273" s="185" t="s">
        <v>779</v>
      </c>
      <c r="G2273" s="185" t="s">
        <v>3274</v>
      </c>
      <c r="H2273" s="185" t="s">
        <v>1515</v>
      </c>
      <c r="I2273" s="258" t="str">
        <f t="shared" si="106"/>
        <v>5</v>
      </c>
      <c r="J2273" s="221">
        <f t="shared" si="107"/>
        <v>14166</v>
      </c>
      <c r="K2273" s="258">
        <f t="shared" si="108"/>
        <v>8</v>
      </c>
      <c r="L2273" s="188">
        <v>14166</v>
      </c>
      <c r="M2273" s="188">
        <v>0</v>
      </c>
      <c r="N2273" s="189">
        <v>1000018061</v>
      </c>
      <c r="O2273" t="s">
        <v>3268</v>
      </c>
      <c r="P2273" s="187">
        <v>45166</v>
      </c>
      <c r="Q2273" s="186">
        <v>13092</v>
      </c>
      <c r="R2273" s="185"/>
      <c r="S2273" s="185" t="s">
        <v>1522</v>
      </c>
      <c r="T2273" t="s">
        <v>2729</v>
      </c>
      <c r="U2273" t="str">
        <f>IF($L2273&gt;0,VLOOKUP($E2273,Valida!$A$1:$G$270,6,FALSE),IF($M2273&gt;=0,VLOOKUP($E2273,Valida!$A$1:$G$270,7,FALSE)))</f>
        <v>(+/-) Ganancia (pérdida)</v>
      </c>
      <c r="V2273" s="190" t="str">
        <f>VLOOKUP(E2273,Valida!$A$2:$K$271,4,FALSE)</f>
        <v>P&amp;L</v>
      </c>
      <c r="W2273" s="185" t="s">
        <v>1978</v>
      </c>
      <c r="X2273" s="185"/>
      <c r="Y2273" s="185" t="s">
        <v>1789</v>
      </c>
      <c r="Z2273"/>
    </row>
    <row r="2274" spans="1:26">
      <c r="A2274" s="185" t="s">
        <v>3264</v>
      </c>
      <c r="B2274" s="185" t="s">
        <v>3268</v>
      </c>
      <c r="C2274" s="185" t="s">
        <v>1897</v>
      </c>
      <c r="D2274" s="185" t="s">
        <v>3269</v>
      </c>
      <c r="E2274" s="185">
        <v>510533</v>
      </c>
      <c r="F2274" s="185" t="s">
        <v>779</v>
      </c>
      <c r="G2274" s="185" t="s">
        <v>3274</v>
      </c>
      <c r="H2274" s="185" t="s">
        <v>1515</v>
      </c>
      <c r="I2274" s="258" t="str">
        <f t="shared" si="106"/>
        <v>5</v>
      </c>
      <c r="J2274" s="221">
        <f t="shared" si="107"/>
        <v>19609</v>
      </c>
      <c r="K2274" s="258">
        <f t="shared" si="108"/>
        <v>8</v>
      </c>
      <c r="L2274" s="188">
        <v>19609</v>
      </c>
      <c r="M2274" s="188">
        <v>0</v>
      </c>
      <c r="N2274" s="189">
        <v>1000036375</v>
      </c>
      <c r="O2274" t="s">
        <v>3268</v>
      </c>
      <c r="P2274" s="187">
        <v>45166</v>
      </c>
      <c r="Q2274" s="186">
        <v>13093</v>
      </c>
      <c r="R2274" s="185"/>
      <c r="S2274" s="185" t="s">
        <v>1524</v>
      </c>
      <c r="T2274" t="s">
        <v>2729</v>
      </c>
      <c r="U2274" t="str">
        <f>IF($L2274&gt;0,VLOOKUP($E2274,Valida!$A$1:$G$270,6,FALSE),IF($M2274&gt;=0,VLOOKUP($E2274,Valida!$A$1:$G$270,7,FALSE)))</f>
        <v>(+/-) Ganancia (pérdida)</v>
      </c>
      <c r="V2274" s="190" t="str">
        <f>VLOOKUP(E2274,Valida!$A$2:$K$271,4,FALSE)</f>
        <v>P&amp;L</v>
      </c>
      <c r="W2274" s="185" t="s">
        <v>1983</v>
      </c>
      <c r="X2274" s="185"/>
      <c r="Y2274" s="185" t="s">
        <v>1789</v>
      </c>
      <c r="Z2274"/>
    </row>
    <row r="2275" spans="1:26">
      <c r="A2275" s="185" t="s">
        <v>3264</v>
      </c>
      <c r="B2275" s="185" t="s">
        <v>3268</v>
      </c>
      <c r="C2275" s="185" t="s">
        <v>1897</v>
      </c>
      <c r="D2275" s="185" t="s">
        <v>3269</v>
      </c>
      <c r="E2275" s="185">
        <v>510533</v>
      </c>
      <c r="F2275" s="185" t="s">
        <v>779</v>
      </c>
      <c r="G2275" s="185" t="s">
        <v>3274</v>
      </c>
      <c r="H2275" s="185" t="s">
        <v>1515</v>
      </c>
      <c r="I2275" s="258" t="str">
        <f t="shared" si="106"/>
        <v>5</v>
      </c>
      <c r="J2275" s="221">
        <f t="shared" si="107"/>
        <v>16406</v>
      </c>
      <c r="K2275" s="258">
        <f t="shared" si="108"/>
        <v>8</v>
      </c>
      <c r="L2275" s="188">
        <v>16406</v>
      </c>
      <c r="M2275" s="188">
        <v>0</v>
      </c>
      <c r="N2275" s="189">
        <v>1010101811</v>
      </c>
      <c r="O2275" t="s">
        <v>3268</v>
      </c>
      <c r="P2275" s="187">
        <v>45166</v>
      </c>
      <c r="Q2275" s="186">
        <v>13094</v>
      </c>
      <c r="R2275" s="185"/>
      <c r="S2275" s="185" t="s">
        <v>1528</v>
      </c>
      <c r="T2275" t="s">
        <v>2729</v>
      </c>
      <c r="U2275" t="str">
        <f>IF($L2275&gt;0,VLOOKUP($E2275,Valida!$A$1:$G$270,6,FALSE),IF($M2275&gt;=0,VLOOKUP($E2275,Valida!$A$1:$G$270,7,FALSE)))</f>
        <v>(+/-) Ganancia (pérdida)</v>
      </c>
      <c r="V2275" s="190" t="str">
        <f>VLOOKUP(E2275,Valida!$A$2:$K$271,4,FALSE)</f>
        <v>P&amp;L</v>
      </c>
      <c r="W2275" s="185" t="s">
        <v>1967</v>
      </c>
      <c r="X2275" s="185"/>
      <c r="Y2275" s="185" t="s">
        <v>1789</v>
      </c>
      <c r="Z2275"/>
    </row>
    <row r="2276" spans="1:26">
      <c r="A2276" s="185" t="s">
        <v>3264</v>
      </c>
      <c r="B2276" s="185" t="s">
        <v>3268</v>
      </c>
      <c r="C2276" s="185" t="s">
        <v>1897</v>
      </c>
      <c r="D2276" s="185" t="s">
        <v>3269</v>
      </c>
      <c r="E2276" s="185">
        <v>510533</v>
      </c>
      <c r="F2276" s="185" t="s">
        <v>779</v>
      </c>
      <c r="G2276" s="185" t="s">
        <v>3274</v>
      </c>
      <c r="H2276" s="185" t="s">
        <v>1515</v>
      </c>
      <c r="I2276" s="258" t="str">
        <f t="shared" si="106"/>
        <v>5</v>
      </c>
      <c r="J2276" s="221">
        <f t="shared" si="107"/>
        <v>11600</v>
      </c>
      <c r="K2276" s="258">
        <f t="shared" si="108"/>
        <v>8</v>
      </c>
      <c r="L2276" s="188">
        <v>11600</v>
      </c>
      <c r="M2276" s="188">
        <v>0</v>
      </c>
      <c r="N2276" s="189">
        <v>1020842223</v>
      </c>
      <c r="O2276" t="s">
        <v>3268</v>
      </c>
      <c r="P2276" s="187">
        <v>45166</v>
      </c>
      <c r="Q2276" s="186">
        <v>13095</v>
      </c>
      <c r="R2276" s="185"/>
      <c r="S2276" s="185" t="s">
        <v>1532</v>
      </c>
      <c r="T2276" t="s">
        <v>2729</v>
      </c>
      <c r="U2276" t="str">
        <f>IF($L2276&gt;0,VLOOKUP($E2276,Valida!$A$1:$G$270,6,FALSE),IF($M2276&gt;=0,VLOOKUP($E2276,Valida!$A$1:$G$270,7,FALSE)))</f>
        <v>(+/-) Ganancia (pérdida)</v>
      </c>
      <c r="V2276" s="190" t="str">
        <f>VLOOKUP(E2276,Valida!$A$2:$K$271,4,FALSE)</f>
        <v>P&amp;L</v>
      </c>
      <c r="W2276" s="185" t="s">
        <v>1900</v>
      </c>
      <c r="X2276" s="185"/>
      <c r="Y2276" s="185" t="s">
        <v>1789</v>
      </c>
      <c r="Z2276"/>
    </row>
    <row r="2277" spans="1:26">
      <c r="A2277" s="185" t="s">
        <v>3264</v>
      </c>
      <c r="B2277" s="185" t="s">
        <v>3268</v>
      </c>
      <c r="C2277" s="185" t="s">
        <v>1897</v>
      </c>
      <c r="D2277" s="185" t="s">
        <v>3269</v>
      </c>
      <c r="E2277" s="185">
        <v>510533</v>
      </c>
      <c r="F2277" s="185" t="s">
        <v>779</v>
      </c>
      <c r="G2277" s="185" t="s">
        <v>3274</v>
      </c>
      <c r="H2277" s="185" t="s">
        <v>1515</v>
      </c>
      <c r="I2277" s="258" t="str">
        <f t="shared" si="106"/>
        <v>5</v>
      </c>
      <c r="J2277" s="221">
        <f t="shared" si="107"/>
        <v>13006</v>
      </c>
      <c r="K2277" s="258">
        <f t="shared" si="108"/>
        <v>8</v>
      </c>
      <c r="L2277" s="188">
        <v>13006</v>
      </c>
      <c r="M2277" s="188">
        <v>0</v>
      </c>
      <c r="N2277" s="189">
        <v>1130744136</v>
      </c>
      <c r="O2277" t="s">
        <v>3268</v>
      </c>
      <c r="P2277" s="187">
        <v>45166</v>
      </c>
      <c r="Q2277" s="186">
        <v>13096</v>
      </c>
      <c r="R2277" s="185"/>
      <c r="S2277" s="185" t="s">
        <v>1538</v>
      </c>
      <c r="T2277" t="s">
        <v>2729</v>
      </c>
      <c r="U2277" t="str">
        <f>IF($L2277&gt;0,VLOOKUP($E2277,Valida!$A$1:$G$270,6,FALSE),IF($M2277&gt;=0,VLOOKUP($E2277,Valida!$A$1:$G$270,7,FALSE)))</f>
        <v>(+/-) Ganancia (pérdida)</v>
      </c>
      <c r="V2277" s="190" t="str">
        <f>VLOOKUP(E2277,Valida!$A$2:$K$271,4,FALSE)</f>
        <v>P&amp;L</v>
      </c>
      <c r="W2277" s="185" t="s">
        <v>1909</v>
      </c>
      <c r="X2277" s="185" t="s">
        <v>1910</v>
      </c>
      <c r="Y2277" s="185" t="s">
        <v>1789</v>
      </c>
      <c r="Z2277"/>
    </row>
    <row r="2278" spans="1:26">
      <c r="A2278" s="185" t="s">
        <v>3264</v>
      </c>
      <c r="B2278" s="185" t="s">
        <v>3268</v>
      </c>
      <c r="C2278" s="185" t="s">
        <v>1897</v>
      </c>
      <c r="D2278" s="185" t="s">
        <v>3269</v>
      </c>
      <c r="E2278" s="185">
        <v>510536</v>
      </c>
      <c r="F2278" s="185" t="s">
        <v>783</v>
      </c>
      <c r="G2278" s="185" t="s">
        <v>3275</v>
      </c>
      <c r="H2278" s="185" t="s">
        <v>1515</v>
      </c>
      <c r="I2278" s="258" t="str">
        <f t="shared" si="106"/>
        <v>5</v>
      </c>
      <c r="J2278" s="221">
        <f t="shared" si="107"/>
        <v>118003</v>
      </c>
      <c r="K2278" s="258">
        <f t="shared" si="108"/>
        <v>8</v>
      </c>
      <c r="L2278" s="188">
        <v>118003</v>
      </c>
      <c r="M2278" s="188">
        <v>0</v>
      </c>
      <c r="N2278" s="189">
        <v>1000018061</v>
      </c>
      <c r="O2278" t="s">
        <v>3268</v>
      </c>
      <c r="P2278" s="187">
        <v>45166</v>
      </c>
      <c r="Q2278" s="186">
        <v>13097</v>
      </c>
      <c r="R2278" s="185"/>
      <c r="S2278" s="185" t="s">
        <v>1522</v>
      </c>
      <c r="T2278" t="s">
        <v>2729</v>
      </c>
      <c r="U2278" t="str">
        <f>IF($L2278&gt;0,VLOOKUP($E2278,Valida!$A$1:$G$270,6,FALSE),IF($M2278&gt;=0,VLOOKUP($E2278,Valida!$A$1:$G$270,7,FALSE)))</f>
        <v>(+/-) Ganancia (pérdida)</v>
      </c>
      <c r="V2278" s="190" t="str">
        <f>VLOOKUP(E2278,Valida!$A$2:$K$271,4,FALSE)</f>
        <v>P&amp;L</v>
      </c>
      <c r="W2278" s="185" t="s">
        <v>1978</v>
      </c>
      <c r="X2278" s="185"/>
      <c r="Y2278" s="185" t="s">
        <v>1789</v>
      </c>
      <c r="Z2278"/>
    </row>
    <row r="2279" spans="1:26">
      <c r="A2279" s="185" t="s">
        <v>3264</v>
      </c>
      <c r="B2279" s="185" t="s">
        <v>3268</v>
      </c>
      <c r="C2279" s="185" t="s">
        <v>1897</v>
      </c>
      <c r="D2279" s="185" t="s">
        <v>3269</v>
      </c>
      <c r="E2279" s="185">
        <v>510536</v>
      </c>
      <c r="F2279" s="185" t="s">
        <v>783</v>
      </c>
      <c r="G2279" s="185" t="s">
        <v>3275</v>
      </c>
      <c r="H2279" s="185" t="s">
        <v>1515</v>
      </c>
      <c r="I2279" s="258" t="str">
        <f t="shared" si="106"/>
        <v>5</v>
      </c>
      <c r="J2279" s="221">
        <f t="shared" si="107"/>
        <v>163344</v>
      </c>
      <c r="K2279" s="258">
        <f t="shared" si="108"/>
        <v>8</v>
      </c>
      <c r="L2279" s="188">
        <v>163344</v>
      </c>
      <c r="M2279" s="188">
        <v>0</v>
      </c>
      <c r="N2279" s="189">
        <v>1000036375</v>
      </c>
      <c r="O2279" t="s">
        <v>3268</v>
      </c>
      <c r="P2279" s="187">
        <v>45166</v>
      </c>
      <c r="Q2279" s="186">
        <v>13098</v>
      </c>
      <c r="R2279" s="185"/>
      <c r="S2279" s="185" t="s">
        <v>1524</v>
      </c>
      <c r="T2279" t="s">
        <v>2729</v>
      </c>
      <c r="U2279" t="str">
        <f>IF($L2279&gt;0,VLOOKUP($E2279,Valida!$A$1:$G$270,6,FALSE),IF($M2279&gt;=0,VLOOKUP($E2279,Valida!$A$1:$G$270,7,FALSE)))</f>
        <v>(+/-) Ganancia (pérdida)</v>
      </c>
      <c r="V2279" s="190" t="str">
        <f>VLOOKUP(E2279,Valida!$A$2:$K$271,4,FALSE)</f>
        <v>P&amp;L</v>
      </c>
      <c r="W2279" s="185" t="s">
        <v>1983</v>
      </c>
      <c r="X2279" s="185"/>
      <c r="Y2279" s="185" t="s">
        <v>1789</v>
      </c>
      <c r="Z2279"/>
    </row>
    <row r="2280" spans="1:26">
      <c r="A2280" s="185" t="s">
        <v>3264</v>
      </c>
      <c r="B2280" s="185" t="s">
        <v>3268</v>
      </c>
      <c r="C2280" s="185" t="s">
        <v>1897</v>
      </c>
      <c r="D2280" s="185" t="s">
        <v>3269</v>
      </c>
      <c r="E2280" s="185">
        <v>510536</v>
      </c>
      <c r="F2280" s="185" t="s">
        <v>783</v>
      </c>
      <c r="G2280" s="185" t="s">
        <v>3275</v>
      </c>
      <c r="H2280" s="185" t="s">
        <v>1515</v>
      </c>
      <c r="I2280" s="258" t="str">
        <f t="shared" si="106"/>
        <v>5</v>
      </c>
      <c r="J2280" s="221">
        <f t="shared" si="107"/>
        <v>136662</v>
      </c>
      <c r="K2280" s="258">
        <f t="shared" si="108"/>
        <v>8</v>
      </c>
      <c r="L2280" s="188">
        <v>136662</v>
      </c>
      <c r="M2280" s="188">
        <v>0</v>
      </c>
      <c r="N2280" s="189">
        <v>1010101811</v>
      </c>
      <c r="O2280" t="s">
        <v>3268</v>
      </c>
      <c r="P2280" s="187">
        <v>45166</v>
      </c>
      <c r="Q2280" s="186">
        <v>13099</v>
      </c>
      <c r="R2280" s="185"/>
      <c r="S2280" s="185" t="s">
        <v>1528</v>
      </c>
      <c r="T2280" t="s">
        <v>2729</v>
      </c>
      <c r="U2280" t="str">
        <f>IF($L2280&gt;0,VLOOKUP($E2280,Valida!$A$1:$G$270,6,FALSE),IF($M2280&gt;=0,VLOOKUP($E2280,Valida!$A$1:$G$270,7,FALSE)))</f>
        <v>(+/-) Ganancia (pérdida)</v>
      </c>
      <c r="V2280" s="190" t="str">
        <f>VLOOKUP(E2280,Valida!$A$2:$K$271,4,FALSE)</f>
        <v>P&amp;L</v>
      </c>
      <c r="W2280" s="185" t="s">
        <v>1967</v>
      </c>
      <c r="X2280" s="185"/>
      <c r="Y2280" s="185" t="s">
        <v>1789</v>
      </c>
      <c r="Z2280"/>
    </row>
    <row r="2281" spans="1:26">
      <c r="A2281" s="185" t="s">
        <v>3264</v>
      </c>
      <c r="B2281" s="185" t="s">
        <v>3268</v>
      </c>
      <c r="C2281" s="185" t="s">
        <v>1897</v>
      </c>
      <c r="D2281" s="185" t="s">
        <v>3269</v>
      </c>
      <c r="E2281" s="185">
        <v>510536</v>
      </c>
      <c r="F2281" s="185" t="s">
        <v>783</v>
      </c>
      <c r="G2281" s="185" t="s">
        <v>3275</v>
      </c>
      <c r="H2281" s="185" t="s">
        <v>1515</v>
      </c>
      <c r="I2281" s="258" t="str">
        <f t="shared" si="106"/>
        <v>5</v>
      </c>
      <c r="J2281" s="221">
        <f t="shared" si="107"/>
        <v>96628</v>
      </c>
      <c r="K2281" s="258">
        <f t="shared" si="108"/>
        <v>8</v>
      </c>
      <c r="L2281" s="188">
        <v>96628</v>
      </c>
      <c r="M2281" s="188">
        <v>0</v>
      </c>
      <c r="N2281" s="189">
        <v>1020842223</v>
      </c>
      <c r="O2281" t="s">
        <v>3268</v>
      </c>
      <c r="P2281" s="187">
        <v>45166</v>
      </c>
      <c r="Q2281" s="186">
        <v>13100</v>
      </c>
      <c r="R2281" s="185"/>
      <c r="S2281" s="185" t="s">
        <v>1532</v>
      </c>
      <c r="T2281" t="s">
        <v>2729</v>
      </c>
      <c r="U2281" t="str">
        <f>IF($L2281&gt;0,VLOOKUP($E2281,Valida!$A$1:$G$270,6,FALSE),IF($M2281&gt;=0,VLOOKUP($E2281,Valida!$A$1:$G$270,7,FALSE)))</f>
        <v>(+/-) Ganancia (pérdida)</v>
      </c>
      <c r="V2281" s="190" t="str">
        <f>VLOOKUP(E2281,Valida!$A$2:$K$271,4,FALSE)</f>
        <v>P&amp;L</v>
      </c>
      <c r="W2281" s="185" t="s">
        <v>1900</v>
      </c>
      <c r="X2281" s="185"/>
      <c r="Y2281" s="185" t="s">
        <v>1789</v>
      </c>
      <c r="Z2281"/>
    </row>
    <row r="2282" spans="1:26">
      <c r="A2282" s="185" t="s">
        <v>3264</v>
      </c>
      <c r="B2282" s="185" t="s">
        <v>3268</v>
      </c>
      <c r="C2282" s="185" t="s">
        <v>1897</v>
      </c>
      <c r="D2282" s="185" t="s">
        <v>3269</v>
      </c>
      <c r="E2282" s="185">
        <v>510536</v>
      </c>
      <c r="F2282" s="185" t="s">
        <v>783</v>
      </c>
      <c r="G2282" s="185" t="s">
        <v>3275</v>
      </c>
      <c r="H2282" s="185" t="s">
        <v>1515</v>
      </c>
      <c r="I2282" s="258" t="str">
        <f t="shared" si="106"/>
        <v>5</v>
      </c>
      <c r="J2282" s="221">
        <f t="shared" si="107"/>
        <v>108340</v>
      </c>
      <c r="K2282" s="258">
        <f t="shared" si="108"/>
        <v>8</v>
      </c>
      <c r="L2282" s="188">
        <v>108340</v>
      </c>
      <c r="M2282" s="188">
        <v>0</v>
      </c>
      <c r="N2282" s="189">
        <v>1130744136</v>
      </c>
      <c r="O2282" t="s">
        <v>3268</v>
      </c>
      <c r="P2282" s="187">
        <v>45166</v>
      </c>
      <c r="Q2282" s="186">
        <v>13101</v>
      </c>
      <c r="R2282" s="185"/>
      <c r="S2282" s="185" t="s">
        <v>1538</v>
      </c>
      <c r="T2282" t="s">
        <v>2729</v>
      </c>
      <c r="U2282" t="str">
        <f>IF($L2282&gt;0,VLOOKUP($E2282,Valida!$A$1:$G$270,6,FALSE),IF($M2282&gt;=0,VLOOKUP($E2282,Valida!$A$1:$G$270,7,FALSE)))</f>
        <v>(+/-) Ganancia (pérdida)</v>
      </c>
      <c r="V2282" s="190" t="str">
        <f>VLOOKUP(E2282,Valida!$A$2:$K$271,4,FALSE)</f>
        <v>P&amp;L</v>
      </c>
      <c r="W2282" s="185" t="s">
        <v>1909</v>
      </c>
      <c r="X2282" s="185" t="s">
        <v>1910</v>
      </c>
      <c r="Y2282" s="185" t="s">
        <v>1789</v>
      </c>
      <c r="Z2282"/>
    </row>
    <row r="2283" spans="1:26">
      <c r="A2283" s="185" t="s">
        <v>3264</v>
      </c>
      <c r="B2283" s="185" t="s">
        <v>3268</v>
      </c>
      <c r="C2283" s="185" t="s">
        <v>1897</v>
      </c>
      <c r="D2283" s="185" t="s">
        <v>3269</v>
      </c>
      <c r="E2283" s="185">
        <v>510539</v>
      </c>
      <c r="F2283" s="185" t="s">
        <v>818</v>
      </c>
      <c r="G2283" s="185" t="s">
        <v>3276</v>
      </c>
      <c r="H2283" s="185" t="s">
        <v>1515</v>
      </c>
      <c r="I2283" s="258" t="str">
        <f t="shared" si="106"/>
        <v>5</v>
      </c>
      <c r="J2283" s="221">
        <f t="shared" si="107"/>
        <v>53209</v>
      </c>
      <c r="K2283" s="258">
        <f t="shared" si="108"/>
        <v>8</v>
      </c>
      <c r="L2283" s="188">
        <v>53209</v>
      </c>
      <c r="M2283" s="188">
        <v>0</v>
      </c>
      <c r="N2283" s="189">
        <v>1000018061</v>
      </c>
      <c r="O2283" t="s">
        <v>3268</v>
      </c>
      <c r="P2283" s="187">
        <v>45166</v>
      </c>
      <c r="Q2283" s="186">
        <v>13102</v>
      </c>
      <c r="R2283" s="185"/>
      <c r="S2283" s="185" t="s">
        <v>1522</v>
      </c>
      <c r="T2283" t="s">
        <v>2729</v>
      </c>
      <c r="U2283" t="str">
        <f>IF($L2283&gt;0,VLOOKUP($E2283,Valida!$A$1:$G$270,6,FALSE),IF($M2283&gt;=0,VLOOKUP($E2283,Valida!$A$1:$G$270,7,FALSE)))</f>
        <v>(+/-) Ganancia (pérdida)</v>
      </c>
      <c r="V2283" s="190" t="str">
        <f>VLOOKUP(E2283,Valida!$A$2:$K$271,4,FALSE)</f>
        <v>P&amp;L</v>
      </c>
      <c r="W2283" s="185" t="s">
        <v>1978</v>
      </c>
      <c r="X2283" s="185"/>
      <c r="Y2283" s="185" t="s">
        <v>1789</v>
      </c>
      <c r="Z2283"/>
    </row>
    <row r="2284" spans="1:26">
      <c r="A2284" s="185" t="s">
        <v>3264</v>
      </c>
      <c r="B2284" s="185" t="s">
        <v>3268</v>
      </c>
      <c r="C2284" s="185" t="s">
        <v>1897</v>
      </c>
      <c r="D2284" s="185" t="s">
        <v>3269</v>
      </c>
      <c r="E2284" s="185">
        <v>510539</v>
      </c>
      <c r="F2284" s="185" t="s">
        <v>818</v>
      </c>
      <c r="G2284" s="185" t="s">
        <v>3276</v>
      </c>
      <c r="H2284" s="185" t="s">
        <v>1515</v>
      </c>
      <c r="I2284" s="258" t="str">
        <f t="shared" si="106"/>
        <v>5</v>
      </c>
      <c r="J2284" s="221">
        <f t="shared" si="107"/>
        <v>70369</v>
      </c>
      <c r="K2284" s="258">
        <f t="shared" si="108"/>
        <v>8</v>
      </c>
      <c r="L2284" s="188">
        <v>70369</v>
      </c>
      <c r="M2284" s="188">
        <v>0</v>
      </c>
      <c r="N2284" s="189">
        <v>1000036375</v>
      </c>
      <c r="O2284" t="s">
        <v>3268</v>
      </c>
      <c r="P2284" s="187">
        <v>45166</v>
      </c>
      <c r="Q2284" s="186">
        <v>13103</v>
      </c>
      <c r="R2284" s="185"/>
      <c r="S2284" s="185" t="s">
        <v>1524</v>
      </c>
      <c r="T2284" t="s">
        <v>2729</v>
      </c>
      <c r="U2284" t="str">
        <f>IF($L2284&gt;0,VLOOKUP($E2284,Valida!$A$1:$G$270,6,FALSE),IF($M2284&gt;=0,VLOOKUP($E2284,Valida!$A$1:$G$270,7,FALSE)))</f>
        <v>(+/-) Ganancia (pérdida)</v>
      </c>
      <c r="V2284" s="190" t="str">
        <f>VLOOKUP(E2284,Valida!$A$2:$K$271,4,FALSE)</f>
        <v>P&amp;L</v>
      </c>
      <c r="W2284" s="185" t="s">
        <v>1983</v>
      </c>
      <c r="X2284" s="185"/>
      <c r="Y2284" s="185" t="s">
        <v>1789</v>
      </c>
      <c r="Z2284"/>
    </row>
    <row r="2285" spans="1:26">
      <c r="A2285" s="185" t="s">
        <v>3264</v>
      </c>
      <c r="B2285" s="185" t="s">
        <v>3268</v>
      </c>
      <c r="C2285" s="185" t="s">
        <v>1897</v>
      </c>
      <c r="D2285" s="185" t="s">
        <v>3269</v>
      </c>
      <c r="E2285" s="185">
        <v>510539</v>
      </c>
      <c r="F2285" s="185" t="s">
        <v>818</v>
      </c>
      <c r="G2285" s="185" t="s">
        <v>3276</v>
      </c>
      <c r="H2285" s="185" t="s">
        <v>1515</v>
      </c>
      <c r="I2285" s="258" t="str">
        <f t="shared" si="106"/>
        <v>5</v>
      </c>
      <c r="J2285" s="221">
        <f t="shared" si="107"/>
        <v>62550</v>
      </c>
      <c r="K2285" s="258">
        <f t="shared" si="108"/>
        <v>8</v>
      </c>
      <c r="L2285" s="188">
        <v>62550</v>
      </c>
      <c r="M2285" s="188">
        <v>0</v>
      </c>
      <c r="N2285" s="189">
        <v>1010101811</v>
      </c>
      <c r="O2285" t="s">
        <v>3268</v>
      </c>
      <c r="P2285" s="187">
        <v>45166</v>
      </c>
      <c r="Q2285" s="186">
        <v>13104</v>
      </c>
      <c r="R2285" s="185"/>
      <c r="S2285" s="185" t="s">
        <v>1528</v>
      </c>
      <c r="T2285" t="s">
        <v>2729</v>
      </c>
      <c r="U2285" t="str">
        <f>IF($L2285&gt;0,VLOOKUP($E2285,Valida!$A$1:$G$270,6,FALSE),IF($M2285&gt;=0,VLOOKUP($E2285,Valida!$A$1:$G$270,7,FALSE)))</f>
        <v>(+/-) Ganancia (pérdida)</v>
      </c>
      <c r="V2285" s="190" t="str">
        <f>VLOOKUP(E2285,Valida!$A$2:$K$271,4,FALSE)</f>
        <v>P&amp;L</v>
      </c>
      <c r="W2285" s="185" t="s">
        <v>1967</v>
      </c>
      <c r="X2285" s="185"/>
      <c r="Y2285" s="185" t="s">
        <v>1789</v>
      </c>
      <c r="Z2285"/>
    </row>
    <row r="2286" spans="1:26">
      <c r="A2286" s="185" t="s">
        <v>3264</v>
      </c>
      <c r="B2286" s="185" t="s">
        <v>3268</v>
      </c>
      <c r="C2286" s="185" t="s">
        <v>1897</v>
      </c>
      <c r="D2286" s="185" t="s">
        <v>3269</v>
      </c>
      <c r="E2286" s="185">
        <v>510539</v>
      </c>
      <c r="F2286" s="185" t="s">
        <v>818</v>
      </c>
      <c r="G2286" s="185" t="s">
        <v>3276</v>
      </c>
      <c r="H2286" s="185" t="s">
        <v>1515</v>
      </c>
      <c r="I2286" s="258" t="str">
        <f t="shared" si="106"/>
        <v>5</v>
      </c>
      <c r="J2286" s="221">
        <f t="shared" si="107"/>
        <v>48372</v>
      </c>
      <c r="K2286" s="258">
        <f t="shared" si="108"/>
        <v>8</v>
      </c>
      <c r="L2286" s="188">
        <v>48372</v>
      </c>
      <c r="M2286" s="188">
        <v>0</v>
      </c>
      <c r="N2286" s="189">
        <v>1020842223</v>
      </c>
      <c r="O2286" t="s">
        <v>3268</v>
      </c>
      <c r="P2286" s="187">
        <v>45166</v>
      </c>
      <c r="Q2286" s="186">
        <v>13105</v>
      </c>
      <c r="R2286" s="185"/>
      <c r="S2286" s="185" t="s">
        <v>1532</v>
      </c>
      <c r="T2286" t="s">
        <v>2729</v>
      </c>
      <c r="U2286" t="str">
        <f>IF($L2286&gt;0,VLOOKUP($E2286,Valida!$A$1:$G$270,6,FALSE),IF($M2286&gt;=0,VLOOKUP($E2286,Valida!$A$1:$G$270,7,FALSE)))</f>
        <v>(+/-) Ganancia (pérdida)</v>
      </c>
      <c r="V2286" s="190" t="str">
        <f>VLOOKUP(E2286,Valida!$A$2:$K$271,4,FALSE)</f>
        <v>P&amp;L</v>
      </c>
      <c r="W2286" s="185" t="s">
        <v>1900</v>
      </c>
      <c r="X2286" s="185"/>
      <c r="Y2286" s="185" t="s">
        <v>1789</v>
      </c>
      <c r="Z2286"/>
    </row>
    <row r="2287" spans="1:26">
      <c r="A2287" s="185" t="s">
        <v>3264</v>
      </c>
      <c r="B2287" s="185" t="s">
        <v>3268</v>
      </c>
      <c r="C2287" s="185" t="s">
        <v>1897</v>
      </c>
      <c r="D2287" s="185" t="s">
        <v>3269</v>
      </c>
      <c r="E2287" s="185">
        <v>510539</v>
      </c>
      <c r="F2287" s="185" t="s">
        <v>818</v>
      </c>
      <c r="G2287" s="185" t="s">
        <v>3276</v>
      </c>
      <c r="H2287" s="185" t="s">
        <v>1515</v>
      </c>
      <c r="I2287" s="258" t="str">
        <f t="shared" si="106"/>
        <v>5</v>
      </c>
      <c r="J2287" s="221">
        <f t="shared" si="107"/>
        <v>48372</v>
      </c>
      <c r="K2287" s="258">
        <f t="shared" si="108"/>
        <v>8</v>
      </c>
      <c r="L2287" s="188">
        <v>48372</v>
      </c>
      <c r="M2287" s="188">
        <v>0</v>
      </c>
      <c r="N2287" s="189">
        <v>1130744136</v>
      </c>
      <c r="O2287" t="s">
        <v>3268</v>
      </c>
      <c r="P2287" s="187">
        <v>45166</v>
      </c>
      <c r="Q2287" s="186">
        <v>13106</v>
      </c>
      <c r="R2287" s="185"/>
      <c r="S2287" s="185" t="s">
        <v>1538</v>
      </c>
      <c r="T2287" t="s">
        <v>2729</v>
      </c>
      <c r="U2287" t="str">
        <f>IF($L2287&gt;0,VLOOKUP($E2287,Valida!$A$1:$G$270,6,FALSE),IF($M2287&gt;=0,VLOOKUP($E2287,Valida!$A$1:$G$270,7,FALSE)))</f>
        <v>(+/-) Ganancia (pérdida)</v>
      </c>
      <c r="V2287" s="190" t="str">
        <f>VLOOKUP(E2287,Valida!$A$2:$K$271,4,FALSE)</f>
        <v>P&amp;L</v>
      </c>
      <c r="W2287" s="185" t="s">
        <v>1909</v>
      </c>
      <c r="X2287" s="185" t="s">
        <v>1910</v>
      </c>
      <c r="Y2287" s="185" t="s">
        <v>1789</v>
      </c>
      <c r="Z2287"/>
    </row>
    <row r="2288" spans="1:26">
      <c r="A2288" s="185" t="s">
        <v>3264</v>
      </c>
      <c r="B2288" s="185" t="s">
        <v>3268</v>
      </c>
      <c r="C2288" s="185" t="s">
        <v>1897</v>
      </c>
      <c r="D2288" s="185" t="s">
        <v>3269</v>
      </c>
      <c r="E2288" s="185">
        <v>510568</v>
      </c>
      <c r="F2288" s="185" t="s">
        <v>680</v>
      </c>
      <c r="G2288" s="185" t="s">
        <v>3270</v>
      </c>
      <c r="H2288" s="185" t="s">
        <v>1515</v>
      </c>
      <c r="I2288" s="258" t="str">
        <f t="shared" si="106"/>
        <v>5</v>
      </c>
      <c r="J2288" s="221">
        <f t="shared" si="107"/>
        <v>7830</v>
      </c>
      <c r="K2288" s="258">
        <f t="shared" si="108"/>
        <v>8</v>
      </c>
      <c r="L2288" s="188">
        <v>7830</v>
      </c>
      <c r="M2288" s="188">
        <v>0</v>
      </c>
      <c r="N2288" s="189">
        <v>860002503</v>
      </c>
      <c r="O2288" t="s">
        <v>3268</v>
      </c>
      <c r="P2288" s="187">
        <v>45166</v>
      </c>
      <c r="Q2288" s="186">
        <v>13107</v>
      </c>
      <c r="R2288" s="185" t="s">
        <v>433</v>
      </c>
      <c r="S2288" s="185" t="s">
        <v>1656</v>
      </c>
      <c r="T2288" t="s">
        <v>2729</v>
      </c>
      <c r="U2288" t="str">
        <f>IF($L2288&gt;0,VLOOKUP($E2288,Valida!$A$1:$G$270,6,FALSE),IF($M2288&gt;=0,VLOOKUP($E2288,Valida!$A$1:$G$270,7,FALSE)))</f>
        <v>(+/-) Ganancia (pérdida)</v>
      </c>
      <c r="V2288" s="190" t="str">
        <f>VLOOKUP(E2288,Valida!$A$2:$K$271,4,FALSE)</f>
        <v>P&amp;L</v>
      </c>
      <c r="W2288" s="185" t="s">
        <v>1912</v>
      </c>
      <c r="X2288" s="185" t="s">
        <v>1913</v>
      </c>
      <c r="Y2288" s="185" t="s">
        <v>1789</v>
      </c>
      <c r="Z2288"/>
    </row>
    <row r="2289" spans="1:26">
      <c r="A2289" s="185" t="s">
        <v>3264</v>
      </c>
      <c r="B2289" s="185" t="s">
        <v>3268</v>
      </c>
      <c r="C2289" s="185" t="s">
        <v>1897</v>
      </c>
      <c r="D2289" s="185" t="s">
        <v>3269</v>
      </c>
      <c r="E2289" s="185">
        <v>510568</v>
      </c>
      <c r="F2289" s="185" t="s">
        <v>680</v>
      </c>
      <c r="G2289" s="185" t="s">
        <v>3270</v>
      </c>
      <c r="H2289" s="185" t="s">
        <v>1515</v>
      </c>
      <c r="I2289" s="258" t="str">
        <f t="shared" si="106"/>
        <v>5</v>
      </c>
      <c r="J2289" s="221">
        <f t="shared" si="107"/>
        <v>6661</v>
      </c>
      <c r="K2289" s="258">
        <f t="shared" si="108"/>
        <v>8</v>
      </c>
      <c r="L2289" s="188">
        <v>6661</v>
      </c>
      <c r="M2289" s="188">
        <v>0</v>
      </c>
      <c r="N2289" s="189">
        <v>860002503</v>
      </c>
      <c r="O2289" t="s">
        <v>3268</v>
      </c>
      <c r="P2289" s="187">
        <v>45166</v>
      </c>
      <c r="Q2289" s="186">
        <v>13108</v>
      </c>
      <c r="R2289" s="185" t="s">
        <v>433</v>
      </c>
      <c r="S2289" s="185" t="s">
        <v>1656</v>
      </c>
      <c r="T2289" t="s">
        <v>2729</v>
      </c>
      <c r="U2289" t="str">
        <f>IF($L2289&gt;0,VLOOKUP($E2289,Valida!$A$1:$G$270,6,FALSE),IF($M2289&gt;=0,VLOOKUP($E2289,Valida!$A$1:$G$270,7,FALSE)))</f>
        <v>(+/-) Ganancia (pérdida)</v>
      </c>
      <c r="V2289" s="190" t="str">
        <f>VLOOKUP(E2289,Valida!$A$2:$K$271,4,FALSE)</f>
        <v>P&amp;L</v>
      </c>
      <c r="W2289" s="185" t="s">
        <v>1912</v>
      </c>
      <c r="X2289" s="185" t="s">
        <v>1913</v>
      </c>
      <c r="Y2289" s="185" t="s">
        <v>1789</v>
      </c>
      <c r="Z2289"/>
    </row>
    <row r="2290" spans="1:26">
      <c r="A2290" s="185" t="s">
        <v>3264</v>
      </c>
      <c r="B2290" s="185" t="s">
        <v>3268</v>
      </c>
      <c r="C2290" s="185" t="s">
        <v>1897</v>
      </c>
      <c r="D2290" s="185" t="s">
        <v>3269</v>
      </c>
      <c r="E2290" s="185">
        <v>510568</v>
      </c>
      <c r="F2290" s="185" t="s">
        <v>680</v>
      </c>
      <c r="G2290" s="185" t="s">
        <v>3270</v>
      </c>
      <c r="H2290" s="185" t="s">
        <v>1515</v>
      </c>
      <c r="I2290" s="258" t="str">
        <f t="shared" si="106"/>
        <v>5</v>
      </c>
      <c r="J2290" s="221">
        <f t="shared" si="107"/>
        <v>9502</v>
      </c>
      <c r="K2290" s="258">
        <f t="shared" si="108"/>
        <v>8</v>
      </c>
      <c r="L2290" s="188">
        <v>9502</v>
      </c>
      <c r="M2290" s="188">
        <v>0</v>
      </c>
      <c r="N2290" s="189">
        <v>860002503</v>
      </c>
      <c r="O2290" t="s">
        <v>3268</v>
      </c>
      <c r="P2290" s="187">
        <v>45166</v>
      </c>
      <c r="Q2290" s="186">
        <v>13109</v>
      </c>
      <c r="R2290" s="185" t="s">
        <v>433</v>
      </c>
      <c r="S2290" s="185" t="s">
        <v>1656</v>
      </c>
      <c r="T2290" t="s">
        <v>2729</v>
      </c>
      <c r="U2290" t="str">
        <f>IF($L2290&gt;0,VLOOKUP($E2290,Valida!$A$1:$G$270,6,FALSE),IF($M2290&gt;=0,VLOOKUP($E2290,Valida!$A$1:$G$270,7,FALSE)))</f>
        <v>(+/-) Ganancia (pérdida)</v>
      </c>
      <c r="V2290" s="190" t="str">
        <f>VLOOKUP(E2290,Valida!$A$2:$K$271,4,FALSE)</f>
        <v>P&amp;L</v>
      </c>
      <c r="W2290" s="185" t="s">
        <v>1912</v>
      </c>
      <c r="X2290" s="185" t="s">
        <v>1913</v>
      </c>
      <c r="Y2290" s="185" t="s">
        <v>1789</v>
      </c>
      <c r="Z2290"/>
    </row>
    <row r="2291" spans="1:26">
      <c r="A2291" s="185" t="s">
        <v>3264</v>
      </c>
      <c r="B2291" s="185" t="s">
        <v>3268</v>
      </c>
      <c r="C2291" s="185" t="s">
        <v>1897</v>
      </c>
      <c r="D2291" s="185" t="s">
        <v>3269</v>
      </c>
      <c r="E2291" s="185">
        <v>510568</v>
      </c>
      <c r="F2291" s="185" t="s">
        <v>680</v>
      </c>
      <c r="G2291" s="185" t="s">
        <v>3270</v>
      </c>
      <c r="H2291" s="185" t="s">
        <v>1515</v>
      </c>
      <c r="I2291" s="258" t="str">
        <f t="shared" si="106"/>
        <v>5</v>
      </c>
      <c r="J2291" s="221">
        <f t="shared" si="107"/>
        <v>6055</v>
      </c>
      <c r="K2291" s="258">
        <f t="shared" si="108"/>
        <v>8</v>
      </c>
      <c r="L2291" s="188">
        <v>6055</v>
      </c>
      <c r="M2291" s="188">
        <v>0</v>
      </c>
      <c r="N2291" s="189">
        <v>860002503</v>
      </c>
      <c r="O2291" t="s">
        <v>3268</v>
      </c>
      <c r="P2291" s="187">
        <v>45166</v>
      </c>
      <c r="Q2291" s="186">
        <v>13110</v>
      </c>
      <c r="R2291" s="185" t="s">
        <v>433</v>
      </c>
      <c r="S2291" s="185" t="s">
        <v>1656</v>
      </c>
      <c r="T2291" t="s">
        <v>2729</v>
      </c>
      <c r="U2291" t="str">
        <f>IF($L2291&gt;0,VLOOKUP($E2291,Valida!$A$1:$G$270,6,FALSE),IF($M2291&gt;=0,VLOOKUP($E2291,Valida!$A$1:$G$270,7,FALSE)))</f>
        <v>(+/-) Ganancia (pérdida)</v>
      </c>
      <c r="V2291" s="190" t="str">
        <f>VLOOKUP(E2291,Valida!$A$2:$K$271,4,FALSE)</f>
        <v>P&amp;L</v>
      </c>
      <c r="W2291" s="185" t="s">
        <v>1912</v>
      </c>
      <c r="X2291" s="185" t="s">
        <v>1913</v>
      </c>
      <c r="Y2291" s="185" t="s">
        <v>1789</v>
      </c>
      <c r="Z2291"/>
    </row>
    <row r="2292" spans="1:26">
      <c r="A2292" s="185" t="s">
        <v>3264</v>
      </c>
      <c r="B2292" s="185" t="s">
        <v>3268</v>
      </c>
      <c r="C2292" s="185" t="s">
        <v>1897</v>
      </c>
      <c r="D2292" s="185" t="s">
        <v>3269</v>
      </c>
      <c r="E2292" s="185">
        <v>510568</v>
      </c>
      <c r="F2292" s="185" t="s">
        <v>680</v>
      </c>
      <c r="G2292" s="185" t="s">
        <v>3270</v>
      </c>
      <c r="H2292" s="185" t="s">
        <v>1628</v>
      </c>
      <c r="I2292" s="258" t="str">
        <f t="shared" si="106"/>
        <v>5</v>
      </c>
      <c r="J2292" s="221">
        <f t="shared" si="107"/>
        <v>0</v>
      </c>
      <c r="K2292" s="258">
        <f t="shared" si="108"/>
        <v>8</v>
      </c>
      <c r="L2292" s="188">
        <v>0</v>
      </c>
      <c r="M2292" s="188">
        <v>0</v>
      </c>
      <c r="N2292" s="189">
        <v>860002503</v>
      </c>
      <c r="O2292" t="s">
        <v>3268</v>
      </c>
      <c r="P2292" s="187">
        <v>45166</v>
      </c>
      <c r="Q2292" s="186">
        <v>13111</v>
      </c>
      <c r="R2292" s="185" t="s">
        <v>433</v>
      </c>
      <c r="S2292" s="185" t="s">
        <v>1656</v>
      </c>
      <c r="T2292" t="s">
        <v>2729</v>
      </c>
      <c r="U2292" t="str">
        <f>IF($L2292&gt;0,VLOOKUP($E2292,Valida!$A$1:$G$270,6,FALSE),IF($M2292&gt;=0,VLOOKUP($E2292,Valida!$A$1:$G$270,7,FALSE)))</f>
        <v>(+/-) Ganancia (pérdida)</v>
      </c>
      <c r="V2292" s="190" t="str">
        <f>VLOOKUP(E2292,Valida!$A$2:$K$271,4,FALSE)</f>
        <v>P&amp;L</v>
      </c>
      <c r="W2292" s="185" t="s">
        <v>1912</v>
      </c>
      <c r="X2292" s="185" t="s">
        <v>1913</v>
      </c>
      <c r="Y2292" s="185" t="s">
        <v>1789</v>
      </c>
      <c r="Z2292"/>
    </row>
    <row r="2293" spans="1:26">
      <c r="A2293" s="185" t="s">
        <v>3264</v>
      </c>
      <c r="B2293" s="185" t="s">
        <v>3268</v>
      </c>
      <c r="C2293" s="185" t="s">
        <v>1897</v>
      </c>
      <c r="D2293" s="185" t="s">
        <v>3269</v>
      </c>
      <c r="E2293" s="185">
        <v>510570</v>
      </c>
      <c r="F2293" s="185" t="s">
        <v>1116</v>
      </c>
      <c r="G2293" s="185" t="s">
        <v>3272</v>
      </c>
      <c r="H2293" s="185" t="s">
        <v>1515</v>
      </c>
      <c r="I2293" s="258" t="str">
        <f t="shared" si="106"/>
        <v>5</v>
      </c>
      <c r="J2293" s="221">
        <f t="shared" si="107"/>
        <v>180000</v>
      </c>
      <c r="K2293" s="258">
        <f t="shared" si="108"/>
        <v>8</v>
      </c>
      <c r="L2293" s="188">
        <v>180000</v>
      </c>
      <c r="M2293" s="188">
        <v>0</v>
      </c>
      <c r="N2293" s="189">
        <v>800224808</v>
      </c>
      <c r="O2293" t="s">
        <v>3268</v>
      </c>
      <c r="P2293" s="187">
        <v>45166</v>
      </c>
      <c r="Q2293" s="186">
        <v>13112</v>
      </c>
      <c r="R2293" s="185" t="s">
        <v>1827</v>
      </c>
      <c r="S2293" s="185" t="s">
        <v>1662</v>
      </c>
      <c r="T2293" t="s">
        <v>2729</v>
      </c>
      <c r="U2293" t="str">
        <f>IF($L2293&gt;0,VLOOKUP($E2293,Valida!$A$1:$G$270,6,FALSE),IF($M2293&gt;=0,VLOOKUP($E2293,Valida!$A$1:$G$270,7,FALSE)))</f>
        <v>(+/-) Ganancia (pérdida)</v>
      </c>
      <c r="V2293" s="190" t="str">
        <f>VLOOKUP(E2293,Valida!$A$2:$K$271,4,FALSE)</f>
        <v>P&amp;L</v>
      </c>
      <c r="W2293" s="185" t="s">
        <v>1911</v>
      </c>
      <c r="X2293" s="185"/>
      <c r="Y2293" s="185" t="s">
        <v>1789</v>
      </c>
      <c r="Z2293"/>
    </row>
    <row r="2294" spans="1:26">
      <c r="A2294" s="185" t="s">
        <v>3264</v>
      </c>
      <c r="B2294" s="185" t="s">
        <v>3268</v>
      </c>
      <c r="C2294" s="185" t="s">
        <v>1897</v>
      </c>
      <c r="D2294" s="185" t="s">
        <v>3269</v>
      </c>
      <c r="E2294" s="185">
        <v>510570</v>
      </c>
      <c r="F2294" s="185" t="s">
        <v>1116</v>
      </c>
      <c r="G2294" s="185" t="s">
        <v>3272</v>
      </c>
      <c r="H2294" s="185" t="s">
        <v>1515</v>
      </c>
      <c r="I2294" s="258" t="str">
        <f t="shared" si="106"/>
        <v>5</v>
      </c>
      <c r="J2294" s="221">
        <f t="shared" si="107"/>
        <v>218437</v>
      </c>
      <c r="K2294" s="258">
        <f t="shared" si="108"/>
        <v>8</v>
      </c>
      <c r="L2294" s="188">
        <v>218437</v>
      </c>
      <c r="M2294" s="188">
        <v>0</v>
      </c>
      <c r="N2294" s="189">
        <v>800224808</v>
      </c>
      <c r="O2294" t="s">
        <v>3268</v>
      </c>
      <c r="P2294" s="187">
        <v>45166</v>
      </c>
      <c r="Q2294" s="186">
        <v>13113</v>
      </c>
      <c r="R2294" s="185" t="s">
        <v>1827</v>
      </c>
      <c r="S2294" s="185" t="s">
        <v>1662</v>
      </c>
      <c r="T2294" t="s">
        <v>2729</v>
      </c>
      <c r="U2294" t="str">
        <f>IF($L2294&gt;0,VLOOKUP($E2294,Valida!$A$1:$G$270,6,FALSE),IF($M2294&gt;=0,VLOOKUP($E2294,Valida!$A$1:$G$270,7,FALSE)))</f>
        <v>(+/-) Ganancia (pérdida)</v>
      </c>
      <c r="V2294" s="190" t="str">
        <f>VLOOKUP(E2294,Valida!$A$2:$K$271,4,FALSE)</f>
        <v>P&amp;L</v>
      </c>
      <c r="W2294" s="185" t="s">
        <v>1911</v>
      </c>
      <c r="X2294" s="185"/>
      <c r="Y2294" s="185" t="s">
        <v>1789</v>
      </c>
      <c r="Z2294"/>
    </row>
    <row r="2295" spans="1:26">
      <c r="A2295" s="185" t="s">
        <v>3264</v>
      </c>
      <c r="B2295" s="185" t="s">
        <v>3268</v>
      </c>
      <c r="C2295" s="185" t="s">
        <v>1897</v>
      </c>
      <c r="D2295" s="185" t="s">
        <v>3269</v>
      </c>
      <c r="E2295" s="185">
        <v>510570</v>
      </c>
      <c r="F2295" s="185" t="s">
        <v>1116</v>
      </c>
      <c r="G2295" s="185" t="s">
        <v>3272</v>
      </c>
      <c r="H2295" s="185" t="s">
        <v>1515</v>
      </c>
      <c r="I2295" s="258" t="str">
        <f t="shared" si="106"/>
        <v>5</v>
      </c>
      <c r="J2295" s="221">
        <f t="shared" si="107"/>
        <v>139200</v>
      </c>
      <c r="K2295" s="258">
        <f t="shared" si="108"/>
        <v>8</v>
      </c>
      <c r="L2295" s="188">
        <v>139200</v>
      </c>
      <c r="M2295" s="188">
        <v>0</v>
      </c>
      <c r="N2295" s="189">
        <v>800224808</v>
      </c>
      <c r="O2295" t="s">
        <v>3268</v>
      </c>
      <c r="P2295" s="187">
        <v>45166</v>
      </c>
      <c r="Q2295" s="186">
        <v>13114</v>
      </c>
      <c r="R2295" s="185" t="s">
        <v>1827</v>
      </c>
      <c r="S2295" s="185" t="s">
        <v>1662</v>
      </c>
      <c r="T2295" t="s">
        <v>2729</v>
      </c>
      <c r="U2295" t="str">
        <f>IF($L2295&gt;0,VLOOKUP($E2295,Valida!$A$1:$G$270,6,FALSE),IF($M2295&gt;=0,VLOOKUP($E2295,Valida!$A$1:$G$270,7,FALSE)))</f>
        <v>(+/-) Ganancia (pérdida)</v>
      </c>
      <c r="V2295" s="190" t="str">
        <f>VLOOKUP(E2295,Valida!$A$2:$K$271,4,FALSE)</f>
        <v>P&amp;L</v>
      </c>
      <c r="W2295" s="185" t="s">
        <v>1911</v>
      </c>
      <c r="X2295" s="185"/>
      <c r="Y2295" s="185" t="s">
        <v>1789</v>
      </c>
      <c r="Z2295"/>
    </row>
    <row r="2296" spans="1:26">
      <c r="A2296" s="185" t="s">
        <v>3264</v>
      </c>
      <c r="B2296" s="185" t="s">
        <v>3268</v>
      </c>
      <c r="C2296" s="185" t="s">
        <v>1897</v>
      </c>
      <c r="D2296" s="185" t="s">
        <v>3269</v>
      </c>
      <c r="E2296" s="185">
        <v>510570</v>
      </c>
      <c r="F2296" s="185" t="s">
        <v>1116</v>
      </c>
      <c r="G2296" s="185" t="s">
        <v>3272</v>
      </c>
      <c r="H2296" s="185" t="s">
        <v>1515</v>
      </c>
      <c r="I2296" s="258" t="str">
        <f t="shared" si="106"/>
        <v>5</v>
      </c>
      <c r="J2296" s="221">
        <f t="shared" si="107"/>
        <v>92800</v>
      </c>
      <c r="K2296" s="258">
        <f t="shared" si="108"/>
        <v>8</v>
      </c>
      <c r="L2296" s="188">
        <v>92800</v>
      </c>
      <c r="M2296" s="188">
        <v>0</v>
      </c>
      <c r="N2296" s="189">
        <v>800224808</v>
      </c>
      <c r="O2296" t="s">
        <v>3268</v>
      </c>
      <c r="P2296" s="187">
        <v>45166</v>
      </c>
      <c r="Q2296" s="186">
        <v>13115</v>
      </c>
      <c r="R2296" s="185" t="s">
        <v>1827</v>
      </c>
      <c r="S2296" s="185" t="s">
        <v>1662</v>
      </c>
      <c r="T2296" t="s">
        <v>2729</v>
      </c>
      <c r="U2296" t="str">
        <f>IF($L2296&gt;0,VLOOKUP($E2296,Valida!$A$1:$G$270,6,FALSE),IF($M2296&gt;=0,VLOOKUP($E2296,Valida!$A$1:$G$270,7,FALSE)))</f>
        <v>(+/-) Ganancia (pérdida)</v>
      </c>
      <c r="V2296" s="190" t="str">
        <f>VLOOKUP(E2296,Valida!$A$2:$K$271,4,FALSE)</f>
        <v>P&amp;L</v>
      </c>
      <c r="W2296" s="185" t="s">
        <v>1911</v>
      </c>
      <c r="X2296" s="185"/>
      <c r="Y2296" s="185" t="s">
        <v>1789</v>
      </c>
      <c r="Z2296"/>
    </row>
    <row r="2297" spans="1:26">
      <c r="A2297" s="185" t="s">
        <v>3264</v>
      </c>
      <c r="B2297" s="185" t="s">
        <v>3268</v>
      </c>
      <c r="C2297" s="185" t="s">
        <v>1897</v>
      </c>
      <c r="D2297" s="185" t="s">
        <v>3269</v>
      </c>
      <c r="E2297" s="185">
        <v>510570</v>
      </c>
      <c r="F2297" s="185" t="s">
        <v>1116</v>
      </c>
      <c r="G2297" s="185" t="s">
        <v>3272</v>
      </c>
      <c r="H2297" s="185" t="s">
        <v>1515</v>
      </c>
      <c r="I2297" s="258" t="str">
        <f t="shared" si="106"/>
        <v>5</v>
      </c>
      <c r="J2297" s="221">
        <f t="shared" si="107"/>
        <v>153120</v>
      </c>
      <c r="K2297" s="258">
        <f t="shared" si="108"/>
        <v>8</v>
      </c>
      <c r="L2297" s="188">
        <v>153120</v>
      </c>
      <c r="M2297" s="188">
        <v>0</v>
      </c>
      <c r="N2297" s="189">
        <v>800227940</v>
      </c>
      <c r="O2297" t="s">
        <v>3268</v>
      </c>
      <c r="P2297" s="187">
        <v>45166</v>
      </c>
      <c r="Q2297" s="186">
        <v>13116</v>
      </c>
      <c r="R2297" s="185"/>
      <c r="S2297" s="185" t="s">
        <v>1664</v>
      </c>
      <c r="T2297" t="s">
        <v>2729</v>
      </c>
      <c r="U2297" t="str">
        <f>IF($L2297&gt;0,VLOOKUP($E2297,Valida!$A$1:$G$270,6,FALSE),IF($M2297&gt;=0,VLOOKUP($E2297,Valida!$A$1:$G$270,7,FALSE)))</f>
        <v>(+/-) Ganancia (pérdida)</v>
      </c>
      <c r="V2297" s="190" t="str">
        <f>VLOOKUP(E2297,Valida!$A$2:$K$271,4,FALSE)</f>
        <v>P&amp;L</v>
      </c>
      <c r="W2297" s="185"/>
      <c r="X2297" s="185"/>
      <c r="Y2297" s="185"/>
      <c r="Z2297"/>
    </row>
    <row r="2298" spans="1:26">
      <c r="A2298" s="185" t="s">
        <v>3264</v>
      </c>
      <c r="B2298" s="185" t="s">
        <v>3268</v>
      </c>
      <c r="C2298" s="185" t="s">
        <v>1897</v>
      </c>
      <c r="D2298" s="185" t="s">
        <v>3269</v>
      </c>
      <c r="E2298" s="185">
        <v>510572</v>
      </c>
      <c r="F2298" s="185" t="s">
        <v>1118</v>
      </c>
      <c r="G2298" s="185" t="s">
        <v>3271</v>
      </c>
      <c r="H2298" s="185" t="s">
        <v>1515</v>
      </c>
      <c r="I2298" s="258" t="str">
        <f t="shared" si="106"/>
        <v>5</v>
      </c>
      <c r="J2298" s="221">
        <f t="shared" si="107"/>
        <v>45000</v>
      </c>
      <c r="K2298" s="258">
        <f t="shared" si="108"/>
        <v>8</v>
      </c>
      <c r="L2298" s="188">
        <v>45000</v>
      </c>
      <c r="M2298" s="188">
        <v>0</v>
      </c>
      <c r="N2298" s="189">
        <v>860066942</v>
      </c>
      <c r="O2298" t="s">
        <v>3268</v>
      </c>
      <c r="P2298" s="187">
        <v>45166</v>
      </c>
      <c r="Q2298" s="186">
        <v>13117</v>
      </c>
      <c r="R2298" s="185" t="s">
        <v>1814</v>
      </c>
      <c r="S2298" s="185" t="s">
        <v>1574</v>
      </c>
      <c r="T2298" t="s">
        <v>2729</v>
      </c>
      <c r="U2298" t="str">
        <f>IF($L2298&gt;0,VLOOKUP($E2298,Valida!$A$1:$G$270,6,FALSE),IF($M2298&gt;=0,VLOOKUP($E2298,Valida!$A$1:$G$270,7,FALSE)))</f>
        <v>(+/-) Ganancia (pérdida)</v>
      </c>
      <c r="V2298" s="190" t="str">
        <f>VLOOKUP(E2298,Valida!$A$2:$K$271,4,FALSE)</f>
        <v>P&amp;L</v>
      </c>
      <c r="W2298" s="185" t="s">
        <v>1914</v>
      </c>
      <c r="X2298" s="185" t="s">
        <v>1915</v>
      </c>
      <c r="Y2298" s="185" t="s">
        <v>1789</v>
      </c>
      <c r="Z2298"/>
    </row>
    <row r="2299" spans="1:26">
      <c r="A2299" s="185" t="s">
        <v>3264</v>
      </c>
      <c r="B2299" s="185" t="s">
        <v>3268</v>
      </c>
      <c r="C2299" s="185" t="s">
        <v>1897</v>
      </c>
      <c r="D2299" s="185" t="s">
        <v>3269</v>
      </c>
      <c r="E2299" s="185">
        <v>510572</v>
      </c>
      <c r="F2299" s="185" t="s">
        <v>1118</v>
      </c>
      <c r="G2299" s="185" t="s">
        <v>3271</v>
      </c>
      <c r="H2299" s="185" t="s">
        <v>1515</v>
      </c>
      <c r="I2299" s="258" t="str">
        <f t="shared" si="106"/>
        <v>5</v>
      </c>
      <c r="J2299" s="221">
        <f t="shared" si="107"/>
        <v>38300</v>
      </c>
      <c r="K2299" s="258">
        <f t="shared" si="108"/>
        <v>8</v>
      </c>
      <c r="L2299" s="188">
        <v>38300</v>
      </c>
      <c r="M2299" s="188">
        <v>0</v>
      </c>
      <c r="N2299" s="189">
        <v>860066942</v>
      </c>
      <c r="O2299" t="s">
        <v>3268</v>
      </c>
      <c r="P2299" s="187">
        <v>45166</v>
      </c>
      <c r="Q2299" s="186">
        <v>13118</v>
      </c>
      <c r="R2299" s="185" t="s">
        <v>1814</v>
      </c>
      <c r="S2299" s="185" t="s">
        <v>1574</v>
      </c>
      <c r="T2299" t="s">
        <v>2729</v>
      </c>
      <c r="U2299" t="str">
        <f>IF($L2299&gt;0,VLOOKUP($E2299,Valida!$A$1:$G$270,6,FALSE),IF($M2299&gt;=0,VLOOKUP($E2299,Valida!$A$1:$G$270,7,FALSE)))</f>
        <v>(+/-) Ganancia (pérdida)</v>
      </c>
      <c r="V2299" s="190" t="str">
        <f>VLOOKUP(E2299,Valida!$A$2:$K$271,4,FALSE)</f>
        <v>P&amp;L</v>
      </c>
      <c r="W2299" s="185" t="s">
        <v>1914</v>
      </c>
      <c r="X2299" s="185" t="s">
        <v>1915</v>
      </c>
      <c r="Y2299" s="185" t="s">
        <v>1789</v>
      </c>
      <c r="Z2299"/>
    </row>
    <row r="2300" spans="1:26">
      <c r="A2300" s="185" t="s">
        <v>3264</v>
      </c>
      <c r="B2300" s="185" t="s">
        <v>3268</v>
      </c>
      <c r="C2300" s="185" t="s">
        <v>1897</v>
      </c>
      <c r="D2300" s="185" t="s">
        <v>3269</v>
      </c>
      <c r="E2300" s="185">
        <v>510572</v>
      </c>
      <c r="F2300" s="185" t="s">
        <v>1118</v>
      </c>
      <c r="G2300" s="185" t="s">
        <v>3271</v>
      </c>
      <c r="H2300" s="185" t="s">
        <v>1515</v>
      </c>
      <c r="I2300" s="258" t="str">
        <f t="shared" si="106"/>
        <v>5</v>
      </c>
      <c r="J2300" s="221">
        <f t="shared" si="107"/>
        <v>54600</v>
      </c>
      <c r="K2300" s="258">
        <f t="shared" si="108"/>
        <v>8</v>
      </c>
      <c r="L2300" s="188">
        <v>54600</v>
      </c>
      <c r="M2300" s="188">
        <v>0</v>
      </c>
      <c r="N2300" s="189">
        <v>860066942</v>
      </c>
      <c r="O2300" t="s">
        <v>3268</v>
      </c>
      <c r="P2300" s="187">
        <v>45166</v>
      </c>
      <c r="Q2300" s="186">
        <v>13119</v>
      </c>
      <c r="R2300" s="185" t="s">
        <v>1814</v>
      </c>
      <c r="S2300" s="185" t="s">
        <v>1574</v>
      </c>
      <c r="T2300" t="s">
        <v>2729</v>
      </c>
      <c r="U2300" t="str">
        <f>IF($L2300&gt;0,VLOOKUP($E2300,Valida!$A$1:$G$270,6,FALSE),IF($M2300&gt;=0,VLOOKUP($E2300,Valida!$A$1:$G$270,7,FALSE)))</f>
        <v>(+/-) Ganancia (pérdida)</v>
      </c>
      <c r="V2300" s="190" t="str">
        <f>VLOOKUP(E2300,Valida!$A$2:$K$271,4,FALSE)</f>
        <v>P&amp;L</v>
      </c>
      <c r="W2300" s="185" t="s">
        <v>1914</v>
      </c>
      <c r="X2300" s="185" t="s">
        <v>1915</v>
      </c>
      <c r="Y2300" s="185" t="s">
        <v>1789</v>
      </c>
      <c r="Z2300"/>
    </row>
    <row r="2301" spans="1:26">
      <c r="A2301" s="185" t="s">
        <v>3264</v>
      </c>
      <c r="B2301" s="185" t="s">
        <v>3268</v>
      </c>
      <c r="C2301" s="185" t="s">
        <v>1897</v>
      </c>
      <c r="D2301" s="185" t="s">
        <v>3269</v>
      </c>
      <c r="E2301" s="185">
        <v>510572</v>
      </c>
      <c r="F2301" s="185" t="s">
        <v>1118</v>
      </c>
      <c r="G2301" s="185" t="s">
        <v>3271</v>
      </c>
      <c r="H2301" s="185" t="s">
        <v>1515</v>
      </c>
      <c r="I2301" s="258" t="str">
        <f t="shared" si="106"/>
        <v>5</v>
      </c>
      <c r="J2301" s="221">
        <f t="shared" si="107"/>
        <v>34800</v>
      </c>
      <c r="K2301" s="258">
        <f t="shared" si="108"/>
        <v>8</v>
      </c>
      <c r="L2301" s="188">
        <v>34800</v>
      </c>
      <c r="M2301" s="188">
        <v>0</v>
      </c>
      <c r="N2301" s="189">
        <v>860066942</v>
      </c>
      <c r="O2301" t="s">
        <v>3268</v>
      </c>
      <c r="P2301" s="187">
        <v>45166</v>
      </c>
      <c r="Q2301" s="186">
        <v>13120</v>
      </c>
      <c r="R2301" s="185" t="s">
        <v>1814</v>
      </c>
      <c r="S2301" s="185" t="s">
        <v>1574</v>
      </c>
      <c r="T2301" t="s">
        <v>2729</v>
      </c>
      <c r="U2301" t="str">
        <f>IF($L2301&gt;0,VLOOKUP($E2301,Valida!$A$1:$G$270,6,FALSE),IF($M2301&gt;=0,VLOOKUP($E2301,Valida!$A$1:$G$270,7,FALSE)))</f>
        <v>(+/-) Ganancia (pérdida)</v>
      </c>
      <c r="V2301" s="190" t="str">
        <f>VLOOKUP(E2301,Valida!$A$2:$K$271,4,FALSE)</f>
        <v>P&amp;L</v>
      </c>
      <c r="W2301" s="185" t="s">
        <v>1914</v>
      </c>
      <c r="X2301" s="185" t="s">
        <v>1915</v>
      </c>
      <c r="Y2301" s="185" t="s">
        <v>1789</v>
      </c>
      <c r="Z2301"/>
    </row>
    <row r="2302" spans="1:26">
      <c r="A2302" s="185" t="s">
        <v>3264</v>
      </c>
      <c r="B2302" s="185" t="s">
        <v>3268</v>
      </c>
      <c r="C2302" s="185" t="s">
        <v>1897</v>
      </c>
      <c r="D2302" s="185" t="s">
        <v>3269</v>
      </c>
      <c r="E2302" s="185">
        <v>510572</v>
      </c>
      <c r="F2302" s="185" t="s">
        <v>1118</v>
      </c>
      <c r="G2302" s="185" t="s">
        <v>3271</v>
      </c>
      <c r="H2302" s="185" t="s">
        <v>1515</v>
      </c>
      <c r="I2302" s="258" t="str">
        <f t="shared" si="106"/>
        <v>5</v>
      </c>
      <c r="J2302" s="221">
        <f t="shared" si="107"/>
        <v>34800</v>
      </c>
      <c r="K2302" s="258">
        <f t="shared" si="108"/>
        <v>8</v>
      </c>
      <c r="L2302" s="188">
        <v>34800</v>
      </c>
      <c r="M2302" s="188">
        <v>0</v>
      </c>
      <c r="N2302" s="189">
        <v>860066942</v>
      </c>
      <c r="O2302" t="s">
        <v>3268</v>
      </c>
      <c r="P2302" s="187">
        <v>45166</v>
      </c>
      <c r="Q2302" s="186">
        <v>13121</v>
      </c>
      <c r="R2302" s="185" t="s">
        <v>1814</v>
      </c>
      <c r="S2302" s="185" t="s">
        <v>1574</v>
      </c>
      <c r="T2302" t="s">
        <v>2729</v>
      </c>
      <c r="U2302" t="str">
        <f>IF($L2302&gt;0,VLOOKUP($E2302,Valida!$A$1:$G$270,6,FALSE),IF($M2302&gt;=0,VLOOKUP($E2302,Valida!$A$1:$G$270,7,FALSE)))</f>
        <v>(+/-) Ganancia (pérdida)</v>
      </c>
      <c r="V2302" s="190" t="str">
        <f>VLOOKUP(E2302,Valida!$A$2:$K$271,4,FALSE)</f>
        <v>P&amp;L</v>
      </c>
      <c r="W2302" s="185" t="s">
        <v>1914</v>
      </c>
      <c r="X2302" s="185" t="s">
        <v>1915</v>
      </c>
      <c r="Y2302" s="185" t="s">
        <v>1789</v>
      </c>
      <c r="Z2302"/>
    </row>
    <row r="2303" spans="1:26">
      <c r="A2303" s="185" t="s">
        <v>3277</v>
      </c>
      <c r="B2303" s="185" t="s">
        <v>3278</v>
      </c>
      <c r="C2303" s="185" t="s">
        <v>1890</v>
      </c>
      <c r="D2303" s="185" t="s">
        <v>3279</v>
      </c>
      <c r="E2303" s="185">
        <v>250505</v>
      </c>
      <c r="F2303" s="185" t="s">
        <v>767</v>
      </c>
      <c r="G2303" s="185" t="s">
        <v>3280</v>
      </c>
      <c r="H2303" s="185" t="s">
        <v>1515</v>
      </c>
      <c r="I2303" s="258" t="str">
        <f t="shared" si="106"/>
        <v>2</v>
      </c>
      <c r="J2303" s="221">
        <f t="shared" si="107"/>
        <v>1815294</v>
      </c>
      <c r="K2303" s="258">
        <f t="shared" si="108"/>
        <v>8</v>
      </c>
      <c r="L2303" s="188">
        <v>1815294</v>
      </c>
      <c r="M2303" s="188">
        <v>0</v>
      </c>
      <c r="N2303" s="189">
        <v>1000036375</v>
      </c>
      <c r="O2303"/>
      <c r="P2303" s="187">
        <v>45166.522754629601</v>
      </c>
      <c r="Q2303" s="186">
        <v>13122</v>
      </c>
      <c r="R2303" s="185"/>
      <c r="S2303" s="185" t="s">
        <v>1524</v>
      </c>
      <c r="T2303"/>
      <c r="U2303" t="str">
        <f>IF($L2303&gt;0,VLOOKUP($E2303,Valida!$A$1:$G$270,6,FALSE),IF($M2303&gt;=0,VLOOKUP($E2303,Valida!$A$1:$G$270,7,FALSE)))</f>
        <v>(+/-) Ajustes por el incremento (disminución) de cuentas por pagar de origen comercial</v>
      </c>
      <c r="V2303" s="190" t="str">
        <f>VLOOKUP(E2303,Valida!$A$2:$K$271,4,FALSE)</f>
        <v>Trade and other payables</v>
      </c>
      <c r="W2303" s="185" t="s">
        <v>1983</v>
      </c>
      <c r="X2303" s="185"/>
      <c r="Y2303" s="185" t="s">
        <v>1789</v>
      </c>
      <c r="Z2303"/>
    </row>
    <row r="2304" spans="1:26">
      <c r="A2304" s="185" t="s">
        <v>3277</v>
      </c>
      <c r="B2304" s="185" t="s">
        <v>3278</v>
      </c>
      <c r="C2304" s="185" t="s">
        <v>1890</v>
      </c>
      <c r="D2304" s="185" t="s">
        <v>3279</v>
      </c>
      <c r="E2304" s="185">
        <v>112005</v>
      </c>
      <c r="F2304" s="185" t="s">
        <v>24</v>
      </c>
      <c r="G2304" s="185" t="s">
        <v>3280</v>
      </c>
      <c r="H2304" s="185" t="s">
        <v>1628</v>
      </c>
      <c r="I2304" s="258" t="str">
        <f t="shared" si="106"/>
        <v>1</v>
      </c>
      <c r="J2304" s="221">
        <f t="shared" si="107"/>
        <v>-1815294</v>
      </c>
      <c r="K2304" s="258">
        <f t="shared" si="108"/>
        <v>8</v>
      </c>
      <c r="L2304" s="188">
        <v>0</v>
      </c>
      <c r="M2304" s="188">
        <v>1815294</v>
      </c>
      <c r="N2304" s="189">
        <v>1000036375</v>
      </c>
      <c r="O2304"/>
      <c r="P2304" s="187">
        <v>45166.522754629601</v>
      </c>
      <c r="Q2304" s="186">
        <v>13123</v>
      </c>
      <c r="R2304" s="185"/>
      <c r="S2304" s="185" t="s">
        <v>1524</v>
      </c>
      <c r="T2304" t="s">
        <v>1894</v>
      </c>
      <c r="U2304" t="str">
        <f>IF($L2304&gt;0,VLOOKUP($E2304,Valida!$A$1:$G$270,6,FALSE),IF($M2304&gt;=0,VLOOKUP($E2304,Valida!$A$1:$G$270,7,FALSE)))</f>
        <v>Disponible</v>
      </c>
      <c r="V2304" s="190" t="str">
        <f>VLOOKUP(E2304,Valida!$A$2:$K$271,4,FALSE)</f>
        <v>Cash and equivalents</v>
      </c>
      <c r="W2304" s="185" t="s">
        <v>1983</v>
      </c>
      <c r="X2304" s="185"/>
      <c r="Y2304" s="185" t="s">
        <v>1789</v>
      </c>
      <c r="Z2304"/>
    </row>
    <row r="2305" spans="1:26">
      <c r="A2305" s="185" t="s">
        <v>3277</v>
      </c>
      <c r="B2305" s="185" t="s">
        <v>3281</v>
      </c>
      <c r="C2305" s="185" t="s">
        <v>1890</v>
      </c>
      <c r="D2305" s="185" t="s">
        <v>3282</v>
      </c>
      <c r="E2305" s="185">
        <v>250505</v>
      </c>
      <c r="F2305" s="185" t="s">
        <v>767</v>
      </c>
      <c r="G2305" s="185" t="s">
        <v>3280</v>
      </c>
      <c r="H2305" s="185" t="s">
        <v>1515</v>
      </c>
      <c r="I2305" s="258" t="str">
        <f t="shared" si="106"/>
        <v>2</v>
      </c>
      <c r="J2305" s="221">
        <f t="shared" si="107"/>
        <v>1314526</v>
      </c>
      <c r="K2305" s="258">
        <f t="shared" si="108"/>
        <v>8</v>
      </c>
      <c r="L2305" s="188">
        <v>1314526</v>
      </c>
      <c r="M2305" s="188">
        <v>0</v>
      </c>
      <c r="N2305" s="189">
        <v>1000018061</v>
      </c>
      <c r="O2305"/>
      <c r="P2305" s="187">
        <v>45166.523217592599</v>
      </c>
      <c r="Q2305" s="186">
        <v>13124</v>
      </c>
      <c r="R2305" s="185"/>
      <c r="S2305" s="185" t="s">
        <v>1522</v>
      </c>
      <c r="T2305"/>
      <c r="U2305" t="str">
        <f>IF($L2305&gt;0,VLOOKUP($E2305,Valida!$A$1:$G$270,6,FALSE),IF($M2305&gt;=0,VLOOKUP($E2305,Valida!$A$1:$G$270,7,FALSE)))</f>
        <v>(+/-) Ajustes por el incremento (disminución) de cuentas por pagar de origen comercial</v>
      </c>
      <c r="V2305" s="190" t="str">
        <f>VLOOKUP(E2305,Valida!$A$2:$K$271,4,FALSE)</f>
        <v>Trade and other payables</v>
      </c>
      <c r="W2305" s="185" t="s">
        <v>1978</v>
      </c>
      <c r="X2305" s="185"/>
      <c r="Y2305" s="185" t="s">
        <v>1789</v>
      </c>
      <c r="Z2305"/>
    </row>
    <row r="2306" spans="1:26">
      <c r="A2306" s="185" t="s">
        <v>3277</v>
      </c>
      <c r="B2306" s="185" t="s">
        <v>3281</v>
      </c>
      <c r="C2306" s="185" t="s">
        <v>1890</v>
      </c>
      <c r="D2306" s="185" t="s">
        <v>3282</v>
      </c>
      <c r="E2306" s="185">
        <v>112005</v>
      </c>
      <c r="F2306" s="185" t="s">
        <v>24</v>
      </c>
      <c r="G2306" s="185" t="s">
        <v>3280</v>
      </c>
      <c r="H2306" s="185" t="s">
        <v>1628</v>
      </c>
      <c r="I2306" s="258" t="str">
        <f t="shared" si="106"/>
        <v>1</v>
      </c>
      <c r="J2306" s="221">
        <f t="shared" si="107"/>
        <v>-1314526</v>
      </c>
      <c r="K2306" s="258">
        <f t="shared" si="108"/>
        <v>8</v>
      </c>
      <c r="L2306" s="188">
        <v>0</v>
      </c>
      <c r="M2306" s="188">
        <v>1314526</v>
      </c>
      <c r="N2306" s="189">
        <v>1000018061</v>
      </c>
      <c r="O2306"/>
      <c r="P2306" s="187">
        <v>45166.523217592599</v>
      </c>
      <c r="Q2306" s="186">
        <v>13125</v>
      </c>
      <c r="R2306" s="185"/>
      <c r="S2306" s="185" t="s">
        <v>1522</v>
      </c>
      <c r="T2306" t="s">
        <v>1894</v>
      </c>
      <c r="U2306" t="str">
        <f>IF($L2306&gt;0,VLOOKUP($E2306,Valida!$A$1:$G$270,6,FALSE),IF($M2306&gt;=0,VLOOKUP($E2306,Valida!$A$1:$G$270,7,FALSE)))</f>
        <v>Disponible</v>
      </c>
      <c r="V2306" s="190" t="str">
        <f>VLOOKUP(E2306,Valida!$A$2:$K$271,4,FALSE)</f>
        <v>Cash and equivalents</v>
      </c>
      <c r="W2306" s="185" t="s">
        <v>1978</v>
      </c>
      <c r="X2306" s="185"/>
      <c r="Y2306" s="185" t="s">
        <v>1789</v>
      </c>
      <c r="Z2306"/>
    </row>
    <row r="2307" spans="1:26">
      <c r="A2307" s="185" t="s">
        <v>3277</v>
      </c>
      <c r="B2307" s="185" t="s">
        <v>3283</v>
      </c>
      <c r="C2307" s="185" t="s">
        <v>1890</v>
      </c>
      <c r="D2307" s="185" t="s">
        <v>3284</v>
      </c>
      <c r="E2307" s="185">
        <v>250505</v>
      </c>
      <c r="F2307" s="185" t="s">
        <v>767</v>
      </c>
      <c r="G2307" s="185" t="s">
        <v>3280</v>
      </c>
      <c r="H2307" s="185" t="s">
        <v>1515</v>
      </c>
      <c r="I2307" s="258" t="str">
        <f t="shared" ref="I2307:I2370" si="109">LEFT(E2307,1)</f>
        <v>2</v>
      </c>
      <c r="J2307" s="221">
        <f t="shared" ref="J2307:J2370" si="110">L2307-M2307</f>
        <v>1207806</v>
      </c>
      <c r="K2307" s="258">
        <f t="shared" ref="K2307:K2370" si="111">MONTH(A2307)</f>
        <v>8</v>
      </c>
      <c r="L2307" s="188">
        <v>1207806</v>
      </c>
      <c r="M2307" s="188">
        <v>0</v>
      </c>
      <c r="N2307" s="189">
        <v>1130744136</v>
      </c>
      <c r="O2307"/>
      <c r="P2307" s="187">
        <v>45166.523541666698</v>
      </c>
      <c r="Q2307" s="186">
        <v>13126</v>
      </c>
      <c r="R2307" s="185"/>
      <c r="S2307" s="185" t="s">
        <v>1538</v>
      </c>
      <c r="T2307"/>
      <c r="U2307" t="str">
        <f>IF($L2307&gt;0,VLOOKUP($E2307,Valida!$A$1:$G$270,6,FALSE),IF($M2307&gt;=0,VLOOKUP($E2307,Valida!$A$1:$G$270,7,FALSE)))</f>
        <v>(+/-) Ajustes por el incremento (disminución) de cuentas por pagar de origen comercial</v>
      </c>
      <c r="V2307" s="190" t="str">
        <f>VLOOKUP(E2307,Valida!$A$2:$K$271,4,FALSE)</f>
        <v>Trade and other payables</v>
      </c>
      <c r="W2307" s="185" t="s">
        <v>1909</v>
      </c>
      <c r="X2307" s="185" t="s">
        <v>1910</v>
      </c>
      <c r="Y2307" s="185" t="s">
        <v>1789</v>
      </c>
      <c r="Z2307"/>
    </row>
    <row r="2308" spans="1:26">
      <c r="A2308" s="185" t="s">
        <v>3277</v>
      </c>
      <c r="B2308" s="185" t="s">
        <v>3283</v>
      </c>
      <c r="C2308" s="185" t="s">
        <v>1890</v>
      </c>
      <c r="D2308" s="185" t="s">
        <v>3284</v>
      </c>
      <c r="E2308" s="185">
        <v>112005</v>
      </c>
      <c r="F2308" s="185" t="s">
        <v>24</v>
      </c>
      <c r="G2308" s="185" t="s">
        <v>3280</v>
      </c>
      <c r="H2308" s="185" t="s">
        <v>1628</v>
      </c>
      <c r="I2308" s="258" t="str">
        <f t="shared" si="109"/>
        <v>1</v>
      </c>
      <c r="J2308" s="221">
        <f t="shared" si="110"/>
        <v>-1207806</v>
      </c>
      <c r="K2308" s="258">
        <f t="shared" si="111"/>
        <v>8</v>
      </c>
      <c r="L2308" s="188">
        <v>0</v>
      </c>
      <c r="M2308" s="188">
        <v>1207806</v>
      </c>
      <c r="N2308" s="189">
        <v>1130744136</v>
      </c>
      <c r="O2308"/>
      <c r="P2308" s="187">
        <v>45166.523541666698</v>
      </c>
      <c r="Q2308" s="186">
        <v>13127</v>
      </c>
      <c r="R2308" s="185"/>
      <c r="S2308" s="185" t="s">
        <v>1538</v>
      </c>
      <c r="T2308" t="s">
        <v>1894</v>
      </c>
      <c r="U2308" t="str">
        <f>IF($L2308&gt;0,VLOOKUP($E2308,Valida!$A$1:$G$270,6,FALSE),IF($M2308&gt;=0,VLOOKUP($E2308,Valida!$A$1:$G$270,7,FALSE)))</f>
        <v>Disponible</v>
      </c>
      <c r="V2308" s="190" t="str">
        <f>VLOOKUP(E2308,Valida!$A$2:$K$271,4,FALSE)</f>
        <v>Cash and equivalents</v>
      </c>
      <c r="W2308" s="185" t="s">
        <v>1909</v>
      </c>
      <c r="X2308" s="185" t="s">
        <v>1910</v>
      </c>
      <c r="Y2308" s="185" t="s">
        <v>1789</v>
      </c>
      <c r="Z2308"/>
    </row>
    <row r="2309" spans="1:26">
      <c r="A2309" s="185" t="s">
        <v>3277</v>
      </c>
      <c r="B2309" s="185" t="s">
        <v>3285</v>
      </c>
      <c r="C2309" s="185" t="s">
        <v>1890</v>
      </c>
      <c r="D2309" s="185" t="s">
        <v>3286</v>
      </c>
      <c r="E2309" s="185">
        <v>250505</v>
      </c>
      <c r="F2309" s="185" t="s">
        <v>767</v>
      </c>
      <c r="G2309" s="185" t="s">
        <v>3280</v>
      </c>
      <c r="H2309" s="185" t="s">
        <v>1515</v>
      </c>
      <c r="I2309" s="258" t="str">
        <f t="shared" si="109"/>
        <v>2</v>
      </c>
      <c r="J2309" s="221">
        <f t="shared" si="110"/>
        <v>1067200</v>
      </c>
      <c r="K2309" s="258">
        <f t="shared" si="111"/>
        <v>8</v>
      </c>
      <c r="L2309" s="188">
        <v>1067200</v>
      </c>
      <c r="M2309" s="188">
        <v>0</v>
      </c>
      <c r="N2309" s="189">
        <v>1020842223</v>
      </c>
      <c r="O2309"/>
      <c r="P2309" s="187">
        <v>45166.5238888889</v>
      </c>
      <c r="Q2309" s="186">
        <v>13128</v>
      </c>
      <c r="R2309" s="185"/>
      <c r="S2309" s="185" t="s">
        <v>1532</v>
      </c>
      <c r="T2309"/>
      <c r="U2309" t="str">
        <f>IF($L2309&gt;0,VLOOKUP($E2309,Valida!$A$1:$G$270,6,FALSE),IF($M2309&gt;=0,VLOOKUP($E2309,Valida!$A$1:$G$270,7,FALSE)))</f>
        <v>(+/-) Ajustes por el incremento (disminución) de cuentas por pagar de origen comercial</v>
      </c>
      <c r="V2309" s="190" t="str">
        <f>VLOOKUP(E2309,Valida!$A$2:$K$271,4,FALSE)</f>
        <v>Trade and other payables</v>
      </c>
      <c r="W2309" s="185" t="s">
        <v>1900</v>
      </c>
      <c r="X2309" s="185"/>
      <c r="Y2309" s="185" t="s">
        <v>1789</v>
      </c>
      <c r="Z2309"/>
    </row>
    <row r="2310" spans="1:26">
      <c r="A2310" s="185" t="s">
        <v>3277</v>
      </c>
      <c r="B2310" s="185" t="s">
        <v>3285</v>
      </c>
      <c r="C2310" s="185" t="s">
        <v>1890</v>
      </c>
      <c r="D2310" s="185" t="s">
        <v>3286</v>
      </c>
      <c r="E2310" s="185">
        <v>112005</v>
      </c>
      <c r="F2310" s="185" t="s">
        <v>24</v>
      </c>
      <c r="G2310" s="185" t="s">
        <v>3280</v>
      </c>
      <c r="H2310" s="185" t="s">
        <v>1628</v>
      </c>
      <c r="I2310" s="258" t="str">
        <f t="shared" si="109"/>
        <v>1</v>
      </c>
      <c r="J2310" s="221">
        <f t="shared" si="110"/>
        <v>-1067200</v>
      </c>
      <c r="K2310" s="258">
        <f t="shared" si="111"/>
        <v>8</v>
      </c>
      <c r="L2310" s="188">
        <v>0</v>
      </c>
      <c r="M2310" s="188">
        <v>1067200</v>
      </c>
      <c r="N2310" s="189">
        <v>1020842223</v>
      </c>
      <c r="O2310"/>
      <c r="P2310" s="187">
        <v>45166.5238888889</v>
      </c>
      <c r="Q2310" s="186">
        <v>13129</v>
      </c>
      <c r="R2310" s="185"/>
      <c r="S2310" s="185" t="s">
        <v>1532</v>
      </c>
      <c r="T2310" t="s">
        <v>1894</v>
      </c>
      <c r="U2310" t="str">
        <f>IF($L2310&gt;0,VLOOKUP($E2310,Valida!$A$1:$G$270,6,FALSE),IF($M2310&gt;=0,VLOOKUP($E2310,Valida!$A$1:$G$270,7,FALSE)))</f>
        <v>Disponible</v>
      </c>
      <c r="V2310" s="190" t="str">
        <f>VLOOKUP(E2310,Valida!$A$2:$K$271,4,FALSE)</f>
        <v>Cash and equivalents</v>
      </c>
      <c r="W2310" s="185" t="s">
        <v>1900</v>
      </c>
      <c r="X2310" s="185"/>
      <c r="Y2310" s="185" t="s">
        <v>1789</v>
      </c>
      <c r="Z2310"/>
    </row>
    <row r="2311" spans="1:26">
      <c r="A2311" s="185" t="s">
        <v>3277</v>
      </c>
      <c r="B2311" s="185" t="s">
        <v>3287</v>
      </c>
      <c r="C2311" s="185" t="s">
        <v>1890</v>
      </c>
      <c r="D2311" s="185" t="s">
        <v>3288</v>
      </c>
      <c r="E2311" s="185">
        <v>250505</v>
      </c>
      <c r="F2311" s="185" t="s">
        <v>767</v>
      </c>
      <c r="G2311" s="185" t="s">
        <v>3280</v>
      </c>
      <c r="H2311" s="185" t="s">
        <v>1515</v>
      </c>
      <c r="I2311" s="258" t="str">
        <f t="shared" si="109"/>
        <v>2</v>
      </c>
      <c r="J2311" s="221">
        <f t="shared" si="110"/>
        <v>1520606</v>
      </c>
      <c r="K2311" s="258">
        <f t="shared" si="111"/>
        <v>8</v>
      </c>
      <c r="L2311" s="188">
        <v>1520606</v>
      </c>
      <c r="M2311" s="188">
        <v>0</v>
      </c>
      <c r="N2311" s="189">
        <v>1010101811</v>
      </c>
      <c r="O2311"/>
      <c r="P2311" s="187">
        <v>45166.524259259299</v>
      </c>
      <c r="Q2311" s="186">
        <v>13130</v>
      </c>
      <c r="R2311" s="185"/>
      <c r="S2311" s="185" t="s">
        <v>1528</v>
      </c>
      <c r="T2311"/>
      <c r="U2311" t="str">
        <f>IF($L2311&gt;0,VLOOKUP($E2311,Valida!$A$1:$G$270,6,FALSE),IF($M2311&gt;=0,VLOOKUP($E2311,Valida!$A$1:$G$270,7,FALSE)))</f>
        <v>(+/-) Ajustes por el incremento (disminución) de cuentas por pagar de origen comercial</v>
      </c>
      <c r="V2311" s="190" t="str">
        <f>VLOOKUP(E2311,Valida!$A$2:$K$271,4,FALSE)</f>
        <v>Trade and other payables</v>
      </c>
      <c r="W2311" s="185" t="s">
        <v>1967</v>
      </c>
      <c r="X2311" s="185"/>
      <c r="Y2311" s="185" t="s">
        <v>1789</v>
      </c>
      <c r="Z2311"/>
    </row>
    <row r="2312" spans="1:26">
      <c r="A2312" s="185" t="s">
        <v>3277</v>
      </c>
      <c r="B2312" s="185" t="s">
        <v>3287</v>
      </c>
      <c r="C2312" s="185" t="s">
        <v>1890</v>
      </c>
      <c r="D2312" s="185" t="s">
        <v>3288</v>
      </c>
      <c r="E2312" s="185">
        <v>112005</v>
      </c>
      <c r="F2312" s="185" t="s">
        <v>24</v>
      </c>
      <c r="G2312" s="185" t="s">
        <v>3280</v>
      </c>
      <c r="H2312" s="185" t="s">
        <v>1628</v>
      </c>
      <c r="I2312" s="258" t="str">
        <f t="shared" si="109"/>
        <v>1</v>
      </c>
      <c r="J2312" s="221">
        <f t="shared" si="110"/>
        <v>-1520606</v>
      </c>
      <c r="K2312" s="258">
        <f t="shared" si="111"/>
        <v>8</v>
      </c>
      <c r="L2312" s="188">
        <v>0</v>
      </c>
      <c r="M2312" s="188">
        <v>1520606</v>
      </c>
      <c r="N2312" s="189">
        <v>1010101811</v>
      </c>
      <c r="O2312"/>
      <c r="P2312" s="187">
        <v>45166.524259259299</v>
      </c>
      <c r="Q2312" s="186">
        <v>13131</v>
      </c>
      <c r="R2312" s="185"/>
      <c r="S2312" s="185" t="s">
        <v>1528</v>
      </c>
      <c r="T2312" t="s">
        <v>1894</v>
      </c>
      <c r="U2312" t="str">
        <f>IF($L2312&gt;0,VLOOKUP($E2312,Valida!$A$1:$G$270,6,FALSE),IF($M2312&gt;=0,VLOOKUP($E2312,Valida!$A$1:$G$270,7,FALSE)))</f>
        <v>Disponible</v>
      </c>
      <c r="V2312" s="190" t="str">
        <f>VLOOKUP(E2312,Valida!$A$2:$K$271,4,FALSE)</f>
        <v>Cash and equivalents</v>
      </c>
      <c r="W2312" s="185" t="s">
        <v>1967</v>
      </c>
      <c r="X2312" s="185"/>
      <c r="Y2312" s="185" t="s">
        <v>1789</v>
      </c>
      <c r="Z2312"/>
    </row>
    <row r="2313" spans="1:26">
      <c r="A2313" s="185" t="s">
        <v>3277</v>
      </c>
      <c r="B2313" s="185" t="s">
        <v>3289</v>
      </c>
      <c r="C2313" s="185" t="s">
        <v>1890</v>
      </c>
      <c r="D2313" s="185" t="s">
        <v>3290</v>
      </c>
      <c r="E2313" s="185">
        <v>219505</v>
      </c>
      <c r="F2313" s="185" t="s">
        <v>1630</v>
      </c>
      <c r="G2313" s="185" t="s">
        <v>3291</v>
      </c>
      <c r="H2313" s="185" t="s">
        <v>1515</v>
      </c>
      <c r="I2313" s="258" t="str">
        <f t="shared" si="109"/>
        <v>2</v>
      </c>
      <c r="J2313" s="221">
        <f t="shared" si="110"/>
        <v>27300000</v>
      </c>
      <c r="K2313" s="258">
        <f t="shared" si="111"/>
        <v>8</v>
      </c>
      <c r="L2313" s="188">
        <v>27300000</v>
      </c>
      <c r="M2313" s="188">
        <v>0</v>
      </c>
      <c r="N2313" s="189">
        <v>1130744136</v>
      </c>
      <c r="O2313"/>
      <c r="P2313" s="187">
        <v>45166.531863425902</v>
      </c>
      <c r="Q2313" s="186">
        <v>13134</v>
      </c>
      <c r="R2313" s="185"/>
      <c r="S2313" s="185" t="s">
        <v>1538</v>
      </c>
      <c r="T2313"/>
      <c r="U2313" t="str">
        <f>IF($L2313&gt;0,VLOOKUP($E2313,Valida!$A$1:$G$270,6,FALSE),IF($M2313&gt;=0,VLOOKUP($E2313,Valida!$A$1:$G$270,7,FALSE)))</f>
        <v>(-) Reembolsos de préstamos</v>
      </c>
      <c r="V2313" s="190" t="str">
        <f>VLOOKUP(E2313,Valida!$A$2:$K$271,4,FALSE)</f>
        <v>short-term borrowings</v>
      </c>
      <c r="W2313" s="185" t="s">
        <v>1909</v>
      </c>
      <c r="X2313" s="185" t="s">
        <v>1910</v>
      </c>
      <c r="Y2313" s="185" t="s">
        <v>1789</v>
      </c>
      <c r="Z2313"/>
    </row>
    <row r="2314" spans="1:26">
      <c r="A2314" s="185" t="s">
        <v>3277</v>
      </c>
      <c r="B2314" s="185" t="s">
        <v>3289</v>
      </c>
      <c r="C2314" s="185" t="s">
        <v>1890</v>
      </c>
      <c r="D2314" s="185" t="s">
        <v>3290</v>
      </c>
      <c r="E2314" s="185">
        <v>53052002</v>
      </c>
      <c r="F2314" s="185" t="s">
        <v>97</v>
      </c>
      <c r="G2314" s="185" t="s">
        <v>3291</v>
      </c>
      <c r="H2314" s="185" t="s">
        <v>1515</v>
      </c>
      <c r="I2314" s="258" t="str">
        <f t="shared" si="109"/>
        <v>5</v>
      </c>
      <c r="J2314" s="221">
        <f t="shared" si="110"/>
        <v>2711042</v>
      </c>
      <c r="K2314" s="258">
        <f t="shared" si="111"/>
        <v>8</v>
      </c>
      <c r="L2314" s="188">
        <v>2711042</v>
      </c>
      <c r="M2314" s="188">
        <v>0</v>
      </c>
      <c r="N2314" s="189">
        <v>1130744136</v>
      </c>
      <c r="O2314"/>
      <c r="P2314" s="187">
        <v>45166.531863425902</v>
      </c>
      <c r="Q2314" s="186">
        <v>13135</v>
      </c>
      <c r="R2314" s="185"/>
      <c r="S2314" s="185" t="s">
        <v>1538</v>
      </c>
      <c r="T2314"/>
      <c r="U2314" t="str">
        <f>IF($L2314&gt;0,VLOOKUP($E2314,Valida!$A$1:$G$270,6,FALSE),IF($M2314&gt;=0,VLOOKUP($E2314,Valida!$A$1:$G$270,7,FALSE)))</f>
        <v>(+/-) Ganancia (pérdida)</v>
      </c>
      <c r="V2314" s="190" t="str">
        <f>VLOOKUP(E2314,Valida!$A$2:$K$271,4,FALSE)</f>
        <v>P&amp;L</v>
      </c>
      <c r="W2314" s="185" t="s">
        <v>1909</v>
      </c>
      <c r="X2314" s="185" t="s">
        <v>1910</v>
      </c>
      <c r="Y2314" s="185" t="s">
        <v>1789</v>
      </c>
      <c r="Z2314"/>
    </row>
    <row r="2315" spans="1:26">
      <c r="A2315" s="185" t="s">
        <v>3277</v>
      </c>
      <c r="B2315" s="185" t="s">
        <v>3289</v>
      </c>
      <c r="C2315" s="185" t="s">
        <v>1890</v>
      </c>
      <c r="D2315" s="185" t="s">
        <v>3290</v>
      </c>
      <c r="E2315" s="185">
        <v>219505</v>
      </c>
      <c r="F2315" s="185" t="s">
        <v>1630</v>
      </c>
      <c r="G2315" s="185" t="s">
        <v>3292</v>
      </c>
      <c r="H2315" s="185" t="s">
        <v>1515</v>
      </c>
      <c r="I2315" s="258" t="str">
        <f t="shared" si="109"/>
        <v>2</v>
      </c>
      <c r="J2315" s="221">
        <f t="shared" si="110"/>
        <v>12911280</v>
      </c>
      <c r="K2315" s="258">
        <f t="shared" si="111"/>
        <v>8</v>
      </c>
      <c r="L2315" s="188">
        <v>12911280</v>
      </c>
      <c r="M2315" s="188">
        <v>0</v>
      </c>
      <c r="N2315" s="189">
        <v>1130744136</v>
      </c>
      <c r="O2315"/>
      <c r="P2315" s="187">
        <v>45166.531863425902</v>
      </c>
      <c r="Q2315" s="186">
        <v>13136</v>
      </c>
      <c r="R2315" s="185"/>
      <c r="S2315" s="185" t="s">
        <v>1538</v>
      </c>
      <c r="T2315"/>
      <c r="U2315" t="str">
        <f>IF($L2315&gt;0,VLOOKUP($E2315,Valida!$A$1:$G$270,6,FALSE),IF($M2315&gt;=0,VLOOKUP($E2315,Valida!$A$1:$G$270,7,FALSE)))</f>
        <v>(-) Reembolsos de préstamos</v>
      </c>
      <c r="V2315" s="190" t="str">
        <f>VLOOKUP(E2315,Valida!$A$2:$K$271,4,FALSE)</f>
        <v>short-term borrowings</v>
      </c>
      <c r="W2315" s="185" t="s">
        <v>1909</v>
      </c>
      <c r="X2315" s="185" t="s">
        <v>1910</v>
      </c>
      <c r="Y2315" s="185" t="s">
        <v>1789</v>
      </c>
      <c r="Z2315"/>
    </row>
    <row r="2316" spans="1:26">
      <c r="A2316" s="185" t="s">
        <v>3277</v>
      </c>
      <c r="B2316" s="185" t="s">
        <v>3289</v>
      </c>
      <c r="C2316" s="185" t="s">
        <v>1890</v>
      </c>
      <c r="D2316" s="185" t="s">
        <v>3290</v>
      </c>
      <c r="E2316" s="185">
        <v>53052002</v>
      </c>
      <c r="F2316" s="185" t="s">
        <v>97</v>
      </c>
      <c r="G2316" s="185" t="s">
        <v>3292</v>
      </c>
      <c r="H2316" s="185" t="s">
        <v>1515</v>
      </c>
      <c r="I2316" s="258" t="str">
        <f t="shared" si="109"/>
        <v>5</v>
      </c>
      <c r="J2316" s="221">
        <f t="shared" si="110"/>
        <v>1176378</v>
      </c>
      <c r="K2316" s="258">
        <f t="shared" si="111"/>
        <v>8</v>
      </c>
      <c r="L2316" s="188">
        <v>1176378</v>
      </c>
      <c r="M2316" s="188">
        <v>0</v>
      </c>
      <c r="N2316" s="189">
        <v>1130744136</v>
      </c>
      <c r="O2316"/>
      <c r="P2316" s="187">
        <v>45166.531863425902</v>
      </c>
      <c r="Q2316" s="186">
        <v>13137</v>
      </c>
      <c r="R2316" s="185"/>
      <c r="S2316" s="185" t="s">
        <v>1538</v>
      </c>
      <c r="T2316"/>
      <c r="U2316" t="str">
        <f>IF($L2316&gt;0,VLOOKUP($E2316,Valida!$A$1:$G$270,6,FALSE),IF($M2316&gt;=0,VLOOKUP($E2316,Valida!$A$1:$G$270,7,FALSE)))</f>
        <v>(+/-) Ganancia (pérdida)</v>
      </c>
      <c r="V2316" s="190" t="str">
        <f>VLOOKUP(E2316,Valida!$A$2:$K$271,4,FALSE)</f>
        <v>P&amp;L</v>
      </c>
      <c r="W2316" s="185" t="s">
        <v>1909</v>
      </c>
      <c r="X2316" s="185" t="s">
        <v>1910</v>
      </c>
      <c r="Y2316" s="185" t="s">
        <v>1789</v>
      </c>
      <c r="Z2316"/>
    </row>
    <row r="2317" spans="1:26">
      <c r="A2317" s="185" t="s">
        <v>3277</v>
      </c>
      <c r="B2317" s="185" t="s">
        <v>3289</v>
      </c>
      <c r="C2317" s="185" t="s">
        <v>1890</v>
      </c>
      <c r="D2317" s="185" t="s">
        <v>3290</v>
      </c>
      <c r="E2317" s="185">
        <v>112005</v>
      </c>
      <c r="F2317" s="185" t="s">
        <v>24</v>
      </c>
      <c r="G2317" s="185" t="s">
        <v>3292</v>
      </c>
      <c r="H2317" s="185" t="s">
        <v>1628</v>
      </c>
      <c r="I2317" s="258" t="str">
        <f t="shared" si="109"/>
        <v>1</v>
      </c>
      <c r="J2317" s="221">
        <f t="shared" si="110"/>
        <v>-44098700</v>
      </c>
      <c r="K2317" s="258">
        <f t="shared" si="111"/>
        <v>8</v>
      </c>
      <c r="L2317" s="188">
        <v>0</v>
      </c>
      <c r="M2317" s="188">
        <v>44098700</v>
      </c>
      <c r="N2317" s="189">
        <v>1130744136</v>
      </c>
      <c r="O2317"/>
      <c r="P2317" s="187">
        <v>45166.531863425902</v>
      </c>
      <c r="Q2317" s="186">
        <v>13138</v>
      </c>
      <c r="R2317" s="185"/>
      <c r="S2317" s="185" t="s">
        <v>1538</v>
      </c>
      <c r="T2317" t="s">
        <v>1894</v>
      </c>
      <c r="U2317" t="str">
        <f>IF($L2317&gt;0,VLOOKUP($E2317,Valida!$A$1:$G$270,6,FALSE),IF($M2317&gt;=0,VLOOKUP($E2317,Valida!$A$1:$G$270,7,FALSE)))</f>
        <v>Disponible</v>
      </c>
      <c r="V2317" s="190" t="str">
        <f>VLOOKUP(E2317,Valida!$A$2:$K$271,4,FALSE)</f>
        <v>Cash and equivalents</v>
      </c>
      <c r="W2317" s="185" t="s">
        <v>1909</v>
      </c>
      <c r="X2317" s="185" t="s">
        <v>1910</v>
      </c>
      <c r="Y2317" s="185" t="s">
        <v>1789</v>
      </c>
      <c r="Z2317"/>
    </row>
    <row r="2318" spans="1:26">
      <c r="A2318" s="185" t="s">
        <v>3277</v>
      </c>
      <c r="B2318" s="185" t="s">
        <v>3293</v>
      </c>
      <c r="C2318" s="185" t="s">
        <v>1785</v>
      </c>
      <c r="D2318" s="185" t="s">
        <v>2732</v>
      </c>
      <c r="E2318" s="185">
        <v>510569</v>
      </c>
      <c r="F2318" s="185" t="s">
        <v>1114</v>
      </c>
      <c r="G2318" s="185" t="s">
        <v>3294</v>
      </c>
      <c r="H2318" s="185" t="s">
        <v>1515</v>
      </c>
      <c r="I2318" s="258" t="str">
        <f t="shared" si="109"/>
        <v>5</v>
      </c>
      <c r="J2318" s="221">
        <f t="shared" si="110"/>
        <v>11600</v>
      </c>
      <c r="K2318" s="258">
        <f t="shared" si="111"/>
        <v>8</v>
      </c>
      <c r="L2318" s="188">
        <v>11600</v>
      </c>
      <c r="M2318" s="188">
        <v>0</v>
      </c>
      <c r="N2318" s="189">
        <v>800251440</v>
      </c>
      <c r="O2318"/>
      <c r="P2318" s="187">
        <v>45168.372094907398</v>
      </c>
      <c r="Q2318" s="186">
        <v>13139</v>
      </c>
      <c r="R2318" s="185" t="s">
        <v>1901</v>
      </c>
      <c r="S2318" s="185" t="s">
        <v>1560</v>
      </c>
      <c r="T2318"/>
      <c r="U2318" t="str">
        <f>IF($L2318&gt;0,VLOOKUP($E2318,Valida!$A$1:$G$270,6,FALSE),IF($M2318&gt;=0,VLOOKUP($E2318,Valida!$A$1:$G$270,7,FALSE)))</f>
        <v>(+/-) Ganancia (pérdida)</v>
      </c>
      <c r="V2318" s="190" t="str">
        <f>VLOOKUP(E2318,Valida!$A$2:$K$271,4,FALSE)</f>
        <v>P&amp;L</v>
      </c>
      <c r="W2318" s="185" t="s">
        <v>1902</v>
      </c>
      <c r="X2318" s="185" t="s">
        <v>1903</v>
      </c>
      <c r="Y2318" s="185" t="s">
        <v>1789</v>
      </c>
      <c r="Z2318"/>
    </row>
    <row r="2319" spans="1:26">
      <c r="A2319" s="185" t="s">
        <v>3277</v>
      </c>
      <c r="B2319" s="185" t="s">
        <v>3293</v>
      </c>
      <c r="C2319" s="185" t="s">
        <v>1785</v>
      </c>
      <c r="D2319" s="185" t="s">
        <v>2732</v>
      </c>
      <c r="E2319" s="185">
        <v>237005</v>
      </c>
      <c r="F2319" s="185" t="s">
        <v>676</v>
      </c>
      <c r="G2319" s="185" t="s">
        <v>3294</v>
      </c>
      <c r="H2319" s="185" t="s">
        <v>1628</v>
      </c>
      <c r="I2319" s="258" t="str">
        <f t="shared" si="109"/>
        <v>2</v>
      </c>
      <c r="J2319" s="221">
        <f t="shared" si="110"/>
        <v>-11600</v>
      </c>
      <c r="K2319" s="258">
        <f t="shared" si="111"/>
        <v>8</v>
      </c>
      <c r="L2319" s="188">
        <v>0</v>
      </c>
      <c r="M2319" s="188">
        <v>11600</v>
      </c>
      <c r="N2319" s="189">
        <v>800251440</v>
      </c>
      <c r="O2319"/>
      <c r="P2319" s="187">
        <v>45168.372094907398</v>
      </c>
      <c r="Q2319" s="186">
        <v>13140</v>
      </c>
      <c r="R2319" s="185" t="s">
        <v>1901</v>
      </c>
      <c r="S2319" s="185" t="s">
        <v>1560</v>
      </c>
      <c r="T2319"/>
      <c r="U2319" t="str">
        <f>IF($L2319&gt;0,VLOOKUP($E2319,Valida!$A$1:$G$270,6,FALSE),IF($M2319&gt;=0,VLOOKUP($E2319,Valida!$A$1:$G$270,7,FALSE)))</f>
        <v>(+/-) Ajustes por el incremento (disminución) de cuentas por pagar de origen comercial</v>
      </c>
      <c r="V2319" s="190" t="str">
        <f>VLOOKUP(E2319,Valida!$A$2:$K$271,4,FALSE)</f>
        <v>Trade and other payables</v>
      </c>
      <c r="W2319" s="185" t="s">
        <v>1902</v>
      </c>
      <c r="X2319" s="185" t="s">
        <v>1903</v>
      </c>
      <c r="Y2319" s="185" t="s">
        <v>1789</v>
      </c>
      <c r="Z2319"/>
    </row>
    <row r="2320" spans="1:26">
      <c r="A2320" s="185" t="s">
        <v>3277</v>
      </c>
      <c r="B2320" s="185" t="s">
        <v>3295</v>
      </c>
      <c r="C2320" s="185" t="s">
        <v>1785</v>
      </c>
      <c r="D2320" s="185" t="s">
        <v>2884</v>
      </c>
      <c r="E2320" s="185">
        <v>510570</v>
      </c>
      <c r="F2320" s="185" t="s">
        <v>1116</v>
      </c>
      <c r="G2320" s="185" t="s">
        <v>3294</v>
      </c>
      <c r="H2320" s="185" t="s">
        <v>1515</v>
      </c>
      <c r="I2320" s="258" t="str">
        <f t="shared" si="109"/>
        <v>5</v>
      </c>
      <c r="J2320" s="221">
        <f t="shared" si="110"/>
        <v>11600</v>
      </c>
      <c r="K2320" s="258">
        <f t="shared" si="111"/>
        <v>8</v>
      </c>
      <c r="L2320" s="188">
        <v>11600</v>
      </c>
      <c r="M2320" s="188">
        <v>0</v>
      </c>
      <c r="N2320" s="189">
        <v>800224808</v>
      </c>
      <c r="O2320"/>
      <c r="P2320" s="187">
        <v>45168.382013888899</v>
      </c>
      <c r="Q2320" s="186">
        <v>13141</v>
      </c>
      <c r="R2320" s="185" t="s">
        <v>1827</v>
      </c>
      <c r="S2320" s="185" t="s">
        <v>1662</v>
      </c>
      <c r="T2320"/>
      <c r="U2320" t="str">
        <f>IF($L2320&gt;0,VLOOKUP($E2320,Valida!$A$1:$G$270,6,FALSE),IF($M2320&gt;=0,VLOOKUP($E2320,Valida!$A$1:$G$270,7,FALSE)))</f>
        <v>(+/-) Ganancia (pérdida)</v>
      </c>
      <c r="V2320" s="190" t="str">
        <f>VLOOKUP(E2320,Valida!$A$2:$K$271,4,FALSE)</f>
        <v>P&amp;L</v>
      </c>
      <c r="W2320" s="185" t="s">
        <v>1911</v>
      </c>
      <c r="X2320" s="185"/>
      <c r="Y2320" s="185" t="s">
        <v>1789</v>
      </c>
      <c r="Z2320"/>
    </row>
    <row r="2321" spans="1:26">
      <c r="A2321" s="185" t="s">
        <v>3277</v>
      </c>
      <c r="B2321" s="185" t="s">
        <v>3295</v>
      </c>
      <c r="C2321" s="185" t="s">
        <v>1785</v>
      </c>
      <c r="D2321" s="185" t="s">
        <v>2884</v>
      </c>
      <c r="E2321" s="185">
        <v>510570</v>
      </c>
      <c r="F2321" s="185" t="s">
        <v>1116</v>
      </c>
      <c r="G2321" s="185" t="s">
        <v>3294</v>
      </c>
      <c r="H2321" s="185" t="s">
        <v>1515</v>
      </c>
      <c r="I2321" s="258" t="str">
        <f t="shared" si="109"/>
        <v>5</v>
      </c>
      <c r="J2321" s="221">
        <f t="shared" si="110"/>
        <v>81200</v>
      </c>
      <c r="K2321" s="258">
        <f t="shared" si="111"/>
        <v>8</v>
      </c>
      <c r="L2321" s="188">
        <v>81200</v>
      </c>
      <c r="M2321" s="188">
        <v>0</v>
      </c>
      <c r="N2321" s="189">
        <v>800224808</v>
      </c>
      <c r="O2321"/>
      <c r="P2321" s="187">
        <v>45168.382013888899</v>
      </c>
      <c r="Q2321" s="186">
        <v>13142</v>
      </c>
      <c r="R2321" s="185" t="s">
        <v>1827</v>
      </c>
      <c r="S2321" s="185" t="s">
        <v>1662</v>
      </c>
      <c r="T2321"/>
      <c r="U2321" t="str">
        <f>IF($L2321&gt;0,VLOOKUP($E2321,Valida!$A$1:$G$270,6,FALSE),IF($M2321&gt;=0,VLOOKUP($E2321,Valida!$A$1:$G$270,7,FALSE)))</f>
        <v>(+/-) Ganancia (pérdida)</v>
      </c>
      <c r="V2321" s="190" t="str">
        <f>VLOOKUP(E2321,Valida!$A$2:$K$271,4,FALSE)</f>
        <v>P&amp;L</v>
      </c>
      <c r="W2321" s="185" t="s">
        <v>1911</v>
      </c>
      <c r="X2321" s="185"/>
      <c r="Y2321" s="185" t="s">
        <v>1789</v>
      </c>
      <c r="Z2321"/>
    </row>
    <row r="2322" spans="1:26">
      <c r="A2322" s="185" t="s">
        <v>3277</v>
      </c>
      <c r="B2322" s="185" t="s">
        <v>3295</v>
      </c>
      <c r="C2322" s="185" t="s">
        <v>1785</v>
      </c>
      <c r="D2322" s="185" t="s">
        <v>2884</v>
      </c>
      <c r="E2322" s="185">
        <v>238030</v>
      </c>
      <c r="F2322" s="185" t="s">
        <v>721</v>
      </c>
      <c r="G2322" s="185" t="s">
        <v>3294</v>
      </c>
      <c r="H2322" s="185" t="s">
        <v>1628</v>
      </c>
      <c r="I2322" s="258" t="str">
        <f t="shared" si="109"/>
        <v>2</v>
      </c>
      <c r="J2322" s="221">
        <f t="shared" si="110"/>
        <v>-92800</v>
      </c>
      <c r="K2322" s="258">
        <f t="shared" si="111"/>
        <v>8</v>
      </c>
      <c r="L2322" s="188">
        <v>0</v>
      </c>
      <c r="M2322" s="188">
        <v>92800</v>
      </c>
      <c r="N2322" s="189">
        <v>800224808</v>
      </c>
      <c r="O2322"/>
      <c r="P2322" s="187">
        <v>45168.382013888899</v>
      </c>
      <c r="Q2322" s="186">
        <v>13143</v>
      </c>
      <c r="R2322" s="185" t="s">
        <v>1827</v>
      </c>
      <c r="S2322" s="185" t="s">
        <v>1662</v>
      </c>
      <c r="T2322"/>
      <c r="U2322" t="str">
        <f>IF($L2322&gt;0,VLOOKUP($E2322,Valida!$A$1:$G$270,6,FALSE),IF($M2322&gt;=0,VLOOKUP($E2322,Valida!$A$1:$G$270,7,FALSE)))</f>
        <v>(+/-) Ajustes por el incremento (disminución) de cuentas por pagar de origen comercial</v>
      </c>
      <c r="V2322" s="190" t="str">
        <f>VLOOKUP(E2322,Valida!$A$2:$K$271,4,FALSE)</f>
        <v>Trade and other payables</v>
      </c>
      <c r="W2322" s="185" t="s">
        <v>1911</v>
      </c>
      <c r="X2322" s="185"/>
      <c r="Y2322" s="185" t="s">
        <v>1789</v>
      </c>
      <c r="Z2322"/>
    </row>
    <row r="2323" spans="1:26">
      <c r="A2323" s="185" t="s">
        <v>3277</v>
      </c>
      <c r="B2323" s="185" t="s">
        <v>3296</v>
      </c>
      <c r="C2323" s="185" t="s">
        <v>1785</v>
      </c>
      <c r="D2323" s="185" t="s">
        <v>2887</v>
      </c>
      <c r="E2323" s="185">
        <v>510572</v>
      </c>
      <c r="F2323" s="185" t="s">
        <v>1118</v>
      </c>
      <c r="G2323" s="185" t="s">
        <v>3294</v>
      </c>
      <c r="H2323" s="185" t="s">
        <v>1515</v>
      </c>
      <c r="I2323" s="258" t="str">
        <f t="shared" si="109"/>
        <v>5</v>
      </c>
      <c r="J2323" s="221">
        <f t="shared" si="110"/>
        <v>8700</v>
      </c>
      <c r="K2323" s="258">
        <f t="shared" si="111"/>
        <v>8</v>
      </c>
      <c r="L2323" s="188">
        <v>8700</v>
      </c>
      <c r="M2323" s="188">
        <v>0</v>
      </c>
      <c r="N2323" s="189">
        <v>860066942</v>
      </c>
      <c r="O2323"/>
      <c r="P2323" s="187">
        <v>45168.389398148101</v>
      </c>
      <c r="Q2323" s="186">
        <v>13144</v>
      </c>
      <c r="R2323" s="185" t="s">
        <v>1814</v>
      </c>
      <c r="S2323" s="185" t="s">
        <v>1574</v>
      </c>
      <c r="T2323"/>
      <c r="U2323" t="str">
        <f>IF($L2323&gt;0,VLOOKUP($E2323,Valida!$A$1:$G$270,6,FALSE),IF($M2323&gt;=0,VLOOKUP($E2323,Valida!$A$1:$G$270,7,FALSE)))</f>
        <v>(+/-) Ganancia (pérdida)</v>
      </c>
      <c r="V2323" s="190" t="str">
        <f>VLOOKUP(E2323,Valida!$A$2:$K$271,4,FALSE)</f>
        <v>P&amp;L</v>
      </c>
      <c r="W2323" s="185" t="s">
        <v>1914</v>
      </c>
      <c r="X2323" s="185" t="s">
        <v>1915</v>
      </c>
      <c r="Y2323" s="185" t="s">
        <v>1789</v>
      </c>
      <c r="Z2323"/>
    </row>
    <row r="2324" spans="1:26">
      <c r="A2324" s="185" t="s">
        <v>3277</v>
      </c>
      <c r="B2324" s="185" t="s">
        <v>3296</v>
      </c>
      <c r="C2324" s="185" t="s">
        <v>1785</v>
      </c>
      <c r="D2324" s="185" t="s">
        <v>2887</v>
      </c>
      <c r="E2324" s="185">
        <v>237010</v>
      </c>
      <c r="F2324" s="185" t="s">
        <v>683</v>
      </c>
      <c r="G2324" s="185" t="s">
        <v>3294</v>
      </c>
      <c r="H2324" s="185" t="s">
        <v>1628</v>
      </c>
      <c r="I2324" s="258" t="str">
        <f t="shared" si="109"/>
        <v>2</v>
      </c>
      <c r="J2324" s="221">
        <f t="shared" si="110"/>
        <v>-8700</v>
      </c>
      <c r="K2324" s="258">
        <f t="shared" si="111"/>
        <v>8</v>
      </c>
      <c r="L2324" s="188">
        <v>0</v>
      </c>
      <c r="M2324" s="188">
        <v>8700</v>
      </c>
      <c r="N2324" s="189">
        <v>860066942</v>
      </c>
      <c r="O2324"/>
      <c r="P2324" s="187">
        <v>45168.389398148101</v>
      </c>
      <c r="Q2324" s="186">
        <v>13145</v>
      </c>
      <c r="R2324" s="185" t="s">
        <v>1814</v>
      </c>
      <c r="S2324" s="185" t="s">
        <v>1574</v>
      </c>
      <c r="T2324"/>
      <c r="U2324" t="str">
        <f>IF($L2324&gt;0,VLOOKUP($E2324,Valida!$A$1:$G$270,6,FALSE),IF($M2324&gt;=0,VLOOKUP($E2324,Valida!$A$1:$G$270,7,FALSE)))</f>
        <v>(+/-) Ajustes por el incremento (disminución) de cuentas por pagar de origen comercial</v>
      </c>
      <c r="V2324" s="190" t="str">
        <f>VLOOKUP(E2324,Valida!$A$2:$K$271,4,FALSE)</f>
        <v>Trade and other payables</v>
      </c>
      <c r="W2324" s="185" t="s">
        <v>1914</v>
      </c>
      <c r="X2324" s="185" t="s">
        <v>1915</v>
      </c>
      <c r="Y2324" s="185" t="s">
        <v>1789</v>
      </c>
      <c r="Z2324"/>
    </row>
    <row r="2325" spans="1:26">
      <c r="A2325" s="185" t="s">
        <v>3297</v>
      </c>
      <c r="B2325" s="185" t="s">
        <v>3298</v>
      </c>
      <c r="C2325" s="185" t="s">
        <v>1792</v>
      </c>
      <c r="D2325" s="185" t="s">
        <v>3299</v>
      </c>
      <c r="E2325" s="185">
        <v>237005</v>
      </c>
      <c r="F2325" s="185" t="s">
        <v>676</v>
      </c>
      <c r="G2325" s="185" t="s">
        <v>3300</v>
      </c>
      <c r="H2325" s="185" t="s">
        <v>1515</v>
      </c>
      <c r="I2325" s="258" t="str">
        <f t="shared" si="109"/>
        <v>2</v>
      </c>
      <c r="J2325" s="221">
        <f t="shared" si="110"/>
        <v>104400</v>
      </c>
      <c r="K2325" s="258">
        <f t="shared" si="111"/>
        <v>8</v>
      </c>
      <c r="L2325" s="188">
        <v>104400</v>
      </c>
      <c r="M2325" s="188">
        <v>0</v>
      </c>
      <c r="N2325" s="189">
        <v>800251440</v>
      </c>
      <c r="O2325" t="s">
        <v>3301</v>
      </c>
      <c r="P2325" s="187">
        <v>45168.510023148097</v>
      </c>
      <c r="Q2325" s="186">
        <v>13146</v>
      </c>
      <c r="R2325" s="185" t="s">
        <v>1901</v>
      </c>
      <c r="S2325" s="185" t="s">
        <v>1560</v>
      </c>
      <c r="T2325"/>
      <c r="U2325" t="str">
        <f>IF($L2325&gt;0,VLOOKUP($E2325,Valida!$A$1:$G$270,6,FALSE),IF($M2325&gt;=0,VLOOKUP($E2325,Valida!$A$1:$G$270,7,FALSE)))</f>
        <v>(+/-) Ajustes por el incremento (disminución) de cuentas por pagar de origen comercial</v>
      </c>
      <c r="V2325" s="190" t="str">
        <f>VLOOKUP(E2325,Valida!$A$2:$K$271,4,FALSE)</f>
        <v>Trade and other payables</v>
      </c>
      <c r="W2325" s="185" t="s">
        <v>1902</v>
      </c>
      <c r="X2325" s="185" t="s">
        <v>1903</v>
      </c>
      <c r="Y2325" s="185" t="s">
        <v>1789</v>
      </c>
      <c r="Z2325"/>
    </row>
    <row r="2326" spans="1:26">
      <c r="A2326" s="185" t="s">
        <v>3297</v>
      </c>
      <c r="B2326" s="185" t="s">
        <v>3298</v>
      </c>
      <c r="C2326" s="185" t="s">
        <v>1792</v>
      </c>
      <c r="D2326" s="185" t="s">
        <v>3299</v>
      </c>
      <c r="E2326" s="185">
        <v>237005</v>
      </c>
      <c r="F2326" s="185" t="s">
        <v>676</v>
      </c>
      <c r="G2326" s="185" t="s">
        <v>3300</v>
      </c>
      <c r="H2326" s="185" t="s">
        <v>1515</v>
      </c>
      <c r="I2326" s="258" t="str">
        <f t="shared" si="109"/>
        <v>2</v>
      </c>
      <c r="J2326" s="221">
        <f t="shared" si="110"/>
        <v>51040</v>
      </c>
      <c r="K2326" s="258">
        <f t="shared" si="111"/>
        <v>8</v>
      </c>
      <c r="L2326" s="188">
        <v>51040</v>
      </c>
      <c r="M2326" s="188">
        <v>0</v>
      </c>
      <c r="N2326" s="189">
        <v>830003564</v>
      </c>
      <c r="O2326" t="s">
        <v>3301</v>
      </c>
      <c r="P2326" s="187">
        <v>45168.510023148097</v>
      </c>
      <c r="Q2326" s="186">
        <v>13147</v>
      </c>
      <c r="R2326" s="185" t="s">
        <v>1814</v>
      </c>
      <c r="S2326" s="185" t="s">
        <v>1652</v>
      </c>
      <c r="T2326"/>
      <c r="U2326" t="str">
        <f>IF($L2326&gt;0,VLOOKUP($E2326,Valida!$A$1:$G$270,6,FALSE),IF($M2326&gt;=0,VLOOKUP($E2326,Valida!$A$1:$G$270,7,FALSE)))</f>
        <v>(+/-) Ajustes por el incremento (disminución) de cuentas por pagar de origen comercial</v>
      </c>
      <c r="V2326" s="190" t="str">
        <f>VLOOKUP(E2326,Valida!$A$2:$K$271,4,FALSE)</f>
        <v>Trade and other payables</v>
      </c>
      <c r="W2326" s="185" t="s">
        <v>1973</v>
      </c>
      <c r="X2326" s="185" t="s">
        <v>1974</v>
      </c>
      <c r="Y2326" s="185" t="s">
        <v>1789</v>
      </c>
      <c r="Z2326"/>
    </row>
    <row r="2327" spans="1:26">
      <c r="A2327" s="185" t="s">
        <v>3297</v>
      </c>
      <c r="B2327" s="185" t="s">
        <v>3298</v>
      </c>
      <c r="C2327" s="185" t="s">
        <v>1792</v>
      </c>
      <c r="D2327" s="185" t="s">
        <v>3299</v>
      </c>
      <c r="E2327" s="185">
        <v>237005</v>
      </c>
      <c r="F2327" s="185" t="s">
        <v>676</v>
      </c>
      <c r="G2327" s="185" t="s">
        <v>3300</v>
      </c>
      <c r="H2327" s="185" t="s">
        <v>1515</v>
      </c>
      <c r="I2327" s="258" t="str">
        <f t="shared" si="109"/>
        <v>2</v>
      </c>
      <c r="J2327" s="221">
        <f t="shared" si="110"/>
        <v>60000</v>
      </c>
      <c r="K2327" s="258">
        <f t="shared" si="111"/>
        <v>8</v>
      </c>
      <c r="L2327" s="188">
        <v>60000</v>
      </c>
      <c r="M2327" s="188">
        <v>0</v>
      </c>
      <c r="N2327" s="189">
        <v>860066942</v>
      </c>
      <c r="O2327" t="s">
        <v>3301</v>
      </c>
      <c r="P2327" s="187">
        <v>45168.510023148097</v>
      </c>
      <c r="Q2327" s="186">
        <v>13148</v>
      </c>
      <c r="R2327" s="185" t="s">
        <v>1814</v>
      </c>
      <c r="S2327" s="185" t="s">
        <v>1574</v>
      </c>
      <c r="T2327"/>
      <c r="U2327" t="str">
        <f>IF($L2327&gt;0,VLOOKUP($E2327,Valida!$A$1:$G$270,6,FALSE),IF($M2327&gt;=0,VLOOKUP($E2327,Valida!$A$1:$G$270,7,FALSE)))</f>
        <v>(+/-) Ajustes por el incremento (disminución) de cuentas por pagar de origen comercial</v>
      </c>
      <c r="V2327" s="190" t="str">
        <f>VLOOKUP(E2327,Valida!$A$2:$K$271,4,FALSE)</f>
        <v>Trade and other payables</v>
      </c>
      <c r="W2327" s="185" t="s">
        <v>1914</v>
      </c>
      <c r="X2327" s="185" t="s">
        <v>1915</v>
      </c>
      <c r="Y2327" s="185" t="s">
        <v>1789</v>
      </c>
      <c r="Z2327"/>
    </row>
    <row r="2328" spans="1:26">
      <c r="A2328" s="185" t="s">
        <v>3297</v>
      </c>
      <c r="B2328" s="185" t="s">
        <v>3298</v>
      </c>
      <c r="C2328" s="185" t="s">
        <v>1792</v>
      </c>
      <c r="D2328" s="185" t="s">
        <v>3299</v>
      </c>
      <c r="E2328" s="185">
        <v>237005</v>
      </c>
      <c r="F2328" s="185" t="s">
        <v>676</v>
      </c>
      <c r="G2328" s="185" t="s">
        <v>3300</v>
      </c>
      <c r="H2328" s="185" t="s">
        <v>1515</v>
      </c>
      <c r="I2328" s="258" t="str">
        <f t="shared" si="109"/>
        <v>2</v>
      </c>
      <c r="J2328" s="221">
        <f t="shared" si="110"/>
        <v>72812</v>
      </c>
      <c r="K2328" s="258">
        <f t="shared" si="111"/>
        <v>8</v>
      </c>
      <c r="L2328" s="188">
        <v>72812</v>
      </c>
      <c r="M2328" s="188">
        <v>0</v>
      </c>
      <c r="N2328" s="189">
        <v>900156264</v>
      </c>
      <c r="O2328" t="s">
        <v>3301</v>
      </c>
      <c r="P2328" s="187">
        <v>45168.510034722203</v>
      </c>
      <c r="Q2328" s="186">
        <v>13149</v>
      </c>
      <c r="R2328" s="185" t="s">
        <v>433</v>
      </c>
      <c r="S2328" s="185" t="s">
        <v>1654</v>
      </c>
      <c r="T2328"/>
      <c r="U2328" t="str">
        <f>IF($L2328&gt;0,VLOOKUP($E2328,Valida!$A$1:$G$270,6,FALSE),IF($M2328&gt;=0,VLOOKUP($E2328,Valida!$A$1:$G$270,7,FALSE)))</f>
        <v>(+/-) Ajustes por el incremento (disminución) de cuentas por pagar de origen comercial</v>
      </c>
      <c r="V2328" s="190" t="str">
        <f>VLOOKUP(E2328,Valida!$A$2:$K$271,4,FALSE)</f>
        <v>Trade and other payables</v>
      </c>
      <c r="W2328" s="185" t="s">
        <v>1926</v>
      </c>
      <c r="X2328" s="185" t="s">
        <v>1927</v>
      </c>
      <c r="Y2328" s="185" t="s">
        <v>1789</v>
      </c>
      <c r="Z2328"/>
    </row>
    <row r="2329" spans="1:26">
      <c r="A2329" s="185" t="s">
        <v>3297</v>
      </c>
      <c r="B2329" s="185" t="s">
        <v>3298</v>
      </c>
      <c r="C2329" s="185" t="s">
        <v>1792</v>
      </c>
      <c r="D2329" s="185" t="s">
        <v>3299</v>
      </c>
      <c r="E2329" s="185">
        <v>237006</v>
      </c>
      <c r="F2329" s="185" t="s">
        <v>680</v>
      </c>
      <c r="G2329" s="185" t="s">
        <v>3300</v>
      </c>
      <c r="H2329" s="185" t="s">
        <v>1515</v>
      </c>
      <c r="I2329" s="258" t="str">
        <f t="shared" si="109"/>
        <v>2</v>
      </c>
      <c r="J2329" s="221">
        <f t="shared" si="110"/>
        <v>30048</v>
      </c>
      <c r="K2329" s="258">
        <f t="shared" si="111"/>
        <v>8</v>
      </c>
      <c r="L2329" s="188">
        <v>30048</v>
      </c>
      <c r="M2329" s="188">
        <v>0</v>
      </c>
      <c r="N2329" s="189">
        <v>860002503</v>
      </c>
      <c r="O2329" t="s">
        <v>3301</v>
      </c>
      <c r="P2329" s="187">
        <v>45168.510034722203</v>
      </c>
      <c r="Q2329" s="186">
        <v>13150</v>
      </c>
      <c r="R2329" s="185" t="s">
        <v>433</v>
      </c>
      <c r="S2329" s="185" t="s">
        <v>1656</v>
      </c>
      <c r="T2329"/>
      <c r="U2329" t="str">
        <f>IF($L2329&gt;0,VLOOKUP($E2329,Valida!$A$1:$G$270,6,FALSE),IF($M2329&gt;=0,VLOOKUP($E2329,Valida!$A$1:$G$270,7,FALSE)))</f>
        <v>(+/-) Ajustes por el incremento (disminución) de cuentas por pagar de origen comercial</v>
      </c>
      <c r="V2329" s="190" t="str">
        <f>VLOOKUP(E2329,Valida!$A$2:$K$271,4,FALSE)</f>
        <v>Trade and other payables</v>
      </c>
      <c r="W2329" s="185" t="s">
        <v>1912</v>
      </c>
      <c r="X2329" s="185" t="s">
        <v>1913</v>
      </c>
      <c r="Y2329" s="185" t="s">
        <v>1789</v>
      </c>
      <c r="Z2329"/>
    </row>
    <row r="2330" spans="1:26">
      <c r="A2330" s="185" t="s">
        <v>3297</v>
      </c>
      <c r="B2330" s="185" t="s">
        <v>3298</v>
      </c>
      <c r="C2330" s="185" t="s">
        <v>1792</v>
      </c>
      <c r="D2330" s="185" t="s">
        <v>3299</v>
      </c>
      <c r="E2330" s="185">
        <v>237010</v>
      </c>
      <c r="F2330" s="185" t="s">
        <v>683</v>
      </c>
      <c r="G2330" s="185" t="s">
        <v>3300</v>
      </c>
      <c r="H2330" s="185" t="s">
        <v>1515</v>
      </c>
      <c r="I2330" s="258" t="str">
        <f t="shared" si="109"/>
        <v>2</v>
      </c>
      <c r="J2330" s="221">
        <f t="shared" si="110"/>
        <v>216200</v>
      </c>
      <c r="K2330" s="258">
        <f t="shared" si="111"/>
        <v>8</v>
      </c>
      <c r="L2330" s="188">
        <v>216200</v>
      </c>
      <c r="M2330" s="188">
        <v>0</v>
      </c>
      <c r="N2330" s="189">
        <v>860066942</v>
      </c>
      <c r="O2330" t="s">
        <v>3301</v>
      </c>
      <c r="P2330" s="187">
        <v>45168.510034722203</v>
      </c>
      <c r="Q2330" s="186">
        <v>13151</v>
      </c>
      <c r="R2330" s="185" t="s">
        <v>1814</v>
      </c>
      <c r="S2330" s="185" t="s">
        <v>1574</v>
      </c>
      <c r="T2330"/>
      <c r="U2330" t="str">
        <f>IF($L2330&gt;0,VLOOKUP($E2330,Valida!$A$1:$G$270,6,FALSE),IF($M2330&gt;=0,VLOOKUP($E2330,Valida!$A$1:$G$270,7,FALSE)))</f>
        <v>(+/-) Ajustes por el incremento (disminución) de cuentas por pagar de origen comercial</v>
      </c>
      <c r="V2330" s="190" t="str">
        <f>VLOOKUP(E2330,Valida!$A$2:$K$271,4,FALSE)</f>
        <v>Trade and other payables</v>
      </c>
      <c r="W2330" s="185" t="s">
        <v>1914</v>
      </c>
      <c r="X2330" s="185" t="s">
        <v>1915</v>
      </c>
      <c r="Y2330" s="185" t="s">
        <v>1789</v>
      </c>
      <c r="Z2330"/>
    </row>
    <row r="2331" spans="1:26">
      <c r="A2331" s="185" t="s">
        <v>3297</v>
      </c>
      <c r="B2331" s="185" t="s">
        <v>3298</v>
      </c>
      <c r="C2331" s="185" t="s">
        <v>1792</v>
      </c>
      <c r="D2331" s="185" t="s">
        <v>3299</v>
      </c>
      <c r="E2331" s="185">
        <v>238030</v>
      </c>
      <c r="F2331" s="185" t="s">
        <v>721</v>
      </c>
      <c r="G2331" s="185" t="s">
        <v>3300</v>
      </c>
      <c r="H2331" s="185" t="s">
        <v>1515</v>
      </c>
      <c r="I2331" s="258" t="str">
        <f t="shared" si="109"/>
        <v>2</v>
      </c>
      <c r="J2331" s="221">
        <f t="shared" si="110"/>
        <v>948849</v>
      </c>
      <c r="K2331" s="258">
        <f t="shared" si="111"/>
        <v>8</v>
      </c>
      <c r="L2331" s="188">
        <v>948849</v>
      </c>
      <c r="M2331" s="188">
        <v>0</v>
      </c>
      <c r="N2331" s="189">
        <v>800224808</v>
      </c>
      <c r="O2331" t="s">
        <v>3301</v>
      </c>
      <c r="P2331" s="187">
        <v>45168.510034722203</v>
      </c>
      <c r="Q2331" s="186">
        <v>13152</v>
      </c>
      <c r="R2331" s="185" t="s">
        <v>1827</v>
      </c>
      <c r="S2331" s="185" t="s">
        <v>1662</v>
      </c>
      <c r="T2331"/>
      <c r="U2331" t="str">
        <f>IF($L2331&gt;0,VLOOKUP($E2331,Valida!$A$1:$G$270,6,FALSE),IF($M2331&gt;=0,VLOOKUP($E2331,Valida!$A$1:$G$270,7,FALSE)))</f>
        <v>(+/-) Ajustes por el incremento (disminución) de cuentas por pagar de origen comercial</v>
      </c>
      <c r="V2331" s="190" t="str">
        <f>VLOOKUP(E2331,Valida!$A$2:$K$271,4,FALSE)</f>
        <v>Trade and other payables</v>
      </c>
      <c r="W2331" s="185" t="s">
        <v>1911</v>
      </c>
      <c r="X2331" s="185"/>
      <c r="Y2331" s="185" t="s">
        <v>1789</v>
      </c>
      <c r="Z2331"/>
    </row>
    <row r="2332" spans="1:26">
      <c r="A2332" s="185" t="s">
        <v>3297</v>
      </c>
      <c r="B2332" s="185" t="s">
        <v>3298</v>
      </c>
      <c r="C2332" s="185" t="s">
        <v>1792</v>
      </c>
      <c r="D2332" s="185" t="s">
        <v>3299</v>
      </c>
      <c r="E2332" s="185">
        <v>238030</v>
      </c>
      <c r="F2332" s="185" t="s">
        <v>721</v>
      </c>
      <c r="G2332" s="185" t="s">
        <v>3300</v>
      </c>
      <c r="H2332" s="185" t="s">
        <v>1515</v>
      </c>
      <c r="I2332" s="258" t="str">
        <f t="shared" si="109"/>
        <v>2</v>
      </c>
      <c r="J2332" s="221">
        <f t="shared" si="110"/>
        <v>204160</v>
      </c>
      <c r="K2332" s="258">
        <f t="shared" si="111"/>
        <v>8</v>
      </c>
      <c r="L2332" s="188">
        <v>204160</v>
      </c>
      <c r="M2332" s="188">
        <v>0</v>
      </c>
      <c r="N2332" s="189">
        <v>800227940</v>
      </c>
      <c r="O2332" t="s">
        <v>3301</v>
      </c>
      <c r="P2332" s="187">
        <v>45168.510034722203</v>
      </c>
      <c r="Q2332" s="186">
        <v>13153</v>
      </c>
      <c r="R2332" s="185"/>
      <c r="S2332" s="185" t="s">
        <v>1664</v>
      </c>
      <c r="T2332"/>
      <c r="U2332" t="str">
        <f>IF($L2332&gt;0,VLOOKUP($E2332,Valida!$A$1:$G$270,6,FALSE),IF($M2332&gt;=0,VLOOKUP($E2332,Valida!$A$1:$G$270,7,FALSE)))</f>
        <v>(+/-) Ajustes por el incremento (disminución) de cuentas por pagar de origen comercial</v>
      </c>
      <c r="V2332" s="190" t="str">
        <f>VLOOKUP(E2332,Valida!$A$2:$K$271,4,FALSE)</f>
        <v>Trade and other payables</v>
      </c>
      <c r="W2332" s="185"/>
      <c r="X2332" s="185"/>
      <c r="Y2332" s="185"/>
      <c r="Z2332"/>
    </row>
    <row r="2333" spans="1:26">
      <c r="A2333" s="185" t="s">
        <v>3297</v>
      </c>
      <c r="B2333" s="185" t="s">
        <v>3298</v>
      </c>
      <c r="C2333" s="185" t="s">
        <v>1792</v>
      </c>
      <c r="D2333" s="185" t="s">
        <v>3299</v>
      </c>
      <c r="E2333" s="185">
        <v>237095</v>
      </c>
      <c r="F2333" s="185" t="s">
        <v>150</v>
      </c>
      <c r="G2333" s="185" t="s">
        <v>3300</v>
      </c>
      <c r="H2333" s="185" t="s">
        <v>1628</v>
      </c>
      <c r="I2333" s="258" t="str">
        <f t="shared" si="109"/>
        <v>2</v>
      </c>
      <c r="J2333" s="221">
        <f t="shared" si="110"/>
        <v>-1688100</v>
      </c>
      <c r="K2333" s="258">
        <f t="shared" si="111"/>
        <v>8</v>
      </c>
      <c r="L2333" s="188">
        <v>0</v>
      </c>
      <c r="M2333" s="188">
        <v>1688100</v>
      </c>
      <c r="N2333" s="189">
        <v>860066942</v>
      </c>
      <c r="O2333" t="s">
        <v>3301</v>
      </c>
      <c r="P2333" s="187">
        <v>45168.510034722203</v>
      </c>
      <c r="Q2333" s="186">
        <v>13154</v>
      </c>
      <c r="R2333" s="185" t="s">
        <v>1814</v>
      </c>
      <c r="S2333" s="185" t="s">
        <v>1574</v>
      </c>
      <c r="T2333"/>
      <c r="U2333" t="str">
        <f>IF($L2333&gt;0,VLOOKUP($E2333,Valida!$A$1:$G$270,6,FALSE),IF($M2333&gt;=0,VLOOKUP($E2333,Valida!$A$1:$G$270,7,FALSE)))</f>
        <v>(+/-) Ajustes por el incremento (disminución) de cuentas por pagar de origen comercial</v>
      </c>
      <c r="V2333" s="190" t="str">
        <f>VLOOKUP(E2333,Valida!$A$2:$K$271,4,FALSE)</f>
        <v>Trade and other payables</v>
      </c>
      <c r="W2333" s="185" t="s">
        <v>1914</v>
      </c>
      <c r="X2333" s="185" t="s">
        <v>1915</v>
      </c>
      <c r="Y2333" s="185" t="s">
        <v>1789</v>
      </c>
      <c r="Z2333"/>
    </row>
    <row r="2334" spans="1:26">
      <c r="A2334" s="185" t="s">
        <v>3297</v>
      </c>
      <c r="B2334" s="185" t="s">
        <v>3298</v>
      </c>
      <c r="C2334" s="185" t="s">
        <v>1792</v>
      </c>
      <c r="D2334" s="185" t="s">
        <v>3299</v>
      </c>
      <c r="E2334" s="185">
        <v>53059510</v>
      </c>
      <c r="F2334" s="185" t="s">
        <v>1065</v>
      </c>
      <c r="G2334" s="185" t="s">
        <v>3300</v>
      </c>
      <c r="H2334" s="185" t="s">
        <v>1515</v>
      </c>
      <c r="I2334" s="258" t="str">
        <f t="shared" si="109"/>
        <v>5</v>
      </c>
      <c r="J2334" s="221">
        <f t="shared" si="110"/>
        <v>591</v>
      </c>
      <c r="K2334" s="258">
        <f t="shared" si="111"/>
        <v>8</v>
      </c>
      <c r="L2334" s="188">
        <v>591</v>
      </c>
      <c r="M2334" s="188">
        <v>0</v>
      </c>
      <c r="N2334" s="189">
        <v>860066942</v>
      </c>
      <c r="O2334" t="s">
        <v>3301</v>
      </c>
      <c r="P2334" s="187">
        <v>45168.510034722203</v>
      </c>
      <c r="Q2334" s="186">
        <v>13155</v>
      </c>
      <c r="R2334" s="185" t="s">
        <v>1814</v>
      </c>
      <c r="S2334" s="185" t="s">
        <v>1574</v>
      </c>
      <c r="T2334"/>
      <c r="U2334" t="str">
        <f>IF($L2334&gt;0,VLOOKUP($E2334,Valida!$A$1:$G$270,6,FALSE),IF($M2334&gt;=0,VLOOKUP($E2334,Valida!$A$1:$G$270,7,FALSE)))</f>
        <v>(+/-) Ganancia (pérdida)</v>
      </c>
      <c r="V2334" s="190" t="str">
        <f>VLOOKUP(E2334,Valida!$A$2:$K$271,4,FALSE)</f>
        <v>P&amp;L</v>
      </c>
      <c r="W2334" s="185" t="s">
        <v>1914</v>
      </c>
      <c r="X2334" s="185" t="s">
        <v>1915</v>
      </c>
      <c r="Y2334" s="185" t="s">
        <v>1789</v>
      </c>
      <c r="Z2334"/>
    </row>
    <row r="2335" spans="1:26">
      <c r="A2335" s="185" t="s">
        <v>3302</v>
      </c>
      <c r="B2335" s="185" t="s">
        <v>3303</v>
      </c>
      <c r="C2335" s="185" t="s">
        <v>1792</v>
      </c>
      <c r="D2335" s="185" t="s">
        <v>3304</v>
      </c>
      <c r="E2335" s="185">
        <v>51059510</v>
      </c>
      <c r="F2335" s="185" t="s">
        <v>1132</v>
      </c>
      <c r="G2335" s="185" t="s">
        <v>3305</v>
      </c>
      <c r="H2335" s="185" t="s">
        <v>1515</v>
      </c>
      <c r="I2335" s="258" t="str">
        <f t="shared" si="109"/>
        <v>5</v>
      </c>
      <c r="J2335" s="221">
        <f t="shared" si="110"/>
        <v>9747899</v>
      </c>
      <c r="K2335" s="258">
        <f t="shared" si="111"/>
        <v>8</v>
      </c>
      <c r="L2335" s="188">
        <v>9747899</v>
      </c>
      <c r="M2335" s="188">
        <v>0</v>
      </c>
      <c r="N2335" s="189">
        <v>860513883</v>
      </c>
      <c r="O2335" t="s">
        <v>3306</v>
      </c>
      <c r="P2335" s="187">
        <v>45168.515509259298</v>
      </c>
      <c r="Q2335" s="186">
        <v>13156</v>
      </c>
      <c r="R2335" s="185" t="s">
        <v>1841</v>
      </c>
      <c r="S2335" s="185" t="s">
        <v>1576</v>
      </c>
      <c r="T2335"/>
      <c r="U2335" t="str">
        <f>IF($L2335&gt;0,VLOOKUP($E2335,Valida!$A$1:$G$270,6,FALSE),IF($M2335&gt;=0,VLOOKUP($E2335,Valida!$A$1:$G$270,7,FALSE)))</f>
        <v>(+/-) Ganancia (pérdida)</v>
      </c>
      <c r="V2335" s="190" t="str">
        <f>VLOOKUP(E2335,Valida!$A$2:$K$271,4,FALSE)</f>
        <v>P&amp;L</v>
      </c>
      <c r="W2335" s="185" t="s">
        <v>3307</v>
      </c>
      <c r="X2335" s="185" t="s">
        <v>3308</v>
      </c>
      <c r="Y2335" s="185" t="s">
        <v>1789</v>
      </c>
      <c r="Z2335"/>
    </row>
    <row r="2336" spans="1:26">
      <c r="A2336" s="185" t="s">
        <v>3302</v>
      </c>
      <c r="B2336" s="185" t="s">
        <v>3303</v>
      </c>
      <c r="C2336" s="185" t="s">
        <v>1792</v>
      </c>
      <c r="D2336" s="185" t="s">
        <v>3304</v>
      </c>
      <c r="E2336" s="185">
        <v>24081001</v>
      </c>
      <c r="F2336" s="185" t="s">
        <v>1670</v>
      </c>
      <c r="G2336" s="185" t="s">
        <v>3305</v>
      </c>
      <c r="H2336" s="185" t="s">
        <v>1515</v>
      </c>
      <c r="I2336" s="258" t="str">
        <f t="shared" si="109"/>
        <v>2</v>
      </c>
      <c r="J2336" s="221">
        <f t="shared" si="110"/>
        <v>1852101</v>
      </c>
      <c r="K2336" s="258">
        <f t="shared" si="111"/>
        <v>8</v>
      </c>
      <c r="L2336" s="188">
        <v>1852101</v>
      </c>
      <c r="M2336" s="188">
        <v>0</v>
      </c>
      <c r="N2336" s="189">
        <v>860513883</v>
      </c>
      <c r="O2336" t="s">
        <v>3306</v>
      </c>
      <c r="P2336" s="187">
        <v>45168.515509259298</v>
      </c>
      <c r="Q2336" s="186">
        <v>13157</v>
      </c>
      <c r="R2336" s="185" t="s">
        <v>1841</v>
      </c>
      <c r="S2336" s="185" t="s">
        <v>1576</v>
      </c>
      <c r="T2336"/>
      <c r="U2336" t="str">
        <f>IF($L2336&gt;0,VLOOKUP($E2336,Valida!$A$1:$G$270,6,FALSE),IF($M2336&gt;=0,VLOOKUP($E2336,Valida!$A$1:$G$270,7,FALSE)))</f>
        <v>(+/-) Ajustes por el incremento (disminución) de cuentas por pagar de origen comercial</v>
      </c>
      <c r="V2336" s="190" t="str">
        <f>VLOOKUP(E2336,Valida!$A$2:$K$271,4,FALSE)</f>
        <v>Trade and other payables</v>
      </c>
      <c r="W2336" s="185" t="s">
        <v>3307</v>
      </c>
      <c r="X2336" s="185" t="s">
        <v>3308</v>
      </c>
      <c r="Y2336" s="185" t="s">
        <v>1789</v>
      </c>
      <c r="Z2336"/>
    </row>
    <row r="2337" spans="1:26">
      <c r="A2337" s="185" t="s">
        <v>3302</v>
      </c>
      <c r="B2337" s="185" t="s">
        <v>3303</v>
      </c>
      <c r="C2337" s="185" t="s">
        <v>1792</v>
      </c>
      <c r="D2337" s="185" t="s">
        <v>3304</v>
      </c>
      <c r="E2337" s="185">
        <v>23359502</v>
      </c>
      <c r="F2337" s="185" t="s">
        <v>547</v>
      </c>
      <c r="G2337" s="185" t="s">
        <v>3305</v>
      </c>
      <c r="H2337" s="185" t="s">
        <v>1628</v>
      </c>
      <c r="I2337" s="258" t="str">
        <f t="shared" si="109"/>
        <v>2</v>
      </c>
      <c r="J2337" s="221">
        <f t="shared" si="110"/>
        <v>-11600000</v>
      </c>
      <c r="K2337" s="258">
        <f t="shared" si="111"/>
        <v>8</v>
      </c>
      <c r="L2337" s="188">
        <v>0</v>
      </c>
      <c r="M2337" s="188">
        <v>11600000</v>
      </c>
      <c r="N2337" s="189">
        <v>860513883</v>
      </c>
      <c r="O2337" t="s">
        <v>3306</v>
      </c>
      <c r="P2337" s="187">
        <v>45168.515509259298</v>
      </c>
      <c r="Q2337" s="186">
        <v>13158</v>
      </c>
      <c r="R2337" s="185" t="s">
        <v>1841</v>
      </c>
      <c r="S2337" s="185" t="s">
        <v>1576</v>
      </c>
      <c r="T2337"/>
      <c r="U2337" t="str">
        <f>IF($L2337&gt;0,VLOOKUP($E2337,Valida!$A$1:$G$270,6,FALSE),IF($M2337&gt;=0,VLOOKUP($E2337,Valida!$A$1:$G$270,7,FALSE)))</f>
        <v>(+/-) Ajustes por el incremento (disminución) de cuentas por pagar de origen comercial</v>
      </c>
      <c r="V2337" s="190" t="str">
        <f>VLOOKUP(E2337,Valida!$A$2:$K$271,4,FALSE)</f>
        <v>Trade and other payables</v>
      </c>
      <c r="W2337" s="185" t="s">
        <v>3307</v>
      </c>
      <c r="X2337" s="185" t="s">
        <v>3308</v>
      </c>
      <c r="Y2337" s="185" t="s">
        <v>1789</v>
      </c>
      <c r="Z2337"/>
    </row>
    <row r="2338" spans="1:26">
      <c r="A2338" s="185" t="s">
        <v>3264</v>
      </c>
      <c r="B2338" s="185" t="s">
        <v>3309</v>
      </c>
      <c r="C2338" s="185" t="s">
        <v>1801</v>
      </c>
      <c r="D2338" s="185" t="s">
        <v>2873</v>
      </c>
      <c r="E2338" s="185">
        <v>130510</v>
      </c>
      <c r="F2338" s="185" t="s">
        <v>64</v>
      </c>
      <c r="G2338" s="185" t="s">
        <v>3310</v>
      </c>
      <c r="H2338" s="185" t="s">
        <v>1515</v>
      </c>
      <c r="I2338" s="258" t="str">
        <f t="shared" si="109"/>
        <v>1</v>
      </c>
      <c r="J2338" s="221">
        <f t="shared" si="110"/>
        <v>129085600</v>
      </c>
      <c r="K2338" s="258">
        <f t="shared" si="111"/>
        <v>8</v>
      </c>
      <c r="L2338" s="188">
        <v>129085600</v>
      </c>
      <c r="M2338" s="188">
        <v>0</v>
      </c>
      <c r="N2338" s="189">
        <v>374795</v>
      </c>
      <c r="O2338"/>
      <c r="P2338" s="187">
        <v>45169.292372685202</v>
      </c>
      <c r="Q2338" s="186">
        <v>13159</v>
      </c>
      <c r="R2338" s="185"/>
      <c r="S2338" s="185" t="s">
        <v>1544</v>
      </c>
      <c r="T2338"/>
      <c r="U2338" t="str">
        <f>IF($L2338&gt;0,VLOOKUP($E2338,Valida!$A$1:$G$270,6,FALSE),IF($M2338&gt;=0,VLOOKUP($E2338,Valida!$A$1:$G$270,7,FALSE)))</f>
        <v>(+/-) Ajustes por la disminución (incremento) de cuentas por cobrar de origen comercial</v>
      </c>
      <c r="V2338" s="190" t="str">
        <f>VLOOKUP(E2338,Valida!$A$2:$K$271,4,FALSE)</f>
        <v>Trade and other receivables</v>
      </c>
      <c r="W2338" s="185" t="s">
        <v>1803</v>
      </c>
      <c r="X2338" s="185"/>
      <c r="Y2338" s="185"/>
      <c r="Z2338"/>
    </row>
    <row r="2339" spans="1:26">
      <c r="A2339" s="185" t="s">
        <v>3264</v>
      </c>
      <c r="B2339" s="185" t="s">
        <v>3309</v>
      </c>
      <c r="C2339" s="185" t="s">
        <v>1801</v>
      </c>
      <c r="D2339" s="185" t="s">
        <v>2873</v>
      </c>
      <c r="E2339" s="185">
        <v>41559505</v>
      </c>
      <c r="F2339" s="185" t="s">
        <v>1708</v>
      </c>
      <c r="G2339" s="185" t="s">
        <v>3311</v>
      </c>
      <c r="H2339" s="185" t="s">
        <v>1628</v>
      </c>
      <c r="I2339" s="258" t="str">
        <f t="shared" si="109"/>
        <v>4</v>
      </c>
      <c r="J2339" s="221">
        <f t="shared" si="110"/>
        <v>-129085600</v>
      </c>
      <c r="K2339" s="258">
        <f t="shared" si="111"/>
        <v>8</v>
      </c>
      <c r="L2339" s="188">
        <v>0</v>
      </c>
      <c r="M2339" s="188">
        <v>129085600</v>
      </c>
      <c r="N2339" s="189">
        <v>374795</v>
      </c>
      <c r="O2339"/>
      <c r="P2339" s="187">
        <v>45169.292384259301</v>
      </c>
      <c r="Q2339" s="186">
        <v>13160</v>
      </c>
      <c r="R2339" s="185"/>
      <c r="S2339" s="185" t="s">
        <v>1544</v>
      </c>
      <c r="T2339"/>
      <c r="U2339" t="str">
        <f>IF($L2339&gt;0,VLOOKUP($E2339,Valida!$A$1:$G$270,6,FALSE),IF($M2339&gt;=0,VLOOKUP($E2339,Valida!$A$1:$G$270,7,FALSE)))</f>
        <v>(+/-) Ganancia (pérdida)</v>
      </c>
      <c r="V2339" s="190" t="str">
        <f>VLOOKUP(E2339,Valida!$A$2:$K$271,4,FALSE)</f>
        <v>P&amp;L</v>
      </c>
      <c r="W2339" s="185" t="s">
        <v>1803</v>
      </c>
      <c r="X2339" s="185"/>
      <c r="Y2339" s="185"/>
      <c r="Z2339"/>
    </row>
    <row r="2340" spans="1:26">
      <c r="A2340" s="185" t="s">
        <v>3302</v>
      </c>
      <c r="B2340" s="185" t="s">
        <v>3312</v>
      </c>
      <c r="C2340" s="185" t="s">
        <v>1792</v>
      </c>
      <c r="D2340" s="185" t="s">
        <v>3313</v>
      </c>
      <c r="E2340" s="185">
        <v>51103501</v>
      </c>
      <c r="F2340" s="185" t="s">
        <v>1732</v>
      </c>
      <c r="G2340" s="185" t="s">
        <v>3314</v>
      </c>
      <c r="H2340" s="185" t="s">
        <v>1515</v>
      </c>
      <c r="I2340" s="258" t="str">
        <f t="shared" si="109"/>
        <v>5</v>
      </c>
      <c r="J2340" s="221">
        <f t="shared" si="110"/>
        <v>350000</v>
      </c>
      <c r="K2340" s="258">
        <f t="shared" si="111"/>
        <v>8</v>
      </c>
      <c r="L2340" s="188">
        <v>350000</v>
      </c>
      <c r="M2340" s="188">
        <v>0</v>
      </c>
      <c r="N2340" s="189">
        <v>901636211</v>
      </c>
      <c r="O2340" t="s">
        <v>3315</v>
      </c>
      <c r="P2340" s="187">
        <v>45169.479131944398</v>
      </c>
      <c r="Q2340" s="186">
        <v>13161</v>
      </c>
      <c r="R2340" s="185" t="s">
        <v>1901</v>
      </c>
      <c r="S2340" s="185" t="s">
        <v>1612</v>
      </c>
      <c r="T2340"/>
      <c r="U2340" t="str">
        <f>IF($L2340&gt;0,VLOOKUP($E2340,Valida!$A$1:$G$270,6,FALSE),IF($M2340&gt;=0,VLOOKUP($E2340,Valida!$A$1:$G$270,7,FALSE)))</f>
        <v>(+/-) Ganancia (pérdida)</v>
      </c>
      <c r="V2340" s="190" t="str">
        <f>VLOOKUP(E2340,Valida!$A$2:$K$271,4,FALSE)</f>
        <v>P&amp;L</v>
      </c>
      <c r="W2340" s="185" t="s">
        <v>3316</v>
      </c>
      <c r="X2340" s="185"/>
      <c r="Y2340" s="185" t="s">
        <v>1789</v>
      </c>
      <c r="Z2340"/>
    </row>
    <row r="2341" spans="1:26">
      <c r="A2341" s="185" t="s">
        <v>3302</v>
      </c>
      <c r="B2341" s="185" t="s">
        <v>3312</v>
      </c>
      <c r="C2341" s="185" t="s">
        <v>1792</v>
      </c>
      <c r="D2341" s="185" t="s">
        <v>3313</v>
      </c>
      <c r="E2341" s="185">
        <v>24081002</v>
      </c>
      <c r="F2341" s="185" t="s">
        <v>1687</v>
      </c>
      <c r="G2341" s="185" t="s">
        <v>3314</v>
      </c>
      <c r="H2341" s="185" t="s">
        <v>1515</v>
      </c>
      <c r="I2341" s="258" t="str">
        <f t="shared" si="109"/>
        <v>2</v>
      </c>
      <c r="J2341" s="221">
        <f t="shared" si="110"/>
        <v>66500</v>
      </c>
      <c r="K2341" s="258">
        <f t="shared" si="111"/>
        <v>8</v>
      </c>
      <c r="L2341" s="188">
        <v>66500</v>
      </c>
      <c r="M2341" s="188">
        <v>0</v>
      </c>
      <c r="N2341" s="189">
        <v>901636211</v>
      </c>
      <c r="O2341" t="s">
        <v>3315</v>
      </c>
      <c r="P2341" s="187">
        <v>45169.479131944398</v>
      </c>
      <c r="Q2341" s="186">
        <v>13162</v>
      </c>
      <c r="R2341" s="185" t="s">
        <v>1901</v>
      </c>
      <c r="S2341" s="185" t="s">
        <v>1612</v>
      </c>
      <c r="T2341"/>
      <c r="U2341" t="str">
        <f>IF($L2341&gt;0,VLOOKUP($E2341,Valida!$A$1:$G$270,6,FALSE),IF($M2341&gt;=0,VLOOKUP($E2341,Valida!$A$1:$G$270,7,FALSE)))</f>
        <v>(+/-) Ajustes por el incremento (disminución) de cuentas por pagar de origen comercial</v>
      </c>
      <c r="V2341" s="190" t="str">
        <f>VLOOKUP(E2341,Valida!$A$2:$K$271,4,FALSE)</f>
        <v>Trade and other payables</v>
      </c>
      <c r="W2341" s="185" t="s">
        <v>3316</v>
      </c>
      <c r="X2341" s="185"/>
      <c r="Y2341" s="185" t="s">
        <v>1789</v>
      </c>
      <c r="Z2341"/>
    </row>
    <row r="2342" spans="1:26">
      <c r="A2342" s="185" t="s">
        <v>3302</v>
      </c>
      <c r="B2342" s="185" t="s">
        <v>3312</v>
      </c>
      <c r="C2342" s="185" t="s">
        <v>1792</v>
      </c>
      <c r="D2342" s="185" t="s">
        <v>3313</v>
      </c>
      <c r="E2342" s="185">
        <v>23651502</v>
      </c>
      <c r="F2342" s="185" t="s">
        <v>244</v>
      </c>
      <c r="G2342" s="185" t="s">
        <v>3314</v>
      </c>
      <c r="H2342" s="185" t="s">
        <v>1628</v>
      </c>
      <c r="I2342" s="258" t="str">
        <f t="shared" si="109"/>
        <v>2</v>
      </c>
      <c r="J2342" s="221">
        <f t="shared" si="110"/>
        <v>-38500</v>
      </c>
      <c r="K2342" s="258">
        <f t="shared" si="111"/>
        <v>8</v>
      </c>
      <c r="L2342" s="188">
        <v>0</v>
      </c>
      <c r="M2342" s="188">
        <v>38500</v>
      </c>
      <c r="N2342" s="189">
        <v>901636211</v>
      </c>
      <c r="O2342" t="s">
        <v>3315</v>
      </c>
      <c r="P2342" s="187">
        <v>45169.479131944398</v>
      </c>
      <c r="Q2342" s="186">
        <v>13163</v>
      </c>
      <c r="R2342" s="185" t="s">
        <v>1901</v>
      </c>
      <c r="S2342" s="185" t="s">
        <v>1612</v>
      </c>
      <c r="T2342"/>
      <c r="U2342" t="str">
        <f>IF($L2342&gt;0,VLOOKUP($E2342,Valida!$A$1:$G$270,6,FALSE),IF($M2342&gt;=0,VLOOKUP($E2342,Valida!$A$1:$G$270,7,FALSE)))</f>
        <v>(+/-) Ajustes por el incremento (disminución) de cuentas por pagar de origen comercial</v>
      </c>
      <c r="V2342" s="190" t="str">
        <f>VLOOKUP(E2342,Valida!$A$2:$K$271,4,FALSE)</f>
        <v>Trade and other payables</v>
      </c>
      <c r="W2342" s="185" t="s">
        <v>3316</v>
      </c>
      <c r="X2342" s="185"/>
      <c r="Y2342" s="185" t="s">
        <v>1789</v>
      </c>
      <c r="Z2342"/>
    </row>
    <row r="2343" spans="1:26">
      <c r="A2343" s="185" t="s">
        <v>3302</v>
      </c>
      <c r="B2343" s="185" t="s">
        <v>3312</v>
      </c>
      <c r="C2343" s="185" t="s">
        <v>1792</v>
      </c>
      <c r="D2343" s="185" t="s">
        <v>3313</v>
      </c>
      <c r="E2343" s="185">
        <v>23680503</v>
      </c>
      <c r="F2343" s="185" t="s">
        <v>665</v>
      </c>
      <c r="G2343" s="185" t="s">
        <v>3314</v>
      </c>
      <c r="H2343" s="185" t="s">
        <v>1628</v>
      </c>
      <c r="I2343" s="258" t="str">
        <f t="shared" si="109"/>
        <v>2</v>
      </c>
      <c r="J2343" s="221">
        <f t="shared" si="110"/>
        <v>-3381</v>
      </c>
      <c r="K2343" s="258">
        <f t="shared" si="111"/>
        <v>8</v>
      </c>
      <c r="L2343" s="188">
        <v>0</v>
      </c>
      <c r="M2343" s="188">
        <v>3381</v>
      </c>
      <c r="N2343" s="189">
        <v>901636211</v>
      </c>
      <c r="O2343" t="s">
        <v>3315</v>
      </c>
      <c r="P2343" s="187">
        <v>45169.479131944398</v>
      </c>
      <c r="Q2343" s="186">
        <v>13164</v>
      </c>
      <c r="R2343" s="185" t="s">
        <v>1901</v>
      </c>
      <c r="S2343" s="185" t="s">
        <v>1612</v>
      </c>
      <c r="T2343"/>
      <c r="U2343" t="str">
        <f>IF($L2343&gt;0,VLOOKUP($E2343,Valida!$A$1:$G$270,6,FALSE),IF($M2343&gt;=0,VLOOKUP($E2343,Valida!$A$1:$G$270,7,FALSE)))</f>
        <v>(+/-) Ajustes por el incremento (disminución) de cuentas por pagar de origen comercial</v>
      </c>
      <c r="V2343" s="190" t="str">
        <f>VLOOKUP(E2343,Valida!$A$2:$K$271,4,FALSE)</f>
        <v>Trade and other payables</v>
      </c>
      <c r="W2343" s="185" t="s">
        <v>3316</v>
      </c>
      <c r="X2343" s="185"/>
      <c r="Y2343" s="185" t="s">
        <v>1789</v>
      </c>
      <c r="Z2343"/>
    </row>
    <row r="2344" spans="1:26">
      <c r="A2344" s="185" t="s">
        <v>3302</v>
      </c>
      <c r="B2344" s="185" t="s">
        <v>3312</v>
      </c>
      <c r="C2344" s="185" t="s">
        <v>1792</v>
      </c>
      <c r="D2344" s="185" t="s">
        <v>3313</v>
      </c>
      <c r="E2344" s="185">
        <v>23352509</v>
      </c>
      <c r="F2344" s="185" t="s">
        <v>1636</v>
      </c>
      <c r="G2344" s="185" t="s">
        <v>3314</v>
      </c>
      <c r="H2344" s="185" t="s">
        <v>1628</v>
      </c>
      <c r="I2344" s="258" t="str">
        <f t="shared" si="109"/>
        <v>2</v>
      </c>
      <c r="J2344" s="221">
        <f t="shared" si="110"/>
        <v>-374619</v>
      </c>
      <c r="K2344" s="258">
        <f t="shared" si="111"/>
        <v>8</v>
      </c>
      <c r="L2344" s="188">
        <v>0</v>
      </c>
      <c r="M2344" s="188">
        <v>374619</v>
      </c>
      <c r="N2344" s="189">
        <v>901636211</v>
      </c>
      <c r="O2344" t="s">
        <v>3315</v>
      </c>
      <c r="P2344" s="187">
        <v>45169.479131944398</v>
      </c>
      <c r="Q2344" s="186">
        <v>13165</v>
      </c>
      <c r="R2344" s="185" t="s">
        <v>1901</v>
      </c>
      <c r="S2344" s="185" t="s">
        <v>1612</v>
      </c>
      <c r="T2344"/>
      <c r="U2344" t="str">
        <f>IF($L2344&gt;0,VLOOKUP($E2344,Valida!$A$1:$G$270,6,FALSE),IF($M2344&gt;=0,VLOOKUP($E2344,Valida!$A$1:$G$270,7,FALSE)))</f>
        <v>(+/-) Ajustes por el incremento (disminución) de cuentas por pagar de origen comercial</v>
      </c>
      <c r="V2344" s="190" t="str">
        <f>VLOOKUP(E2344,Valida!$A$2:$K$271,4,FALSE)</f>
        <v>Trade and other payables</v>
      </c>
      <c r="W2344" s="185" t="s">
        <v>3316</v>
      </c>
      <c r="X2344" s="185"/>
      <c r="Y2344" s="185" t="s">
        <v>1789</v>
      </c>
      <c r="Z2344"/>
    </row>
    <row r="2345" spans="1:26">
      <c r="A2345" s="185" t="s">
        <v>3264</v>
      </c>
      <c r="B2345" s="185" t="s">
        <v>3317</v>
      </c>
      <c r="C2345" s="185" t="s">
        <v>2045</v>
      </c>
      <c r="D2345" s="185" t="s">
        <v>975</v>
      </c>
      <c r="E2345" s="185">
        <v>23355002</v>
      </c>
      <c r="F2345" s="185" t="s">
        <v>506</v>
      </c>
      <c r="G2345" s="185" t="s">
        <v>3318</v>
      </c>
      <c r="H2345" s="185" t="s">
        <v>1628</v>
      </c>
      <c r="I2345" s="258" t="str">
        <f t="shared" si="109"/>
        <v>2</v>
      </c>
      <c r="J2345" s="221">
        <f t="shared" si="110"/>
        <v>-98831.71</v>
      </c>
      <c r="K2345" s="258">
        <f t="shared" si="111"/>
        <v>8</v>
      </c>
      <c r="L2345" s="188">
        <v>0</v>
      </c>
      <c r="M2345" s="188">
        <v>98831.71</v>
      </c>
      <c r="N2345" s="189">
        <v>440493581</v>
      </c>
      <c r="O2345" t="s">
        <v>3319</v>
      </c>
      <c r="P2345" s="187">
        <v>45174.631064814799</v>
      </c>
      <c r="Q2345" s="186">
        <v>13166</v>
      </c>
      <c r="R2345" s="185"/>
      <c r="S2345" s="185" t="s">
        <v>1546</v>
      </c>
      <c r="T2345"/>
      <c r="U2345" t="str">
        <f>IF($L2345&gt;0,VLOOKUP($E2345,Valida!$A$1:$G$270,6,FALSE),IF($M2345&gt;=0,VLOOKUP($E2345,Valida!$A$1:$G$270,7,FALSE)))</f>
        <v>(+/-) Ajustes por el incremento (disminución) de cuentas por pagar de origen comercial</v>
      </c>
      <c r="V2345" s="190" t="str">
        <f>VLOOKUP(E2345,Valida!$A$2:$K$271,4,FALSE)</f>
        <v>Trade and other payables</v>
      </c>
      <c r="W2345" s="185" t="s">
        <v>1808</v>
      </c>
      <c r="X2345" s="185"/>
      <c r="Y2345" s="185"/>
      <c r="Z2345"/>
    </row>
    <row r="2346" spans="1:26">
      <c r="A2346" s="185" t="s">
        <v>3264</v>
      </c>
      <c r="B2346" s="185" t="s">
        <v>3317</v>
      </c>
      <c r="C2346" s="185" t="s">
        <v>2045</v>
      </c>
      <c r="D2346" s="185" t="s">
        <v>975</v>
      </c>
      <c r="E2346" s="185">
        <v>51352001</v>
      </c>
      <c r="F2346" s="185" t="s">
        <v>1267</v>
      </c>
      <c r="G2346" s="185" t="s">
        <v>3320</v>
      </c>
      <c r="H2346" s="185" t="s">
        <v>1515</v>
      </c>
      <c r="I2346" s="258" t="str">
        <f t="shared" si="109"/>
        <v>5</v>
      </c>
      <c r="J2346" s="221">
        <f t="shared" si="110"/>
        <v>98831.71</v>
      </c>
      <c r="K2346" s="258">
        <f t="shared" si="111"/>
        <v>8</v>
      </c>
      <c r="L2346" s="188">
        <v>98831.71</v>
      </c>
      <c r="M2346" s="188">
        <v>0</v>
      </c>
      <c r="N2346" s="189">
        <v>440493581</v>
      </c>
      <c r="O2346" t="s">
        <v>3319</v>
      </c>
      <c r="P2346" s="187">
        <v>45174.631064814799</v>
      </c>
      <c r="Q2346" s="186">
        <v>13167</v>
      </c>
      <c r="R2346" s="185"/>
      <c r="S2346" s="185" t="s">
        <v>1546</v>
      </c>
      <c r="T2346"/>
      <c r="U2346" t="str">
        <f>IF($L2346&gt;0,VLOOKUP($E2346,Valida!$A$1:$G$270,6,FALSE),IF($M2346&gt;=0,VLOOKUP($E2346,Valida!$A$1:$G$270,7,FALSE)))</f>
        <v>(+/-) Ganancia (pérdida)</v>
      </c>
      <c r="V2346" s="190" t="str">
        <f>VLOOKUP(E2346,Valida!$A$2:$K$271,4,FALSE)</f>
        <v>P&amp;L</v>
      </c>
      <c r="W2346" s="185" t="s">
        <v>1808</v>
      </c>
      <c r="X2346" s="185"/>
      <c r="Y2346" s="185"/>
      <c r="Z2346"/>
    </row>
    <row r="2347" spans="1:26">
      <c r="A2347" s="185" t="s">
        <v>3264</v>
      </c>
      <c r="B2347" s="185" t="s">
        <v>3321</v>
      </c>
      <c r="C2347" s="185" t="s">
        <v>1991</v>
      </c>
      <c r="D2347" s="185" t="s">
        <v>3322</v>
      </c>
      <c r="E2347" s="185">
        <v>23657502</v>
      </c>
      <c r="F2347" s="185" t="s">
        <v>1646</v>
      </c>
      <c r="G2347" s="185" t="s">
        <v>3323</v>
      </c>
      <c r="H2347" s="185" t="s">
        <v>1628</v>
      </c>
      <c r="I2347" s="258" t="str">
        <f t="shared" si="109"/>
        <v>2</v>
      </c>
      <c r="J2347" s="221">
        <f t="shared" si="110"/>
        <v>-1444000</v>
      </c>
      <c r="K2347" s="258">
        <f t="shared" si="111"/>
        <v>8</v>
      </c>
      <c r="L2347" s="188">
        <v>0</v>
      </c>
      <c r="M2347" s="188">
        <v>1444000</v>
      </c>
      <c r="N2347" s="189">
        <v>800197268</v>
      </c>
      <c r="O2347"/>
      <c r="P2347" s="187">
        <v>45180.381620370397</v>
      </c>
      <c r="Q2347" s="186">
        <v>13198</v>
      </c>
      <c r="R2347" s="185" t="s">
        <v>983</v>
      </c>
      <c r="S2347" s="185" t="s">
        <v>1558</v>
      </c>
      <c r="T2347"/>
      <c r="U2347" t="str">
        <f>IF($L2347&gt;0,VLOOKUP($E2347,Valida!$A$1:$G$270,6,FALSE),IF($M2347&gt;=0,VLOOKUP($E2347,Valida!$A$1:$G$270,7,FALSE)))</f>
        <v>(+/-) Ajustes por el incremento (disminución) de cuentas por pagar de origen comercial</v>
      </c>
      <c r="V2347" s="190" t="str">
        <f>VLOOKUP(E2347,Valida!$A$2:$K$271,4,FALSE)</f>
        <v>Trade and other payables</v>
      </c>
      <c r="W2347" s="185" t="s">
        <v>1944</v>
      </c>
      <c r="X2347" s="185"/>
      <c r="Y2347" s="185" t="s">
        <v>1789</v>
      </c>
      <c r="Z2347"/>
    </row>
    <row r="2348" spans="1:26">
      <c r="A2348" s="185" t="s">
        <v>3264</v>
      </c>
      <c r="B2348" s="185" t="s">
        <v>3321</v>
      </c>
      <c r="C2348" s="185" t="s">
        <v>1991</v>
      </c>
      <c r="D2348" s="185" t="s">
        <v>3322</v>
      </c>
      <c r="E2348" s="185">
        <v>13551902</v>
      </c>
      <c r="F2348" s="185" t="s">
        <v>1614</v>
      </c>
      <c r="G2348" s="185" t="s">
        <v>3323</v>
      </c>
      <c r="H2348" s="185" t="s">
        <v>1515</v>
      </c>
      <c r="I2348" s="258" t="str">
        <f t="shared" si="109"/>
        <v>1</v>
      </c>
      <c r="J2348" s="221">
        <f t="shared" si="110"/>
        <v>1444000</v>
      </c>
      <c r="K2348" s="258">
        <f t="shared" si="111"/>
        <v>8</v>
      </c>
      <c r="L2348" s="188">
        <v>1444000</v>
      </c>
      <c r="M2348" s="188">
        <v>0</v>
      </c>
      <c r="N2348" s="189">
        <v>800197268</v>
      </c>
      <c r="O2348"/>
      <c r="P2348" s="187">
        <v>45180.381620370397</v>
      </c>
      <c r="Q2348" s="186">
        <v>13199</v>
      </c>
      <c r="R2348" s="185" t="s">
        <v>983</v>
      </c>
      <c r="S2348" s="185" t="s">
        <v>1558</v>
      </c>
      <c r="T2348"/>
      <c r="U2348" t="str">
        <f>IF($L2348&gt;0,VLOOKUP($E2348,Valida!$A$1:$G$270,6,FALSE),IF($M2348&gt;=0,VLOOKUP($E2348,Valida!$A$1:$G$270,7,FALSE)))</f>
        <v>(+/-) Ajustes por disminuciones (incrementos) en otras cuentas por cobrar derivadas de las actividades de operación</v>
      </c>
      <c r="V2348" s="190" t="str">
        <f>VLOOKUP(E2348,Valida!$A$2:$K$271,4,FALSE)</f>
        <v>Prepayments: Taxes</v>
      </c>
      <c r="W2348" s="185" t="s">
        <v>1944</v>
      </c>
      <c r="X2348" s="185"/>
      <c r="Y2348" s="185" t="s">
        <v>1789</v>
      </c>
      <c r="Z2348"/>
    </row>
    <row r="2349" spans="1:26">
      <c r="A2349" s="185" t="s">
        <v>3264</v>
      </c>
      <c r="B2349" s="185" t="s">
        <v>3324</v>
      </c>
      <c r="C2349" s="185" t="s">
        <v>1991</v>
      </c>
      <c r="D2349" s="185" t="s">
        <v>3325</v>
      </c>
      <c r="E2349" s="185">
        <v>23651502</v>
      </c>
      <c r="F2349" s="185" t="s">
        <v>244</v>
      </c>
      <c r="G2349" s="185" t="s">
        <v>3326</v>
      </c>
      <c r="H2349" s="185" t="s">
        <v>1515</v>
      </c>
      <c r="I2349" s="258" t="str">
        <f t="shared" si="109"/>
        <v>2</v>
      </c>
      <c r="J2349" s="221">
        <f t="shared" si="110"/>
        <v>38500</v>
      </c>
      <c r="K2349" s="258">
        <f t="shared" si="111"/>
        <v>8</v>
      </c>
      <c r="L2349" s="188">
        <v>38500</v>
      </c>
      <c r="M2349" s="188">
        <v>0</v>
      </c>
      <c r="N2349" s="189">
        <v>800197268</v>
      </c>
      <c r="O2349"/>
      <c r="P2349" s="187">
        <v>45180.383333333302</v>
      </c>
      <c r="Q2349" s="186">
        <v>13200</v>
      </c>
      <c r="R2349" s="185" t="s">
        <v>983</v>
      </c>
      <c r="S2349" s="185" t="s">
        <v>1558</v>
      </c>
      <c r="T2349"/>
      <c r="U2349" t="str">
        <f>IF($L2349&gt;0,VLOOKUP($E2349,Valida!$A$1:$G$270,6,FALSE),IF($M2349&gt;=0,VLOOKUP($E2349,Valida!$A$1:$G$270,7,FALSE)))</f>
        <v>(+/-) Ajustes por el incremento (disminución) de cuentas por pagar de origen comercial</v>
      </c>
      <c r="V2349" s="190" t="str">
        <f>VLOOKUP(E2349,Valida!$A$2:$K$271,4,FALSE)</f>
        <v>Trade and other payables</v>
      </c>
      <c r="W2349" s="185" t="s">
        <v>1944</v>
      </c>
      <c r="X2349" s="185"/>
      <c r="Y2349" s="185" t="s">
        <v>1789</v>
      </c>
      <c r="Z2349"/>
    </row>
    <row r="2350" spans="1:26">
      <c r="A2350" s="185" t="s">
        <v>3264</v>
      </c>
      <c r="B2350" s="185" t="s">
        <v>3324</v>
      </c>
      <c r="C2350" s="185" t="s">
        <v>1991</v>
      </c>
      <c r="D2350" s="185" t="s">
        <v>3325</v>
      </c>
      <c r="E2350" s="185">
        <v>23653001</v>
      </c>
      <c r="F2350" s="185" t="s">
        <v>611</v>
      </c>
      <c r="G2350" s="185" t="s">
        <v>3326</v>
      </c>
      <c r="H2350" s="185" t="s">
        <v>1515</v>
      </c>
      <c r="I2350" s="258" t="str">
        <f t="shared" si="109"/>
        <v>2</v>
      </c>
      <c r="J2350" s="221">
        <f t="shared" si="110"/>
        <v>446250</v>
      </c>
      <c r="K2350" s="258">
        <f t="shared" si="111"/>
        <v>8</v>
      </c>
      <c r="L2350" s="188">
        <v>446250</v>
      </c>
      <c r="M2350" s="188">
        <v>0</v>
      </c>
      <c r="N2350" s="189">
        <v>800197268</v>
      </c>
      <c r="O2350"/>
      <c r="P2350" s="187">
        <v>45180.383333333302</v>
      </c>
      <c r="Q2350" s="186">
        <v>13201</v>
      </c>
      <c r="R2350" s="185" t="s">
        <v>983</v>
      </c>
      <c r="S2350" s="185" t="s">
        <v>1558</v>
      </c>
      <c r="T2350"/>
      <c r="U2350" t="str">
        <f>IF($L2350&gt;0,VLOOKUP($E2350,Valida!$A$1:$G$270,6,FALSE),IF($M2350&gt;=0,VLOOKUP($E2350,Valida!$A$1:$G$270,7,FALSE)))</f>
        <v>(+/-) Ajustes por el incremento (disminución) de cuentas por pagar de origen comercial</v>
      </c>
      <c r="V2350" s="190" t="str">
        <f>VLOOKUP(E2350,Valida!$A$2:$K$271,4,FALSE)</f>
        <v>Trade and other payables</v>
      </c>
      <c r="W2350" s="185" t="s">
        <v>1944</v>
      </c>
      <c r="X2350" s="185"/>
      <c r="Y2350" s="185" t="s">
        <v>1789</v>
      </c>
      <c r="Z2350"/>
    </row>
    <row r="2351" spans="1:26">
      <c r="A2351" s="185" t="s">
        <v>3264</v>
      </c>
      <c r="B2351" s="185" t="s">
        <v>3324</v>
      </c>
      <c r="C2351" s="185" t="s">
        <v>1991</v>
      </c>
      <c r="D2351" s="185" t="s">
        <v>3325</v>
      </c>
      <c r="E2351" s="185">
        <v>23653002</v>
      </c>
      <c r="F2351" s="185" t="s">
        <v>241</v>
      </c>
      <c r="G2351" s="185" t="s">
        <v>3326</v>
      </c>
      <c r="H2351" s="185" t="s">
        <v>1515</v>
      </c>
      <c r="I2351" s="258" t="str">
        <f t="shared" si="109"/>
        <v>2</v>
      </c>
      <c r="J2351" s="221">
        <f t="shared" si="110"/>
        <v>4280</v>
      </c>
      <c r="K2351" s="258">
        <f t="shared" si="111"/>
        <v>8</v>
      </c>
      <c r="L2351" s="188">
        <v>4280</v>
      </c>
      <c r="M2351" s="188">
        <v>0</v>
      </c>
      <c r="N2351" s="189">
        <v>800197268</v>
      </c>
      <c r="O2351"/>
      <c r="P2351" s="187">
        <v>45180.383333333302</v>
      </c>
      <c r="Q2351" s="186">
        <v>13202</v>
      </c>
      <c r="R2351" s="185" t="s">
        <v>983</v>
      </c>
      <c r="S2351" s="185" t="s">
        <v>1558</v>
      </c>
      <c r="T2351"/>
      <c r="U2351" t="str">
        <f>IF($L2351&gt;0,VLOOKUP($E2351,Valida!$A$1:$G$270,6,FALSE),IF($M2351&gt;=0,VLOOKUP($E2351,Valida!$A$1:$G$270,7,FALSE)))</f>
        <v>(+/-) Ajustes por el incremento (disminución) de cuentas por pagar de origen comercial</v>
      </c>
      <c r="V2351" s="190" t="str">
        <f>VLOOKUP(E2351,Valida!$A$2:$K$271,4,FALSE)</f>
        <v>Trade and other payables</v>
      </c>
      <c r="W2351" s="185" t="s">
        <v>1944</v>
      </c>
      <c r="X2351" s="185"/>
      <c r="Y2351" s="185" t="s">
        <v>1789</v>
      </c>
      <c r="Z2351"/>
    </row>
    <row r="2352" spans="1:26">
      <c r="A2352" s="185" t="s">
        <v>3264</v>
      </c>
      <c r="B2352" s="185" t="s">
        <v>3324</v>
      </c>
      <c r="C2352" s="185" t="s">
        <v>1991</v>
      </c>
      <c r="D2352" s="185" t="s">
        <v>3325</v>
      </c>
      <c r="E2352" s="185">
        <v>23654001</v>
      </c>
      <c r="F2352" s="185" t="s">
        <v>622</v>
      </c>
      <c r="G2352" s="185" t="s">
        <v>3326</v>
      </c>
      <c r="H2352" s="185" t="s">
        <v>1515</v>
      </c>
      <c r="I2352" s="258" t="str">
        <f t="shared" si="109"/>
        <v>2</v>
      </c>
      <c r="J2352" s="221">
        <f t="shared" si="110"/>
        <v>91756</v>
      </c>
      <c r="K2352" s="258">
        <f t="shared" si="111"/>
        <v>8</v>
      </c>
      <c r="L2352" s="188">
        <v>91756</v>
      </c>
      <c r="M2352" s="188">
        <v>0</v>
      </c>
      <c r="N2352" s="189">
        <v>800197268</v>
      </c>
      <c r="O2352"/>
      <c r="P2352" s="187">
        <v>45180.383333333302</v>
      </c>
      <c r="Q2352" s="186">
        <v>13203</v>
      </c>
      <c r="R2352" s="185" t="s">
        <v>983</v>
      </c>
      <c r="S2352" s="185" t="s">
        <v>1558</v>
      </c>
      <c r="T2352"/>
      <c r="U2352" t="str">
        <f>IF($L2352&gt;0,VLOOKUP($E2352,Valida!$A$1:$G$270,6,FALSE),IF($M2352&gt;=0,VLOOKUP($E2352,Valida!$A$1:$G$270,7,FALSE)))</f>
        <v>(+/-) Ajustes por el incremento (disminución) de cuentas por pagar de origen comercial</v>
      </c>
      <c r="V2352" s="190" t="str">
        <f>VLOOKUP(E2352,Valida!$A$2:$K$271,4,FALSE)</f>
        <v>Trade and other payables</v>
      </c>
      <c r="W2352" s="185" t="s">
        <v>1944</v>
      </c>
      <c r="X2352" s="185"/>
      <c r="Y2352" s="185" t="s">
        <v>1789</v>
      </c>
      <c r="Z2352"/>
    </row>
    <row r="2353" spans="1:26">
      <c r="A2353" s="185" t="s">
        <v>3264</v>
      </c>
      <c r="B2353" s="185" t="s">
        <v>3327</v>
      </c>
      <c r="C2353" s="185" t="s">
        <v>1991</v>
      </c>
      <c r="D2353" s="185" t="s">
        <v>3328</v>
      </c>
      <c r="E2353" s="185">
        <v>23680503</v>
      </c>
      <c r="F2353" s="185" t="s">
        <v>665</v>
      </c>
      <c r="G2353" s="185" t="s">
        <v>3329</v>
      </c>
      <c r="H2353" s="185" t="s">
        <v>1515</v>
      </c>
      <c r="I2353" s="258" t="str">
        <f t="shared" si="109"/>
        <v>2</v>
      </c>
      <c r="J2353" s="221">
        <f t="shared" si="110"/>
        <v>251779</v>
      </c>
      <c r="K2353" s="258">
        <f t="shared" si="111"/>
        <v>8</v>
      </c>
      <c r="L2353" s="188">
        <v>251779</v>
      </c>
      <c r="M2353" s="188">
        <v>0</v>
      </c>
      <c r="N2353" s="189">
        <v>899999061</v>
      </c>
      <c r="O2353"/>
      <c r="P2353" s="187">
        <v>45177.674837963001</v>
      </c>
      <c r="Q2353" s="186">
        <v>13174</v>
      </c>
      <c r="R2353" s="185"/>
      <c r="S2353" s="185" t="s">
        <v>1584</v>
      </c>
      <c r="T2353"/>
      <c r="U2353" t="str">
        <f>IF($L2353&gt;0,VLOOKUP($E2353,Valida!$A$1:$G$270,6,FALSE),IF($M2353&gt;=0,VLOOKUP($E2353,Valida!$A$1:$G$270,7,FALSE)))</f>
        <v>(+/-) Ajustes por el incremento (disminución) de cuentas por pagar de origen comercial</v>
      </c>
      <c r="V2353" s="190" t="str">
        <f>VLOOKUP(E2353,Valida!$A$2:$K$271,4,FALSE)</f>
        <v>Trade and other payables</v>
      </c>
      <c r="W2353" s="185" t="s">
        <v>1893</v>
      </c>
      <c r="X2353" s="185"/>
      <c r="Y2353" s="185" t="s">
        <v>1789</v>
      </c>
      <c r="Z2353"/>
    </row>
    <row r="2354" spans="1:26">
      <c r="A2354" s="185" t="s">
        <v>3264</v>
      </c>
      <c r="B2354" s="185" t="s">
        <v>3327</v>
      </c>
      <c r="C2354" s="185" t="s">
        <v>1991</v>
      </c>
      <c r="D2354" s="185" t="s">
        <v>3328</v>
      </c>
      <c r="E2354" s="185">
        <v>23680504</v>
      </c>
      <c r="F2354" s="185" t="s">
        <v>668</v>
      </c>
      <c r="G2354" s="185" t="s">
        <v>3329</v>
      </c>
      <c r="H2354" s="185" t="s">
        <v>1515</v>
      </c>
      <c r="I2354" s="258" t="str">
        <f t="shared" si="109"/>
        <v>2</v>
      </c>
      <c r="J2354" s="221">
        <f t="shared" si="110"/>
        <v>59429</v>
      </c>
      <c r="K2354" s="258">
        <f t="shared" si="111"/>
        <v>8</v>
      </c>
      <c r="L2354" s="188">
        <v>59429</v>
      </c>
      <c r="M2354" s="188">
        <v>0</v>
      </c>
      <c r="N2354" s="189">
        <v>899999061</v>
      </c>
      <c r="O2354"/>
      <c r="P2354" s="187">
        <v>45177.674837963001</v>
      </c>
      <c r="Q2354" s="186">
        <v>13175</v>
      </c>
      <c r="R2354" s="185"/>
      <c r="S2354" s="185" t="s">
        <v>1584</v>
      </c>
      <c r="T2354"/>
      <c r="U2354" t="str">
        <f>IF($L2354&gt;0,VLOOKUP($E2354,Valida!$A$1:$G$270,6,FALSE),IF($M2354&gt;=0,VLOOKUP($E2354,Valida!$A$1:$G$270,7,FALSE)))</f>
        <v>(+/-) Ajustes por el incremento (disminución) de cuentas por pagar de origen comercial</v>
      </c>
      <c r="V2354" s="190" t="str">
        <f>VLOOKUP(E2354,Valida!$A$2:$K$271,4,FALSE)</f>
        <v>Trade and other payables</v>
      </c>
      <c r="W2354" s="185" t="s">
        <v>1893</v>
      </c>
      <c r="X2354" s="185"/>
      <c r="Y2354" s="185" t="s">
        <v>1789</v>
      </c>
      <c r="Z2354"/>
    </row>
    <row r="2355" spans="1:26">
      <c r="A2355" s="185" t="s">
        <v>3264</v>
      </c>
      <c r="B2355" s="185" t="s">
        <v>3327</v>
      </c>
      <c r="C2355" s="185" t="s">
        <v>1991</v>
      </c>
      <c r="D2355" s="185" t="s">
        <v>3328</v>
      </c>
      <c r="E2355" s="185">
        <v>236890</v>
      </c>
      <c r="F2355" s="185" t="s">
        <v>1648</v>
      </c>
      <c r="G2355" s="185" t="s">
        <v>3329</v>
      </c>
      <c r="H2355" s="185" t="s">
        <v>1628</v>
      </c>
      <c r="I2355" s="258" t="str">
        <f t="shared" si="109"/>
        <v>2</v>
      </c>
      <c r="J2355" s="221">
        <f t="shared" si="110"/>
        <v>-311000</v>
      </c>
      <c r="K2355" s="258">
        <f t="shared" si="111"/>
        <v>8</v>
      </c>
      <c r="L2355" s="188">
        <v>0</v>
      </c>
      <c r="M2355" s="188">
        <v>311000</v>
      </c>
      <c r="N2355" s="189">
        <v>899999061</v>
      </c>
      <c r="O2355"/>
      <c r="P2355" s="187">
        <v>45177.674837963001</v>
      </c>
      <c r="Q2355" s="186">
        <v>13176</v>
      </c>
      <c r="R2355" s="185"/>
      <c r="S2355" s="185" t="s">
        <v>1584</v>
      </c>
      <c r="T2355"/>
      <c r="U2355" t="str">
        <f>IF($L2355&gt;0,VLOOKUP($E2355,Valida!$A$1:$G$270,6,FALSE),IF($M2355&gt;=0,VLOOKUP($E2355,Valida!$A$1:$G$270,7,FALSE)))</f>
        <v>(+/-) Ajustes por el incremento (disminución) de cuentas por pagar de origen comercial</v>
      </c>
      <c r="V2355" s="190" t="str">
        <f>VLOOKUP(E2355,Valida!$A$2:$K$271,4,FALSE)</f>
        <v>Trade and other payables</v>
      </c>
      <c r="W2355" s="185" t="s">
        <v>1893</v>
      </c>
      <c r="X2355" s="185"/>
      <c r="Y2355" s="185" t="s">
        <v>1789</v>
      </c>
      <c r="Z2355"/>
    </row>
    <row r="2356" spans="1:26">
      <c r="A2356" s="185" t="s">
        <v>3264</v>
      </c>
      <c r="B2356" s="185" t="s">
        <v>3327</v>
      </c>
      <c r="C2356" s="185" t="s">
        <v>1991</v>
      </c>
      <c r="D2356" s="185" t="s">
        <v>3328</v>
      </c>
      <c r="E2356" s="185">
        <v>53059510</v>
      </c>
      <c r="F2356" s="185" t="s">
        <v>1065</v>
      </c>
      <c r="G2356" s="185" t="s">
        <v>3329</v>
      </c>
      <c r="H2356" s="185" t="s">
        <v>1628</v>
      </c>
      <c r="I2356" s="258" t="str">
        <f t="shared" si="109"/>
        <v>5</v>
      </c>
      <c r="J2356" s="221">
        <f t="shared" si="110"/>
        <v>-208</v>
      </c>
      <c r="K2356" s="258">
        <f t="shared" si="111"/>
        <v>8</v>
      </c>
      <c r="L2356" s="188">
        <v>0</v>
      </c>
      <c r="M2356" s="188">
        <v>208</v>
      </c>
      <c r="N2356" s="189">
        <v>899999061</v>
      </c>
      <c r="O2356"/>
      <c r="P2356" s="187">
        <v>45177.674837963001</v>
      </c>
      <c r="Q2356" s="186">
        <v>13177</v>
      </c>
      <c r="R2356" s="185"/>
      <c r="S2356" s="185" t="s">
        <v>1584</v>
      </c>
      <c r="T2356"/>
      <c r="U2356" t="str">
        <f>IF($L2356&gt;0,VLOOKUP($E2356,Valida!$A$1:$G$270,6,FALSE),IF($M2356&gt;=0,VLOOKUP($E2356,Valida!$A$1:$G$270,7,FALSE)))</f>
        <v>(+/-) Ganancia (pérdida)</v>
      </c>
      <c r="V2356" s="190" t="str">
        <f>VLOOKUP(E2356,Valida!$A$2:$K$271,4,FALSE)</f>
        <v>P&amp;L</v>
      </c>
      <c r="W2356" s="185" t="s">
        <v>1893</v>
      </c>
      <c r="X2356" s="185"/>
      <c r="Y2356" s="185" t="s">
        <v>1789</v>
      </c>
      <c r="Z2356"/>
    </row>
    <row r="2357" spans="1:26">
      <c r="A2357" s="185" t="s">
        <v>3264</v>
      </c>
      <c r="B2357" s="185" t="s">
        <v>3330</v>
      </c>
      <c r="C2357" s="185" t="s">
        <v>1960</v>
      </c>
      <c r="D2357" s="185" t="s">
        <v>3331</v>
      </c>
      <c r="E2357" s="185">
        <v>112005</v>
      </c>
      <c r="F2357" s="185" t="s">
        <v>24</v>
      </c>
      <c r="G2357" s="185" t="s">
        <v>1961</v>
      </c>
      <c r="H2357" s="185" t="s">
        <v>1515</v>
      </c>
      <c r="I2357" s="258" t="str">
        <f t="shared" si="109"/>
        <v>1</v>
      </c>
      <c r="J2357" s="221">
        <f t="shared" si="110"/>
        <v>10000.629999999999</v>
      </c>
      <c r="K2357" s="258">
        <f t="shared" si="111"/>
        <v>8</v>
      </c>
      <c r="L2357" s="188">
        <v>10000.629999999999</v>
      </c>
      <c r="M2357" s="188">
        <v>0</v>
      </c>
      <c r="N2357" s="189">
        <v>890903938</v>
      </c>
      <c r="O2357"/>
      <c r="P2357" s="187">
        <v>45177.699016203696</v>
      </c>
      <c r="Q2357" s="186">
        <v>13178</v>
      </c>
      <c r="R2357" s="185" t="s">
        <v>1827</v>
      </c>
      <c r="S2357" s="185" t="s">
        <v>1580</v>
      </c>
      <c r="T2357" t="s">
        <v>1894</v>
      </c>
      <c r="U2357" t="str">
        <f>IF($L2357&gt;0,VLOOKUP($E2357,Valida!$A$1:$G$270,6,FALSE),IF($M2357&gt;=0,VLOOKUP($E2357,Valida!$A$1:$G$270,7,FALSE)))</f>
        <v>Disponible</v>
      </c>
      <c r="V2357" s="190" t="str">
        <f>VLOOKUP(E2357,Valida!$A$2:$K$271,4,FALSE)</f>
        <v>Cash and equivalents</v>
      </c>
      <c r="W2357" s="185" t="s">
        <v>1955</v>
      </c>
      <c r="X2357" s="185"/>
      <c r="Y2357" s="185" t="s">
        <v>1844</v>
      </c>
      <c r="Z2357"/>
    </row>
    <row r="2358" spans="1:26">
      <c r="A2358" s="185" t="s">
        <v>3264</v>
      </c>
      <c r="B2358" s="185" t="s">
        <v>3330</v>
      </c>
      <c r="C2358" s="185" t="s">
        <v>1960</v>
      </c>
      <c r="D2358" s="185" t="s">
        <v>3331</v>
      </c>
      <c r="E2358" s="185">
        <v>42100501</v>
      </c>
      <c r="F2358" s="185" t="s">
        <v>1039</v>
      </c>
      <c r="G2358" s="185" t="s">
        <v>1961</v>
      </c>
      <c r="H2358" s="185" t="s">
        <v>1628</v>
      </c>
      <c r="I2358" s="258" t="str">
        <f t="shared" si="109"/>
        <v>4</v>
      </c>
      <c r="J2358" s="221">
        <f t="shared" si="110"/>
        <v>-10000.629999999999</v>
      </c>
      <c r="K2358" s="258">
        <f t="shared" si="111"/>
        <v>8</v>
      </c>
      <c r="L2358" s="188">
        <v>0</v>
      </c>
      <c r="M2358" s="188">
        <v>10000.629999999999</v>
      </c>
      <c r="N2358" s="189">
        <v>890903938</v>
      </c>
      <c r="O2358"/>
      <c r="P2358" s="187">
        <v>45177.699016203696</v>
      </c>
      <c r="Q2358" s="186">
        <v>13179</v>
      </c>
      <c r="R2358" s="185" t="s">
        <v>1827</v>
      </c>
      <c r="S2358" s="185" t="s">
        <v>1580</v>
      </c>
      <c r="T2358"/>
      <c r="U2358" t="str">
        <f>IF($L2358&gt;0,VLOOKUP($E2358,Valida!$A$1:$G$270,6,FALSE),IF($M2358&gt;=0,VLOOKUP($E2358,Valida!$A$1:$G$270,7,FALSE)))</f>
        <v>(+/-) Ganancia (pérdida)</v>
      </c>
      <c r="V2358" s="190" t="str">
        <f>VLOOKUP(E2358,Valida!$A$2:$K$271,4,FALSE)</f>
        <v>P&amp;L</v>
      </c>
      <c r="W2358" s="185" t="s">
        <v>1955</v>
      </c>
      <c r="X2358" s="185"/>
      <c r="Y2358" s="185" t="s">
        <v>1844</v>
      </c>
      <c r="Z2358"/>
    </row>
    <row r="2359" spans="1:26">
      <c r="A2359" s="185" t="s">
        <v>3264</v>
      </c>
      <c r="B2359" s="185" t="s">
        <v>3332</v>
      </c>
      <c r="C2359" s="185" t="s">
        <v>1952</v>
      </c>
      <c r="D2359" s="185" t="s">
        <v>2919</v>
      </c>
      <c r="E2359" s="185">
        <v>53050501</v>
      </c>
      <c r="F2359" s="185" t="s">
        <v>1462</v>
      </c>
      <c r="G2359" s="185" t="s">
        <v>1954</v>
      </c>
      <c r="H2359" s="185" t="s">
        <v>1515</v>
      </c>
      <c r="I2359" s="258" t="str">
        <f t="shared" si="109"/>
        <v>5</v>
      </c>
      <c r="J2359" s="221">
        <f t="shared" si="110"/>
        <v>69200</v>
      </c>
      <c r="K2359" s="258">
        <f t="shared" si="111"/>
        <v>8</v>
      </c>
      <c r="L2359" s="188">
        <v>69200</v>
      </c>
      <c r="M2359" s="188">
        <v>0</v>
      </c>
      <c r="N2359" s="189">
        <v>890903938</v>
      </c>
      <c r="O2359"/>
      <c r="P2359" s="187">
        <v>45177.702141203699</v>
      </c>
      <c r="Q2359" s="186">
        <v>13180</v>
      </c>
      <c r="R2359" s="185" t="s">
        <v>1827</v>
      </c>
      <c r="S2359" s="185" t="s">
        <v>1580</v>
      </c>
      <c r="T2359"/>
      <c r="U2359" t="str">
        <f>IF($L2359&gt;0,VLOOKUP($E2359,Valida!$A$1:$G$270,6,FALSE),IF($M2359&gt;=0,VLOOKUP($E2359,Valida!$A$1:$G$270,7,FALSE)))</f>
        <v>(+/-) Ganancia (pérdida)</v>
      </c>
      <c r="V2359" s="190" t="str">
        <f>VLOOKUP(E2359,Valida!$A$2:$K$271,4,FALSE)</f>
        <v>P&amp;L</v>
      </c>
      <c r="W2359" s="185" t="s">
        <v>1955</v>
      </c>
      <c r="X2359" s="185"/>
      <c r="Y2359" s="185" t="s">
        <v>1844</v>
      </c>
      <c r="Z2359"/>
    </row>
    <row r="2360" spans="1:26">
      <c r="A2360" s="185" t="s">
        <v>3264</v>
      </c>
      <c r="B2360" s="185" t="s">
        <v>3332</v>
      </c>
      <c r="C2360" s="185" t="s">
        <v>1952</v>
      </c>
      <c r="D2360" s="185" t="s">
        <v>2919</v>
      </c>
      <c r="E2360" s="185">
        <v>24081002</v>
      </c>
      <c r="F2360" s="185" t="s">
        <v>1687</v>
      </c>
      <c r="G2360" s="185" t="s">
        <v>1954</v>
      </c>
      <c r="H2360" s="185" t="s">
        <v>1515</v>
      </c>
      <c r="I2360" s="258" t="str">
        <f t="shared" si="109"/>
        <v>2</v>
      </c>
      <c r="J2360" s="221">
        <f t="shared" si="110"/>
        <v>13148</v>
      </c>
      <c r="K2360" s="258">
        <f t="shared" si="111"/>
        <v>8</v>
      </c>
      <c r="L2360" s="188">
        <v>13148</v>
      </c>
      <c r="M2360" s="188">
        <v>0</v>
      </c>
      <c r="N2360" s="189">
        <v>890903938</v>
      </c>
      <c r="O2360"/>
      <c r="P2360" s="187">
        <v>45177.702141203699</v>
      </c>
      <c r="Q2360" s="186">
        <v>13181</v>
      </c>
      <c r="R2360" s="185" t="s">
        <v>1827</v>
      </c>
      <c r="S2360" s="185" t="s">
        <v>1580</v>
      </c>
      <c r="T2360"/>
      <c r="U2360" t="str">
        <f>IF($L2360&gt;0,VLOOKUP($E2360,Valida!$A$1:$G$270,6,FALSE),IF($M2360&gt;=0,VLOOKUP($E2360,Valida!$A$1:$G$270,7,FALSE)))</f>
        <v>(+/-) Ajustes por el incremento (disminución) de cuentas por pagar de origen comercial</v>
      </c>
      <c r="V2360" s="190" t="str">
        <f>VLOOKUP(E2360,Valida!$A$2:$K$271,4,FALSE)</f>
        <v>Trade and other payables</v>
      </c>
      <c r="W2360" s="185" t="s">
        <v>1955</v>
      </c>
      <c r="X2360" s="185"/>
      <c r="Y2360" s="185" t="s">
        <v>1844</v>
      </c>
      <c r="Z2360"/>
    </row>
    <row r="2361" spans="1:26">
      <c r="A2361" s="185" t="s">
        <v>3264</v>
      </c>
      <c r="B2361" s="185" t="s">
        <v>3332</v>
      </c>
      <c r="C2361" s="185" t="s">
        <v>1952</v>
      </c>
      <c r="D2361" s="185" t="s">
        <v>2919</v>
      </c>
      <c r="E2361" s="185">
        <v>112005</v>
      </c>
      <c r="F2361" s="185" t="s">
        <v>24</v>
      </c>
      <c r="G2361" s="185" t="s">
        <v>1954</v>
      </c>
      <c r="H2361" s="185" t="s">
        <v>1628</v>
      </c>
      <c r="I2361" s="258" t="str">
        <f t="shared" si="109"/>
        <v>1</v>
      </c>
      <c r="J2361" s="221">
        <f t="shared" si="110"/>
        <v>-82348</v>
      </c>
      <c r="K2361" s="258">
        <f t="shared" si="111"/>
        <v>8</v>
      </c>
      <c r="L2361" s="188">
        <v>0</v>
      </c>
      <c r="M2361" s="188">
        <v>82348</v>
      </c>
      <c r="N2361" s="189">
        <v>890903938</v>
      </c>
      <c r="O2361"/>
      <c r="P2361" s="187">
        <v>45177.702141203699</v>
      </c>
      <c r="Q2361" s="186">
        <v>13182</v>
      </c>
      <c r="R2361" s="185" t="s">
        <v>1827</v>
      </c>
      <c r="S2361" s="185" t="s">
        <v>1580</v>
      </c>
      <c r="T2361" t="s">
        <v>1894</v>
      </c>
      <c r="U2361" t="str">
        <f>IF($L2361&gt;0,VLOOKUP($E2361,Valida!$A$1:$G$270,6,FALSE),IF($M2361&gt;=0,VLOOKUP($E2361,Valida!$A$1:$G$270,7,FALSE)))</f>
        <v>Disponible</v>
      </c>
      <c r="V2361" s="190" t="str">
        <f>VLOOKUP(E2361,Valida!$A$2:$K$271,4,FALSE)</f>
        <v>Cash and equivalents</v>
      </c>
      <c r="W2361" s="185" t="s">
        <v>1955</v>
      </c>
      <c r="X2361" s="185"/>
      <c r="Y2361" s="185" t="s">
        <v>1844</v>
      </c>
      <c r="Z2361"/>
    </row>
    <row r="2362" spans="1:26">
      <c r="A2362" s="185" t="s">
        <v>3264</v>
      </c>
      <c r="B2362" s="185" t="s">
        <v>3332</v>
      </c>
      <c r="C2362" s="185" t="s">
        <v>1952</v>
      </c>
      <c r="D2362" s="185" t="s">
        <v>2919</v>
      </c>
      <c r="E2362" s="185">
        <v>53050503</v>
      </c>
      <c r="F2362" s="185" t="s">
        <v>1468</v>
      </c>
      <c r="G2362" s="185" t="s">
        <v>1957</v>
      </c>
      <c r="H2362" s="185" t="s">
        <v>1515</v>
      </c>
      <c r="I2362" s="258" t="str">
        <f t="shared" si="109"/>
        <v>5</v>
      </c>
      <c r="J2362" s="221">
        <f t="shared" si="110"/>
        <v>144520</v>
      </c>
      <c r="K2362" s="258">
        <f t="shared" si="111"/>
        <v>8</v>
      </c>
      <c r="L2362" s="188">
        <v>144520</v>
      </c>
      <c r="M2362" s="188">
        <v>0</v>
      </c>
      <c r="N2362" s="189">
        <v>890903938</v>
      </c>
      <c r="O2362"/>
      <c r="P2362" s="187">
        <v>45177.702141203699</v>
      </c>
      <c r="Q2362" s="186">
        <v>13183</v>
      </c>
      <c r="R2362" s="185" t="s">
        <v>1827</v>
      </c>
      <c r="S2362" s="185" t="s">
        <v>1580</v>
      </c>
      <c r="T2362"/>
      <c r="U2362" t="str">
        <f>IF($L2362&gt;0,VLOOKUP($E2362,Valida!$A$1:$G$270,6,FALSE),IF($M2362&gt;=0,VLOOKUP($E2362,Valida!$A$1:$G$270,7,FALSE)))</f>
        <v>(+/-) Ganancia (pérdida)</v>
      </c>
      <c r="V2362" s="190" t="str">
        <f>VLOOKUP(E2362,Valida!$A$2:$K$271,4,FALSE)</f>
        <v>P&amp;L</v>
      </c>
      <c r="W2362" s="185" t="s">
        <v>1955</v>
      </c>
      <c r="X2362" s="185"/>
      <c r="Y2362" s="185" t="s">
        <v>1844</v>
      </c>
      <c r="Z2362"/>
    </row>
    <row r="2363" spans="1:26">
      <c r="A2363" s="185" t="s">
        <v>3264</v>
      </c>
      <c r="B2363" s="185" t="s">
        <v>3332</v>
      </c>
      <c r="C2363" s="185" t="s">
        <v>1952</v>
      </c>
      <c r="D2363" s="185" t="s">
        <v>2919</v>
      </c>
      <c r="E2363" s="185">
        <v>24081002</v>
      </c>
      <c r="F2363" s="185" t="s">
        <v>1687</v>
      </c>
      <c r="G2363" s="185" t="s">
        <v>1957</v>
      </c>
      <c r="H2363" s="185" t="s">
        <v>1515</v>
      </c>
      <c r="I2363" s="258" t="str">
        <f t="shared" si="109"/>
        <v>2</v>
      </c>
      <c r="J2363" s="221">
        <f t="shared" si="110"/>
        <v>27458.799999999999</v>
      </c>
      <c r="K2363" s="258">
        <f t="shared" si="111"/>
        <v>8</v>
      </c>
      <c r="L2363" s="188">
        <v>27458.799999999999</v>
      </c>
      <c r="M2363" s="188">
        <v>0</v>
      </c>
      <c r="N2363" s="189">
        <v>890903938</v>
      </c>
      <c r="O2363"/>
      <c r="P2363" s="187">
        <v>45177.702141203699</v>
      </c>
      <c r="Q2363" s="186">
        <v>13184</v>
      </c>
      <c r="R2363" s="185" t="s">
        <v>1827</v>
      </c>
      <c r="S2363" s="185" t="s">
        <v>1580</v>
      </c>
      <c r="T2363"/>
      <c r="U2363" t="str">
        <f>IF($L2363&gt;0,VLOOKUP($E2363,Valida!$A$1:$G$270,6,FALSE),IF($M2363&gt;=0,VLOOKUP($E2363,Valida!$A$1:$G$270,7,FALSE)))</f>
        <v>(+/-) Ajustes por el incremento (disminución) de cuentas por pagar de origen comercial</v>
      </c>
      <c r="V2363" s="190" t="str">
        <f>VLOOKUP(E2363,Valida!$A$2:$K$271,4,FALSE)</f>
        <v>Trade and other payables</v>
      </c>
      <c r="W2363" s="185" t="s">
        <v>1955</v>
      </c>
      <c r="X2363" s="185"/>
      <c r="Y2363" s="185" t="s">
        <v>1844</v>
      </c>
      <c r="Z2363"/>
    </row>
    <row r="2364" spans="1:26">
      <c r="A2364" s="185" t="s">
        <v>3264</v>
      </c>
      <c r="B2364" s="185" t="s">
        <v>3332</v>
      </c>
      <c r="C2364" s="185" t="s">
        <v>1952</v>
      </c>
      <c r="D2364" s="185" t="s">
        <v>2919</v>
      </c>
      <c r="E2364" s="185">
        <v>112005</v>
      </c>
      <c r="F2364" s="185" t="s">
        <v>24</v>
      </c>
      <c r="G2364" s="185" t="s">
        <v>1957</v>
      </c>
      <c r="H2364" s="185" t="s">
        <v>1628</v>
      </c>
      <c r="I2364" s="258" t="str">
        <f t="shared" si="109"/>
        <v>1</v>
      </c>
      <c r="J2364" s="221">
        <f t="shared" si="110"/>
        <v>-171978.8</v>
      </c>
      <c r="K2364" s="258">
        <f t="shared" si="111"/>
        <v>8</v>
      </c>
      <c r="L2364" s="188">
        <v>0</v>
      </c>
      <c r="M2364" s="188">
        <v>171978.8</v>
      </c>
      <c r="N2364" s="189">
        <v>890903938</v>
      </c>
      <c r="O2364"/>
      <c r="P2364" s="187">
        <v>45177.702141203699</v>
      </c>
      <c r="Q2364" s="186">
        <v>13185</v>
      </c>
      <c r="R2364" s="185" t="s">
        <v>1827</v>
      </c>
      <c r="S2364" s="185" t="s">
        <v>1580</v>
      </c>
      <c r="T2364" t="s">
        <v>1894</v>
      </c>
      <c r="U2364" t="str">
        <f>IF($L2364&gt;0,VLOOKUP($E2364,Valida!$A$1:$G$270,6,FALSE),IF($M2364&gt;=0,VLOOKUP($E2364,Valida!$A$1:$G$270,7,FALSE)))</f>
        <v>Disponible</v>
      </c>
      <c r="V2364" s="190" t="str">
        <f>VLOOKUP(E2364,Valida!$A$2:$K$271,4,FALSE)</f>
        <v>Cash and equivalents</v>
      </c>
      <c r="W2364" s="185" t="s">
        <v>1955</v>
      </c>
      <c r="X2364" s="185"/>
      <c r="Y2364" s="185" t="s">
        <v>1844</v>
      </c>
      <c r="Z2364"/>
    </row>
    <row r="2365" spans="1:26">
      <c r="A2365" s="185" t="s">
        <v>3264</v>
      </c>
      <c r="B2365" s="185" t="s">
        <v>3332</v>
      </c>
      <c r="C2365" s="185" t="s">
        <v>1952</v>
      </c>
      <c r="D2365" s="185" t="s">
        <v>2919</v>
      </c>
      <c r="E2365" s="185">
        <v>53050502</v>
      </c>
      <c r="F2365" s="185" t="s">
        <v>1465</v>
      </c>
      <c r="G2365" s="185" t="s">
        <v>1466</v>
      </c>
      <c r="H2365" s="185" t="s">
        <v>1515</v>
      </c>
      <c r="I2365" s="258" t="str">
        <f t="shared" si="109"/>
        <v>5</v>
      </c>
      <c r="J2365" s="221">
        <f t="shared" si="110"/>
        <v>12990</v>
      </c>
      <c r="K2365" s="258">
        <f t="shared" si="111"/>
        <v>8</v>
      </c>
      <c r="L2365" s="188">
        <v>12990</v>
      </c>
      <c r="M2365" s="188">
        <v>0</v>
      </c>
      <c r="N2365" s="189">
        <v>890903938</v>
      </c>
      <c r="O2365"/>
      <c r="P2365" s="187">
        <v>45177.702141203699</v>
      </c>
      <c r="Q2365" s="186">
        <v>13186</v>
      </c>
      <c r="R2365" s="185" t="s">
        <v>1827</v>
      </c>
      <c r="S2365" s="185" t="s">
        <v>1580</v>
      </c>
      <c r="T2365"/>
      <c r="U2365" t="str">
        <f>IF($L2365&gt;0,VLOOKUP($E2365,Valida!$A$1:$G$270,6,FALSE),IF($M2365&gt;=0,VLOOKUP($E2365,Valida!$A$1:$G$270,7,FALSE)))</f>
        <v>(+/-) Ganancia (pérdida)</v>
      </c>
      <c r="V2365" s="190" t="str">
        <f>VLOOKUP(E2365,Valida!$A$2:$K$271,4,FALSE)</f>
        <v>P&amp;L</v>
      </c>
      <c r="W2365" s="185" t="s">
        <v>1955</v>
      </c>
      <c r="X2365" s="185"/>
      <c r="Y2365" s="185" t="s">
        <v>1844</v>
      </c>
      <c r="Z2365"/>
    </row>
    <row r="2366" spans="1:26">
      <c r="A2366" s="185" t="s">
        <v>3264</v>
      </c>
      <c r="B2366" s="185" t="s">
        <v>3332</v>
      </c>
      <c r="C2366" s="185" t="s">
        <v>1952</v>
      </c>
      <c r="D2366" s="185" t="s">
        <v>2919</v>
      </c>
      <c r="E2366" s="185">
        <v>112005</v>
      </c>
      <c r="F2366" s="185" t="s">
        <v>24</v>
      </c>
      <c r="G2366" s="185" t="s">
        <v>1466</v>
      </c>
      <c r="H2366" s="185" t="s">
        <v>1628</v>
      </c>
      <c r="I2366" s="258" t="str">
        <f t="shared" si="109"/>
        <v>1</v>
      </c>
      <c r="J2366" s="221">
        <f t="shared" si="110"/>
        <v>-12990</v>
      </c>
      <c r="K2366" s="258">
        <f t="shared" si="111"/>
        <v>8</v>
      </c>
      <c r="L2366" s="188">
        <v>0</v>
      </c>
      <c r="M2366" s="188">
        <v>12990</v>
      </c>
      <c r="N2366" s="189">
        <v>890903938</v>
      </c>
      <c r="O2366"/>
      <c r="P2366" s="187">
        <v>45177.702141203699</v>
      </c>
      <c r="Q2366" s="186">
        <v>13187</v>
      </c>
      <c r="R2366" s="185" t="s">
        <v>1827</v>
      </c>
      <c r="S2366" s="185" t="s">
        <v>1580</v>
      </c>
      <c r="T2366" t="s">
        <v>1894</v>
      </c>
      <c r="U2366" t="str">
        <f>IF($L2366&gt;0,VLOOKUP($E2366,Valida!$A$1:$G$270,6,FALSE),IF($M2366&gt;=0,VLOOKUP($E2366,Valida!$A$1:$G$270,7,FALSE)))</f>
        <v>Disponible</v>
      </c>
      <c r="V2366" s="190" t="str">
        <f>VLOOKUP(E2366,Valida!$A$2:$K$271,4,FALSE)</f>
        <v>Cash and equivalents</v>
      </c>
      <c r="W2366" s="185" t="s">
        <v>1955</v>
      </c>
      <c r="X2366" s="185"/>
      <c r="Y2366" s="185" t="s">
        <v>1844</v>
      </c>
      <c r="Z2366"/>
    </row>
    <row r="2367" spans="1:26">
      <c r="A2367" s="185" t="s">
        <v>3264</v>
      </c>
      <c r="B2367" s="185" t="s">
        <v>3332</v>
      </c>
      <c r="C2367" s="185" t="s">
        <v>1952</v>
      </c>
      <c r="D2367" s="185" t="s">
        <v>2919</v>
      </c>
      <c r="E2367" s="185">
        <v>51159501</v>
      </c>
      <c r="F2367" s="185" t="s">
        <v>1181</v>
      </c>
      <c r="G2367" s="185" t="s">
        <v>1958</v>
      </c>
      <c r="H2367" s="185" t="s">
        <v>1515</v>
      </c>
      <c r="I2367" s="258" t="str">
        <f t="shared" si="109"/>
        <v>5</v>
      </c>
      <c r="J2367" s="221">
        <f t="shared" si="110"/>
        <v>429742.43</v>
      </c>
      <c r="K2367" s="258">
        <f t="shared" si="111"/>
        <v>8</v>
      </c>
      <c r="L2367" s="188">
        <v>429742.43</v>
      </c>
      <c r="M2367" s="188">
        <v>0</v>
      </c>
      <c r="N2367" s="189">
        <v>890903938</v>
      </c>
      <c r="O2367"/>
      <c r="P2367" s="187">
        <v>45177.702141203699</v>
      </c>
      <c r="Q2367" s="186">
        <v>13188</v>
      </c>
      <c r="R2367" s="185" t="s">
        <v>1827</v>
      </c>
      <c r="S2367" s="185" t="s">
        <v>1580</v>
      </c>
      <c r="T2367"/>
      <c r="U2367" t="str">
        <f>IF($L2367&gt;0,VLOOKUP($E2367,Valida!$A$1:$G$270,6,FALSE),IF($M2367&gt;=0,VLOOKUP($E2367,Valida!$A$1:$G$270,7,FALSE)))</f>
        <v>(+/-) Ganancia (pérdida)</v>
      </c>
      <c r="V2367" s="190" t="str">
        <f>VLOOKUP(E2367,Valida!$A$2:$K$271,4,FALSE)</f>
        <v>P&amp;L</v>
      </c>
      <c r="W2367" s="185" t="s">
        <v>1955</v>
      </c>
      <c r="X2367" s="185"/>
      <c r="Y2367" s="185" t="s">
        <v>1844</v>
      </c>
      <c r="Z2367"/>
    </row>
    <row r="2368" spans="1:26">
      <c r="A2368" s="185" t="s">
        <v>3264</v>
      </c>
      <c r="B2368" s="185" t="s">
        <v>3332</v>
      </c>
      <c r="C2368" s="185" t="s">
        <v>1952</v>
      </c>
      <c r="D2368" s="185" t="s">
        <v>2919</v>
      </c>
      <c r="E2368" s="185">
        <v>112005</v>
      </c>
      <c r="F2368" s="185" t="s">
        <v>24</v>
      </c>
      <c r="G2368" s="185" t="s">
        <v>1958</v>
      </c>
      <c r="H2368" s="185" t="s">
        <v>1628</v>
      </c>
      <c r="I2368" s="258" t="str">
        <f t="shared" si="109"/>
        <v>1</v>
      </c>
      <c r="J2368" s="221">
        <f t="shared" si="110"/>
        <v>-429742.43</v>
      </c>
      <c r="K2368" s="258">
        <f t="shared" si="111"/>
        <v>8</v>
      </c>
      <c r="L2368" s="188">
        <v>0</v>
      </c>
      <c r="M2368" s="188">
        <v>429742.43</v>
      </c>
      <c r="N2368" s="189">
        <v>890903938</v>
      </c>
      <c r="O2368"/>
      <c r="P2368" s="187">
        <v>45177.702152777798</v>
      </c>
      <c r="Q2368" s="186">
        <v>13189</v>
      </c>
      <c r="R2368" s="185" t="s">
        <v>1827</v>
      </c>
      <c r="S2368" s="185" t="s">
        <v>1580</v>
      </c>
      <c r="T2368" t="s">
        <v>1894</v>
      </c>
      <c r="U2368" t="str">
        <f>IF($L2368&gt;0,VLOOKUP($E2368,Valida!$A$1:$G$270,6,FALSE),IF($M2368&gt;=0,VLOOKUP($E2368,Valida!$A$1:$G$270,7,FALSE)))</f>
        <v>Disponible</v>
      </c>
      <c r="V2368" s="190" t="str">
        <f>VLOOKUP(E2368,Valida!$A$2:$K$271,4,FALSE)</f>
        <v>Cash and equivalents</v>
      </c>
      <c r="W2368" s="185" t="s">
        <v>1955</v>
      </c>
      <c r="X2368" s="185"/>
      <c r="Y2368" s="185" t="s">
        <v>1844</v>
      </c>
      <c r="Z2368"/>
    </row>
    <row r="2369" spans="1:26">
      <c r="A2369" s="185" t="s">
        <v>3302</v>
      </c>
      <c r="B2369" s="185" t="s">
        <v>3333</v>
      </c>
      <c r="C2369" s="185" t="s">
        <v>1890</v>
      </c>
      <c r="D2369" s="185" t="s">
        <v>3334</v>
      </c>
      <c r="E2369" s="185">
        <v>23355004</v>
      </c>
      <c r="F2369" s="185" t="s">
        <v>513</v>
      </c>
      <c r="G2369" s="185" t="s">
        <v>1921</v>
      </c>
      <c r="H2369" s="185" t="s">
        <v>1515</v>
      </c>
      <c r="I2369" s="258" t="str">
        <f t="shared" si="109"/>
        <v>2</v>
      </c>
      <c r="J2369" s="221">
        <f t="shared" si="110"/>
        <v>2722000</v>
      </c>
      <c r="K2369" s="258">
        <f t="shared" si="111"/>
        <v>8</v>
      </c>
      <c r="L2369" s="188">
        <v>2722000</v>
      </c>
      <c r="M2369" s="188">
        <v>0</v>
      </c>
      <c r="N2369" s="189">
        <v>900994552</v>
      </c>
      <c r="O2369"/>
      <c r="P2369" s="187">
        <v>45177.704282407401</v>
      </c>
      <c r="Q2369" s="186">
        <v>13190</v>
      </c>
      <c r="R2369" s="185" t="s">
        <v>844</v>
      </c>
      <c r="S2369" s="185" t="s">
        <v>1606</v>
      </c>
      <c r="T2369"/>
      <c r="U2369" t="str">
        <f>IF($L2369&gt;0,VLOOKUP($E2369,Valida!$A$1:$G$270,6,FALSE),IF($M2369&gt;=0,VLOOKUP($E2369,Valida!$A$1:$G$270,7,FALSE)))</f>
        <v>(+/-) Ajustes por el incremento (disminución) de cuentas por pagar de origen comercial</v>
      </c>
      <c r="V2369" s="190" t="str">
        <f>VLOOKUP(E2369,Valida!$A$2:$K$271,4,FALSE)</f>
        <v>Trade and other payables</v>
      </c>
      <c r="W2369" s="185" t="s">
        <v>1796</v>
      </c>
      <c r="X2369" s="185" t="s">
        <v>1797</v>
      </c>
      <c r="Y2369" s="185" t="s">
        <v>1789</v>
      </c>
      <c r="Z2369"/>
    </row>
    <row r="2370" spans="1:26">
      <c r="A2370" s="185" t="s">
        <v>3302</v>
      </c>
      <c r="B2370" s="185" t="s">
        <v>3333</v>
      </c>
      <c r="C2370" s="185" t="s">
        <v>1890</v>
      </c>
      <c r="D2370" s="185" t="s">
        <v>3334</v>
      </c>
      <c r="E2370" s="185">
        <v>112005</v>
      </c>
      <c r="F2370" s="185" t="s">
        <v>24</v>
      </c>
      <c r="G2370" s="185" t="s">
        <v>1921</v>
      </c>
      <c r="H2370" s="185" t="s">
        <v>1628</v>
      </c>
      <c r="I2370" s="258" t="str">
        <f t="shared" si="109"/>
        <v>1</v>
      </c>
      <c r="J2370" s="221">
        <f t="shared" si="110"/>
        <v>-2722000</v>
      </c>
      <c r="K2370" s="258">
        <f t="shared" si="111"/>
        <v>8</v>
      </c>
      <c r="L2370" s="188">
        <v>0</v>
      </c>
      <c r="M2370" s="188">
        <v>2722000</v>
      </c>
      <c r="N2370" s="189">
        <v>900994552</v>
      </c>
      <c r="O2370"/>
      <c r="P2370" s="187">
        <v>45177.704282407401</v>
      </c>
      <c r="Q2370" s="186">
        <v>13191</v>
      </c>
      <c r="R2370" s="185" t="s">
        <v>844</v>
      </c>
      <c r="S2370" s="185" t="s">
        <v>1606</v>
      </c>
      <c r="T2370" t="s">
        <v>1894</v>
      </c>
      <c r="U2370" t="str">
        <f>IF($L2370&gt;0,VLOOKUP($E2370,Valida!$A$1:$G$270,6,FALSE),IF($M2370&gt;=0,VLOOKUP($E2370,Valida!$A$1:$G$270,7,FALSE)))</f>
        <v>Disponible</v>
      </c>
      <c r="V2370" s="190" t="str">
        <f>VLOOKUP(E2370,Valida!$A$2:$K$271,4,FALSE)</f>
        <v>Cash and equivalents</v>
      </c>
      <c r="W2370" s="185" t="s">
        <v>1796</v>
      </c>
      <c r="X2370" s="185" t="s">
        <v>1797</v>
      </c>
      <c r="Y2370" s="185" t="s">
        <v>1789</v>
      </c>
      <c r="Z2370"/>
    </row>
    <row r="2371" spans="1:26">
      <c r="A2371" s="185" t="s">
        <v>3302</v>
      </c>
      <c r="B2371" s="185" t="s">
        <v>3335</v>
      </c>
      <c r="C2371" s="185" t="s">
        <v>1890</v>
      </c>
      <c r="D2371" s="185" t="s">
        <v>3336</v>
      </c>
      <c r="E2371" s="185">
        <v>23355004</v>
      </c>
      <c r="F2371" s="185" t="s">
        <v>513</v>
      </c>
      <c r="G2371" s="185" t="s">
        <v>1921</v>
      </c>
      <c r="H2371" s="185" t="s">
        <v>1515</v>
      </c>
      <c r="I2371" s="258" t="str">
        <f t="shared" ref="I2371:I2434" si="112">LEFT(E2371,1)</f>
        <v>2</v>
      </c>
      <c r="J2371" s="221">
        <f t="shared" ref="J2371:J2434" si="113">L2371-M2371</f>
        <v>1439000</v>
      </c>
      <c r="K2371" s="258">
        <f t="shared" ref="K2371:K2434" si="114">MONTH(A2371)</f>
        <v>8</v>
      </c>
      <c r="L2371" s="188">
        <v>1439000</v>
      </c>
      <c r="M2371" s="188">
        <v>0</v>
      </c>
      <c r="N2371" s="189">
        <v>900736537</v>
      </c>
      <c r="O2371"/>
      <c r="P2371" s="187">
        <v>45177.704664351899</v>
      </c>
      <c r="Q2371" s="186">
        <v>13192</v>
      </c>
      <c r="R2371" s="185" t="s">
        <v>1814</v>
      </c>
      <c r="S2371" s="185" t="s">
        <v>1602</v>
      </c>
      <c r="T2371"/>
      <c r="U2371" t="str">
        <f>IF($L2371&gt;0,VLOOKUP($E2371,Valida!$A$1:$G$270,6,FALSE),IF($M2371&gt;=0,VLOOKUP($E2371,Valida!$A$1:$G$270,7,FALSE)))</f>
        <v>(+/-) Ajustes por el incremento (disminución) de cuentas por pagar de origen comercial</v>
      </c>
      <c r="V2371" s="190" t="str">
        <f>VLOOKUP(E2371,Valida!$A$2:$K$271,4,FALSE)</f>
        <v>Trade and other payables</v>
      </c>
      <c r="W2371" s="185" t="s">
        <v>2985</v>
      </c>
      <c r="X2371" s="185" t="s">
        <v>2986</v>
      </c>
      <c r="Y2371" s="185" t="s">
        <v>1789</v>
      </c>
      <c r="Z2371"/>
    </row>
    <row r="2372" spans="1:26">
      <c r="A2372" s="185" t="s">
        <v>3302</v>
      </c>
      <c r="B2372" s="185" t="s">
        <v>3335</v>
      </c>
      <c r="C2372" s="185" t="s">
        <v>1890</v>
      </c>
      <c r="D2372" s="185" t="s">
        <v>3336</v>
      </c>
      <c r="E2372" s="185">
        <v>112005</v>
      </c>
      <c r="F2372" s="185" t="s">
        <v>24</v>
      </c>
      <c r="G2372" s="185" t="s">
        <v>1921</v>
      </c>
      <c r="H2372" s="185" t="s">
        <v>1628</v>
      </c>
      <c r="I2372" s="258" t="str">
        <f t="shared" si="112"/>
        <v>1</v>
      </c>
      <c r="J2372" s="221">
        <f t="shared" si="113"/>
        <v>-1439000</v>
      </c>
      <c r="K2372" s="258">
        <f t="shared" si="114"/>
        <v>8</v>
      </c>
      <c r="L2372" s="188">
        <v>0</v>
      </c>
      <c r="M2372" s="188">
        <v>1439000</v>
      </c>
      <c r="N2372" s="189">
        <v>900736537</v>
      </c>
      <c r="O2372"/>
      <c r="P2372" s="187">
        <v>45177.704664351899</v>
      </c>
      <c r="Q2372" s="186">
        <v>13193</v>
      </c>
      <c r="R2372" s="185" t="s">
        <v>1814</v>
      </c>
      <c r="S2372" s="185" t="s">
        <v>1602</v>
      </c>
      <c r="T2372" t="s">
        <v>1894</v>
      </c>
      <c r="U2372" t="str">
        <f>IF($L2372&gt;0,VLOOKUP($E2372,Valida!$A$1:$G$270,6,FALSE),IF($M2372&gt;=0,VLOOKUP($E2372,Valida!$A$1:$G$270,7,FALSE)))</f>
        <v>Disponible</v>
      </c>
      <c r="V2372" s="190" t="str">
        <f>VLOOKUP(E2372,Valida!$A$2:$K$271,4,FALSE)</f>
        <v>Cash and equivalents</v>
      </c>
      <c r="W2372" s="185" t="s">
        <v>2985</v>
      </c>
      <c r="X2372" s="185" t="s">
        <v>2986</v>
      </c>
      <c r="Y2372" s="185" t="s">
        <v>1789</v>
      </c>
      <c r="Z2372"/>
    </row>
    <row r="2373" spans="1:26">
      <c r="A2373" s="185" t="s">
        <v>3302</v>
      </c>
      <c r="B2373" s="185" t="s">
        <v>3337</v>
      </c>
      <c r="C2373" s="185" t="s">
        <v>1890</v>
      </c>
      <c r="D2373" s="185" t="s">
        <v>3338</v>
      </c>
      <c r="E2373" s="185">
        <v>23359502</v>
      </c>
      <c r="F2373" s="185" t="s">
        <v>547</v>
      </c>
      <c r="G2373" s="185" t="s">
        <v>1921</v>
      </c>
      <c r="H2373" s="185" t="s">
        <v>1515</v>
      </c>
      <c r="I2373" s="258" t="str">
        <f t="shared" si="112"/>
        <v>2</v>
      </c>
      <c r="J2373" s="221">
        <f t="shared" si="113"/>
        <v>11600000</v>
      </c>
      <c r="K2373" s="258">
        <f t="shared" si="114"/>
        <v>8</v>
      </c>
      <c r="L2373" s="188">
        <v>11600000</v>
      </c>
      <c r="M2373" s="188">
        <v>0</v>
      </c>
      <c r="N2373" s="189">
        <v>860513883</v>
      </c>
      <c r="O2373"/>
      <c r="P2373" s="187">
        <v>45177.705914351798</v>
      </c>
      <c r="Q2373" s="186">
        <v>13194</v>
      </c>
      <c r="R2373" s="185" t="s">
        <v>1841</v>
      </c>
      <c r="S2373" s="185" t="s">
        <v>1576</v>
      </c>
      <c r="T2373"/>
      <c r="U2373" t="str">
        <f>IF($L2373&gt;0,VLOOKUP($E2373,Valida!$A$1:$G$270,6,FALSE),IF($M2373&gt;=0,VLOOKUP($E2373,Valida!$A$1:$G$270,7,FALSE)))</f>
        <v>(+/-) Ajustes por el incremento (disminución) de cuentas por pagar de origen comercial</v>
      </c>
      <c r="V2373" s="190" t="str">
        <f>VLOOKUP(E2373,Valida!$A$2:$K$271,4,FALSE)</f>
        <v>Trade and other payables</v>
      </c>
      <c r="W2373" s="185" t="s">
        <v>3307</v>
      </c>
      <c r="X2373" s="185" t="s">
        <v>3308</v>
      </c>
      <c r="Y2373" s="185" t="s">
        <v>1789</v>
      </c>
      <c r="Z2373"/>
    </row>
    <row r="2374" spans="1:26">
      <c r="A2374" s="185" t="s">
        <v>3302</v>
      </c>
      <c r="B2374" s="185" t="s">
        <v>3337</v>
      </c>
      <c r="C2374" s="185" t="s">
        <v>1890</v>
      </c>
      <c r="D2374" s="185" t="s">
        <v>3338</v>
      </c>
      <c r="E2374" s="185">
        <v>112005</v>
      </c>
      <c r="F2374" s="185" t="s">
        <v>24</v>
      </c>
      <c r="G2374" s="185" t="s">
        <v>1921</v>
      </c>
      <c r="H2374" s="185" t="s">
        <v>1628</v>
      </c>
      <c r="I2374" s="258" t="str">
        <f t="shared" si="112"/>
        <v>1</v>
      </c>
      <c r="J2374" s="221">
        <f t="shared" si="113"/>
        <v>-11600000</v>
      </c>
      <c r="K2374" s="258">
        <f t="shared" si="114"/>
        <v>8</v>
      </c>
      <c r="L2374" s="188">
        <v>0</v>
      </c>
      <c r="M2374" s="188">
        <v>11600000</v>
      </c>
      <c r="N2374" s="189">
        <v>860513883</v>
      </c>
      <c r="O2374"/>
      <c r="P2374" s="187">
        <v>45177.705914351798</v>
      </c>
      <c r="Q2374" s="186">
        <v>13195</v>
      </c>
      <c r="R2374" s="185" t="s">
        <v>1841</v>
      </c>
      <c r="S2374" s="185" t="s">
        <v>1576</v>
      </c>
      <c r="T2374" t="s">
        <v>1894</v>
      </c>
      <c r="U2374" t="str">
        <f>IF($L2374&gt;0,VLOOKUP($E2374,Valida!$A$1:$G$270,6,FALSE),IF($M2374&gt;=0,VLOOKUP($E2374,Valida!$A$1:$G$270,7,FALSE)))</f>
        <v>Disponible</v>
      </c>
      <c r="V2374" s="190" t="str">
        <f>VLOOKUP(E2374,Valida!$A$2:$K$271,4,FALSE)</f>
        <v>Cash and equivalents</v>
      </c>
      <c r="W2374" s="185" t="s">
        <v>3307</v>
      </c>
      <c r="X2374" s="185" t="s">
        <v>3308</v>
      </c>
      <c r="Y2374" s="185" t="s">
        <v>1789</v>
      </c>
      <c r="Z2374"/>
    </row>
    <row r="2375" spans="1:26">
      <c r="A2375" s="185" t="s">
        <v>3264</v>
      </c>
      <c r="B2375" s="185" t="s">
        <v>3339</v>
      </c>
      <c r="C2375" s="185" t="s">
        <v>1890</v>
      </c>
      <c r="D2375" s="185" t="s">
        <v>3340</v>
      </c>
      <c r="E2375" s="185">
        <v>237095</v>
      </c>
      <c r="F2375" s="185" t="s">
        <v>150</v>
      </c>
      <c r="G2375" s="185" t="s">
        <v>3341</v>
      </c>
      <c r="H2375" s="185" t="s">
        <v>1515</v>
      </c>
      <c r="I2375" s="258" t="str">
        <f t="shared" si="112"/>
        <v>2</v>
      </c>
      <c r="J2375" s="221">
        <f t="shared" si="113"/>
        <v>1688100</v>
      </c>
      <c r="K2375" s="258">
        <f t="shared" si="114"/>
        <v>8</v>
      </c>
      <c r="L2375" s="188">
        <v>1688100</v>
      </c>
      <c r="M2375" s="188">
        <v>0</v>
      </c>
      <c r="N2375" s="189">
        <v>860066942</v>
      </c>
      <c r="O2375"/>
      <c r="P2375" s="187">
        <v>45177.708148148202</v>
      </c>
      <c r="Q2375" s="186">
        <v>13196</v>
      </c>
      <c r="R2375" s="185" t="s">
        <v>1814</v>
      </c>
      <c r="S2375" s="185" t="s">
        <v>1574</v>
      </c>
      <c r="T2375"/>
      <c r="U2375" t="str">
        <f>IF($L2375&gt;0,VLOOKUP($E2375,Valida!$A$1:$G$270,6,FALSE),IF($M2375&gt;=0,VLOOKUP($E2375,Valida!$A$1:$G$270,7,FALSE)))</f>
        <v>(+/-) Ajustes por el incremento (disminución) de cuentas por pagar de origen comercial</v>
      </c>
      <c r="V2375" s="190" t="str">
        <f>VLOOKUP(E2375,Valida!$A$2:$K$271,4,FALSE)</f>
        <v>Trade and other payables</v>
      </c>
      <c r="W2375" s="185" t="s">
        <v>1914</v>
      </c>
      <c r="X2375" s="185" t="s">
        <v>1915</v>
      </c>
      <c r="Y2375" s="185" t="s">
        <v>1789</v>
      </c>
      <c r="Z2375"/>
    </row>
    <row r="2376" spans="1:26">
      <c r="A2376" s="185" t="s">
        <v>3264</v>
      </c>
      <c r="B2376" s="185" t="s">
        <v>3339</v>
      </c>
      <c r="C2376" s="185" t="s">
        <v>1890</v>
      </c>
      <c r="D2376" s="185" t="s">
        <v>3340</v>
      </c>
      <c r="E2376" s="185">
        <v>112005</v>
      </c>
      <c r="F2376" s="185" t="s">
        <v>24</v>
      </c>
      <c r="G2376" s="185" t="s">
        <v>3341</v>
      </c>
      <c r="H2376" s="185" t="s">
        <v>1628</v>
      </c>
      <c r="I2376" s="258" t="str">
        <f t="shared" si="112"/>
        <v>1</v>
      </c>
      <c r="J2376" s="221">
        <f t="shared" si="113"/>
        <v>-1688100</v>
      </c>
      <c r="K2376" s="258">
        <f t="shared" si="114"/>
        <v>8</v>
      </c>
      <c r="L2376" s="188">
        <v>0</v>
      </c>
      <c r="M2376" s="188">
        <v>1688100</v>
      </c>
      <c r="N2376" s="189">
        <v>860066942</v>
      </c>
      <c r="O2376"/>
      <c r="P2376" s="187">
        <v>45177.708148148202</v>
      </c>
      <c r="Q2376" s="186">
        <v>13197</v>
      </c>
      <c r="R2376" s="185" t="s">
        <v>1814</v>
      </c>
      <c r="S2376" s="185" t="s">
        <v>1574</v>
      </c>
      <c r="T2376" t="s">
        <v>1894</v>
      </c>
      <c r="U2376" t="str">
        <f>IF($L2376&gt;0,VLOOKUP($E2376,Valida!$A$1:$G$270,6,FALSE),IF($M2376&gt;=0,VLOOKUP($E2376,Valida!$A$1:$G$270,7,FALSE)))</f>
        <v>Disponible</v>
      </c>
      <c r="V2376" s="190" t="str">
        <f>VLOOKUP(E2376,Valida!$A$2:$K$271,4,FALSE)</f>
        <v>Cash and equivalents</v>
      </c>
      <c r="W2376" s="185" t="s">
        <v>1914</v>
      </c>
      <c r="X2376" s="185" t="s">
        <v>1915</v>
      </c>
      <c r="Y2376" s="185" t="s">
        <v>1789</v>
      </c>
      <c r="Z2376"/>
    </row>
    <row r="2377" spans="1:26">
      <c r="A2377" s="185" t="s">
        <v>3264</v>
      </c>
      <c r="B2377" s="185" t="s">
        <v>3324</v>
      </c>
      <c r="C2377" s="185" t="s">
        <v>1991</v>
      </c>
      <c r="D2377" s="185" t="s">
        <v>3325</v>
      </c>
      <c r="E2377" s="185">
        <v>236595</v>
      </c>
      <c r="F2377" s="185" t="s">
        <v>648</v>
      </c>
      <c r="G2377" s="185" t="s">
        <v>3326</v>
      </c>
      <c r="H2377" s="185" t="s">
        <v>1628</v>
      </c>
      <c r="I2377" s="258" t="str">
        <f t="shared" si="112"/>
        <v>2</v>
      </c>
      <c r="J2377" s="221">
        <f t="shared" si="113"/>
        <v>-2026000</v>
      </c>
      <c r="K2377" s="258">
        <f t="shared" si="114"/>
        <v>8</v>
      </c>
      <c r="L2377" s="188">
        <v>0</v>
      </c>
      <c r="M2377" s="188">
        <v>2026000</v>
      </c>
      <c r="N2377" s="189">
        <v>800197268</v>
      </c>
      <c r="O2377"/>
      <c r="P2377" s="187">
        <v>45180.383333333302</v>
      </c>
      <c r="Q2377" s="186">
        <v>13204</v>
      </c>
      <c r="R2377" s="185" t="s">
        <v>983</v>
      </c>
      <c r="S2377" s="185" t="s">
        <v>1558</v>
      </c>
      <c r="T2377"/>
      <c r="U2377" t="str">
        <f>IF($L2377&gt;0,VLOOKUP($E2377,Valida!$A$1:$G$270,6,FALSE),IF($M2377&gt;=0,VLOOKUP($E2377,Valida!$A$1:$G$270,7,FALSE)))</f>
        <v>(+/-) Ajustes por el incremento (disminución) de cuentas por pagar de origen comercial</v>
      </c>
      <c r="V2377" s="190" t="str">
        <f>VLOOKUP(E2377,Valida!$A$2:$K$271,4,FALSE)</f>
        <v>Trade and other payables</v>
      </c>
      <c r="W2377" s="185" t="s">
        <v>1944</v>
      </c>
      <c r="X2377" s="185"/>
      <c r="Y2377" s="185" t="s">
        <v>1789</v>
      </c>
      <c r="Z2377"/>
    </row>
    <row r="2378" spans="1:26">
      <c r="A2378" s="185" t="s">
        <v>3264</v>
      </c>
      <c r="B2378" s="185" t="s">
        <v>3324</v>
      </c>
      <c r="C2378" s="185" t="s">
        <v>1991</v>
      </c>
      <c r="D2378" s="185" t="s">
        <v>3325</v>
      </c>
      <c r="E2378" s="185">
        <v>53059510</v>
      </c>
      <c r="F2378" s="185" t="s">
        <v>1065</v>
      </c>
      <c r="G2378" s="185" t="s">
        <v>3326</v>
      </c>
      <c r="H2378" s="185" t="s">
        <v>1515</v>
      </c>
      <c r="I2378" s="258" t="str">
        <f t="shared" si="112"/>
        <v>5</v>
      </c>
      <c r="J2378" s="221">
        <f t="shared" si="113"/>
        <v>1214</v>
      </c>
      <c r="K2378" s="258">
        <f t="shared" si="114"/>
        <v>8</v>
      </c>
      <c r="L2378" s="188">
        <v>1214</v>
      </c>
      <c r="M2378" s="188">
        <v>0</v>
      </c>
      <c r="N2378" s="189">
        <v>800197268</v>
      </c>
      <c r="O2378"/>
      <c r="P2378" s="187">
        <v>45180.383333333302</v>
      </c>
      <c r="Q2378" s="186">
        <v>13205</v>
      </c>
      <c r="R2378" s="185" t="s">
        <v>983</v>
      </c>
      <c r="S2378" s="185" t="s">
        <v>1558</v>
      </c>
      <c r="T2378"/>
      <c r="U2378" t="str">
        <f>IF($L2378&gt;0,VLOOKUP($E2378,Valida!$A$1:$G$270,6,FALSE),IF($M2378&gt;=0,VLOOKUP($E2378,Valida!$A$1:$G$270,7,FALSE)))</f>
        <v>(+/-) Ganancia (pérdida)</v>
      </c>
      <c r="V2378" s="190" t="str">
        <f>VLOOKUP(E2378,Valida!$A$2:$K$271,4,FALSE)</f>
        <v>P&amp;L</v>
      </c>
      <c r="W2378" s="185" t="s">
        <v>1944</v>
      </c>
      <c r="X2378" s="185"/>
      <c r="Y2378" s="185" t="s">
        <v>1789</v>
      </c>
      <c r="Z2378"/>
    </row>
    <row r="2379" spans="1:26">
      <c r="A2379" s="185" t="s">
        <v>3264</v>
      </c>
      <c r="B2379" s="185" t="s">
        <v>3324</v>
      </c>
      <c r="C2379" s="185" t="s">
        <v>1991</v>
      </c>
      <c r="D2379" s="185" t="s">
        <v>3325</v>
      </c>
      <c r="E2379" s="185">
        <v>23657502</v>
      </c>
      <c r="F2379" s="185" t="s">
        <v>1646</v>
      </c>
      <c r="G2379" s="185" t="s">
        <v>3326</v>
      </c>
      <c r="H2379" s="185" t="s">
        <v>1515</v>
      </c>
      <c r="I2379" s="258" t="str">
        <f t="shared" si="112"/>
        <v>2</v>
      </c>
      <c r="J2379" s="221">
        <f t="shared" si="113"/>
        <v>1444000</v>
      </c>
      <c r="K2379" s="258">
        <f t="shared" si="114"/>
        <v>8</v>
      </c>
      <c r="L2379" s="188">
        <v>1444000</v>
      </c>
      <c r="M2379" s="188">
        <v>0</v>
      </c>
      <c r="N2379" s="189">
        <v>800197268</v>
      </c>
      <c r="O2379"/>
      <c r="P2379" s="187">
        <v>45180.383333333302</v>
      </c>
      <c r="Q2379" s="186">
        <v>13206</v>
      </c>
      <c r="R2379" s="185" t="s">
        <v>983</v>
      </c>
      <c r="S2379" s="185" t="s">
        <v>1558</v>
      </c>
      <c r="T2379"/>
      <c r="U2379" t="str">
        <f>IF($L2379&gt;0,VLOOKUP($E2379,Valida!$A$1:$G$270,6,FALSE),IF($M2379&gt;=0,VLOOKUP($E2379,Valida!$A$1:$G$270,7,FALSE)))</f>
        <v>(+/-) Ajustes por el incremento (disminución) de cuentas por pagar de origen comercial</v>
      </c>
      <c r="V2379" s="190" t="str">
        <f>VLOOKUP(E2379,Valida!$A$2:$K$271,4,FALSE)</f>
        <v>Trade and other payables</v>
      </c>
      <c r="W2379" s="185" t="s">
        <v>1944</v>
      </c>
      <c r="X2379" s="185"/>
      <c r="Y2379" s="185" t="s">
        <v>1789</v>
      </c>
      <c r="Z2379"/>
    </row>
    <row r="2380" spans="1:26">
      <c r="A2380" s="185" t="s">
        <v>3264</v>
      </c>
      <c r="B2380" s="185" t="s">
        <v>3342</v>
      </c>
      <c r="C2380" s="185" t="s">
        <v>1991</v>
      </c>
      <c r="D2380" s="185" t="s">
        <v>3343</v>
      </c>
      <c r="E2380" s="185">
        <v>24081001</v>
      </c>
      <c r="F2380" s="185" t="s">
        <v>1670</v>
      </c>
      <c r="G2380" s="185" t="s">
        <v>3344</v>
      </c>
      <c r="H2380" s="185" t="s">
        <v>1628</v>
      </c>
      <c r="I2380" s="258" t="str">
        <f t="shared" si="112"/>
        <v>2</v>
      </c>
      <c r="J2380" s="221">
        <f t="shared" si="113"/>
        <v>-2667324</v>
      </c>
      <c r="K2380" s="258">
        <f t="shared" si="114"/>
        <v>8</v>
      </c>
      <c r="L2380" s="188">
        <v>0</v>
      </c>
      <c r="M2380" s="188">
        <v>2667324</v>
      </c>
      <c r="N2380" s="189">
        <v>800197268</v>
      </c>
      <c r="O2380"/>
      <c r="P2380" s="187">
        <v>45180.419814814799</v>
      </c>
      <c r="Q2380" s="186">
        <v>13207</v>
      </c>
      <c r="R2380" s="185" t="s">
        <v>983</v>
      </c>
      <c r="S2380" s="185" t="s">
        <v>1558</v>
      </c>
      <c r="T2380"/>
      <c r="U2380" t="str">
        <f>IF($L2380&gt;0,VLOOKUP($E2380,Valida!$A$1:$G$270,6,FALSE),IF($M2380&gt;=0,VLOOKUP($E2380,Valida!$A$1:$G$270,7,FALSE)))</f>
        <v>(+/-) Ajustes por el incremento (disminución) de cuentas por pagar de origen comercial</v>
      </c>
      <c r="V2380" s="190" t="str">
        <f>VLOOKUP(E2380,Valida!$A$2:$K$271,4,FALSE)</f>
        <v>Trade and other payables</v>
      </c>
      <c r="W2380" s="185" t="s">
        <v>1944</v>
      </c>
      <c r="X2380" s="185"/>
      <c r="Y2380" s="185" t="s">
        <v>1789</v>
      </c>
      <c r="Z2380"/>
    </row>
    <row r="2381" spans="1:26">
      <c r="A2381" s="185" t="s">
        <v>3264</v>
      </c>
      <c r="B2381" s="185" t="s">
        <v>3342</v>
      </c>
      <c r="C2381" s="185" t="s">
        <v>1991</v>
      </c>
      <c r="D2381" s="185" t="s">
        <v>3343</v>
      </c>
      <c r="E2381" s="185">
        <v>24081002</v>
      </c>
      <c r="F2381" s="185" t="s">
        <v>1687</v>
      </c>
      <c r="G2381" s="185" t="s">
        <v>3344</v>
      </c>
      <c r="H2381" s="185" t="s">
        <v>1628</v>
      </c>
      <c r="I2381" s="258" t="str">
        <f t="shared" si="112"/>
        <v>2</v>
      </c>
      <c r="J2381" s="221">
        <f t="shared" si="113"/>
        <v>-7143748.5199999996</v>
      </c>
      <c r="K2381" s="258">
        <f t="shared" si="114"/>
        <v>8</v>
      </c>
      <c r="L2381" s="188">
        <v>0</v>
      </c>
      <c r="M2381" s="188">
        <v>7143748.5199999996</v>
      </c>
      <c r="N2381" s="189">
        <v>800197268</v>
      </c>
      <c r="O2381"/>
      <c r="P2381" s="187">
        <v>45180.419826388897</v>
      </c>
      <c r="Q2381" s="186">
        <v>13208</v>
      </c>
      <c r="R2381" s="185" t="s">
        <v>983</v>
      </c>
      <c r="S2381" s="185" t="s">
        <v>1558</v>
      </c>
      <c r="T2381"/>
      <c r="U2381" t="str">
        <f>IF($L2381&gt;0,VLOOKUP($E2381,Valida!$A$1:$G$270,6,FALSE),IF($M2381&gt;=0,VLOOKUP($E2381,Valida!$A$1:$G$270,7,FALSE)))</f>
        <v>(+/-) Ajustes por el incremento (disminución) de cuentas por pagar de origen comercial</v>
      </c>
      <c r="V2381" s="190" t="str">
        <f>VLOOKUP(E2381,Valida!$A$2:$K$271,4,FALSE)</f>
        <v>Trade and other payables</v>
      </c>
      <c r="W2381" s="185" t="s">
        <v>1944</v>
      </c>
      <c r="X2381" s="185"/>
      <c r="Y2381" s="185" t="s">
        <v>1789</v>
      </c>
      <c r="Z2381"/>
    </row>
    <row r="2382" spans="1:26">
      <c r="A2382" s="185" t="s">
        <v>3264</v>
      </c>
      <c r="B2382" s="185" t="s">
        <v>3342</v>
      </c>
      <c r="C2382" s="185" t="s">
        <v>1991</v>
      </c>
      <c r="D2382" s="185" t="s">
        <v>3343</v>
      </c>
      <c r="E2382" s="185">
        <v>24081005</v>
      </c>
      <c r="F2382" s="185" t="s">
        <v>1688</v>
      </c>
      <c r="G2382" s="185" t="s">
        <v>3344</v>
      </c>
      <c r="H2382" s="185" t="s">
        <v>1628</v>
      </c>
      <c r="I2382" s="258" t="str">
        <f t="shared" si="112"/>
        <v>2</v>
      </c>
      <c r="J2382" s="221">
        <f t="shared" si="113"/>
        <v>-58527</v>
      </c>
      <c r="K2382" s="258">
        <f t="shared" si="114"/>
        <v>8</v>
      </c>
      <c r="L2382" s="188">
        <v>0</v>
      </c>
      <c r="M2382" s="188">
        <v>58527</v>
      </c>
      <c r="N2382" s="189">
        <v>800197268</v>
      </c>
      <c r="O2382"/>
      <c r="P2382" s="187">
        <v>45180.419826388897</v>
      </c>
      <c r="Q2382" s="186">
        <v>13209</v>
      </c>
      <c r="R2382" s="185" t="s">
        <v>983</v>
      </c>
      <c r="S2382" s="185" t="s">
        <v>1558</v>
      </c>
      <c r="T2382"/>
      <c r="U2382" t="str">
        <f>IF($L2382&gt;0,VLOOKUP($E2382,Valida!$A$1:$G$270,6,FALSE),IF($M2382&gt;=0,VLOOKUP($E2382,Valida!$A$1:$G$270,7,FALSE)))</f>
        <v>(+/-) Ajustes por el incremento (disminución) de cuentas por pagar de origen comercial</v>
      </c>
      <c r="V2382" s="190" t="str">
        <f>VLOOKUP(E2382,Valida!$A$2:$K$271,4,FALSE)</f>
        <v>Trade and other payables</v>
      </c>
      <c r="W2382" s="185" t="s">
        <v>1944</v>
      </c>
      <c r="X2382" s="185"/>
      <c r="Y2382" s="185" t="s">
        <v>1789</v>
      </c>
      <c r="Z2382"/>
    </row>
    <row r="2383" spans="1:26">
      <c r="A2383" s="185" t="s">
        <v>3264</v>
      </c>
      <c r="B2383" s="185" t="s">
        <v>3342</v>
      </c>
      <c r="C2383" s="185" t="s">
        <v>1991</v>
      </c>
      <c r="D2383" s="185" t="s">
        <v>3343</v>
      </c>
      <c r="E2383" s="185">
        <v>24081501</v>
      </c>
      <c r="F2383" s="185" t="s">
        <v>747</v>
      </c>
      <c r="G2383" s="185" t="s">
        <v>3344</v>
      </c>
      <c r="H2383" s="185" t="s">
        <v>1515</v>
      </c>
      <c r="I2383" s="258" t="str">
        <f t="shared" si="112"/>
        <v>2</v>
      </c>
      <c r="J2383" s="221">
        <f t="shared" si="113"/>
        <v>2667000</v>
      </c>
      <c r="K2383" s="258">
        <f t="shared" si="114"/>
        <v>8</v>
      </c>
      <c r="L2383" s="188">
        <v>2667000</v>
      </c>
      <c r="M2383" s="188">
        <v>0</v>
      </c>
      <c r="N2383" s="189">
        <v>800197268</v>
      </c>
      <c r="O2383"/>
      <c r="P2383" s="187">
        <v>45180.419826388897</v>
      </c>
      <c r="Q2383" s="186">
        <v>13210</v>
      </c>
      <c r="R2383" s="185" t="s">
        <v>983</v>
      </c>
      <c r="S2383" s="185" t="s">
        <v>1558</v>
      </c>
      <c r="T2383"/>
      <c r="U2383" t="str">
        <f>IF($L2383&gt;0,VLOOKUP($E2383,Valida!$A$1:$G$270,6,FALSE),IF($M2383&gt;=0,VLOOKUP($E2383,Valida!$A$1:$G$270,7,FALSE)))</f>
        <v>(+/-) Ajustes por el incremento (disminución) de cuentas por pagar de origen comercial</v>
      </c>
      <c r="V2383" s="190" t="str">
        <f>VLOOKUP(E2383,Valida!$A$2:$K$271,4,FALSE)</f>
        <v>Trade and other payables</v>
      </c>
      <c r="W2383" s="185" t="s">
        <v>1944</v>
      </c>
      <c r="X2383" s="185"/>
      <c r="Y2383" s="185" t="s">
        <v>1789</v>
      </c>
      <c r="Z2383"/>
    </row>
    <row r="2384" spans="1:26">
      <c r="A2384" s="185" t="s">
        <v>3264</v>
      </c>
      <c r="B2384" s="185" t="s">
        <v>3342</v>
      </c>
      <c r="C2384" s="185" t="s">
        <v>1991</v>
      </c>
      <c r="D2384" s="185" t="s">
        <v>3343</v>
      </c>
      <c r="E2384" s="185">
        <v>24081502</v>
      </c>
      <c r="F2384" s="185" t="s">
        <v>750</v>
      </c>
      <c r="G2384" s="185" t="s">
        <v>3344</v>
      </c>
      <c r="H2384" s="185" t="s">
        <v>1515</v>
      </c>
      <c r="I2384" s="258" t="str">
        <f t="shared" si="112"/>
        <v>2</v>
      </c>
      <c r="J2384" s="221">
        <f t="shared" si="113"/>
        <v>7142000</v>
      </c>
      <c r="K2384" s="258">
        <f t="shared" si="114"/>
        <v>8</v>
      </c>
      <c r="L2384" s="188">
        <v>7142000</v>
      </c>
      <c r="M2384" s="188">
        <v>0</v>
      </c>
      <c r="N2384" s="189">
        <v>800197268</v>
      </c>
      <c r="O2384"/>
      <c r="P2384" s="187">
        <v>45180.419826388897</v>
      </c>
      <c r="Q2384" s="186">
        <v>13211</v>
      </c>
      <c r="R2384" s="185" t="s">
        <v>983</v>
      </c>
      <c r="S2384" s="185" t="s">
        <v>1558</v>
      </c>
      <c r="T2384"/>
      <c r="U2384" t="str">
        <f>IF($L2384&gt;0,VLOOKUP($E2384,Valida!$A$1:$G$270,6,FALSE),IF($M2384&gt;=0,VLOOKUP($E2384,Valida!$A$1:$G$270,7,FALSE)))</f>
        <v>(+/-) Ajustes por el incremento (disminución) de cuentas por pagar de origen comercial</v>
      </c>
      <c r="V2384" s="190" t="str">
        <f>VLOOKUP(E2384,Valida!$A$2:$K$271,4,FALSE)</f>
        <v>Trade and other payables</v>
      </c>
      <c r="W2384" s="185" t="s">
        <v>1944</v>
      </c>
      <c r="X2384" s="185"/>
      <c r="Y2384" s="185" t="s">
        <v>1789</v>
      </c>
      <c r="Z2384"/>
    </row>
    <row r="2385" spans="1:26">
      <c r="A2385" s="185" t="s">
        <v>3264</v>
      </c>
      <c r="B2385" s="185" t="s">
        <v>3342</v>
      </c>
      <c r="C2385" s="185" t="s">
        <v>1991</v>
      </c>
      <c r="D2385" s="185" t="s">
        <v>3343</v>
      </c>
      <c r="E2385" s="185">
        <v>24081505</v>
      </c>
      <c r="F2385" s="185" t="s">
        <v>756</v>
      </c>
      <c r="G2385" s="185" t="s">
        <v>3344</v>
      </c>
      <c r="H2385" s="185" t="s">
        <v>1515</v>
      </c>
      <c r="I2385" s="258" t="str">
        <f t="shared" si="112"/>
        <v>2</v>
      </c>
      <c r="J2385" s="221">
        <f t="shared" si="113"/>
        <v>59000</v>
      </c>
      <c r="K2385" s="258">
        <f t="shared" si="114"/>
        <v>8</v>
      </c>
      <c r="L2385" s="188">
        <v>59000</v>
      </c>
      <c r="M2385" s="188">
        <v>0</v>
      </c>
      <c r="N2385" s="189">
        <v>800197268</v>
      </c>
      <c r="O2385"/>
      <c r="P2385" s="187">
        <v>45180.419826388897</v>
      </c>
      <c r="Q2385" s="186">
        <v>13212</v>
      </c>
      <c r="R2385" s="185" t="s">
        <v>983</v>
      </c>
      <c r="S2385" s="185" t="s">
        <v>1558</v>
      </c>
      <c r="T2385"/>
      <c r="U2385" t="str">
        <f>IF($L2385&gt;0,VLOOKUP($E2385,Valida!$A$1:$G$270,6,FALSE),IF($M2385&gt;=0,VLOOKUP($E2385,Valida!$A$1:$G$270,7,FALSE)))</f>
        <v>(+/-) Ajustes por el incremento (disminución) de cuentas por pagar de origen comercial</v>
      </c>
      <c r="V2385" s="190" t="str">
        <f>VLOOKUP(E2385,Valida!$A$2:$K$271,4,FALSE)</f>
        <v>Trade and other payables</v>
      </c>
      <c r="W2385" s="185" t="s">
        <v>1944</v>
      </c>
      <c r="X2385" s="185"/>
      <c r="Y2385" s="185" t="s">
        <v>1789</v>
      </c>
      <c r="Z2385"/>
    </row>
    <row r="2386" spans="1:26">
      <c r="A2386" s="185" t="s">
        <v>3264</v>
      </c>
      <c r="B2386" s="185" t="s">
        <v>3342</v>
      </c>
      <c r="C2386" s="185" t="s">
        <v>1991</v>
      </c>
      <c r="D2386" s="185" t="s">
        <v>3343</v>
      </c>
      <c r="E2386" s="185">
        <v>53152003</v>
      </c>
      <c r="F2386" s="185" t="s">
        <v>1498</v>
      </c>
      <c r="G2386" s="185" t="s">
        <v>3344</v>
      </c>
      <c r="H2386" s="185" t="s">
        <v>1515</v>
      </c>
      <c r="I2386" s="258" t="str">
        <f t="shared" si="112"/>
        <v>5</v>
      </c>
      <c r="J2386" s="221">
        <f t="shared" si="113"/>
        <v>1599.52</v>
      </c>
      <c r="K2386" s="258">
        <f t="shared" si="114"/>
        <v>8</v>
      </c>
      <c r="L2386" s="188">
        <v>1599.52</v>
      </c>
      <c r="M2386" s="188">
        <v>0</v>
      </c>
      <c r="N2386" s="189">
        <v>800197268</v>
      </c>
      <c r="O2386"/>
      <c r="P2386" s="187">
        <v>45180.419826388897</v>
      </c>
      <c r="Q2386" s="186">
        <v>13213</v>
      </c>
      <c r="R2386" s="185" t="s">
        <v>983</v>
      </c>
      <c r="S2386" s="185" t="s">
        <v>1558</v>
      </c>
      <c r="T2386"/>
      <c r="U2386" t="str">
        <f>IF($L2386&gt;0,VLOOKUP($E2386,Valida!$A$1:$G$270,6,FALSE),IF($M2386&gt;=0,VLOOKUP($E2386,Valida!$A$1:$G$270,7,FALSE)))</f>
        <v>(+/-) Ganancia (pérdida)</v>
      </c>
      <c r="V2386" s="190" t="str">
        <f>VLOOKUP(E2386,Valida!$A$2:$K$271,4,FALSE)</f>
        <v>P&amp;L</v>
      </c>
      <c r="W2386" s="185" t="s">
        <v>1944</v>
      </c>
      <c r="X2386" s="185"/>
      <c r="Y2386" s="185" t="s">
        <v>1789</v>
      </c>
      <c r="Z2386"/>
    </row>
    <row r="2387" spans="1:26">
      <c r="A2387" s="185" t="s">
        <v>3264</v>
      </c>
      <c r="B2387" s="185" t="s">
        <v>3345</v>
      </c>
      <c r="C2387" s="185" t="s">
        <v>1991</v>
      </c>
      <c r="D2387" s="185" t="s">
        <v>3346</v>
      </c>
      <c r="E2387" s="185">
        <v>13552001</v>
      </c>
      <c r="F2387" s="185" t="s">
        <v>276</v>
      </c>
      <c r="G2387" s="185" t="s">
        <v>3347</v>
      </c>
      <c r="H2387" s="185" t="s">
        <v>1515</v>
      </c>
      <c r="I2387" s="258" t="str">
        <f t="shared" si="112"/>
        <v>1</v>
      </c>
      <c r="J2387" s="221">
        <f t="shared" si="113"/>
        <v>9868000</v>
      </c>
      <c r="K2387" s="258">
        <f t="shared" si="114"/>
        <v>8</v>
      </c>
      <c r="L2387" s="188">
        <v>9868000</v>
      </c>
      <c r="M2387" s="188">
        <v>0</v>
      </c>
      <c r="N2387" s="189">
        <v>800197268</v>
      </c>
      <c r="O2387"/>
      <c r="P2387" s="187">
        <v>45180.4218287037</v>
      </c>
      <c r="Q2387" s="186">
        <v>13214</v>
      </c>
      <c r="R2387" s="185" t="s">
        <v>983</v>
      </c>
      <c r="S2387" s="185" t="s">
        <v>1558</v>
      </c>
      <c r="T2387"/>
      <c r="U2387" t="str">
        <f>IF($L2387&gt;0,VLOOKUP($E2387,Valida!$A$1:$G$270,6,FALSE),IF($M2387&gt;=0,VLOOKUP($E2387,Valida!$A$1:$G$270,7,FALSE)))</f>
        <v>(+/-) Ajustes por disminuciones (incrementos) en otras cuentas por cobrar derivadas de las actividades de operación</v>
      </c>
      <c r="V2387" s="190" t="str">
        <f>VLOOKUP(E2387,Valida!$A$2:$K$271,4,FALSE)</f>
        <v>Trade and other receivables</v>
      </c>
      <c r="W2387" s="185" t="s">
        <v>1944</v>
      </c>
      <c r="X2387" s="185"/>
      <c r="Y2387" s="185" t="s">
        <v>1789</v>
      </c>
      <c r="Z2387"/>
    </row>
    <row r="2388" spans="1:26">
      <c r="A2388" s="185" t="s">
        <v>3264</v>
      </c>
      <c r="B2388" s="185" t="s">
        <v>3345</v>
      </c>
      <c r="C2388" s="185" t="s">
        <v>1991</v>
      </c>
      <c r="D2388" s="185" t="s">
        <v>3346</v>
      </c>
      <c r="E2388" s="185">
        <v>24081501</v>
      </c>
      <c r="F2388" s="185" t="s">
        <v>747</v>
      </c>
      <c r="G2388" s="185" t="s">
        <v>3347</v>
      </c>
      <c r="H2388" s="185" t="s">
        <v>1628</v>
      </c>
      <c r="I2388" s="258" t="str">
        <f t="shared" si="112"/>
        <v>2</v>
      </c>
      <c r="J2388" s="221">
        <f t="shared" si="113"/>
        <v>-2667000</v>
      </c>
      <c r="K2388" s="258">
        <f t="shared" si="114"/>
        <v>8</v>
      </c>
      <c r="L2388" s="188">
        <v>0</v>
      </c>
      <c r="M2388" s="188">
        <v>2667000</v>
      </c>
      <c r="N2388" s="189">
        <v>800197268</v>
      </c>
      <c r="O2388"/>
      <c r="P2388" s="187">
        <v>45180.4218287037</v>
      </c>
      <c r="Q2388" s="186">
        <v>13215</v>
      </c>
      <c r="R2388" s="185" t="s">
        <v>983</v>
      </c>
      <c r="S2388" s="185" t="s">
        <v>1558</v>
      </c>
      <c r="T2388"/>
      <c r="U2388" t="str">
        <f>IF($L2388&gt;0,VLOOKUP($E2388,Valida!$A$1:$G$270,6,FALSE),IF($M2388&gt;=0,VLOOKUP($E2388,Valida!$A$1:$G$270,7,FALSE)))</f>
        <v>(+/-) Ajustes por el incremento (disminución) de cuentas por pagar de origen comercial</v>
      </c>
      <c r="V2388" s="190" t="str">
        <f>VLOOKUP(E2388,Valida!$A$2:$K$271,4,FALSE)</f>
        <v>Trade and other payables</v>
      </c>
      <c r="W2388" s="185" t="s">
        <v>1944</v>
      </c>
      <c r="X2388" s="185"/>
      <c r="Y2388" s="185" t="s">
        <v>1789</v>
      </c>
      <c r="Z2388"/>
    </row>
    <row r="2389" spans="1:26">
      <c r="A2389" s="185" t="s">
        <v>3264</v>
      </c>
      <c r="B2389" s="185" t="s">
        <v>3345</v>
      </c>
      <c r="C2389" s="185" t="s">
        <v>1991</v>
      </c>
      <c r="D2389" s="185" t="s">
        <v>3346</v>
      </c>
      <c r="E2389" s="185">
        <v>24081502</v>
      </c>
      <c r="F2389" s="185" t="s">
        <v>750</v>
      </c>
      <c r="G2389" s="185" t="s">
        <v>3347</v>
      </c>
      <c r="H2389" s="185" t="s">
        <v>1628</v>
      </c>
      <c r="I2389" s="258" t="str">
        <f t="shared" si="112"/>
        <v>2</v>
      </c>
      <c r="J2389" s="221">
        <f t="shared" si="113"/>
        <v>-7142000</v>
      </c>
      <c r="K2389" s="258">
        <f t="shared" si="114"/>
        <v>8</v>
      </c>
      <c r="L2389" s="188">
        <v>0</v>
      </c>
      <c r="M2389" s="188">
        <v>7142000</v>
      </c>
      <c r="N2389" s="189">
        <v>800197268</v>
      </c>
      <c r="O2389"/>
      <c r="P2389" s="187">
        <v>45180.4218287037</v>
      </c>
      <c r="Q2389" s="186">
        <v>13216</v>
      </c>
      <c r="R2389" s="185" t="s">
        <v>983</v>
      </c>
      <c r="S2389" s="185" t="s">
        <v>1558</v>
      </c>
      <c r="T2389"/>
      <c r="U2389" t="str">
        <f>IF($L2389&gt;0,VLOOKUP($E2389,Valida!$A$1:$G$270,6,FALSE),IF($M2389&gt;=0,VLOOKUP($E2389,Valida!$A$1:$G$270,7,FALSE)))</f>
        <v>(+/-) Ajustes por el incremento (disminución) de cuentas por pagar de origen comercial</v>
      </c>
      <c r="V2389" s="190" t="str">
        <f>VLOOKUP(E2389,Valida!$A$2:$K$271,4,FALSE)</f>
        <v>Trade and other payables</v>
      </c>
      <c r="W2389" s="185" t="s">
        <v>1944</v>
      </c>
      <c r="X2389" s="185"/>
      <c r="Y2389" s="185" t="s">
        <v>1789</v>
      </c>
      <c r="Z2389"/>
    </row>
    <row r="2390" spans="1:26">
      <c r="A2390" s="185" t="s">
        <v>3264</v>
      </c>
      <c r="B2390" s="185" t="s">
        <v>3345</v>
      </c>
      <c r="C2390" s="185" t="s">
        <v>1991</v>
      </c>
      <c r="D2390" s="185" t="s">
        <v>3346</v>
      </c>
      <c r="E2390" s="185">
        <v>24081505</v>
      </c>
      <c r="F2390" s="185" t="s">
        <v>756</v>
      </c>
      <c r="G2390" s="185" t="s">
        <v>3347</v>
      </c>
      <c r="H2390" s="185" t="s">
        <v>1628</v>
      </c>
      <c r="I2390" s="258" t="str">
        <f t="shared" si="112"/>
        <v>2</v>
      </c>
      <c r="J2390" s="221">
        <f t="shared" si="113"/>
        <v>-59000</v>
      </c>
      <c r="K2390" s="258">
        <f t="shared" si="114"/>
        <v>8</v>
      </c>
      <c r="L2390" s="188">
        <v>0</v>
      </c>
      <c r="M2390" s="188">
        <v>59000</v>
      </c>
      <c r="N2390" s="189">
        <v>800197268</v>
      </c>
      <c r="O2390"/>
      <c r="P2390" s="187">
        <v>45180.4218287037</v>
      </c>
      <c r="Q2390" s="186">
        <v>13217</v>
      </c>
      <c r="R2390" s="185" t="s">
        <v>983</v>
      </c>
      <c r="S2390" s="185" t="s">
        <v>1558</v>
      </c>
      <c r="T2390"/>
      <c r="U2390" t="str">
        <f>IF($L2390&gt;0,VLOOKUP($E2390,Valida!$A$1:$G$270,6,FALSE),IF($M2390&gt;=0,VLOOKUP($E2390,Valida!$A$1:$G$270,7,FALSE)))</f>
        <v>(+/-) Ajustes por el incremento (disminución) de cuentas por pagar de origen comercial</v>
      </c>
      <c r="V2390" s="190" t="str">
        <f>VLOOKUP(E2390,Valida!$A$2:$K$271,4,FALSE)</f>
        <v>Trade and other payables</v>
      </c>
      <c r="W2390" s="185" t="s">
        <v>1944</v>
      </c>
      <c r="X2390" s="185"/>
      <c r="Y2390" s="185" t="s">
        <v>1789</v>
      </c>
      <c r="Z2390"/>
    </row>
    <row r="2391" spans="1:26">
      <c r="A2391" s="185" t="s">
        <v>3264</v>
      </c>
      <c r="B2391" s="185" t="s">
        <v>3348</v>
      </c>
      <c r="C2391" s="185" t="s">
        <v>1785</v>
      </c>
      <c r="D2391" s="185" t="s">
        <v>2896</v>
      </c>
      <c r="E2391" s="185">
        <v>51602001</v>
      </c>
      <c r="F2391" s="185" t="s">
        <v>416</v>
      </c>
      <c r="G2391" s="185" t="s">
        <v>2232</v>
      </c>
      <c r="H2391" s="185" t="s">
        <v>1515</v>
      </c>
      <c r="I2391" s="258" t="str">
        <f t="shared" si="112"/>
        <v>5</v>
      </c>
      <c r="J2391" s="221">
        <f t="shared" si="113"/>
        <v>1596762</v>
      </c>
      <c r="K2391" s="258">
        <f t="shared" si="114"/>
        <v>8</v>
      </c>
      <c r="L2391" s="188">
        <v>1596762</v>
      </c>
      <c r="M2391" s="188">
        <v>0</v>
      </c>
      <c r="N2391" s="189">
        <v>901513634</v>
      </c>
      <c r="O2391"/>
      <c r="P2391" s="187">
        <v>45180.531446759298</v>
      </c>
      <c r="Q2391" s="186">
        <v>13218</v>
      </c>
      <c r="R2391" s="185" t="s">
        <v>6</v>
      </c>
      <c r="S2391" s="185" t="s">
        <v>1518</v>
      </c>
      <c r="T2391"/>
      <c r="U2391" t="str">
        <f>IF($L2391&gt;0,VLOOKUP($E2391,Valida!$A$1:$G$270,6,FALSE),IF($M2391&gt;=0,VLOOKUP($E2391,Valida!$A$1:$G$270,7,FALSE)))</f>
        <v>(+/-) Ganancia (pérdida)</v>
      </c>
      <c r="V2391" s="190" t="str">
        <f>VLOOKUP(E2391,Valida!$A$2:$K$271,4,FALSE)</f>
        <v>P&amp;L</v>
      </c>
      <c r="W2391" s="185" t="s">
        <v>1787</v>
      </c>
      <c r="X2391" s="185" t="s">
        <v>1788</v>
      </c>
      <c r="Y2391" s="185" t="s">
        <v>1789</v>
      </c>
      <c r="Z2391"/>
    </row>
    <row r="2392" spans="1:26">
      <c r="A2392" s="185" t="s">
        <v>3264</v>
      </c>
      <c r="B2392" s="185" t="s">
        <v>3348</v>
      </c>
      <c r="C2392" s="185" t="s">
        <v>1785</v>
      </c>
      <c r="D2392" s="185" t="s">
        <v>2896</v>
      </c>
      <c r="E2392" s="185">
        <v>15922001</v>
      </c>
      <c r="F2392" s="185" t="s">
        <v>416</v>
      </c>
      <c r="G2392" s="185" t="s">
        <v>2232</v>
      </c>
      <c r="H2392" s="185" t="s">
        <v>1628</v>
      </c>
      <c r="I2392" s="258" t="str">
        <f t="shared" si="112"/>
        <v>1</v>
      </c>
      <c r="J2392" s="221">
        <f t="shared" si="113"/>
        <v>-1596762</v>
      </c>
      <c r="K2392" s="258">
        <f t="shared" si="114"/>
        <v>8</v>
      </c>
      <c r="L2392" s="188">
        <v>0</v>
      </c>
      <c r="M2392" s="188">
        <v>1596762</v>
      </c>
      <c r="N2392" s="189">
        <v>901513634</v>
      </c>
      <c r="O2392"/>
      <c r="P2392" s="187">
        <v>45180.531458333302</v>
      </c>
      <c r="Q2392" s="186">
        <v>13219</v>
      </c>
      <c r="R2392" s="185" t="s">
        <v>6</v>
      </c>
      <c r="S2392" s="185" t="s">
        <v>1518</v>
      </c>
      <c r="T2392"/>
      <c r="U2392" t="str">
        <f>IF($L2392&gt;0,VLOOKUP($E2392,Valida!$A$1:$G$270,6,FALSE),IF($M2392&gt;=0,VLOOKUP($E2392,Valida!$A$1:$G$270,7,FALSE)))</f>
        <v>( + ) Ajustes por gastos de depreciación</v>
      </c>
      <c r="V2392" s="190" t="str">
        <f>VLOOKUP(E2392,Valida!$A$2:$K$271,4,FALSE)</f>
        <v>Depreciation</v>
      </c>
      <c r="W2392" s="185" t="s">
        <v>1787</v>
      </c>
      <c r="X2392" s="185" t="s">
        <v>1788</v>
      </c>
      <c r="Y2392" s="185" t="s">
        <v>1789</v>
      </c>
      <c r="Z2392"/>
    </row>
    <row r="2393" spans="1:26">
      <c r="A2393" s="185" t="s">
        <v>3264</v>
      </c>
      <c r="B2393" s="185" t="s">
        <v>3348</v>
      </c>
      <c r="C2393" s="185" t="s">
        <v>1785</v>
      </c>
      <c r="D2393" s="185" t="s">
        <v>2896</v>
      </c>
      <c r="E2393" s="185">
        <v>51602004</v>
      </c>
      <c r="F2393" s="185" t="s">
        <v>404</v>
      </c>
      <c r="G2393" s="185" t="s">
        <v>2236</v>
      </c>
      <c r="H2393" s="185" t="s">
        <v>1515</v>
      </c>
      <c r="I2393" s="258" t="str">
        <f t="shared" si="112"/>
        <v>5</v>
      </c>
      <c r="J2393" s="221">
        <f t="shared" si="113"/>
        <v>163793</v>
      </c>
      <c r="K2393" s="258">
        <f t="shared" si="114"/>
        <v>8</v>
      </c>
      <c r="L2393" s="188">
        <v>163793</v>
      </c>
      <c r="M2393" s="188">
        <v>0</v>
      </c>
      <c r="N2393" s="189">
        <v>901513634</v>
      </c>
      <c r="O2393"/>
      <c r="P2393" s="187">
        <v>45180.531458333302</v>
      </c>
      <c r="Q2393" s="186">
        <v>13220</v>
      </c>
      <c r="R2393" s="185" t="s">
        <v>6</v>
      </c>
      <c r="S2393" s="185" t="s">
        <v>1518</v>
      </c>
      <c r="T2393"/>
      <c r="U2393" t="str">
        <f>IF($L2393&gt;0,VLOOKUP($E2393,Valida!$A$1:$G$270,6,FALSE),IF($M2393&gt;=0,VLOOKUP($E2393,Valida!$A$1:$G$270,7,FALSE)))</f>
        <v>(+/-) Ganancia (pérdida)</v>
      </c>
      <c r="V2393" s="190" t="str">
        <f>VLOOKUP(E2393,Valida!$A$2:$K$271,4,FALSE)</f>
        <v>P&amp;L</v>
      </c>
      <c r="W2393" s="185" t="s">
        <v>1787</v>
      </c>
      <c r="X2393" s="185" t="s">
        <v>1788</v>
      </c>
      <c r="Y2393" s="185" t="s">
        <v>1789</v>
      </c>
      <c r="Z2393"/>
    </row>
    <row r="2394" spans="1:26">
      <c r="A2394" s="185" t="s">
        <v>3264</v>
      </c>
      <c r="B2394" s="185" t="s">
        <v>3348</v>
      </c>
      <c r="C2394" s="185" t="s">
        <v>1785</v>
      </c>
      <c r="D2394" s="185" t="s">
        <v>2896</v>
      </c>
      <c r="E2394" s="185">
        <v>15922004</v>
      </c>
      <c r="F2394" s="185" t="s">
        <v>404</v>
      </c>
      <c r="G2394" s="185" t="s">
        <v>2236</v>
      </c>
      <c r="H2394" s="185" t="s">
        <v>1628</v>
      </c>
      <c r="I2394" s="258" t="str">
        <f t="shared" si="112"/>
        <v>1</v>
      </c>
      <c r="J2394" s="221">
        <f t="shared" si="113"/>
        <v>-163793</v>
      </c>
      <c r="K2394" s="258">
        <f t="shared" si="114"/>
        <v>8</v>
      </c>
      <c r="L2394" s="188">
        <v>0</v>
      </c>
      <c r="M2394" s="188">
        <v>163793</v>
      </c>
      <c r="N2394" s="189">
        <v>901513634</v>
      </c>
      <c r="O2394"/>
      <c r="P2394" s="187">
        <v>45180.531458333302</v>
      </c>
      <c r="Q2394" s="186">
        <v>13221</v>
      </c>
      <c r="R2394" s="185" t="s">
        <v>6</v>
      </c>
      <c r="S2394" s="185" t="s">
        <v>1518</v>
      </c>
      <c r="T2394"/>
      <c r="U2394" t="str">
        <f>IF($L2394&gt;0,VLOOKUP($E2394,Valida!$A$1:$G$270,6,FALSE),IF($M2394&gt;=0,VLOOKUP($E2394,Valida!$A$1:$G$270,7,FALSE)))</f>
        <v>( + ) Ajustes por gastos de depreciación</v>
      </c>
      <c r="V2394" s="190" t="str">
        <f>VLOOKUP(E2394,Valida!$A$2:$K$271,4,FALSE)</f>
        <v>Depreciation</v>
      </c>
      <c r="W2394" s="185" t="s">
        <v>1787</v>
      </c>
      <c r="X2394" s="185" t="s">
        <v>1788</v>
      </c>
      <c r="Y2394" s="185" t="s">
        <v>1789</v>
      </c>
      <c r="Z2394"/>
    </row>
    <row r="2395" spans="1:26">
      <c r="A2395" s="185" t="s">
        <v>3349</v>
      </c>
      <c r="B2395" s="185" t="s">
        <v>3350</v>
      </c>
      <c r="C2395" s="185" t="s">
        <v>1949</v>
      </c>
      <c r="D2395" s="185" t="s">
        <v>2605</v>
      </c>
      <c r="E2395" s="185">
        <v>112005</v>
      </c>
      <c r="F2395" s="185" t="s">
        <v>24</v>
      </c>
      <c r="G2395" s="185" t="s">
        <v>3351</v>
      </c>
      <c r="H2395" s="185" t="s">
        <v>1515</v>
      </c>
      <c r="I2395" s="258" t="str">
        <f t="shared" si="112"/>
        <v>1</v>
      </c>
      <c r="J2395" s="221">
        <f t="shared" si="113"/>
        <v>122780640</v>
      </c>
      <c r="K2395" s="258">
        <f t="shared" si="114"/>
        <v>9</v>
      </c>
      <c r="L2395" s="188">
        <v>122780640</v>
      </c>
      <c r="M2395" s="188">
        <v>0</v>
      </c>
      <c r="N2395" s="189">
        <v>374795</v>
      </c>
      <c r="O2395"/>
      <c r="P2395" s="187">
        <v>45189.458946759303</v>
      </c>
      <c r="Q2395" s="186">
        <v>13222</v>
      </c>
      <c r="R2395" s="185"/>
      <c r="S2395" s="185" t="s">
        <v>1544</v>
      </c>
      <c r="T2395" t="s">
        <v>1894</v>
      </c>
      <c r="U2395" t="str">
        <f>IF($L2395&gt;0,VLOOKUP($E2395,Valida!$A$1:$G$270,6,FALSE),IF($M2395&gt;=0,VLOOKUP($E2395,Valida!$A$1:$G$270,7,FALSE)))</f>
        <v>Disponible</v>
      </c>
      <c r="V2395" s="190" t="str">
        <f>VLOOKUP(E2395,Valida!$A$2:$K$271,4,FALSE)</f>
        <v>Cash and equivalents</v>
      </c>
      <c r="W2395" s="185" t="s">
        <v>1803</v>
      </c>
      <c r="X2395" s="185"/>
      <c r="Y2395" s="185"/>
      <c r="Z2395"/>
    </row>
    <row r="2396" spans="1:26">
      <c r="A2396" s="185" t="s">
        <v>3349</v>
      </c>
      <c r="B2396" s="185" t="s">
        <v>3350</v>
      </c>
      <c r="C2396" s="185" t="s">
        <v>1949</v>
      </c>
      <c r="D2396" s="185" t="s">
        <v>2605</v>
      </c>
      <c r="E2396" s="185">
        <v>130505</v>
      </c>
      <c r="F2396" s="185" t="s">
        <v>61</v>
      </c>
      <c r="G2396" s="185" t="s">
        <v>3351</v>
      </c>
      <c r="H2396" s="185" t="s">
        <v>1628</v>
      </c>
      <c r="I2396" s="258" t="str">
        <f t="shared" si="112"/>
        <v>1</v>
      </c>
      <c r="J2396" s="221">
        <f t="shared" si="113"/>
        <v>-129085600</v>
      </c>
      <c r="K2396" s="258">
        <f t="shared" si="114"/>
        <v>9</v>
      </c>
      <c r="L2396" s="188">
        <v>0</v>
      </c>
      <c r="M2396" s="188">
        <v>129085600</v>
      </c>
      <c r="N2396" s="189">
        <v>374795</v>
      </c>
      <c r="O2396"/>
      <c r="P2396" s="187">
        <v>45189.458946759303</v>
      </c>
      <c r="Q2396" s="186">
        <v>13223</v>
      </c>
      <c r="R2396" s="185"/>
      <c r="S2396" s="185" t="s">
        <v>1544</v>
      </c>
      <c r="T2396"/>
      <c r="U2396" t="str">
        <f>IF($L2396&gt;0,VLOOKUP($E2396,Valida!$A$1:$G$270,6,FALSE),IF($M2396&gt;=0,VLOOKUP($E2396,Valida!$A$1:$G$270,7,FALSE)))</f>
        <v>(+/-) Ajustes por la disminución (incremento) de cuentas por cobrar de origen comercial</v>
      </c>
      <c r="V2396" s="190" t="str">
        <f>VLOOKUP(E2396,Valida!$A$2:$K$271,4,FALSE)</f>
        <v>Trade and other receivables</v>
      </c>
      <c r="W2396" s="185" t="s">
        <v>1803</v>
      </c>
      <c r="X2396" s="185"/>
      <c r="Y2396" s="185"/>
      <c r="Z2396"/>
    </row>
    <row r="2397" spans="1:26">
      <c r="A2397" s="185" t="s">
        <v>3349</v>
      </c>
      <c r="B2397" s="185" t="s">
        <v>3350</v>
      </c>
      <c r="C2397" s="185" t="s">
        <v>1949</v>
      </c>
      <c r="D2397" s="185" t="s">
        <v>2605</v>
      </c>
      <c r="E2397" s="185">
        <v>53052501</v>
      </c>
      <c r="F2397" s="185" t="s">
        <v>1752</v>
      </c>
      <c r="G2397" s="185" t="s">
        <v>3351</v>
      </c>
      <c r="H2397" s="185" t="s">
        <v>1515</v>
      </c>
      <c r="I2397" s="258" t="str">
        <f t="shared" si="112"/>
        <v>5</v>
      </c>
      <c r="J2397" s="221">
        <f t="shared" si="113"/>
        <v>6304960</v>
      </c>
      <c r="K2397" s="258">
        <f t="shared" si="114"/>
        <v>9</v>
      </c>
      <c r="L2397" s="188">
        <v>6304960</v>
      </c>
      <c r="M2397" s="188">
        <v>0</v>
      </c>
      <c r="N2397" s="189">
        <v>374795</v>
      </c>
      <c r="O2397"/>
      <c r="P2397" s="187">
        <v>45189.458946759303</v>
      </c>
      <c r="Q2397" s="186">
        <v>13224</v>
      </c>
      <c r="R2397" s="185"/>
      <c r="S2397" s="185" t="s">
        <v>1544</v>
      </c>
      <c r="T2397"/>
      <c r="U2397" t="str">
        <f>IF($L2397&gt;0,VLOOKUP($E2397,Valida!$A$1:$G$270,6,FALSE),IF($M2397&gt;=0,VLOOKUP($E2397,Valida!$A$1:$G$270,7,FALSE)))</f>
        <v>(+/-) Ganancia (pérdida)</v>
      </c>
      <c r="V2397" s="190" t="str">
        <f>VLOOKUP(E2397,Valida!$A$2:$K$271,4,FALSE)</f>
        <v>P&amp;L</v>
      </c>
      <c r="W2397" s="185" t="s">
        <v>1803</v>
      </c>
      <c r="X2397" s="185"/>
      <c r="Y2397" s="185"/>
      <c r="Z2397"/>
    </row>
    <row r="2398" spans="1:26">
      <c r="A2398" s="185" t="s">
        <v>3352</v>
      </c>
      <c r="B2398" s="185" t="s">
        <v>3353</v>
      </c>
      <c r="C2398" s="185" t="s">
        <v>2045</v>
      </c>
      <c r="D2398" s="185" t="s">
        <v>3354</v>
      </c>
      <c r="E2398" s="185">
        <v>23354001</v>
      </c>
      <c r="F2398" s="185" t="s">
        <v>484</v>
      </c>
      <c r="G2398" s="185" t="s">
        <v>3355</v>
      </c>
      <c r="H2398" s="185" t="s">
        <v>1628</v>
      </c>
      <c r="I2398" s="258" t="str">
        <f t="shared" si="112"/>
        <v>2</v>
      </c>
      <c r="J2398" s="221">
        <f t="shared" si="113"/>
        <v>-3955088</v>
      </c>
      <c r="K2398" s="258">
        <f t="shared" si="114"/>
        <v>9</v>
      </c>
      <c r="L2398" s="188">
        <v>0</v>
      </c>
      <c r="M2398" s="188">
        <v>3955088</v>
      </c>
      <c r="N2398" s="189">
        <v>860044821</v>
      </c>
      <c r="O2398" t="s">
        <v>3356</v>
      </c>
      <c r="P2398" s="187">
        <v>45189.466712963003</v>
      </c>
      <c r="Q2398" s="186">
        <v>13225</v>
      </c>
      <c r="R2398" s="185" t="s">
        <v>6</v>
      </c>
      <c r="S2398" s="185" t="s">
        <v>1570</v>
      </c>
      <c r="T2398"/>
      <c r="U2398" t="str">
        <f>IF($L2398&gt;0,VLOOKUP($E2398,Valida!$A$1:$G$270,6,FALSE),IF($M2398&gt;=0,VLOOKUP($E2398,Valida!$A$1:$G$270,7,FALSE)))</f>
        <v>(+/-) Ajustes por el incremento (disminución) de cuentas por pagar de origen comercial</v>
      </c>
      <c r="V2398" s="190" t="str">
        <f>VLOOKUP(E2398,Valida!$A$2:$K$271,4,FALSE)</f>
        <v>Trade and other payables</v>
      </c>
      <c r="W2398" s="185" t="s">
        <v>2048</v>
      </c>
      <c r="X2398" s="185"/>
      <c r="Y2398" s="185" t="s">
        <v>1789</v>
      </c>
      <c r="Z2398"/>
    </row>
    <row r="2399" spans="1:26">
      <c r="A2399" s="185" t="s">
        <v>3352</v>
      </c>
      <c r="B2399" s="185" t="s">
        <v>3353</v>
      </c>
      <c r="C2399" s="185" t="s">
        <v>2045</v>
      </c>
      <c r="D2399" s="185" t="s">
        <v>3354</v>
      </c>
      <c r="E2399" s="185">
        <v>51359501</v>
      </c>
      <c r="F2399" s="185" t="s">
        <v>1290</v>
      </c>
      <c r="G2399" s="185" t="s">
        <v>3357</v>
      </c>
      <c r="H2399" s="185" t="s">
        <v>1515</v>
      </c>
      <c r="I2399" s="258" t="str">
        <f t="shared" si="112"/>
        <v>5</v>
      </c>
      <c r="J2399" s="221">
        <f t="shared" si="113"/>
        <v>3955088</v>
      </c>
      <c r="K2399" s="258">
        <f t="shared" si="114"/>
        <v>9</v>
      </c>
      <c r="L2399" s="188">
        <v>3955088</v>
      </c>
      <c r="M2399" s="188">
        <v>0</v>
      </c>
      <c r="N2399" s="189">
        <v>860044821</v>
      </c>
      <c r="O2399" t="s">
        <v>3356</v>
      </c>
      <c r="P2399" s="187">
        <v>45189.466712963003</v>
      </c>
      <c r="Q2399" s="186">
        <v>13226</v>
      </c>
      <c r="R2399" s="185" t="s">
        <v>6</v>
      </c>
      <c r="S2399" s="185" t="s">
        <v>1570</v>
      </c>
      <c r="T2399"/>
      <c r="U2399" t="str">
        <f>IF($L2399&gt;0,VLOOKUP($E2399,Valida!$A$1:$G$270,6,FALSE),IF($M2399&gt;=0,VLOOKUP($E2399,Valida!$A$1:$G$270,7,FALSE)))</f>
        <v>(+/-) Ganancia (pérdida)</v>
      </c>
      <c r="V2399" s="190" t="str">
        <f>VLOOKUP(E2399,Valida!$A$2:$K$271,4,FALSE)</f>
        <v>P&amp;L</v>
      </c>
      <c r="W2399" s="185" t="s">
        <v>2048</v>
      </c>
      <c r="X2399" s="185"/>
      <c r="Y2399" s="185" t="s">
        <v>1789</v>
      </c>
      <c r="Z2399"/>
    </row>
    <row r="2400" spans="1:26">
      <c r="A2400" s="185" t="s">
        <v>3358</v>
      </c>
      <c r="B2400" s="185" t="s">
        <v>3359</v>
      </c>
      <c r="C2400" s="185" t="s">
        <v>2045</v>
      </c>
      <c r="D2400" s="185" t="s">
        <v>3360</v>
      </c>
      <c r="E2400" s="185">
        <v>23355007</v>
      </c>
      <c r="F2400" s="185" t="s">
        <v>1638</v>
      </c>
      <c r="G2400" s="185" t="s">
        <v>3361</v>
      </c>
      <c r="H2400" s="185" t="s">
        <v>1628</v>
      </c>
      <c r="I2400" s="258" t="str">
        <f t="shared" si="112"/>
        <v>2</v>
      </c>
      <c r="J2400" s="221">
        <f t="shared" si="113"/>
        <v>-47608.58</v>
      </c>
      <c r="K2400" s="258">
        <f t="shared" si="114"/>
        <v>9</v>
      </c>
      <c r="L2400" s="188">
        <v>0</v>
      </c>
      <c r="M2400" s="188">
        <v>47608.58</v>
      </c>
      <c r="N2400" s="189">
        <v>444444001</v>
      </c>
      <c r="O2400" t="s">
        <v>3362</v>
      </c>
      <c r="P2400" s="187">
        <v>45189.467997685198</v>
      </c>
      <c r="Q2400" s="186">
        <v>13227</v>
      </c>
      <c r="R2400" s="185"/>
      <c r="S2400" s="185" t="s">
        <v>1548</v>
      </c>
      <c r="T2400"/>
      <c r="U2400" t="str">
        <f>IF($L2400&gt;0,VLOOKUP($E2400,Valida!$A$1:$G$270,6,FALSE),IF($M2400&gt;=0,VLOOKUP($E2400,Valida!$A$1:$G$270,7,FALSE)))</f>
        <v>(+/-) Ajustes por el incremento (disminución) de cuentas por pagar de origen comercial</v>
      </c>
      <c r="V2400" s="190" t="str">
        <f>VLOOKUP(E2400,Valida!$A$2:$K$271,4,FALSE)</f>
        <v>Trade and other payables</v>
      </c>
      <c r="W2400" s="185"/>
      <c r="X2400" s="185"/>
      <c r="Y2400" s="185"/>
      <c r="Z2400"/>
    </row>
    <row r="2401" spans="1:26">
      <c r="A2401" s="185" t="s">
        <v>3358</v>
      </c>
      <c r="B2401" s="185" t="s">
        <v>3359</v>
      </c>
      <c r="C2401" s="185" t="s">
        <v>2045</v>
      </c>
      <c r="D2401" s="185" t="s">
        <v>3360</v>
      </c>
      <c r="E2401" s="185">
        <v>51350504</v>
      </c>
      <c r="F2401" s="185" t="s">
        <v>1638</v>
      </c>
      <c r="G2401" s="185" t="s">
        <v>3363</v>
      </c>
      <c r="H2401" s="185" t="s">
        <v>1515</v>
      </c>
      <c r="I2401" s="258" t="str">
        <f t="shared" si="112"/>
        <v>5</v>
      </c>
      <c r="J2401" s="221">
        <f t="shared" si="113"/>
        <v>47608.58</v>
      </c>
      <c r="K2401" s="258">
        <f t="shared" si="114"/>
        <v>9</v>
      </c>
      <c r="L2401" s="188">
        <v>47608.58</v>
      </c>
      <c r="M2401" s="188">
        <v>0</v>
      </c>
      <c r="N2401" s="189">
        <v>444444001</v>
      </c>
      <c r="O2401" t="s">
        <v>3362</v>
      </c>
      <c r="P2401" s="187">
        <v>45189.467997685198</v>
      </c>
      <c r="Q2401" s="186">
        <v>13228</v>
      </c>
      <c r="R2401" s="185"/>
      <c r="S2401" s="185" t="s">
        <v>1548</v>
      </c>
      <c r="T2401"/>
      <c r="U2401" t="str">
        <f>IF($L2401&gt;0,VLOOKUP($E2401,Valida!$A$1:$G$270,6,FALSE),IF($M2401&gt;=0,VLOOKUP($E2401,Valida!$A$1:$G$270,7,FALSE)))</f>
        <v>(+/-) Ganancia (pérdida)</v>
      </c>
      <c r="V2401" s="190" t="str">
        <f>VLOOKUP(E2401,Valida!$A$2:$K$271,4,FALSE)</f>
        <v>P&amp;L</v>
      </c>
      <c r="W2401" s="185"/>
      <c r="X2401" s="185"/>
      <c r="Y2401" s="185"/>
      <c r="Z2401"/>
    </row>
    <row r="2402" spans="1:26">
      <c r="A2402" s="185" t="s">
        <v>3364</v>
      </c>
      <c r="B2402" s="185" t="s">
        <v>3365</v>
      </c>
      <c r="C2402" s="185" t="s">
        <v>1792</v>
      </c>
      <c r="D2402" s="185" t="s">
        <v>3366</v>
      </c>
      <c r="E2402" s="185">
        <v>51502003</v>
      </c>
      <c r="F2402" s="185" t="s">
        <v>1747</v>
      </c>
      <c r="G2402" s="185" t="s">
        <v>3367</v>
      </c>
      <c r="H2402" s="185" t="s">
        <v>1515</v>
      </c>
      <c r="I2402" s="258" t="str">
        <f t="shared" si="112"/>
        <v>5</v>
      </c>
      <c r="J2402" s="221">
        <f t="shared" si="113"/>
        <v>266000</v>
      </c>
      <c r="K2402" s="258">
        <f t="shared" si="114"/>
        <v>9</v>
      </c>
      <c r="L2402" s="188">
        <v>266000</v>
      </c>
      <c r="M2402" s="188">
        <v>0</v>
      </c>
      <c r="N2402" s="189">
        <v>901636211</v>
      </c>
      <c r="O2402" t="s">
        <v>3368</v>
      </c>
      <c r="P2402" s="187">
        <v>45189.476944444403</v>
      </c>
      <c r="Q2402" s="186">
        <v>13229</v>
      </c>
      <c r="R2402" s="185" t="s">
        <v>1901</v>
      </c>
      <c r="S2402" s="185" t="s">
        <v>1612</v>
      </c>
      <c r="T2402"/>
      <c r="U2402" t="str">
        <f>IF($L2402&gt;0,VLOOKUP($E2402,Valida!$A$1:$G$270,6,FALSE),IF($M2402&gt;=0,VLOOKUP($E2402,Valida!$A$1:$G$270,7,FALSE)))</f>
        <v>(+/-) Ganancia (pérdida)</v>
      </c>
      <c r="V2402" s="190" t="str">
        <f>VLOOKUP(E2402,Valida!$A$2:$K$271,4,FALSE)</f>
        <v>P&amp;L</v>
      </c>
      <c r="W2402" s="185" t="s">
        <v>3316</v>
      </c>
      <c r="X2402" s="185"/>
      <c r="Y2402" s="185" t="s">
        <v>1789</v>
      </c>
      <c r="Z2402"/>
    </row>
    <row r="2403" spans="1:26">
      <c r="A2403" s="185" t="s">
        <v>3364</v>
      </c>
      <c r="B2403" s="185" t="s">
        <v>3365</v>
      </c>
      <c r="C2403" s="185" t="s">
        <v>1792</v>
      </c>
      <c r="D2403" s="185" t="s">
        <v>3366</v>
      </c>
      <c r="E2403" s="185">
        <v>24081002</v>
      </c>
      <c r="F2403" s="185" t="s">
        <v>1687</v>
      </c>
      <c r="G2403" s="185" t="s">
        <v>3367</v>
      </c>
      <c r="H2403" s="185" t="s">
        <v>1515</v>
      </c>
      <c r="I2403" s="258" t="str">
        <f t="shared" si="112"/>
        <v>2</v>
      </c>
      <c r="J2403" s="221">
        <f t="shared" si="113"/>
        <v>50540</v>
      </c>
      <c r="K2403" s="258">
        <f t="shared" si="114"/>
        <v>9</v>
      </c>
      <c r="L2403" s="188">
        <v>50540</v>
      </c>
      <c r="M2403" s="188">
        <v>0</v>
      </c>
      <c r="N2403" s="189">
        <v>901636211</v>
      </c>
      <c r="O2403" t="s">
        <v>3368</v>
      </c>
      <c r="P2403" s="187">
        <v>45189.476944444403</v>
      </c>
      <c r="Q2403" s="186">
        <v>13230</v>
      </c>
      <c r="R2403" s="185" t="s">
        <v>1901</v>
      </c>
      <c r="S2403" s="185" t="s">
        <v>1612</v>
      </c>
      <c r="T2403"/>
      <c r="U2403" t="str">
        <f>IF($L2403&gt;0,VLOOKUP($E2403,Valida!$A$1:$G$270,6,FALSE),IF($M2403&gt;=0,VLOOKUP($E2403,Valida!$A$1:$G$270,7,FALSE)))</f>
        <v>(+/-) Ajustes por el incremento (disminución) de cuentas por pagar de origen comercial</v>
      </c>
      <c r="V2403" s="190" t="str">
        <f>VLOOKUP(E2403,Valida!$A$2:$K$271,4,FALSE)</f>
        <v>Trade and other payables</v>
      </c>
      <c r="W2403" s="185" t="s">
        <v>3316</v>
      </c>
      <c r="X2403" s="185"/>
      <c r="Y2403" s="185" t="s">
        <v>1789</v>
      </c>
      <c r="Z2403"/>
    </row>
    <row r="2404" spans="1:26">
      <c r="A2404" s="185" t="s">
        <v>3364</v>
      </c>
      <c r="B2404" s="185" t="s">
        <v>3365</v>
      </c>
      <c r="C2404" s="185" t="s">
        <v>1792</v>
      </c>
      <c r="D2404" s="185" t="s">
        <v>3366</v>
      </c>
      <c r="E2404" s="185">
        <v>23359506</v>
      </c>
      <c r="F2404" s="185" t="s">
        <v>1642</v>
      </c>
      <c r="G2404" s="185" t="s">
        <v>3367</v>
      </c>
      <c r="H2404" s="185" t="s">
        <v>1628</v>
      </c>
      <c r="I2404" s="258" t="str">
        <f t="shared" si="112"/>
        <v>2</v>
      </c>
      <c r="J2404" s="221">
        <f t="shared" si="113"/>
        <v>-284710</v>
      </c>
      <c r="K2404" s="258">
        <f t="shared" si="114"/>
        <v>9</v>
      </c>
      <c r="L2404" s="188">
        <v>0</v>
      </c>
      <c r="M2404" s="188">
        <v>284710</v>
      </c>
      <c r="N2404" s="189">
        <v>901636211</v>
      </c>
      <c r="O2404" t="s">
        <v>3368</v>
      </c>
      <c r="P2404" s="187">
        <v>45189.476956018501</v>
      </c>
      <c r="Q2404" s="186">
        <v>13231</v>
      </c>
      <c r="R2404" s="185" t="s">
        <v>1901</v>
      </c>
      <c r="S2404" s="185" t="s">
        <v>1612</v>
      </c>
      <c r="T2404"/>
      <c r="U2404" t="str">
        <f>IF($L2404&gt;0,VLOOKUP($E2404,Valida!$A$1:$G$270,6,FALSE),IF($M2404&gt;=0,VLOOKUP($E2404,Valida!$A$1:$G$270,7,FALSE)))</f>
        <v>(+/-) Ajustes por el incremento (disminución) de cuentas por pagar de origen comercial</v>
      </c>
      <c r="V2404" s="190" t="str">
        <f>VLOOKUP(E2404,Valida!$A$2:$K$271,4,FALSE)</f>
        <v>Trade and other payables</v>
      </c>
      <c r="W2404" s="185" t="s">
        <v>3316</v>
      </c>
      <c r="X2404" s="185"/>
      <c r="Y2404" s="185" t="s">
        <v>1789</v>
      </c>
      <c r="Z2404"/>
    </row>
    <row r="2405" spans="1:26">
      <c r="A2405" s="185" t="s">
        <v>3364</v>
      </c>
      <c r="B2405" s="185" t="s">
        <v>3365</v>
      </c>
      <c r="C2405" s="185" t="s">
        <v>1792</v>
      </c>
      <c r="D2405" s="185" t="s">
        <v>3366</v>
      </c>
      <c r="E2405" s="185">
        <v>23651502</v>
      </c>
      <c r="F2405" s="185" t="s">
        <v>244</v>
      </c>
      <c r="G2405" s="185" t="s">
        <v>3367</v>
      </c>
      <c r="H2405" s="185" t="s">
        <v>1628</v>
      </c>
      <c r="I2405" s="258" t="str">
        <f t="shared" si="112"/>
        <v>2</v>
      </c>
      <c r="J2405" s="221">
        <f t="shared" si="113"/>
        <v>-29260</v>
      </c>
      <c r="K2405" s="258">
        <f t="shared" si="114"/>
        <v>9</v>
      </c>
      <c r="L2405" s="188">
        <v>0</v>
      </c>
      <c r="M2405" s="188">
        <v>29260</v>
      </c>
      <c r="N2405" s="189">
        <v>901636211</v>
      </c>
      <c r="O2405" t="s">
        <v>3368</v>
      </c>
      <c r="P2405" s="187">
        <v>45189.476956018501</v>
      </c>
      <c r="Q2405" s="186">
        <v>13232</v>
      </c>
      <c r="R2405" s="185" t="s">
        <v>1901</v>
      </c>
      <c r="S2405" s="185" t="s">
        <v>1612</v>
      </c>
      <c r="T2405"/>
      <c r="U2405" t="str">
        <f>IF($L2405&gt;0,VLOOKUP($E2405,Valida!$A$1:$G$270,6,FALSE),IF($M2405&gt;=0,VLOOKUP($E2405,Valida!$A$1:$G$270,7,FALSE)))</f>
        <v>(+/-) Ajustes por el incremento (disminución) de cuentas por pagar de origen comercial</v>
      </c>
      <c r="V2405" s="190" t="str">
        <f>VLOOKUP(E2405,Valida!$A$2:$K$271,4,FALSE)</f>
        <v>Trade and other payables</v>
      </c>
      <c r="W2405" s="185" t="s">
        <v>3316</v>
      </c>
      <c r="X2405" s="185"/>
      <c r="Y2405" s="185" t="s">
        <v>1789</v>
      </c>
      <c r="Z2405"/>
    </row>
    <row r="2406" spans="1:26">
      <c r="A2406" s="185" t="s">
        <v>3364</v>
      </c>
      <c r="B2406" s="185" t="s">
        <v>3365</v>
      </c>
      <c r="C2406" s="185" t="s">
        <v>1792</v>
      </c>
      <c r="D2406" s="185" t="s">
        <v>3366</v>
      </c>
      <c r="E2406" s="185">
        <v>23680503</v>
      </c>
      <c r="F2406" s="185" t="s">
        <v>665</v>
      </c>
      <c r="G2406" s="185" t="s">
        <v>3367</v>
      </c>
      <c r="H2406" s="185" t="s">
        <v>1628</v>
      </c>
      <c r="I2406" s="258" t="str">
        <f t="shared" si="112"/>
        <v>2</v>
      </c>
      <c r="J2406" s="221">
        <f t="shared" si="113"/>
        <v>-2570</v>
      </c>
      <c r="K2406" s="258">
        <f t="shared" si="114"/>
        <v>9</v>
      </c>
      <c r="L2406" s="188">
        <v>0</v>
      </c>
      <c r="M2406" s="188">
        <v>2570</v>
      </c>
      <c r="N2406" s="189">
        <v>901636211</v>
      </c>
      <c r="O2406" t="s">
        <v>3368</v>
      </c>
      <c r="P2406" s="187">
        <v>45189.476956018501</v>
      </c>
      <c r="Q2406" s="186">
        <v>13233</v>
      </c>
      <c r="R2406" s="185" t="s">
        <v>1901</v>
      </c>
      <c r="S2406" s="185" t="s">
        <v>1612</v>
      </c>
      <c r="T2406"/>
      <c r="U2406" t="str">
        <f>IF($L2406&gt;0,VLOOKUP($E2406,Valida!$A$1:$G$270,6,FALSE),IF($M2406&gt;=0,VLOOKUP($E2406,Valida!$A$1:$G$270,7,FALSE)))</f>
        <v>(+/-) Ajustes por el incremento (disminución) de cuentas por pagar de origen comercial</v>
      </c>
      <c r="V2406" s="190" t="str">
        <f>VLOOKUP(E2406,Valida!$A$2:$K$271,4,FALSE)</f>
        <v>Trade and other payables</v>
      </c>
      <c r="W2406" s="185" t="s">
        <v>3316</v>
      </c>
      <c r="X2406" s="185"/>
      <c r="Y2406" s="185" t="s">
        <v>1789</v>
      </c>
      <c r="Z2406"/>
    </row>
    <row r="2407" spans="1:26">
      <c r="A2407" s="185" t="s">
        <v>3369</v>
      </c>
      <c r="B2407" s="185" t="s">
        <v>3370</v>
      </c>
      <c r="C2407" s="185" t="s">
        <v>1792</v>
      </c>
      <c r="D2407" s="185" t="s">
        <v>3371</v>
      </c>
      <c r="E2407" s="185">
        <v>51201001</v>
      </c>
      <c r="F2407" s="185" t="s">
        <v>1189</v>
      </c>
      <c r="G2407" s="185" t="s">
        <v>3372</v>
      </c>
      <c r="H2407" s="185" t="s">
        <v>1515</v>
      </c>
      <c r="I2407" s="258" t="str">
        <f t="shared" si="112"/>
        <v>5</v>
      </c>
      <c r="J2407" s="221">
        <f t="shared" si="113"/>
        <v>12750000</v>
      </c>
      <c r="K2407" s="258">
        <f t="shared" si="114"/>
        <v>9</v>
      </c>
      <c r="L2407" s="188">
        <v>12750000</v>
      </c>
      <c r="M2407" s="188">
        <v>0</v>
      </c>
      <c r="N2407" s="189">
        <v>900471482</v>
      </c>
      <c r="O2407" t="s">
        <v>3373</v>
      </c>
      <c r="P2407" s="187">
        <v>45189.480173611097</v>
      </c>
      <c r="Q2407" s="186">
        <v>13234</v>
      </c>
      <c r="R2407" s="185" t="s">
        <v>6</v>
      </c>
      <c r="S2407" s="185" t="s">
        <v>1600</v>
      </c>
      <c r="T2407"/>
      <c r="U2407" t="str">
        <f>IF($L2407&gt;0,VLOOKUP($E2407,Valida!$A$1:$G$270,6,FALSE),IF($M2407&gt;=0,VLOOKUP($E2407,Valida!$A$1:$G$270,7,FALSE)))</f>
        <v>(+/-) Ganancia (pérdida)</v>
      </c>
      <c r="V2407" s="190" t="str">
        <f>VLOOKUP(E2407,Valida!$A$2:$K$271,4,FALSE)</f>
        <v>P&amp;L</v>
      </c>
      <c r="W2407" s="185" t="s">
        <v>1853</v>
      </c>
      <c r="X2407" s="185" t="s">
        <v>1854</v>
      </c>
      <c r="Y2407" s="185" t="s">
        <v>1789</v>
      </c>
      <c r="Z2407"/>
    </row>
    <row r="2408" spans="1:26">
      <c r="A2408" s="185" t="s">
        <v>3369</v>
      </c>
      <c r="B2408" s="185" t="s">
        <v>3370</v>
      </c>
      <c r="C2408" s="185" t="s">
        <v>1792</v>
      </c>
      <c r="D2408" s="185" t="s">
        <v>3371</v>
      </c>
      <c r="E2408" s="185">
        <v>24081002</v>
      </c>
      <c r="F2408" s="185" t="s">
        <v>1687</v>
      </c>
      <c r="G2408" s="185" t="s">
        <v>3372</v>
      </c>
      <c r="H2408" s="185" t="s">
        <v>1515</v>
      </c>
      <c r="I2408" s="258" t="str">
        <f t="shared" si="112"/>
        <v>2</v>
      </c>
      <c r="J2408" s="221">
        <f t="shared" si="113"/>
        <v>2422500</v>
      </c>
      <c r="K2408" s="258">
        <f t="shared" si="114"/>
        <v>9</v>
      </c>
      <c r="L2408" s="188">
        <v>2422500</v>
      </c>
      <c r="M2408" s="188">
        <v>0</v>
      </c>
      <c r="N2408" s="189">
        <v>900471482</v>
      </c>
      <c r="O2408" t="s">
        <v>3373</v>
      </c>
      <c r="P2408" s="187">
        <v>45189.480173611097</v>
      </c>
      <c r="Q2408" s="186">
        <v>13235</v>
      </c>
      <c r="R2408" s="185" t="s">
        <v>6</v>
      </c>
      <c r="S2408" s="185" t="s">
        <v>1600</v>
      </c>
      <c r="T2408"/>
      <c r="U2408" t="str">
        <f>IF($L2408&gt;0,VLOOKUP($E2408,Valida!$A$1:$G$270,6,FALSE),IF($M2408&gt;=0,VLOOKUP($E2408,Valida!$A$1:$G$270,7,FALSE)))</f>
        <v>(+/-) Ajustes por el incremento (disminución) de cuentas por pagar de origen comercial</v>
      </c>
      <c r="V2408" s="190" t="str">
        <f>VLOOKUP(E2408,Valida!$A$2:$K$271,4,FALSE)</f>
        <v>Trade and other payables</v>
      </c>
      <c r="W2408" s="185" t="s">
        <v>1853</v>
      </c>
      <c r="X2408" s="185" t="s">
        <v>1854</v>
      </c>
      <c r="Y2408" s="185" t="s">
        <v>1789</v>
      </c>
      <c r="Z2408"/>
    </row>
    <row r="2409" spans="1:26">
      <c r="A2409" s="185" t="s">
        <v>3369</v>
      </c>
      <c r="B2409" s="185" t="s">
        <v>3370</v>
      </c>
      <c r="C2409" s="185" t="s">
        <v>1792</v>
      </c>
      <c r="D2409" s="185" t="s">
        <v>3371</v>
      </c>
      <c r="E2409" s="185">
        <v>23653001</v>
      </c>
      <c r="F2409" s="185" t="s">
        <v>611</v>
      </c>
      <c r="G2409" s="185" t="s">
        <v>3372</v>
      </c>
      <c r="H2409" s="185" t="s">
        <v>1628</v>
      </c>
      <c r="I2409" s="258" t="str">
        <f t="shared" si="112"/>
        <v>2</v>
      </c>
      <c r="J2409" s="221">
        <f t="shared" si="113"/>
        <v>-446250</v>
      </c>
      <c r="K2409" s="258">
        <f t="shared" si="114"/>
        <v>9</v>
      </c>
      <c r="L2409" s="188">
        <v>0</v>
      </c>
      <c r="M2409" s="188">
        <v>446250</v>
      </c>
      <c r="N2409" s="189">
        <v>900471482</v>
      </c>
      <c r="O2409" t="s">
        <v>3373</v>
      </c>
      <c r="P2409" s="187">
        <v>45189.480173611097</v>
      </c>
      <c r="Q2409" s="186">
        <v>13236</v>
      </c>
      <c r="R2409" s="185" t="s">
        <v>6</v>
      </c>
      <c r="S2409" s="185" t="s">
        <v>1600</v>
      </c>
      <c r="T2409"/>
      <c r="U2409" t="str">
        <f>IF($L2409&gt;0,VLOOKUP($E2409,Valida!$A$1:$G$270,6,FALSE),IF($M2409&gt;=0,VLOOKUP($E2409,Valida!$A$1:$G$270,7,FALSE)))</f>
        <v>(+/-) Ajustes por el incremento (disminución) de cuentas por pagar de origen comercial</v>
      </c>
      <c r="V2409" s="190" t="str">
        <f>VLOOKUP(E2409,Valida!$A$2:$K$271,4,FALSE)</f>
        <v>Trade and other payables</v>
      </c>
      <c r="W2409" s="185" t="s">
        <v>1853</v>
      </c>
      <c r="X2409" s="185" t="s">
        <v>1854</v>
      </c>
      <c r="Y2409" s="185" t="s">
        <v>1789</v>
      </c>
      <c r="Z2409"/>
    </row>
    <row r="2410" spans="1:26">
      <c r="A2410" s="185" t="s">
        <v>3369</v>
      </c>
      <c r="B2410" s="185" t="s">
        <v>3370</v>
      </c>
      <c r="C2410" s="185" t="s">
        <v>1792</v>
      </c>
      <c r="D2410" s="185" t="s">
        <v>3371</v>
      </c>
      <c r="E2410" s="185">
        <v>23680503</v>
      </c>
      <c r="F2410" s="185" t="s">
        <v>665</v>
      </c>
      <c r="G2410" s="185" t="s">
        <v>3372</v>
      </c>
      <c r="H2410" s="185" t="s">
        <v>1628</v>
      </c>
      <c r="I2410" s="258" t="str">
        <f t="shared" si="112"/>
        <v>2</v>
      </c>
      <c r="J2410" s="221">
        <f t="shared" si="113"/>
        <v>-123165</v>
      </c>
      <c r="K2410" s="258">
        <f t="shared" si="114"/>
        <v>9</v>
      </c>
      <c r="L2410" s="188">
        <v>0</v>
      </c>
      <c r="M2410" s="188">
        <v>123165</v>
      </c>
      <c r="N2410" s="189">
        <v>900471482</v>
      </c>
      <c r="O2410" t="s">
        <v>3373</v>
      </c>
      <c r="P2410" s="187">
        <v>45189.480173611097</v>
      </c>
      <c r="Q2410" s="186">
        <v>13237</v>
      </c>
      <c r="R2410" s="185" t="s">
        <v>6</v>
      </c>
      <c r="S2410" s="185" t="s">
        <v>1600</v>
      </c>
      <c r="T2410"/>
      <c r="U2410" t="str">
        <f>IF($L2410&gt;0,VLOOKUP($E2410,Valida!$A$1:$G$270,6,FALSE),IF($M2410&gt;=0,VLOOKUP($E2410,Valida!$A$1:$G$270,7,FALSE)))</f>
        <v>(+/-) Ajustes por el incremento (disminución) de cuentas por pagar de origen comercial</v>
      </c>
      <c r="V2410" s="190" t="str">
        <f>VLOOKUP(E2410,Valida!$A$2:$K$271,4,FALSE)</f>
        <v>Trade and other payables</v>
      </c>
      <c r="W2410" s="185" t="s">
        <v>1853</v>
      </c>
      <c r="X2410" s="185" t="s">
        <v>1854</v>
      </c>
      <c r="Y2410" s="185" t="s">
        <v>1789</v>
      </c>
      <c r="Z2410"/>
    </row>
    <row r="2411" spans="1:26">
      <c r="A2411" s="185" t="s">
        <v>3369</v>
      </c>
      <c r="B2411" s="185" t="s">
        <v>3370</v>
      </c>
      <c r="C2411" s="185" t="s">
        <v>1792</v>
      </c>
      <c r="D2411" s="185" t="s">
        <v>3371</v>
      </c>
      <c r="E2411" s="185">
        <v>23354001</v>
      </c>
      <c r="F2411" s="185" t="s">
        <v>484</v>
      </c>
      <c r="G2411" s="185" t="s">
        <v>3372</v>
      </c>
      <c r="H2411" s="185" t="s">
        <v>1628</v>
      </c>
      <c r="I2411" s="258" t="str">
        <f t="shared" si="112"/>
        <v>2</v>
      </c>
      <c r="J2411" s="221">
        <f t="shared" si="113"/>
        <v>-14603085</v>
      </c>
      <c r="K2411" s="258">
        <f t="shared" si="114"/>
        <v>9</v>
      </c>
      <c r="L2411" s="188">
        <v>0</v>
      </c>
      <c r="M2411" s="188">
        <v>14603085</v>
      </c>
      <c r="N2411" s="189">
        <v>900471482</v>
      </c>
      <c r="O2411" t="s">
        <v>3373</v>
      </c>
      <c r="P2411" s="187">
        <v>45189.480173611097</v>
      </c>
      <c r="Q2411" s="186">
        <v>13238</v>
      </c>
      <c r="R2411" s="185" t="s">
        <v>6</v>
      </c>
      <c r="S2411" s="185" t="s">
        <v>1600</v>
      </c>
      <c r="T2411"/>
      <c r="U2411" t="str">
        <f>IF($L2411&gt;0,VLOOKUP($E2411,Valida!$A$1:$G$270,6,FALSE),IF($M2411&gt;=0,VLOOKUP($E2411,Valida!$A$1:$G$270,7,FALSE)))</f>
        <v>(+/-) Ajustes por el incremento (disminución) de cuentas por pagar de origen comercial</v>
      </c>
      <c r="V2411" s="190" t="str">
        <f>VLOOKUP(E2411,Valida!$A$2:$K$271,4,FALSE)</f>
        <v>Trade and other payables</v>
      </c>
      <c r="W2411" s="185" t="s">
        <v>1853</v>
      </c>
      <c r="X2411" s="185" t="s">
        <v>1854</v>
      </c>
      <c r="Y2411" s="185" t="s">
        <v>1789</v>
      </c>
      <c r="Z2411"/>
    </row>
    <row r="2412" spans="1:26">
      <c r="A2412" s="185" t="s">
        <v>3369</v>
      </c>
      <c r="B2412" s="185" t="s">
        <v>3374</v>
      </c>
      <c r="C2412" s="185" t="s">
        <v>1792</v>
      </c>
      <c r="D2412" s="185" t="s">
        <v>2347</v>
      </c>
      <c r="E2412" s="185">
        <v>51700503</v>
      </c>
      <c r="F2412" s="185" t="s">
        <v>1397</v>
      </c>
      <c r="G2412" s="185" t="s">
        <v>1818</v>
      </c>
      <c r="H2412" s="185" t="s">
        <v>1515</v>
      </c>
      <c r="I2412" s="258" t="str">
        <f t="shared" si="112"/>
        <v>5</v>
      </c>
      <c r="J2412" s="221">
        <f t="shared" si="113"/>
        <v>330000</v>
      </c>
      <c r="K2412" s="258">
        <f t="shared" si="114"/>
        <v>9</v>
      </c>
      <c r="L2412" s="188">
        <v>330000</v>
      </c>
      <c r="M2412" s="188">
        <v>0</v>
      </c>
      <c r="N2412" s="189">
        <v>800042928</v>
      </c>
      <c r="O2412" t="s">
        <v>3375</v>
      </c>
      <c r="P2412" s="187">
        <v>45189.480763888903</v>
      </c>
      <c r="Q2412" s="186">
        <v>13239</v>
      </c>
      <c r="R2412" s="185" t="s">
        <v>6</v>
      </c>
      <c r="S2412" s="185" t="s">
        <v>1554</v>
      </c>
      <c r="T2412"/>
      <c r="U2412" t="str">
        <f>IF($L2412&gt;0,VLOOKUP($E2412,Valida!$A$1:$G$270,6,FALSE),IF($M2412&gt;=0,VLOOKUP($E2412,Valida!$A$1:$G$270,7,FALSE)))</f>
        <v>(+/-) Ganancia (pérdida)</v>
      </c>
      <c r="V2412" s="190" t="str">
        <f>VLOOKUP(E2412,Valida!$A$2:$K$271,4,FALSE)</f>
        <v>P&amp;L</v>
      </c>
      <c r="W2412" s="185" t="s">
        <v>1820</v>
      </c>
      <c r="X2412" s="185" t="s">
        <v>1821</v>
      </c>
      <c r="Y2412" s="185" t="s">
        <v>1789</v>
      </c>
      <c r="Z2412"/>
    </row>
    <row r="2413" spans="1:26">
      <c r="A2413" s="185" t="s">
        <v>3369</v>
      </c>
      <c r="B2413" s="185" t="s">
        <v>3374</v>
      </c>
      <c r="C2413" s="185" t="s">
        <v>1792</v>
      </c>
      <c r="D2413" s="185" t="s">
        <v>2347</v>
      </c>
      <c r="E2413" s="185">
        <v>23359504</v>
      </c>
      <c r="F2413" s="185" t="s">
        <v>553</v>
      </c>
      <c r="G2413" s="185" t="s">
        <v>1818</v>
      </c>
      <c r="H2413" s="185" t="s">
        <v>1628</v>
      </c>
      <c r="I2413" s="258" t="str">
        <f t="shared" si="112"/>
        <v>2</v>
      </c>
      <c r="J2413" s="221">
        <f t="shared" si="113"/>
        <v>-330000</v>
      </c>
      <c r="K2413" s="258">
        <f t="shared" si="114"/>
        <v>9</v>
      </c>
      <c r="L2413" s="188">
        <v>0</v>
      </c>
      <c r="M2413" s="188">
        <v>330000</v>
      </c>
      <c r="N2413" s="189">
        <v>800042928</v>
      </c>
      <c r="O2413" t="s">
        <v>3375</v>
      </c>
      <c r="P2413" s="187">
        <v>45189.480763888903</v>
      </c>
      <c r="Q2413" s="186">
        <v>13240</v>
      </c>
      <c r="R2413" s="185" t="s">
        <v>6</v>
      </c>
      <c r="S2413" s="185" t="s">
        <v>1554</v>
      </c>
      <c r="T2413"/>
      <c r="U2413" t="str">
        <f>IF($L2413&gt;0,VLOOKUP($E2413,Valida!$A$1:$G$270,6,FALSE),IF($M2413&gt;=0,VLOOKUP($E2413,Valida!$A$1:$G$270,7,FALSE)))</f>
        <v>(+/-) Ajustes por el incremento (disminución) de cuentas por pagar de origen comercial</v>
      </c>
      <c r="V2413" s="190" t="str">
        <f>VLOOKUP(E2413,Valida!$A$2:$K$271,4,FALSE)</f>
        <v>Trade and other payables</v>
      </c>
      <c r="W2413" s="185" t="s">
        <v>1820</v>
      </c>
      <c r="X2413" s="185" t="s">
        <v>1821</v>
      </c>
      <c r="Y2413" s="185" t="s">
        <v>1789</v>
      </c>
      <c r="Z2413"/>
    </row>
    <row r="2414" spans="1:26">
      <c r="A2414" s="185" t="s">
        <v>3369</v>
      </c>
      <c r="B2414" s="185" t="s">
        <v>3376</v>
      </c>
      <c r="C2414" s="185" t="s">
        <v>1792</v>
      </c>
      <c r="D2414" s="185" t="s">
        <v>2350</v>
      </c>
      <c r="E2414" s="185">
        <v>51059501</v>
      </c>
      <c r="F2414" s="185" t="s">
        <v>1129</v>
      </c>
      <c r="G2414" s="185" t="s">
        <v>2119</v>
      </c>
      <c r="H2414" s="185" t="s">
        <v>1515</v>
      </c>
      <c r="I2414" s="258" t="str">
        <f t="shared" si="112"/>
        <v>5</v>
      </c>
      <c r="J2414" s="221">
        <f t="shared" si="113"/>
        <v>58500</v>
      </c>
      <c r="K2414" s="258">
        <f t="shared" si="114"/>
        <v>9</v>
      </c>
      <c r="L2414" s="188">
        <v>58500</v>
      </c>
      <c r="M2414" s="188">
        <v>0</v>
      </c>
      <c r="N2414" s="189">
        <v>900170994</v>
      </c>
      <c r="O2414" t="s">
        <v>3377</v>
      </c>
      <c r="P2414" s="187">
        <v>45189.482592592598</v>
      </c>
      <c r="Q2414" s="186">
        <v>13241</v>
      </c>
      <c r="R2414" s="185" t="s">
        <v>1841</v>
      </c>
      <c r="S2414" s="185" t="s">
        <v>1592</v>
      </c>
      <c r="T2414"/>
      <c r="U2414" t="str">
        <f>IF($L2414&gt;0,VLOOKUP($E2414,Valida!$A$1:$G$270,6,FALSE),IF($M2414&gt;=0,VLOOKUP($E2414,Valida!$A$1:$G$270,7,FALSE)))</f>
        <v>(+/-) Ganancia (pérdida)</v>
      </c>
      <c r="V2414" s="190" t="str">
        <f>VLOOKUP(E2414,Valida!$A$2:$K$271,4,FALSE)</f>
        <v>P&amp;L</v>
      </c>
      <c r="W2414" s="185" t="s">
        <v>2030</v>
      </c>
      <c r="X2414" s="185" t="s">
        <v>2031</v>
      </c>
      <c r="Y2414" s="185" t="s">
        <v>1789</v>
      </c>
      <c r="Z2414"/>
    </row>
    <row r="2415" spans="1:26">
      <c r="A2415" s="185" t="s">
        <v>3369</v>
      </c>
      <c r="B2415" s="185" t="s">
        <v>3376</v>
      </c>
      <c r="C2415" s="185" t="s">
        <v>1792</v>
      </c>
      <c r="D2415" s="185" t="s">
        <v>2350</v>
      </c>
      <c r="E2415" s="185">
        <v>23352503</v>
      </c>
      <c r="F2415" s="185" t="s">
        <v>470</v>
      </c>
      <c r="G2415" s="185" t="s">
        <v>2119</v>
      </c>
      <c r="H2415" s="185" t="s">
        <v>1628</v>
      </c>
      <c r="I2415" s="258" t="str">
        <f t="shared" si="112"/>
        <v>2</v>
      </c>
      <c r="J2415" s="221">
        <f t="shared" si="113"/>
        <v>-58500</v>
      </c>
      <c r="K2415" s="258">
        <f t="shared" si="114"/>
        <v>9</v>
      </c>
      <c r="L2415" s="188">
        <v>0</v>
      </c>
      <c r="M2415" s="188">
        <v>58500</v>
      </c>
      <c r="N2415" s="189">
        <v>900170994</v>
      </c>
      <c r="O2415" t="s">
        <v>3377</v>
      </c>
      <c r="P2415" s="187">
        <v>45189.482592592598</v>
      </c>
      <c r="Q2415" s="186">
        <v>13242</v>
      </c>
      <c r="R2415" s="185" t="s">
        <v>1841</v>
      </c>
      <c r="S2415" s="185" t="s">
        <v>1592</v>
      </c>
      <c r="T2415"/>
      <c r="U2415" t="str">
        <f>IF($L2415&gt;0,VLOOKUP($E2415,Valida!$A$1:$G$270,6,FALSE),IF($M2415&gt;=0,VLOOKUP($E2415,Valida!$A$1:$G$270,7,FALSE)))</f>
        <v>(+/-) Ajustes por el incremento (disminución) de cuentas por pagar de origen comercial</v>
      </c>
      <c r="V2415" s="190" t="str">
        <f>VLOOKUP(E2415,Valida!$A$2:$K$271,4,FALSE)</f>
        <v>Trade and other payables</v>
      </c>
      <c r="W2415" s="185" t="s">
        <v>2030</v>
      </c>
      <c r="X2415" s="185" t="s">
        <v>2031</v>
      </c>
      <c r="Y2415" s="185" t="s">
        <v>1789</v>
      </c>
      <c r="Z2415"/>
    </row>
    <row r="2416" spans="1:26">
      <c r="A2416" s="185" t="s">
        <v>3378</v>
      </c>
      <c r="B2416" s="185" t="s">
        <v>3379</v>
      </c>
      <c r="C2416" s="185" t="s">
        <v>1792</v>
      </c>
      <c r="D2416" s="185" t="s">
        <v>2353</v>
      </c>
      <c r="E2416" s="185">
        <v>51350501</v>
      </c>
      <c r="F2416" s="185" t="s">
        <v>1256</v>
      </c>
      <c r="G2416" s="185" t="s">
        <v>1794</v>
      </c>
      <c r="H2416" s="185" t="s">
        <v>1515</v>
      </c>
      <c r="I2416" s="258" t="str">
        <f t="shared" si="112"/>
        <v>5</v>
      </c>
      <c r="J2416" s="221">
        <f t="shared" si="113"/>
        <v>1285970</v>
      </c>
      <c r="K2416" s="258">
        <f t="shared" si="114"/>
        <v>9</v>
      </c>
      <c r="L2416" s="188">
        <v>1285970</v>
      </c>
      <c r="M2416" s="188">
        <v>0</v>
      </c>
      <c r="N2416" s="189">
        <v>900736537</v>
      </c>
      <c r="O2416" t="s">
        <v>3380</v>
      </c>
      <c r="P2416" s="187">
        <v>45190.433495370402</v>
      </c>
      <c r="Q2416" s="186">
        <v>13243</v>
      </c>
      <c r="R2416" s="185" t="s">
        <v>1814</v>
      </c>
      <c r="S2416" s="185" t="s">
        <v>1602</v>
      </c>
      <c r="T2416"/>
      <c r="U2416" t="str">
        <f>IF($L2416&gt;0,VLOOKUP($E2416,Valida!$A$1:$G$270,6,FALSE),IF($M2416&gt;=0,VLOOKUP($E2416,Valida!$A$1:$G$270,7,FALSE)))</f>
        <v>(+/-) Ganancia (pérdida)</v>
      </c>
      <c r="V2416" s="190" t="str">
        <f>VLOOKUP(E2416,Valida!$A$2:$K$271,4,FALSE)</f>
        <v>P&amp;L</v>
      </c>
      <c r="W2416" s="185" t="s">
        <v>2985</v>
      </c>
      <c r="X2416" s="185" t="s">
        <v>2986</v>
      </c>
      <c r="Y2416" s="185" t="s">
        <v>1789</v>
      </c>
      <c r="Z2416"/>
    </row>
    <row r="2417" spans="1:26">
      <c r="A2417" s="185" t="s">
        <v>3378</v>
      </c>
      <c r="B2417" s="185" t="s">
        <v>3379</v>
      </c>
      <c r="C2417" s="185" t="s">
        <v>1792</v>
      </c>
      <c r="D2417" s="185" t="s">
        <v>2353</v>
      </c>
      <c r="E2417" s="185">
        <v>51350501</v>
      </c>
      <c r="F2417" s="185" t="s">
        <v>1256</v>
      </c>
      <c r="G2417" s="185" t="s">
        <v>1794</v>
      </c>
      <c r="H2417" s="185" t="s">
        <v>1515</v>
      </c>
      <c r="I2417" s="258" t="str">
        <f t="shared" si="112"/>
        <v>5</v>
      </c>
      <c r="J2417" s="221">
        <f t="shared" si="113"/>
        <v>128597</v>
      </c>
      <c r="K2417" s="258">
        <f t="shared" si="114"/>
        <v>9</v>
      </c>
      <c r="L2417" s="188">
        <v>128597</v>
      </c>
      <c r="M2417" s="188">
        <v>0</v>
      </c>
      <c r="N2417" s="189">
        <v>900736537</v>
      </c>
      <c r="O2417" t="s">
        <v>3380</v>
      </c>
      <c r="P2417" s="187">
        <v>45190.433495370402</v>
      </c>
      <c r="Q2417" s="186">
        <v>13244</v>
      </c>
      <c r="R2417" s="185" t="s">
        <v>1814</v>
      </c>
      <c r="S2417" s="185" t="s">
        <v>1602</v>
      </c>
      <c r="T2417"/>
      <c r="U2417" t="str">
        <f>IF($L2417&gt;0,VLOOKUP($E2417,Valida!$A$1:$G$270,6,FALSE),IF($M2417&gt;=0,VLOOKUP($E2417,Valida!$A$1:$G$270,7,FALSE)))</f>
        <v>(+/-) Ganancia (pérdida)</v>
      </c>
      <c r="V2417" s="190" t="str">
        <f>VLOOKUP(E2417,Valida!$A$2:$K$271,4,FALSE)</f>
        <v>P&amp;L</v>
      </c>
      <c r="W2417" s="185" t="s">
        <v>2985</v>
      </c>
      <c r="X2417" s="185" t="s">
        <v>2986</v>
      </c>
      <c r="Y2417" s="185" t="s">
        <v>1789</v>
      </c>
      <c r="Z2417"/>
    </row>
    <row r="2418" spans="1:26">
      <c r="A2418" s="185" t="s">
        <v>3378</v>
      </c>
      <c r="B2418" s="185" t="s">
        <v>3379</v>
      </c>
      <c r="C2418" s="185" t="s">
        <v>1792</v>
      </c>
      <c r="D2418" s="185" t="s">
        <v>2353</v>
      </c>
      <c r="E2418" s="185">
        <v>24081002</v>
      </c>
      <c r="F2418" s="185" t="s">
        <v>1687</v>
      </c>
      <c r="G2418" s="185" t="s">
        <v>1794</v>
      </c>
      <c r="H2418" s="185" t="s">
        <v>1515</v>
      </c>
      <c r="I2418" s="258" t="str">
        <f t="shared" si="112"/>
        <v>2</v>
      </c>
      <c r="J2418" s="221">
        <f t="shared" si="113"/>
        <v>24433</v>
      </c>
      <c r="K2418" s="258">
        <f t="shared" si="114"/>
        <v>9</v>
      </c>
      <c r="L2418" s="188">
        <v>24433</v>
      </c>
      <c r="M2418" s="188">
        <v>0</v>
      </c>
      <c r="N2418" s="189">
        <v>900736537</v>
      </c>
      <c r="O2418" t="s">
        <v>3380</v>
      </c>
      <c r="P2418" s="187">
        <v>45190.433495370402</v>
      </c>
      <c r="Q2418" s="186">
        <v>13245</v>
      </c>
      <c r="R2418" s="185" t="s">
        <v>1814</v>
      </c>
      <c r="S2418" s="185" t="s">
        <v>1602</v>
      </c>
      <c r="T2418"/>
      <c r="U2418" t="str">
        <f>IF($L2418&gt;0,VLOOKUP($E2418,Valida!$A$1:$G$270,6,FALSE),IF($M2418&gt;=0,VLOOKUP($E2418,Valida!$A$1:$G$270,7,FALSE)))</f>
        <v>(+/-) Ajustes por el incremento (disminución) de cuentas por pagar de origen comercial</v>
      </c>
      <c r="V2418" s="190" t="str">
        <f>VLOOKUP(E2418,Valida!$A$2:$K$271,4,FALSE)</f>
        <v>Trade and other payables</v>
      </c>
      <c r="W2418" s="185" t="s">
        <v>2985</v>
      </c>
      <c r="X2418" s="185" t="s">
        <v>2986</v>
      </c>
      <c r="Y2418" s="185" t="s">
        <v>1789</v>
      </c>
      <c r="Z2418"/>
    </row>
    <row r="2419" spans="1:26">
      <c r="A2419" s="185" t="s">
        <v>3378</v>
      </c>
      <c r="B2419" s="185" t="s">
        <v>3379</v>
      </c>
      <c r="C2419" s="185" t="s">
        <v>1792</v>
      </c>
      <c r="D2419" s="185" t="s">
        <v>2353</v>
      </c>
      <c r="E2419" s="185">
        <v>23355004</v>
      </c>
      <c r="F2419" s="185" t="s">
        <v>513</v>
      </c>
      <c r="G2419" s="185" t="s">
        <v>1794</v>
      </c>
      <c r="H2419" s="185" t="s">
        <v>1628</v>
      </c>
      <c r="I2419" s="258" t="str">
        <f t="shared" si="112"/>
        <v>2</v>
      </c>
      <c r="J2419" s="221">
        <f t="shared" si="113"/>
        <v>-1439000</v>
      </c>
      <c r="K2419" s="258">
        <f t="shared" si="114"/>
        <v>9</v>
      </c>
      <c r="L2419" s="188">
        <v>0</v>
      </c>
      <c r="M2419" s="188">
        <v>1439000</v>
      </c>
      <c r="N2419" s="189">
        <v>900736537</v>
      </c>
      <c r="O2419" t="s">
        <v>3380</v>
      </c>
      <c r="P2419" s="187">
        <v>45190.433495370402</v>
      </c>
      <c r="Q2419" s="186">
        <v>13246</v>
      </c>
      <c r="R2419" s="185" t="s">
        <v>1814</v>
      </c>
      <c r="S2419" s="185" t="s">
        <v>1602</v>
      </c>
      <c r="T2419"/>
      <c r="U2419" t="str">
        <f>IF($L2419&gt;0,VLOOKUP($E2419,Valida!$A$1:$G$270,6,FALSE),IF($M2419&gt;=0,VLOOKUP($E2419,Valida!$A$1:$G$270,7,FALSE)))</f>
        <v>(+/-) Ajustes por el incremento (disminución) de cuentas por pagar de origen comercial</v>
      </c>
      <c r="V2419" s="190" t="str">
        <f>VLOOKUP(E2419,Valida!$A$2:$K$271,4,FALSE)</f>
        <v>Trade and other payables</v>
      </c>
      <c r="W2419" s="185" t="s">
        <v>2985</v>
      </c>
      <c r="X2419" s="185" t="s">
        <v>2986</v>
      </c>
      <c r="Y2419" s="185" t="s">
        <v>1789</v>
      </c>
      <c r="Z2419"/>
    </row>
    <row r="2420" spans="1:26">
      <c r="A2420" s="185" t="s">
        <v>3378</v>
      </c>
      <c r="B2420" s="185" t="s">
        <v>3381</v>
      </c>
      <c r="C2420" s="185" t="s">
        <v>1792</v>
      </c>
      <c r="D2420" s="185" t="s">
        <v>2357</v>
      </c>
      <c r="E2420" s="185">
        <v>51352002</v>
      </c>
      <c r="F2420" s="185" t="s">
        <v>1270</v>
      </c>
      <c r="G2420" s="185" t="s">
        <v>1825</v>
      </c>
      <c r="H2420" s="185" t="s">
        <v>1515</v>
      </c>
      <c r="I2420" s="258" t="str">
        <f t="shared" si="112"/>
        <v>5</v>
      </c>
      <c r="J2420" s="221">
        <f t="shared" si="113"/>
        <v>7519153</v>
      </c>
      <c r="K2420" s="258">
        <f t="shared" si="114"/>
        <v>9</v>
      </c>
      <c r="L2420" s="188">
        <v>7519153</v>
      </c>
      <c r="M2420" s="188">
        <v>0</v>
      </c>
      <c r="N2420" s="189">
        <v>800153993</v>
      </c>
      <c r="O2420" t="s">
        <v>3382</v>
      </c>
      <c r="P2420" s="187">
        <v>45190.434988425899</v>
      </c>
      <c r="Q2420" s="186">
        <v>13247</v>
      </c>
      <c r="R2420" s="185" t="s">
        <v>1814</v>
      </c>
      <c r="S2420" s="185" t="s">
        <v>1556</v>
      </c>
      <c r="T2420"/>
      <c r="U2420" t="str">
        <f>IF($L2420&gt;0,VLOOKUP($E2420,Valida!$A$1:$G$270,6,FALSE),IF($M2420&gt;=0,VLOOKUP($E2420,Valida!$A$1:$G$270,7,FALSE)))</f>
        <v>(+/-) Ganancia (pérdida)</v>
      </c>
      <c r="V2420" s="190" t="str">
        <f>VLOOKUP(E2420,Valida!$A$2:$K$271,4,FALSE)</f>
        <v>P&amp;L</v>
      </c>
      <c r="W2420" s="185" t="s">
        <v>1815</v>
      </c>
      <c r="X2420" s="185"/>
      <c r="Y2420" s="185" t="s">
        <v>1789</v>
      </c>
      <c r="Z2420"/>
    </row>
    <row r="2421" spans="1:26">
      <c r="A2421" s="185" t="s">
        <v>3378</v>
      </c>
      <c r="B2421" s="185" t="s">
        <v>3381</v>
      </c>
      <c r="C2421" s="185" t="s">
        <v>1792</v>
      </c>
      <c r="D2421" s="185" t="s">
        <v>2357</v>
      </c>
      <c r="E2421" s="185">
        <v>24081002</v>
      </c>
      <c r="F2421" s="185" t="s">
        <v>1687</v>
      </c>
      <c r="G2421" s="185" t="s">
        <v>1830</v>
      </c>
      <c r="H2421" s="185" t="s">
        <v>1515</v>
      </c>
      <c r="I2421" s="258" t="str">
        <f t="shared" si="112"/>
        <v>2</v>
      </c>
      <c r="J2421" s="221">
        <f t="shared" si="113"/>
        <v>677832.6</v>
      </c>
      <c r="K2421" s="258">
        <f t="shared" si="114"/>
        <v>9</v>
      </c>
      <c r="L2421" s="188">
        <v>677832.6</v>
      </c>
      <c r="M2421" s="188">
        <v>0</v>
      </c>
      <c r="N2421" s="189">
        <v>800153993</v>
      </c>
      <c r="O2421" t="s">
        <v>3382</v>
      </c>
      <c r="P2421" s="187">
        <v>45190.434988425899</v>
      </c>
      <c r="Q2421" s="186">
        <v>13248</v>
      </c>
      <c r="R2421" s="185" t="s">
        <v>1814</v>
      </c>
      <c r="S2421" s="185" t="s">
        <v>1556</v>
      </c>
      <c r="T2421"/>
      <c r="U2421" t="str">
        <f>IF($L2421&gt;0,VLOOKUP($E2421,Valida!$A$1:$G$270,6,FALSE),IF($M2421&gt;=0,VLOOKUP($E2421,Valida!$A$1:$G$270,7,FALSE)))</f>
        <v>(+/-) Ajustes por el incremento (disminución) de cuentas por pagar de origen comercial</v>
      </c>
      <c r="V2421" s="190" t="str">
        <f>VLOOKUP(E2421,Valida!$A$2:$K$271,4,FALSE)</f>
        <v>Trade and other payables</v>
      </c>
      <c r="W2421" s="185" t="s">
        <v>1815</v>
      </c>
      <c r="X2421" s="185"/>
      <c r="Y2421" s="185" t="s">
        <v>1789</v>
      </c>
      <c r="Z2421"/>
    </row>
    <row r="2422" spans="1:26">
      <c r="A2422" s="185" t="s">
        <v>3378</v>
      </c>
      <c r="B2422" s="185" t="s">
        <v>3381</v>
      </c>
      <c r="C2422" s="185" t="s">
        <v>1792</v>
      </c>
      <c r="D2422" s="185" t="s">
        <v>2357</v>
      </c>
      <c r="E2422" s="185">
        <v>23355006</v>
      </c>
      <c r="F2422" s="185" t="s">
        <v>519</v>
      </c>
      <c r="G2422" s="185" t="s">
        <v>1825</v>
      </c>
      <c r="H2422" s="185" t="s">
        <v>1628</v>
      </c>
      <c r="I2422" s="258" t="str">
        <f t="shared" si="112"/>
        <v>2</v>
      </c>
      <c r="J2422" s="221">
        <f t="shared" si="113"/>
        <v>-8947792</v>
      </c>
      <c r="K2422" s="258">
        <f t="shared" si="114"/>
        <v>9</v>
      </c>
      <c r="L2422" s="188">
        <v>0</v>
      </c>
      <c r="M2422" s="188">
        <v>8947792</v>
      </c>
      <c r="N2422" s="189">
        <v>800153993</v>
      </c>
      <c r="O2422" t="s">
        <v>3382</v>
      </c>
      <c r="P2422" s="187">
        <v>45190.434988425899</v>
      </c>
      <c r="Q2422" s="186">
        <v>13249</v>
      </c>
      <c r="R2422" s="185" t="s">
        <v>1814</v>
      </c>
      <c r="S2422" s="185" t="s">
        <v>1556</v>
      </c>
      <c r="T2422"/>
      <c r="U2422" t="str">
        <f>IF($L2422&gt;0,VLOOKUP($E2422,Valida!$A$1:$G$270,6,FALSE),IF($M2422&gt;=0,VLOOKUP($E2422,Valida!$A$1:$G$270,7,FALSE)))</f>
        <v>(+/-) Ajustes por el incremento (disminución) de cuentas por pagar de origen comercial</v>
      </c>
      <c r="V2422" s="190" t="str">
        <f>VLOOKUP(E2422,Valida!$A$2:$K$271,4,FALSE)</f>
        <v>Trade and other payables</v>
      </c>
      <c r="W2422" s="185" t="s">
        <v>1815</v>
      </c>
      <c r="X2422" s="185"/>
      <c r="Y2422" s="185" t="s">
        <v>1789</v>
      </c>
      <c r="Z2422"/>
    </row>
    <row r="2423" spans="1:26">
      <c r="A2423" s="185" t="s">
        <v>3378</v>
      </c>
      <c r="B2423" s="185" t="s">
        <v>3381</v>
      </c>
      <c r="C2423" s="185" t="s">
        <v>1792</v>
      </c>
      <c r="D2423" s="185" t="s">
        <v>2357</v>
      </c>
      <c r="E2423" s="185">
        <v>53059510</v>
      </c>
      <c r="F2423" s="185" t="s">
        <v>1065</v>
      </c>
      <c r="G2423" s="185" t="s">
        <v>1825</v>
      </c>
      <c r="H2423" s="185" t="s">
        <v>1515</v>
      </c>
      <c r="I2423" s="258" t="str">
        <f t="shared" si="112"/>
        <v>5</v>
      </c>
      <c r="J2423" s="221">
        <f t="shared" si="113"/>
        <v>750806.4</v>
      </c>
      <c r="K2423" s="258">
        <f t="shared" si="114"/>
        <v>9</v>
      </c>
      <c r="L2423" s="188">
        <v>750806.4</v>
      </c>
      <c r="M2423" s="188">
        <v>0</v>
      </c>
      <c r="N2423" s="189">
        <v>800153993</v>
      </c>
      <c r="O2423" t="s">
        <v>3382</v>
      </c>
      <c r="P2423" s="187">
        <v>45190.434999999998</v>
      </c>
      <c r="Q2423" s="186">
        <v>13250</v>
      </c>
      <c r="R2423" s="185" t="s">
        <v>1814</v>
      </c>
      <c r="S2423" s="185" t="s">
        <v>1556</v>
      </c>
      <c r="T2423"/>
      <c r="U2423" t="str">
        <f>IF($L2423&gt;0,VLOOKUP($E2423,Valida!$A$1:$G$270,6,FALSE),IF($M2423&gt;=0,VLOOKUP($E2423,Valida!$A$1:$G$270,7,FALSE)))</f>
        <v>(+/-) Ganancia (pérdida)</v>
      </c>
      <c r="V2423" s="190" t="str">
        <f>VLOOKUP(E2423,Valida!$A$2:$K$271,4,FALSE)</f>
        <v>P&amp;L</v>
      </c>
      <c r="W2423" s="185" t="s">
        <v>1815</v>
      </c>
      <c r="X2423" s="185"/>
      <c r="Y2423" s="185" t="s">
        <v>1789</v>
      </c>
      <c r="Z2423"/>
    </row>
    <row r="2424" spans="1:26">
      <c r="A2424" s="185" t="s">
        <v>3383</v>
      </c>
      <c r="B2424" s="185" t="s">
        <v>3384</v>
      </c>
      <c r="C2424" s="185" t="s">
        <v>1792</v>
      </c>
      <c r="D2424" s="185" t="s">
        <v>2360</v>
      </c>
      <c r="E2424" s="185">
        <v>51952502</v>
      </c>
      <c r="F2424" s="185" t="s">
        <v>1414</v>
      </c>
      <c r="G2424" s="185" t="s">
        <v>1862</v>
      </c>
      <c r="H2424" s="185" t="s">
        <v>1515</v>
      </c>
      <c r="I2424" s="258" t="str">
        <f t="shared" si="112"/>
        <v>5</v>
      </c>
      <c r="J2424" s="221">
        <f t="shared" si="113"/>
        <v>107000</v>
      </c>
      <c r="K2424" s="258">
        <f t="shared" si="114"/>
        <v>9</v>
      </c>
      <c r="L2424" s="188">
        <v>107000</v>
      </c>
      <c r="M2424" s="188">
        <v>0</v>
      </c>
      <c r="N2424" s="189">
        <v>900424409</v>
      </c>
      <c r="O2424" t="s">
        <v>3385</v>
      </c>
      <c r="P2424" s="187">
        <v>45190.436342592599</v>
      </c>
      <c r="Q2424" s="186">
        <v>13251</v>
      </c>
      <c r="R2424" s="185" t="s">
        <v>844</v>
      </c>
      <c r="S2424" s="185" t="s">
        <v>1598</v>
      </c>
      <c r="T2424"/>
      <c r="U2424" t="str">
        <f>IF($L2424&gt;0,VLOOKUP($E2424,Valida!$A$1:$G$270,6,FALSE),IF($M2424&gt;=0,VLOOKUP($E2424,Valida!$A$1:$G$270,7,FALSE)))</f>
        <v>(+/-) Ganancia (pérdida)</v>
      </c>
      <c r="V2424" s="190" t="str">
        <f>VLOOKUP(E2424,Valida!$A$2:$K$271,4,FALSE)</f>
        <v>P&amp;L</v>
      </c>
      <c r="W2424" s="185" t="s">
        <v>1864</v>
      </c>
      <c r="X2424" s="185" t="s">
        <v>1865</v>
      </c>
      <c r="Y2424" s="185" t="s">
        <v>1789</v>
      </c>
      <c r="Z2424"/>
    </row>
    <row r="2425" spans="1:26">
      <c r="A2425" s="185" t="s">
        <v>3383</v>
      </c>
      <c r="B2425" s="185" t="s">
        <v>3384</v>
      </c>
      <c r="C2425" s="185" t="s">
        <v>1792</v>
      </c>
      <c r="D2425" s="185" t="s">
        <v>2360</v>
      </c>
      <c r="E2425" s="185">
        <v>24081002</v>
      </c>
      <c r="F2425" s="185" t="s">
        <v>1687</v>
      </c>
      <c r="G2425" s="185" t="s">
        <v>1866</v>
      </c>
      <c r="H2425" s="185" t="s">
        <v>1515</v>
      </c>
      <c r="I2425" s="258" t="str">
        <f t="shared" si="112"/>
        <v>2</v>
      </c>
      <c r="J2425" s="221">
        <f t="shared" si="113"/>
        <v>20330</v>
      </c>
      <c r="K2425" s="258">
        <f t="shared" si="114"/>
        <v>9</v>
      </c>
      <c r="L2425" s="188">
        <v>20330</v>
      </c>
      <c r="M2425" s="188">
        <v>0</v>
      </c>
      <c r="N2425" s="189">
        <v>900424409</v>
      </c>
      <c r="O2425" t="s">
        <v>3385</v>
      </c>
      <c r="P2425" s="187">
        <v>45190.436354166697</v>
      </c>
      <c r="Q2425" s="186">
        <v>13252</v>
      </c>
      <c r="R2425" s="185" t="s">
        <v>844</v>
      </c>
      <c r="S2425" s="185" t="s">
        <v>1598</v>
      </c>
      <c r="T2425"/>
      <c r="U2425" t="str">
        <f>IF($L2425&gt;0,VLOOKUP($E2425,Valida!$A$1:$G$270,6,FALSE),IF($M2425&gt;=0,VLOOKUP($E2425,Valida!$A$1:$G$270,7,FALSE)))</f>
        <v>(+/-) Ajustes por el incremento (disminución) de cuentas por pagar de origen comercial</v>
      </c>
      <c r="V2425" s="190" t="str">
        <f>VLOOKUP(E2425,Valida!$A$2:$K$271,4,FALSE)</f>
        <v>Trade and other payables</v>
      </c>
      <c r="W2425" s="185" t="s">
        <v>1864</v>
      </c>
      <c r="X2425" s="185" t="s">
        <v>1865</v>
      </c>
      <c r="Y2425" s="185" t="s">
        <v>1789</v>
      </c>
      <c r="Z2425"/>
    </row>
    <row r="2426" spans="1:26">
      <c r="A2426" s="185" t="s">
        <v>3383</v>
      </c>
      <c r="B2426" s="185" t="s">
        <v>3384</v>
      </c>
      <c r="C2426" s="185" t="s">
        <v>1792</v>
      </c>
      <c r="D2426" s="185" t="s">
        <v>2360</v>
      </c>
      <c r="E2426" s="185">
        <v>23359502</v>
      </c>
      <c r="F2426" s="185" t="s">
        <v>547</v>
      </c>
      <c r="G2426" s="185" t="s">
        <v>1862</v>
      </c>
      <c r="H2426" s="185" t="s">
        <v>1628</v>
      </c>
      <c r="I2426" s="258" t="str">
        <f t="shared" si="112"/>
        <v>2</v>
      </c>
      <c r="J2426" s="221">
        <f t="shared" si="113"/>
        <v>-122016</v>
      </c>
      <c r="K2426" s="258">
        <f t="shared" si="114"/>
        <v>9</v>
      </c>
      <c r="L2426" s="188">
        <v>0</v>
      </c>
      <c r="M2426" s="188">
        <v>122016</v>
      </c>
      <c r="N2426" s="189">
        <v>900424409</v>
      </c>
      <c r="O2426" t="s">
        <v>3385</v>
      </c>
      <c r="P2426" s="187">
        <v>45190.436354166697</v>
      </c>
      <c r="Q2426" s="186">
        <v>13253</v>
      </c>
      <c r="R2426" s="185" t="s">
        <v>844</v>
      </c>
      <c r="S2426" s="185" t="s">
        <v>1598</v>
      </c>
      <c r="T2426"/>
      <c r="U2426" t="str">
        <f>IF($L2426&gt;0,VLOOKUP($E2426,Valida!$A$1:$G$270,6,FALSE),IF($M2426&gt;=0,VLOOKUP($E2426,Valida!$A$1:$G$270,7,FALSE)))</f>
        <v>(+/-) Ajustes por el incremento (disminución) de cuentas por pagar de origen comercial</v>
      </c>
      <c r="V2426" s="190" t="str">
        <f>VLOOKUP(E2426,Valida!$A$2:$K$271,4,FALSE)</f>
        <v>Trade and other payables</v>
      </c>
      <c r="W2426" s="185" t="s">
        <v>1864</v>
      </c>
      <c r="X2426" s="185" t="s">
        <v>1865</v>
      </c>
      <c r="Y2426" s="185" t="s">
        <v>1789</v>
      </c>
      <c r="Z2426"/>
    </row>
    <row r="2427" spans="1:26">
      <c r="A2427" s="185" t="s">
        <v>3383</v>
      </c>
      <c r="B2427" s="185" t="s">
        <v>3384</v>
      </c>
      <c r="C2427" s="185" t="s">
        <v>1792</v>
      </c>
      <c r="D2427" s="185" t="s">
        <v>2360</v>
      </c>
      <c r="E2427" s="185">
        <v>23653002</v>
      </c>
      <c r="F2427" s="185" t="s">
        <v>241</v>
      </c>
      <c r="G2427" s="185" t="s">
        <v>1867</v>
      </c>
      <c r="H2427" s="185" t="s">
        <v>1628</v>
      </c>
      <c r="I2427" s="258" t="str">
        <f t="shared" si="112"/>
        <v>2</v>
      </c>
      <c r="J2427" s="221">
        <f t="shared" si="113"/>
        <v>-4280</v>
      </c>
      <c r="K2427" s="258">
        <f t="shared" si="114"/>
        <v>9</v>
      </c>
      <c r="L2427" s="188">
        <v>0</v>
      </c>
      <c r="M2427" s="188">
        <v>4280</v>
      </c>
      <c r="N2427" s="189">
        <v>900424409</v>
      </c>
      <c r="O2427" t="s">
        <v>3385</v>
      </c>
      <c r="P2427" s="187">
        <v>45190.436354166697</v>
      </c>
      <c r="Q2427" s="186">
        <v>13254</v>
      </c>
      <c r="R2427" s="185" t="s">
        <v>844</v>
      </c>
      <c r="S2427" s="185" t="s">
        <v>1598</v>
      </c>
      <c r="T2427"/>
      <c r="U2427" t="str">
        <f>IF($L2427&gt;0,VLOOKUP($E2427,Valida!$A$1:$G$270,6,FALSE),IF($M2427&gt;=0,VLOOKUP($E2427,Valida!$A$1:$G$270,7,FALSE)))</f>
        <v>(+/-) Ajustes por el incremento (disminución) de cuentas por pagar de origen comercial</v>
      </c>
      <c r="V2427" s="190" t="str">
        <f>VLOOKUP(E2427,Valida!$A$2:$K$271,4,FALSE)</f>
        <v>Trade and other payables</v>
      </c>
      <c r="W2427" s="185" t="s">
        <v>1864</v>
      </c>
      <c r="X2427" s="185" t="s">
        <v>1865</v>
      </c>
      <c r="Y2427" s="185" t="s">
        <v>1789</v>
      </c>
      <c r="Z2427"/>
    </row>
    <row r="2428" spans="1:26">
      <c r="A2428" s="185" t="s">
        <v>3383</v>
      </c>
      <c r="B2428" s="185" t="s">
        <v>3384</v>
      </c>
      <c r="C2428" s="185" t="s">
        <v>1792</v>
      </c>
      <c r="D2428" s="185" t="s">
        <v>2360</v>
      </c>
      <c r="E2428" s="185">
        <v>23680503</v>
      </c>
      <c r="F2428" s="185" t="s">
        <v>665</v>
      </c>
      <c r="G2428" s="185" t="s">
        <v>1868</v>
      </c>
      <c r="H2428" s="185" t="s">
        <v>1628</v>
      </c>
      <c r="I2428" s="258" t="str">
        <f t="shared" si="112"/>
        <v>2</v>
      </c>
      <c r="J2428" s="221">
        <f t="shared" si="113"/>
        <v>-1034</v>
      </c>
      <c r="K2428" s="258">
        <f t="shared" si="114"/>
        <v>9</v>
      </c>
      <c r="L2428" s="188">
        <v>0</v>
      </c>
      <c r="M2428" s="188">
        <v>1034</v>
      </c>
      <c r="N2428" s="189">
        <v>900424409</v>
      </c>
      <c r="O2428" t="s">
        <v>3385</v>
      </c>
      <c r="P2428" s="187">
        <v>45190.436354166697</v>
      </c>
      <c r="Q2428" s="186">
        <v>13255</v>
      </c>
      <c r="R2428" s="185" t="s">
        <v>844</v>
      </c>
      <c r="S2428" s="185" t="s">
        <v>1598</v>
      </c>
      <c r="T2428"/>
      <c r="U2428" t="str">
        <f>IF($L2428&gt;0,VLOOKUP($E2428,Valida!$A$1:$G$270,6,FALSE),IF($M2428&gt;=0,VLOOKUP($E2428,Valida!$A$1:$G$270,7,FALSE)))</f>
        <v>(+/-) Ajustes por el incremento (disminución) de cuentas por pagar de origen comercial</v>
      </c>
      <c r="V2428" s="190" t="str">
        <f>VLOOKUP(E2428,Valida!$A$2:$K$271,4,FALSE)</f>
        <v>Trade and other payables</v>
      </c>
      <c r="W2428" s="185" t="s">
        <v>1864</v>
      </c>
      <c r="X2428" s="185" t="s">
        <v>1865</v>
      </c>
      <c r="Y2428" s="185" t="s">
        <v>1789</v>
      </c>
      <c r="Z2428"/>
    </row>
    <row r="2429" spans="1:26">
      <c r="A2429" s="185" t="s">
        <v>3358</v>
      </c>
      <c r="B2429" s="185" t="s">
        <v>3386</v>
      </c>
      <c r="C2429" s="185" t="s">
        <v>1792</v>
      </c>
      <c r="D2429" s="185" t="s">
        <v>2362</v>
      </c>
      <c r="E2429" s="185">
        <v>51059510</v>
      </c>
      <c r="F2429" s="185" t="s">
        <v>1132</v>
      </c>
      <c r="G2429" s="185" t="s">
        <v>3387</v>
      </c>
      <c r="H2429" s="185" t="s">
        <v>1515</v>
      </c>
      <c r="I2429" s="258" t="str">
        <f t="shared" si="112"/>
        <v>5</v>
      </c>
      <c r="J2429" s="221">
        <f t="shared" si="113"/>
        <v>1244300</v>
      </c>
      <c r="K2429" s="258">
        <f t="shared" si="114"/>
        <v>9</v>
      </c>
      <c r="L2429" s="188">
        <v>1244300</v>
      </c>
      <c r="M2429" s="188">
        <v>0</v>
      </c>
      <c r="N2429" s="189">
        <v>901636211</v>
      </c>
      <c r="O2429" t="s">
        <v>3388</v>
      </c>
      <c r="P2429" s="187">
        <v>45190.44</v>
      </c>
      <c r="Q2429" s="186">
        <v>13256</v>
      </c>
      <c r="R2429" s="185" t="s">
        <v>1901</v>
      </c>
      <c r="S2429" s="185" t="s">
        <v>1612</v>
      </c>
      <c r="T2429"/>
      <c r="U2429" t="str">
        <f>IF($L2429&gt;0,VLOOKUP($E2429,Valida!$A$1:$G$270,6,FALSE),IF($M2429&gt;=0,VLOOKUP($E2429,Valida!$A$1:$G$270,7,FALSE)))</f>
        <v>(+/-) Ganancia (pérdida)</v>
      </c>
      <c r="V2429" s="190" t="str">
        <f>VLOOKUP(E2429,Valida!$A$2:$K$271,4,FALSE)</f>
        <v>P&amp;L</v>
      </c>
      <c r="W2429" s="185" t="s">
        <v>3316</v>
      </c>
      <c r="X2429" s="185"/>
      <c r="Y2429" s="185" t="s">
        <v>1789</v>
      </c>
      <c r="Z2429"/>
    </row>
    <row r="2430" spans="1:26">
      <c r="A2430" s="185" t="s">
        <v>3358</v>
      </c>
      <c r="B2430" s="185" t="s">
        <v>3386</v>
      </c>
      <c r="C2430" s="185" t="s">
        <v>1792</v>
      </c>
      <c r="D2430" s="185" t="s">
        <v>2362</v>
      </c>
      <c r="E2430" s="185">
        <v>24081001</v>
      </c>
      <c r="F2430" s="185" t="s">
        <v>1670</v>
      </c>
      <c r="G2430" s="185" t="s">
        <v>3387</v>
      </c>
      <c r="H2430" s="185" t="s">
        <v>1515</v>
      </c>
      <c r="I2430" s="258" t="str">
        <f t="shared" si="112"/>
        <v>2</v>
      </c>
      <c r="J2430" s="221">
        <f t="shared" si="113"/>
        <v>236417</v>
      </c>
      <c r="K2430" s="258">
        <f t="shared" si="114"/>
        <v>9</v>
      </c>
      <c r="L2430" s="188">
        <v>236417</v>
      </c>
      <c r="M2430" s="188">
        <v>0</v>
      </c>
      <c r="N2430" s="189">
        <v>901636211</v>
      </c>
      <c r="O2430" t="s">
        <v>3388</v>
      </c>
      <c r="P2430" s="187">
        <v>45190.44</v>
      </c>
      <c r="Q2430" s="186">
        <v>13257</v>
      </c>
      <c r="R2430" s="185" t="s">
        <v>1901</v>
      </c>
      <c r="S2430" s="185" t="s">
        <v>1612</v>
      </c>
      <c r="T2430"/>
      <c r="U2430" t="str">
        <f>IF($L2430&gt;0,VLOOKUP($E2430,Valida!$A$1:$G$270,6,FALSE),IF($M2430&gt;=0,VLOOKUP($E2430,Valida!$A$1:$G$270,7,FALSE)))</f>
        <v>(+/-) Ajustes por el incremento (disminución) de cuentas por pagar de origen comercial</v>
      </c>
      <c r="V2430" s="190" t="str">
        <f>VLOOKUP(E2430,Valida!$A$2:$K$271,4,FALSE)</f>
        <v>Trade and other payables</v>
      </c>
      <c r="W2430" s="185" t="s">
        <v>3316</v>
      </c>
      <c r="X2430" s="185"/>
      <c r="Y2430" s="185" t="s">
        <v>1789</v>
      </c>
      <c r="Z2430"/>
    </row>
    <row r="2431" spans="1:26">
      <c r="A2431" s="185" t="s">
        <v>3358</v>
      </c>
      <c r="B2431" s="185" t="s">
        <v>3386</v>
      </c>
      <c r="C2431" s="185" t="s">
        <v>1792</v>
      </c>
      <c r="D2431" s="185" t="s">
        <v>2362</v>
      </c>
      <c r="E2431" s="185">
        <v>23359506</v>
      </c>
      <c r="F2431" s="185" t="s">
        <v>1642</v>
      </c>
      <c r="G2431" s="185" t="s">
        <v>3387</v>
      </c>
      <c r="H2431" s="185" t="s">
        <v>1628</v>
      </c>
      <c r="I2431" s="258" t="str">
        <f t="shared" si="112"/>
        <v>2</v>
      </c>
      <c r="J2431" s="221">
        <f t="shared" si="113"/>
        <v>-1437590</v>
      </c>
      <c r="K2431" s="258">
        <f t="shared" si="114"/>
        <v>9</v>
      </c>
      <c r="L2431" s="188">
        <v>0</v>
      </c>
      <c r="M2431" s="188">
        <v>1437590</v>
      </c>
      <c r="N2431" s="189">
        <v>901636211</v>
      </c>
      <c r="O2431" t="s">
        <v>3388</v>
      </c>
      <c r="P2431" s="187">
        <v>45190.44</v>
      </c>
      <c r="Q2431" s="186">
        <v>13258</v>
      </c>
      <c r="R2431" s="185" t="s">
        <v>1901</v>
      </c>
      <c r="S2431" s="185" t="s">
        <v>1612</v>
      </c>
      <c r="T2431"/>
      <c r="U2431" t="str">
        <f>IF($L2431&gt;0,VLOOKUP($E2431,Valida!$A$1:$G$270,6,FALSE),IF($M2431&gt;=0,VLOOKUP($E2431,Valida!$A$1:$G$270,7,FALSE)))</f>
        <v>(+/-) Ajustes por el incremento (disminución) de cuentas por pagar de origen comercial</v>
      </c>
      <c r="V2431" s="190" t="str">
        <f>VLOOKUP(E2431,Valida!$A$2:$K$271,4,FALSE)</f>
        <v>Trade and other payables</v>
      </c>
      <c r="W2431" s="185" t="s">
        <v>3316</v>
      </c>
      <c r="X2431" s="185"/>
      <c r="Y2431" s="185" t="s">
        <v>1789</v>
      </c>
      <c r="Z2431"/>
    </row>
    <row r="2432" spans="1:26">
      <c r="A2432" s="185" t="s">
        <v>3358</v>
      </c>
      <c r="B2432" s="185" t="s">
        <v>3386</v>
      </c>
      <c r="C2432" s="185" t="s">
        <v>1792</v>
      </c>
      <c r="D2432" s="185" t="s">
        <v>2362</v>
      </c>
      <c r="E2432" s="185">
        <v>23654001</v>
      </c>
      <c r="F2432" s="185" t="s">
        <v>622</v>
      </c>
      <c r="G2432" s="185" t="s">
        <v>3387</v>
      </c>
      <c r="H2432" s="185" t="s">
        <v>1628</v>
      </c>
      <c r="I2432" s="258" t="str">
        <f t="shared" si="112"/>
        <v>2</v>
      </c>
      <c r="J2432" s="221">
        <f t="shared" si="113"/>
        <v>-31107</v>
      </c>
      <c r="K2432" s="258">
        <f t="shared" si="114"/>
        <v>9</v>
      </c>
      <c r="L2432" s="188">
        <v>0</v>
      </c>
      <c r="M2432" s="188">
        <v>31107</v>
      </c>
      <c r="N2432" s="189">
        <v>901636211</v>
      </c>
      <c r="O2432" t="s">
        <v>3388</v>
      </c>
      <c r="P2432" s="187">
        <v>45190.44</v>
      </c>
      <c r="Q2432" s="186">
        <v>13259</v>
      </c>
      <c r="R2432" s="185" t="s">
        <v>1901</v>
      </c>
      <c r="S2432" s="185" t="s">
        <v>1612</v>
      </c>
      <c r="T2432"/>
      <c r="U2432" t="str">
        <f>IF($L2432&gt;0,VLOOKUP($E2432,Valida!$A$1:$G$270,6,FALSE),IF($M2432&gt;=0,VLOOKUP($E2432,Valida!$A$1:$G$270,7,FALSE)))</f>
        <v>(+/-) Ajustes por el incremento (disminución) de cuentas por pagar de origen comercial</v>
      </c>
      <c r="V2432" s="190" t="str">
        <f>VLOOKUP(E2432,Valida!$A$2:$K$271,4,FALSE)</f>
        <v>Trade and other payables</v>
      </c>
      <c r="W2432" s="185" t="s">
        <v>3316</v>
      </c>
      <c r="X2432" s="185"/>
      <c r="Y2432" s="185" t="s">
        <v>1789</v>
      </c>
      <c r="Z2432"/>
    </row>
    <row r="2433" spans="1:26">
      <c r="A2433" s="185" t="s">
        <v>3358</v>
      </c>
      <c r="B2433" s="185" t="s">
        <v>3386</v>
      </c>
      <c r="C2433" s="185" t="s">
        <v>1792</v>
      </c>
      <c r="D2433" s="185" t="s">
        <v>2362</v>
      </c>
      <c r="E2433" s="185">
        <v>23680503</v>
      </c>
      <c r="F2433" s="185" t="s">
        <v>665</v>
      </c>
      <c r="G2433" s="185" t="s">
        <v>3387</v>
      </c>
      <c r="H2433" s="185" t="s">
        <v>1628</v>
      </c>
      <c r="I2433" s="258" t="str">
        <f t="shared" si="112"/>
        <v>2</v>
      </c>
      <c r="J2433" s="221">
        <f t="shared" si="113"/>
        <v>-12020</v>
      </c>
      <c r="K2433" s="258">
        <f t="shared" si="114"/>
        <v>9</v>
      </c>
      <c r="L2433" s="188">
        <v>0</v>
      </c>
      <c r="M2433" s="188">
        <v>12020</v>
      </c>
      <c r="N2433" s="189">
        <v>901636211</v>
      </c>
      <c r="O2433" t="s">
        <v>3388</v>
      </c>
      <c r="P2433" s="187">
        <v>45190.44</v>
      </c>
      <c r="Q2433" s="186">
        <v>13260</v>
      </c>
      <c r="R2433" s="185" t="s">
        <v>1901</v>
      </c>
      <c r="S2433" s="185" t="s">
        <v>1612</v>
      </c>
      <c r="T2433"/>
      <c r="U2433" t="str">
        <f>IF($L2433&gt;0,VLOOKUP($E2433,Valida!$A$1:$G$270,6,FALSE),IF($M2433&gt;=0,VLOOKUP($E2433,Valida!$A$1:$G$270,7,FALSE)))</f>
        <v>(+/-) Ajustes por el incremento (disminución) de cuentas por pagar de origen comercial</v>
      </c>
      <c r="V2433" s="190" t="str">
        <f>VLOOKUP(E2433,Valida!$A$2:$K$271,4,FALSE)</f>
        <v>Trade and other payables</v>
      </c>
      <c r="W2433" s="185" t="s">
        <v>3316</v>
      </c>
      <c r="X2433" s="185"/>
      <c r="Y2433" s="185" t="s">
        <v>1789</v>
      </c>
      <c r="Z2433"/>
    </row>
    <row r="2434" spans="1:26">
      <c r="A2434" s="185" t="s">
        <v>3389</v>
      </c>
      <c r="B2434" s="185" t="s">
        <v>3390</v>
      </c>
      <c r="C2434" s="185" t="s">
        <v>1792</v>
      </c>
      <c r="D2434" s="185" t="s">
        <v>2365</v>
      </c>
      <c r="E2434" s="185">
        <v>51352002</v>
      </c>
      <c r="F2434" s="185" t="s">
        <v>1270</v>
      </c>
      <c r="G2434" s="185" t="s">
        <v>1825</v>
      </c>
      <c r="H2434" s="185" t="s">
        <v>1515</v>
      </c>
      <c r="I2434" s="258" t="str">
        <f t="shared" si="112"/>
        <v>5</v>
      </c>
      <c r="J2434" s="221">
        <f t="shared" si="113"/>
        <v>1224400</v>
      </c>
      <c r="K2434" s="258">
        <f t="shared" si="114"/>
        <v>9</v>
      </c>
      <c r="L2434" s="188">
        <v>1224400</v>
      </c>
      <c r="M2434" s="188">
        <v>0</v>
      </c>
      <c r="N2434" s="189">
        <v>899999115</v>
      </c>
      <c r="O2434" t="s">
        <v>3391</v>
      </c>
      <c r="P2434" s="187">
        <v>45190.440682870401</v>
      </c>
      <c r="Q2434" s="186">
        <v>13261</v>
      </c>
      <c r="R2434" s="185" t="s">
        <v>1827</v>
      </c>
      <c r="S2434" s="185" t="s">
        <v>1586</v>
      </c>
      <c r="T2434"/>
      <c r="U2434" t="str">
        <f>IF($L2434&gt;0,VLOOKUP($E2434,Valida!$A$1:$G$270,6,FALSE),IF($M2434&gt;=0,VLOOKUP($E2434,Valida!$A$1:$G$270,7,FALSE)))</f>
        <v>(+/-) Ganancia (pérdida)</v>
      </c>
      <c r="V2434" s="190" t="str">
        <f>VLOOKUP(E2434,Valida!$A$2:$K$271,4,FALSE)</f>
        <v>P&amp;L</v>
      </c>
      <c r="W2434" s="185" t="s">
        <v>1828</v>
      </c>
      <c r="X2434" s="185" t="s">
        <v>1829</v>
      </c>
      <c r="Y2434" s="185" t="s">
        <v>1789</v>
      </c>
      <c r="Z2434"/>
    </row>
    <row r="2435" spans="1:26">
      <c r="A2435" s="185" t="s">
        <v>3389</v>
      </c>
      <c r="B2435" s="185" t="s">
        <v>3390</v>
      </c>
      <c r="C2435" s="185" t="s">
        <v>1792</v>
      </c>
      <c r="D2435" s="185" t="s">
        <v>2365</v>
      </c>
      <c r="E2435" s="185">
        <v>24081002</v>
      </c>
      <c r="F2435" s="185" t="s">
        <v>1687</v>
      </c>
      <c r="G2435" s="185" t="s">
        <v>1830</v>
      </c>
      <c r="H2435" s="185" t="s">
        <v>1515</v>
      </c>
      <c r="I2435" s="258" t="str">
        <f t="shared" ref="I2435:I2498" si="115">LEFT(E2435,1)</f>
        <v>2</v>
      </c>
      <c r="J2435" s="221">
        <f t="shared" ref="J2435:J2498" si="116">L2435-M2435</f>
        <v>232636</v>
      </c>
      <c r="K2435" s="258">
        <f t="shared" ref="K2435:K2498" si="117">MONTH(A2435)</f>
        <v>9</v>
      </c>
      <c r="L2435" s="188">
        <v>232636</v>
      </c>
      <c r="M2435" s="188">
        <v>0</v>
      </c>
      <c r="N2435" s="189">
        <v>899999115</v>
      </c>
      <c r="O2435" t="s">
        <v>3391</v>
      </c>
      <c r="P2435" s="187">
        <v>45190.440682870401</v>
      </c>
      <c r="Q2435" s="186">
        <v>13262</v>
      </c>
      <c r="R2435" s="185" t="s">
        <v>1827</v>
      </c>
      <c r="S2435" s="185" t="s">
        <v>1586</v>
      </c>
      <c r="T2435"/>
      <c r="U2435" t="str">
        <f>IF($L2435&gt;0,VLOOKUP($E2435,Valida!$A$1:$G$270,6,FALSE),IF($M2435&gt;=0,VLOOKUP($E2435,Valida!$A$1:$G$270,7,FALSE)))</f>
        <v>(+/-) Ajustes por el incremento (disminución) de cuentas por pagar de origen comercial</v>
      </c>
      <c r="V2435" s="190" t="str">
        <f>VLOOKUP(E2435,Valida!$A$2:$K$271,4,FALSE)</f>
        <v>Trade and other payables</v>
      </c>
      <c r="W2435" s="185" t="s">
        <v>1828</v>
      </c>
      <c r="X2435" s="185" t="s">
        <v>1829</v>
      </c>
      <c r="Y2435" s="185" t="s">
        <v>1789</v>
      </c>
      <c r="Z2435"/>
    </row>
    <row r="2436" spans="1:26">
      <c r="A2436" s="185" t="s">
        <v>3389</v>
      </c>
      <c r="B2436" s="185" t="s">
        <v>3390</v>
      </c>
      <c r="C2436" s="185" t="s">
        <v>1792</v>
      </c>
      <c r="D2436" s="185" t="s">
        <v>2365</v>
      </c>
      <c r="E2436" s="185">
        <v>23355006</v>
      </c>
      <c r="F2436" s="185" t="s">
        <v>519</v>
      </c>
      <c r="G2436" s="185" t="s">
        <v>1825</v>
      </c>
      <c r="H2436" s="185" t="s">
        <v>1628</v>
      </c>
      <c r="I2436" s="258" t="str">
        <f t="shared" si="115"/>
        <v>2</v>
      </c>
      <c r="J2436" s="221">
        <f t="shared" si="116"/>
        <v>-1457040</v>
      </c>
      <c r="K2436" s="258">
        <f t="shared" si="117"/>
        <v>9</v>
      </c>
      <c r="L2436" s="188">
        <v>0</v>
      </c>
      <c r="M2436" s="188">
        <v>1457040</v>
      </c>
      <c r="N2436" s="189">
        <v>899999115</v>
      </c>
      <c r="O2436" t="s">
        <v>3391</v>
      </c>
      <c r="P2436" s="187">
        <v>45190.440682870401</v>
      </c>
      <c r="Q2436" s="186">
        <v>13263</v>
      </c>
      <c r="R2436" s="185" t="s">
        <v>1827</v>
      </c>
      <c r="S2436" s="185" t="s">
        <v>1586</v>
      </c>
      <c r="T2436"/>
      <c r="U2436" t="str">
        <f>IF($L2436&gt;0,VLOOKUP($E2436,Valida!$A$1:$G$270,6,FALSE),IF($M2436&gt;=0,VLOOKUP($E2436,Valida!$A$1:$G$270,7,FALSE)))</f>
        <v>(+/-) Ajustes por el incremento (disminución) de cuentas por pagar de origen comercial</v>
      </c>
      <c r="V2436" s="190" t="str">
        <f>VLOOKUP(E2436,Valida!$A$2:$K$271,4,FALSE)</f>
        <v>Trade and other payables</v>
      </c>
      <c r="W2436" s="185" t="s">
        <v>1828</v>
      </c>
      <c r="X2436" s="185" t="s">
        <v>1829</v>
      </c>
      <c r="Y2436" s="185" t="s">
        <v>1789</v>
      </c>
      <c r="Z2436"/>
    </row>
    <row r="2437" spans="1:26">
      <c r="A2437" s="185" t="s">
        <v>3389</v>
      </c>
      <c r="B2437" s="185" t="s">
        <v>3390</v>
      </c>
      <c r="C2437" s="185" t="s">
        <v>1792</v>
      </c>
      <c r="D2437" s="185" t="s">
        <v>2365</v>
      </c>
      <c r="E2437" s="185">
        <v>53059510</v>
      </c>
      <c r="F2437" s="185" t="s">
        <v>1065</v>
      </c>
      <c r="G2437" s="185" t="s">
        <v>1825</v>
      </c>
      <c r="H2437" s="185" t="s">
        <v>1515</v>
      </c>
      <c r="I2437" s="258" t="str">
        <f t="shared" si="115"/>
        <v>5</v>
      </c>
      <c r="J2437" s="221">
        <f t="shared" si="116"/>
        <v>4</v>
      </c>
      <c r="K2437" s="258">
        <f t="shared" si="117"/>
        <v>9</v>
      </c>
      <c r="L2437" s="188">
        <v>4</v>
      </c>
      <c r="M2437" s="188">
        <v>0</v>
      </c>
      <c r="N2437" s="189">
        <v>899999115</v>
      </c>
      <c r="O2437" t="s">
        <v>3391</v>
      </c>
      <c r="P2437" s="187">
        <v>45190.440682870401</v>
      </c>
      <c r="Q2437" s="186">
        <v>13264</v>
      </c>
      <c r="R2437" s="185" t="s">
        <v>1827</v>
      </c>
      <c r="S2437" s="185" t="s">
        <v>1586</v>
      </c>
      <c r="T2437"/>
      <c r="U2437" t="str">
        <f>IF($L2437&gt;0,VLOOKUP($E2437,Valida!$A$1:$G$270,6,FALSE),IF($M2437&gt;=0,VLOOKUP($E2437,Valida!$A$1:$G$270,7,FALSE)))</f>
        <v>(+/-) Ganancia (pérdida)</v>
      </c>
      <c r="V2437" s="190" t="str">
        <f>VLOOKUP(E2437,Valida!$A$2:$K$271,4,FALSE)</f>
        <v>P&amp;L</v>
      </c>
      <c r="W2437" s="185" t="s">
        <v>1828</v>
      </c>
      <c r="X2437" s="185" t="s">
        <v>1829</v>
      </c>
      <c r="Y2437" s="185" t="s">
        <v>1789</v>
      </c>
      <c r="Z2437"/>
    </row>
    <row r="2438" spans="1:26">
      <c r="A2438" s="185" t="s">
        <v>3389</v>
      </c>
      <c r="B2438" s="185" t="s">
        <v>3392</v>
      </c>
      <c r="C2438" s="185" t="s">
        <v>1792</v>
      </c>
      <c r="D2438" s="185" t="s">
        <v>2367</v>
      </c>
      <c r="E2438" s="185">
        <v>51952501</v>
      </c>
      <c r="F2438" s="185" t="s">
        <v>1412</v>
      </c>
      <c r="G2438" s="185" t="s">
        <v>1412</v>
      </c>
      <c r="H2438" s="185" t="s">
        <v>1515</v>
      </c>
      <c r="I2438" s="258" t="str">
        <f t="shared" si="115"/>
        <v>5</v>
      </c>
      <c r="J2438" s="221">
        <f t="shared" si="116"/>
        <v>1481515</v>
      </c>
      <c r="K2438" s="258">
        <f t="shared" si="117"/>
        <v>9</v>
      </c>
      <c r="L2438" s="188">
        <v>1481515</v>
      </c>
      <c r="M2438" s="188">
        <v>0</v>
      </c>
      <c r="N2438" s="189">
        <v>830062853</v>
      </c>
      <c r="O2438" t="s">
        <v>3393</v>
      </c>
      <c r="P2438" s="187">
        <v>45190.451307870397</v>
      </c>
      <c r="Q2438" s="186">
        <v>13265</v>
      </c>
      <c r="R2438" s="185" t="s">
        <v>433</v>
      </c>
      <c r="S2438" s="185" t="s">
        <v>1564</v>
      </c>
      <c r="T2438"/>
      <c r="U2438" t="str">
        <f>IF($L2438&gt;0,VLOOKUP($E2438,Valida!$A$1:$G$270,6,FALSE),IF($M2438&gt;=0,VLOOKUP($E2438,Valida!$A$1:$G$270,7,FALSE)))</f>
        <v>(+/-) Ganancia (pérdida)</v>
      </c>
      <c r="V2438" s="190" t="str">
        <f>VLOOKUP(E2438,Valida!$A$2:$K$271,4,FALSE)</f>
        <v>P&amp;L</v>
      </c>
      <c r="W2438" s="185" t="s">
        <v>2024</v>
      </c>
      <c r="X2438" s="185" t="s">
        <v>2025</v>
      </c>
      <c r="Y2438" s="185" t="s">
        <v>1789</v>
      </c>
      <c r="Z2438"/>
    </row>
    <row r="2439" spans="1:26">
      <c r="A2439" s="185" t="s">
        <v>3389</v>
      </c>
      <c r="B2439" s="185" t="s">
        <v>3392</v>
      </c>
      <c r="C2439" s="185" t="s">
        <v>1792</v>
      </c>
      <c r="D2439" s="185" t="s">
        <v>2367</v>
      </c>
      <c r="E2439" s="185">
        <v>24081001</v>
      </c>
      <c r="F2439" s="185" t="s">
        <v>1670</v>
      </c>
      <c r="G2439" s="185" t="s">
        <v>1412</v>
      </c>
      <c r="H2439" s="185" t="s">
        <v>1515</v>
      </c>
      <c r="I2439" s="258" t="str">
        <f t="shared" si="115"/>
        <v>2</v>
      </c>
      <c r="J2439" s="221">
        <f t="shared" si="116"/>
        <v>281488</v>
      </c>
      <c r="K2439" s="258">
        <f t="shared" si="117"/>
        <v>9</v>
      </c>
      <c r="L2439" s="188">
        <v>281488</v>
      </c>
      <c r="M2439" s="188">
        <v>0</v>
      </c>
      <c r="N2439" s="189">
        <v>830062853</v>
      </c>
      <c r="O2439" t="s">
        <v>3393</v>
      </c>
      <c r="P2439" s="187">
        <v>45190.451307870397</v>
      </c>
      <c r="Q2439" s="186">
        <v>13266</v>
      </c>
      <c r="R2439" s="185" t="s">
        <v>433</v>
      </c>
      <c r="S2439" s="185" t="s">
        <v>1564</v>
      </c>
      <c r="T2439"/>
      <c r="U2439" t="str">
        <f>IF($L2439&gt;0,VLOOKUP($E2439,Valida!$A$1:$G$270,6,FALSE),IF($M2439&gt;=0,VLOOKUP($E2439,Valida!$A$1:$G$270,7,FALSE)))</f>
        <v>(+/-) Ajustes por el incremento (disminución) de cuentas por pagar de origen comercial</v>
      </c>
      <c r="V2439" s="190" t="str">
        <f>VLOOKUP(E2439,Valida!$A$2:$K$271,4,FALSE)</f>
        <v>Trade and other payables</v>
      </c>
      <c r="W2439" s="185" t="s">
        <v>2024</v>
      </c>
      <c r="X2439" s="185" t="s">
        <v>2025</v>
      </c>
      <c r="Y2439" s="185" t="s">
        <v>1789</v>
      </c>
      <c r="Z2439"/>
    </row>
    <row r="2440" spans="1:26">
      <c r="A2440" s="185" t="s">
        <v>3389</v>
      </c>
      <c r="B2440" s="185" t="s">
        <v>3392</v>
      </c>
      <c r="C2440" s="185" t="s">
        <v>1792</v>
      </c>
      <c r="D2440" s="185" t="s">
        <v>2367</v>
      </c>
      <c r="E2440" s="185">
        <v>51952502</v>
      </c>
      <c r="F2440" s="185" t="s">
        <v>1414</v>
      </c>
      <c r="G2440" s="185" t="s">
        <v>1414</v>
      </c>
      <c r="H2440" s="185" t="s">
        <v>1515</v>
      </c>
      <c r="I2440" s="258" t="str">
        <f t="shared" si="115"/>
        <v>5</v>
      </c>
      <c r="J2440" s="221">
        <f t="shared" si="116"/>
        <v>2817384</v>
      </c>
      <c r="K2440" s="258">
        <f t="shared" si="117"/>
        <v>9</v>
      </c>
      <c r="L2440" s="188">
        <v>2817384</v>
      </c>
      <c r="M2440" s="188">
        <v>0</v>
      </c>
      <c r="N2440" s="189">
        <v>830062853</v>
      </c>
      <c r="O2440" t="s">
        <v>3393</v>
      </c>
      <c r="P2440" s="187">
        <v>45190.451307870397</v>
      </c>
      <c r="Q2440" s="186">
        <v>13267</v>
      </c>
      <c r="R2440" s="185" t="s">
        <v>433</v>
      </c>
      <c r="S2440" s="185" t="s">
        <v>1564</v>
      </c>
      <c r="T2440"/>
      <c r="U2440" t="str">
        <f>IF($L2440&gt;0,VLOOKUP($E2440,Valida!$A$1:$G$270,6,FALSE),IF($M2440&gt;=0,VLOOKUP($E2440,Valida!$A$1:$G$270,7,FALSE)))</f>
        <v>(+/-) Ganancia (pérdida)</v>
      </c>
      <c r="V2440" s="190" t="str">
        <f>VLOOKUP(E2440,Valida!$A$2:$K$271,4,FALSE)</f>
        <v>P&amp;L</v>
      </c>
      <c r="W2440" s="185" t="s">
        <v>2024</v>
      </c>
      <c r="X2440" s="185" t="s">
        <v>2025</v>
      </c>
      <c r="Y2440" s="185" t="s">
        <v>1789</v>
      </c>
      <c r="Z2440"/>
    </row>
    <row r="2441" spans="1:26">
      <c r="A2441" s="185" t="s">
        <v>3389</v>
      </c>
      <c r="B2441" s="185" t="s">
        <v>3392</v>
      </c>
      <c r="C2441" s="185" t="s">
        <v>1792</v>
      </c>
      <c r="D2441" s="185" t="s">
        <v>2367</v>
      </c>
      <c r="E2441" s="185">
        <v>24081005</v>
      </c>
      <c r="F2441" s="185" t="s">
        <v>1688</v>
      </c>
      <c r="G2441" s="185" t="s">
        <v>1414</v>
      </c>
      <c r="H2441" s="185" t="s">
        <v>1515</v>
      </c>
      <c r="I2441" s="258" t="str">
        <f t="shared" si="115"/>
        <v>2</v>
      </c>
      <c r="J2441" s="221">
        <f t="shared" si="116"/>
        <v>140869</v>
      </c>
      <c r="K2441" s="258">
        <f t="shared" si="117"/>
        <v>9</v>
      </c>
      <c r="L2441" s="188">
        <v>140869</v>
      </c>
      <c r="M2441" s="188">
        <v>0</v>
      </c>
      <c r="N2441" s="189">
        <v>830062853</v>
      </c>
      <c r="O2441" t="s">
        <v>3393</v>
      </c>
      <c r="P2441" s="187">
        <v>45190.451307870397</v>
      </c>
      <c r="Q2441" s="186">
        <v>13268</v>
      </c>
      <c r="R2441" s="185" t="s">
        <v>433</v>
      </c>
      <c r="S2441" s="185" t="s">
        <v>1564</v>
      </c>
      <c r="T2441"/>
      <c r="U2441" t="str">
        <f>IF($L2441&gt;0,VLOOKUP($E2441,Valida!$A$1:$G$270,6,FALSE),IF($M2441&gt;=0,VLOOKUP($E2441,Valida!$A$1:$G$270,7,FALSE)))</f>
        <v>(+/-) Ajustes por el incremento (disminución) de cuentas por pagar de origen comercial</v>
      </c>
      <c r="V2441" s="190" t="str">
        <f>VLOOKUP(E2441,Valida!$A$2:$K$271,4,FALSE)</f>
        <v>Trade and other payables</v>
      </c>
      <c r="W2441" s="185" t="s">
        <v>2024</v>
      </c>
      <c r="X2441" s="185" t="s">
        <v>2025</v>
      </c>
      <c r="Y2441" s="185" t="s">
        <v>1789</v>
      </c>
      <c r="Z2441"/>
    </row>
    <row r="2442" spans="1:26">
      <c r="A2442" s="185" t="s">
        <v>3389</v>
      </c>
      <c r="B2442" s="185" t="s">
        <v>3392</v>
      </c>
      <c r="C2442" s="185" t="s">
        <v>1792</v>
      </c>
      <c r="D2442" s="185" t="s">
        <v>2367</v>
      </c>
      <c r="E2442" s="185">
        <v>51952502</v>
      </c>
      <c r="F2442" s="185" t="s">
        <v>1414</v>
      </c>
      <c r="G2442" s="185" t="s">
        <v>1414</v>
      </c>
      <c r="H2442" s="185" t="s">
        <v>1515</v>
      </c>
      <c r="I2442" s="258" t="str">
        <f t="shared" si="115"/>
        <v>5</v>
      </c>
      <c r="J2442" s="221">
        <f t="shared" si="116"/>
        <v>356710</v>
      </c>
      <c r="K2442" s="258">
        <f t="shared" si="117"/>
        <v>9</v>
      </c>
      <c r="L2442" s="188">
        <v>356710</v>
      </c>
      <c r="M2442" s="188">
        <v>0</v>
      </c>
      <c r="N2442" s="189">
        <v>830062853</v>
      </c>
      <c r="O2442" t="s">
        <v>3393</v>
      </c>
      <c r="P2442" s="187">
        <v>45190.451307870397</v>
      </c>
      <c r="Q2442" s="186">
        <v>13269</v>
      </c>
      <c r="R2442" s="185" t="s">
        <v>433</v>
      </c>
      <c r="S2442" s="185" t="s">
        <v>1564</v>
      </c>
      <c r="T2442"/>
      <c r="U2442" t="str">
        <f>IF($L2442&gt;0,VLOOKUP($E2442,Valida!$A$1:$G$270,6,FALSE),IF($M2442&gt;=0,VLOOKUP($E2442,Valida!$A$1:$G$270,7,FALSE)))</f>
        <v>(+/-) Ganancia (pérdida)</v>
      </c>
      <c r="V2442" s="190" t="str">
        <f>VLOOKUP(E2442,Valida!$A$2:$K$271,4,FALSE)</f>
        <v>P&amp;L</v>
      </c>
      <c r="W2442" s="185" t="s">
        <v>2024</v>
      </c>
      <c r="X2442" s="185" t="s">
        <v>2025</v>
      </c>
      <c r="Y2442" s="185" t="s">
        <v>1789</v>
      </c>
      <c r="Z2442"/>
    </row>
    <row r="2443" spans="1:26">
      <c r="A2443" s="185" t="s">
        <v>3389</v>
      </c>
      <c r="B2443" s="185" t="s">
        <v>3392</v>
      </c>
      <c r="C2443" s="185" t="s">
        <v>1792</v>
      </c>
      <c r="D2443" s="185" t="s">
        <v>2367</v>
      </c>
      <c r="E2443" s="185">
        <v>24081001</v>
      </c>
      <c r="F2443" s="185" t="s">
        <v>1670</v>
      </c>
      <c r="G2443" s="185" t="s">
        <v>1414</v>
      </c>
      <c r="H2443" s="185" t="s">
        <v>1515</v>
      </c>
      <c r="I2443" s="258" t="str">
        <f t="shared" si="115"/>
        <v>2</v>
      </c>
      <c r="J2443" s="221">
        <f t="shared" si="116"/>
        <v>67775</v>
      </c>
      <c r="K2443" s="258">
        <f t="shared" si="117"/>
        <v>9</v>
      </c>
      <c r="L2443" s="188">
        <v>67775</v>
      </c>
      <c r="M2443" s="188">
        <v>0</v>
      </c>
      <c r="N2443" s="189">
        <v>830062853</v>
      </c>
      <c r="O2443" t="s">
        <v>3393</v>
      </c>
      <c r="P2443" s="187">
        <v>45190.451307870397</v>
      </c>
      <c r="Q2443" s="186">
        <v>13270</v>
      </c>
      <c r="R2443" s="185" t="s">
        <v>433</v>
      </c>
      <c r="S2443" s="185" t="s">
        <v>1564</v>
      </c>
      <c r="T2443"/>
      <c r="U2443" t="str">
        <f>IF($L2443&gt;0,VLOOKUP($E2443,Valida!$A$1:$G$270,6,FALSE),IF($M2443&gt;=0,VLOOKUP($E2443,Valida!$A$1:$G$270,7,FALSE)))</f>
        <v>(+/-) Ajustes por el incremento (disminución) de cuentas por pagar de origen comercial</v>
      </c>
      <c r="V2443" s="190" t="str">
        <f>VLOOKUP(E2443,Valida!$A$2:$K$271,4,FALSE)</f>
        <v>Trade and other payables</v>
      </c>
      <c r="W2443" s="185" t="s">
        <v>2024</v>
      </c>
      <c r="X2443" s="185" t="s">
        <v>2025</v>
      </c>
      <c r="Y2443" s="185" t="s">
        <v>1789</v>
      </c>
      <c r="Z2443"/>
    </row>
    <row r="2444" spans="1:26">
      <c r="A2444" s="185" t="s">
        <v>3389</v>
      </c>
      <c r="B2444" s="185" t="s">
        <v>3392</v>
      </c>
      <c r="C2444" s="185" t="s">
        <v>1792</v>
      </c>
      <c r="D2444" s="185" t="s">
        <v>2367</v>
      </c>
      <c r="E2444" s="185">
        <v>23654001</v>
      </c>
      <c r="F2444" s="185" t="s">
        <v>622</v>
      </c>
      <c r="G2444" s="185" t="s">
        <v>622</v>
      </c>
      <c r="H2444" s="185" t="s">
        <v>1628</v>
      </c>
      <c r="I2444" s="258" t="str">
        <f t="shared" si="115"/>
        <v>2</v>
      </c>
      <c r="J2444" s="221">
        <f t="shared" si="116"/>
        <v>-116390</v>
      </c>
      <c r="K2444" s="258">
        <f t="shared" si="117"/>
        <v>9</v>
      </c>
      <c r="L2444" s="188">
        <v>0</v>
      </c>
      <c r="M2444" s="188">
        <v>116390</v>
      </c>
      <c r="N2444" s="189">
        <v>830062853</v>
      </c>
      <c r="O2444" t="s">
        <v>3393</v>
      </c>
      <c r="P2444" s="187">
        <v>45190.451307870397</v>
      </c>
      <c r="Q2444" s="186">
        <v>13271</v>
      </c>
      <c r="R2444" s="185" t="s">
        <v>433</v>
      </c>
      <c r="S2444" s="185" t="s">
        <v>1564</v>
      </c>
      <c r="T2444"/>
      <c r="U2444" t="str">
        <f>IF($L2444&gt;0,VLOOKUP($E2444,Valida!$A$1:$G$270,6,FALSE),IF($M2444&gt;=0,VLOOKUP($E2444,Valida!$A$1:$G$270,7,FALSE)))</f>
        <v>(+/-) Ajustes por el incremento (disminución) de cuentas por pagar de origen comercial</v>
      </c>
      <c r="V2444" s="190" t="str">
        <f>VLOOKUP(E2444,Valida!$A$2:$K$271,4,FALSE)</f>
        <v>Trade and other payables</v>
      </c>
      <c r="W2444" s="185" t="s">
        <v>2024</v>
      </c>
      <c r="X2444" s="185" t="s">
        <v>2025</v>
      </c>
      <c r="Y2444" s="185" t="s">
        <v>1789</v>
      </c>
      <c r="Z2444"/>
    </row>
    <row r="2445" spans="1:26">
      <c r="A2445" s="185" t="s">
        <v>3389</v>
      </c>
      <c r="B2445" s="185" t="s">
        <v>3392</v>
      </c>
      <c r="C2445" s="185" t="s">
        <v>1792</v>
      </c>
      <c r="D2445" s="185" t="s">
        <v>2367</v>
      </c>
      <c r="E2445" s="185">
        <v>23680504</v>
      </c>
      <c r="F2445" s="185" t="s">
        <v>668</v>
      </c>
      <c r="G2445" s="185" t="s">
        <v>547</v>
      </c>
      <c r="H2445" s="185" t="s">
        <v>1628</v>
      </c>
      <c r="I2445" s="258" t="str">
        <f t="shared" si="115"/>
        <v>2</v>
      </c>
      <c r="J2445" s="221">
        <f t="shared" si="116"/>
        <v>-51398</v>
      </c>
      <c r="K2445" s="258">
        <f t="shared" si="117"/>
        <v>9</v>
      </c>
      <c r="L2445" s="188">
        <v>0</v>
      </c>
      <c r="M2445" s="188">
        <v>51398</v>
      </c>
      <c r="N2445" s="189">
        <v>830062853</v>
      </c>
      <c r="O2445" t="s">
        <v>3393</v>
      </c>
      <c r="P2445" s="187">
        <v>45190.451307870397</v>
      </c>
      <c r="Q2445" s="186">
        <v>13272</v>
      </c>
      <c r="R2445" s="185" t="s">
        <v>433</v>
      </c>
      <c r="S2445" s="185" t="s">
        <v>1564</v>
      </c>
      <c r="T2445"/>
      <c r="U2445" t="str">
        <f>IF($L2445&gt;0,VLOOKUP($E2445,Valida!$A$1:$G$270,6,FALSE),IF($M2445&gt;=0,VLOOKUP($E2445,Valida!$A$1:$G$270,7,FALSE)))</f>
        <v>(+/-) Ajustes por el incremento (disminución) de cuentas por pagar de origen comercial</v>
      </c>
      <c r="V2445" s="190" t="str">
        <f>VLOOKUP(E2445,Valida!$A$2:$K$271,4,FALSE)</f>
        <v>Trade and other payables</v>
      </c>
      <c r="W2445" s="185" t="s">
        <v>2024</v>
      </c>
      <c r="X2445" s="185" t="s">
        <v>2025</v>
      </c>
      <c r="Y2445" s="185" t="s">
        <v>1789</v>
      </c>
      <c r="Z2445"/>
    </row>
    <row r="2446" spans="1:26">
      <c r="A2446" s="185" t="s">
        <v>3389</v>
      </c>
      <c r="B2446" s="185" t="s">
        <v>3392</v>
      </c>
      <c r="C2446" s="185" t="s">
        <v>1792</v>
      </c>
      <c r="D2446" s="185" t="s">
        <v>2367</v>
      </c>
      <c r="E2446" s="185">
        <v>23359502</v>
      </c>
      <c r="F2446" s="185" t="s">
        <v>547</v>
      </c>
      <c r="G2446" s="185" t="s">
        <v>547</v>
      </c>
      <c r="H2446" s="185" t="s">
        <v>1628</v>
      </c>
      <c r="I2446" s="258" t="str">
        <f t="shared" si="115"/>
        <v>2</v>
      </c>
      <c r="J2446" s="221">
        <f t="shared" si="116"/>
        <v>-4977953</v>
      </c>
      <c r="K2446" s="258">
        <f t="shared" si="117"/>
        <v>9</v>
      </c>
      <c r="L2446" s="188">
        <v>0</v>
      </c>
      <c r="M2446" s="188">
        <v>4977953</v>
      </c>
      <c r="N2446" s="189">
        <v>830062853</v>
      </c>
      <c r="O2446" t="s">
        <v>3393</v>
      </c>
      <c r="P2446" s="187">
        <v>45190.451307870397</v>
      </c>
      <c r="Q2446" s="186">
        <v>13273</v>
      </c>
      <c r="R2446" s="185" t="s">
        <v>433</v>
      </c>
      <c r="S2446" s="185" t="s">
        <v>1564</v>
      </c>
      <c r="T2446"/>
      <c r="U2446" t="str">
        <f>IF($L2446&gt;0,VLOOKUP($E2446,Valida!$A$1:$G$270,6,FALSE),IF($M2446&gt;=0,VLOOKUP($E2446,Valida!$A$1:$G$270,7,FALSE)))</f>
        <v>(+/-) Ajustes por el incremento (disminución) de cuentas por pagar de origen comercial</v>
      </c>
      <c r="V2446" s="190" t="str">
        <f>VLOOKUP(E2446,Valida!$A$2:$K$271,4,FALSE)</f>
        <v>Trade and other payables</v>
      </c>
      <c r="W2446" s="185" t="s">
        <v>2024</v>
      </c>
      <c r="X2446" s="185" t="s">
        <v>2025</v>
      </c>
      <c r="Y2446" s="185" t="s">
        <v>1789</v>
      </c>
      <c r="Z2446"/>
    </row>
    <row r="2447" spans="1:26">
      <c r="A2447" s="185" t="s">
        <v>3389</v>
      </c>
      <c r="B2447" s="185" t="s">
        <v>3394</v>
      </c>
      <c r="C2447" s="185" t="s">
        <v>1792</v>
      </c>
      <c r="D2447" s="185" t="s">
        <v>2369</v>
      </c>
      <c r="E2447" s="185">
        <v>51353001</v>
      </c>
      <c r="F2447" s="185" t="s">
        <v>516</v>
      </c>
      <c r="G2447" s="185" t="s">
        <v>1833</v>
      </c>
      <c r="H2447" s="185" t="s">
        <v>1515</v>
      </c>
      <c r="I2447" s="258" t="str">
        <f t="shared" si="115"/>
        <v>5</v>
      </c>
      <c r="J2447" s="221">
        <f t="shared" si="116"/>
        <v>6760990</v>
      </c>
      <c r="K2447" s="258">
        <f t="shared" si="117"/>
        <v>9</v>
      </c>
      <c r="L2447" s="188">
        <v>6760990</v>
      </c>
      <c r="M2447" s="188">
        <v>0</v>
      </c>
      <c r="N2447" s="189">
        <v>860063875</v>
      </c>
      <c r="O2447" t="s">
        <v>3395</v>
      </c>
      <c r="P2447" s="187">
        <v>45190.4528587963</v>
      </c>
      <c r="Q2447" s="186">
        <v>13274</v>
      </c>
      <c r="R2447" s="185" t="s">
        <v>1827</v>
      </c>
      <c r="S2447" s="185" t="s">
        <v>1572</v>
      </c>
      <c r="T2447"/>
      <c r="U2447" t="str">
        <f>IF($L2447&gt;0,VLOOKUP($E2447,Valida!$A$1:$G$270,6,FALSE),IF($M2447&gt;=0,VLOOKUP($E2447,Valida!$A$1:$G$270,7,FALSE)))</f>
        <v>(+/-) Ganancia (pérdida)</v>
      </c>
      <c r="V2447" s="190" t="str">
        <f>VLOOKUP(E2447,Valida!$A$2:$K$271,4,FALSE)</f>
        <v>P&amp;L</v>
      </c>
      <c r="W2447" s="185" t="s">
        <v>1835</v>
      </c>
      <c r="X2447" s="185"/>
      <c r="Y2447" s="185" t="s">
        <v>1789</v>
      </c>
      <c r="Z2447"/>
    </row>
    <row r="2448" spans="1:26">
      <c r="A2448" s="185" t="s">
        <v>3389</v>
      </c>
      <c r="B2448" s="185" t="s">
        <v>3394</v>
      </c>
      <c r="C2448" s="185" t="s">
        <v>1792</v>
      </c>
      <c r="D2448" s="185" t="s">
        <v>2369</v>
      </c>
      <c r="E2448" s="185">
        <v>51350502</v>
      </c>
      <c r="F2448" s="185" t="s">
        <v>1738</v>
      </c>
      <c r="G2448" s="185" t="s">
        <v>1833</v>
      </c>
      <c r="H2448" s="185" t="s">
        <v>1515</v>
      </c>
      <c r="I2448" s="258" t="str">
        <f t="shared" si="115"/>
        <v>5</v>
      </c>
      <c r="J2448" s="221">
        <f t="shared" si="116"/>
        <v>47990</v>
      </c>
      <c r="K2448" s="258">
        <f t="shared" si="117"/>
        <v>9</v>
      </c>
      <c r="L2448" s="188">
        <v>47990</v>
      </c>
      <c r="M2448" s="188">
        <v>0</v>
      </c>
      <c r="N2448" s="189">
        <v>901145808</v>
      </c>
      <c r="O2448" t="s">
        <v>3395</v>
      </c>
      <c r="P2448" s="187">
        <v>45190.4528587963</v>
      </c>
      <c r="Q2448" s="186">
        <v>13275</v>
      </c>
      <c r="R2448" s="185" t="s">
        <v>1067</v>
      </c>
      <c r="S2448" s="185" t="s">
        <v>1740</v>
      </c>
      <c r="T2448"/>
      <c r="U2448" t="str">
        <f>IF($L2448&gt;0,VLOOKUP($E2448,Valida!$A$1:$G$270,6,FALSE),IF($M2448&gt;=0,VLOOKUP($E2448,Valida!$A$1:$G$270,7,FALSE)))</f>
        <v>(+/-) Ganancia (pérdida)</v>
      </c>
      <c r="V2448" s="190" t="str">
        <f>VLOOKUP(E2448,Valida!$A$2:$K$271,4,FALSE)</f>
        <v>P&amp;L</v>
      </c>
      <c r="W2448" s="185" t="s">
        <v>1836</v>
      </c>
      <c r="X2448" s="185" t="s">
        <v>1837</v>
      </c>
      <c r="Y2448" s="185" t="s">
        <v>1789</v>
      </c>
      <c r="Z2448"/>
    </row>
    <row r="2449" spans="1:26">
      <c r="A2449" s="185" t="s">
        <v>3389</v>
      </c>
      <c r="B2449" s="185" t="s">
        <v>3394</v>
      </c>
      <c r="C2449" s="185" t="s">
        <v>1792</v>
      </c>
      <c r="D2449" s="185" t="s">
        <v>2369</v>
      </c>
      <c r="E2449" s="185">
        <v>23355005</v>
      </c>
      <c r="F2449" s="185" t="s">
        <v>516</v>
      </c>
      <c r="G2449" s="185" t="s">
        <v>1833</v>
      </c>
      <c r="H2449" s="185" t="s">
        <v>1628</v>
      </c>
      <c r="I2449" s="258" t="str">
        <f t="shared" si="115"/>
        <v>2</v>
      </c>
      <c r="J2449" s="221">
        <f t="shared" si="116"/>
        <v>-6808980</v>
      </c>
      <c r="K2449" s="258">
        <f t="shared" si="117"/>
        <v>9</v>
      </c>
      <c r="L2449" s="188">
        <v>0</v>
      </c>
      <c r="M2449" s="188">
        <v>6808980</v>
      </c>
      <c r="N2449" s="189">
        <v>860063875</v>
      </c>
      <c r="O2449" t="s">
        <v>3395</v>
      </c>
      <c r="P2449" s="187">
        <v>45190.4528587963</v>
      </c>
      <c r="Q2449" s="186">
        <v>13276</v>
      </c>
      <c r="R2449" s="185" t="s">
        <v>1827</v>
      </c>
      <c r="S2449" s="185" t="s">
        <v>1572</v>
      </c>
      <c r="T2449"/>
      <c r="U2449" t="str">
        <f>IF($L2449&gt;0,VLOOKUP($E2449,Valida!$A$1:$G$270,6,FALSE),IF($M2449&gt;=0,VLOOKUP($E2449,Valida!$A$1:$G$270,7,FALSE)))</f>
        <v>(+/-) Ajustes por el incremento (disminución) de cuentas por pagar de origen comercial</v>
      </c>
      <c r="V2449" s="190" t="str">
        <f>VLOOKUP(E2449,Valida!$A$2:$K$271,4,FALSE)</f>
        <v>Trade and other payables</v>
      </c>
      <c r="W2449" s="185" t="s">
        <v>1835</v>
      </c>
      <c r="X2449" s="185"/>
      <c r="Y2449" s="185" t="s">
        <v>1789</v>
      </c>
      <c r="Z2449"/>
    </row>
    <row r="2450" spans="1:26">
      <c r="A2450" s="185" t="s">
        <v>3396</v>
      </c>
      <c r="B2450" s="185" t="s">
        <v>3397</v>
      </c>
      <c r="C2450" s="185" t="s">
        <v>1792</v>
      </c>
      <c r="D2450" s="185" t="s">
        <v>2371</v>
      </c>
      <c r="E2450" s="185">
        <v>51700502</v>
      </c>
      <c r="F2450" s="185" t="s">
        <v>1395</v>
      </c>
      <c r="G2450" s="185" t="s">
        <v>3398</v>
      </c>
      <c r="H2450" s="185" t="s">
        <v>1515</v>
      </c>
      <c r="I2450" s="258" t="str">
        <f t="shared" si="115"/>
        <v>5</v>
      </c>
      <c r="J2450" s="221">
        <f t="shared" si="116"/>
        <v>172261</v>
      </c>
      <c r="K2450" s="258">
        <f t="shared" si="117"/>
        <v>9</v>
      </c>
      <c r="L2450" s="188">
        <v>172261</v>
      </c>
      <c r="M2450" s="188">
        <v>0</v>
      </c>
      <c r="N2450" s="189">
        <v>900293637</v>
      </c>
      <c r="O2450" t="s">
        <v>3399</v>
      </c>
      <c r="P2450" s="187">
        <v>45190.508946759299</v>
      </c>
      <c r="Q2450" s="186">
        <v>13277</v>
      </c>
      <c r="R2450" s="185" t="s">
        <v>433</v>
      </c>
      <c r="S2450" s="185" t="s">
        <v>1596</v>
      </c>
      <c r="T2450"/>
      <c r="U2450" t="str">
        <f>IF($L2450&gt;0,VLOOKUP($E2450,Valida!$A$1:$G$270,6,FALSE),IF($M2450&gt;=0,VLOOKUP($E2450,Valida!$A$1:$G$270,7,FALSE)))</f>
        <v>(+/-) Ganancia (pérdida)</v>
      </c>
      <c r="V2450" s="190" t="str">
        <f>VLOOKUP(E2450,Valida!$A$2:$K$271,4,FALSE)</f>
        <v>P&amp;L</v>
      </c>
      <c r="W2450" s="185" t="s">
        <v>3400</v>
      </c>
      <c r="X2450" s="185" t="s">
        <v>3401</v>
      </c>
      <c r="Y2450" s="185" t="s">
        <v>1789</v>
      </c>
      <c r="Z2450"/>
    </row>
    <row r="2451" spans="1:26">
      <c r="A2451" s="185" t="s">
        <v>3396</v>
      </c>
      <c r="B2451" s="185" t="s">
        <v>3397</v>
      </c>
      <c r="C2451" s="185" t="s">
        <v>1792</v>
      </c>
      <c r="D2451" s="185" t="s">
        <v>2371</v>
      </c>
      <c r="E2451" s="185">
        <v>24081002</v>
      </c>
      <c r="F2451" s="185" t="s">
        <v>1687</v>
      </c>
      <c r="G2451" s="185" t="s">
        <v>3398</v>
      </c>
      <c r="H2451" s="185" t="s">
        <v>1515</v>
      </c>
      <c r="I2451" s="258" t="str">
        <f t="shared" si="115"/>
        <v>2</v>
      </c>
      <c r="J2451" s="221">
        <f t="shared" si="116"/>
        <v>32729</v>
      </c>
      <c r="K2451" s="258">
        <f t="shared" si="117"/>
        <v>9</v>
      </c>
      <c r="L2451" s="188">
        <v>32729</v>
      </c>
      <c r="M2451" s="188">
        <v>0</v>
      </c>
      <c r="N2451" s="189">
        <v>900293637</v>
      </c>
      <c r="O2451" t="s">
        <v>3399</v>
      </c>
      <c r="P2451" s="187">
        <v>45190.508958333303</v>
      </c>
      <c r="Q2451" s="186">
        <v>13278</v>
      </c>
      <c r="R2451" s="185" t="s">
        <v>433</v>
      </c>
      <c r="S2451" s="185" t="s">
        <v>1596</v>
      </c>
      <c r="T2451"/>
      <c r="U2451" t="str">
        <f>IF($L2451&gt;0,VLOOKUP($E2451,Valida!$A$1:$G$270,6,FALSE),IF($M2451&gt;=0,VLOOKUP($E2451,Valida!$A$1:$G$270,7,FALSE)))</f>
        <v>(+/-) Ajustes por el incremento (disminución) de cuentas por pagar de origen comercial</v>
      </c>
      <c r="V2451" s="190" t="str">
        <f>VLOOKUP(E2451,Valida!$A$2:$K$271,4,FALSE)</f>
        <v>Trade and other payables</v>
      </c>
      <c r="W2451" s="185" t="s">
        <v>3400</v>
      </c>
      <c r="X2451" s="185" t="s">
        <v>3401</v>
      </c>
      <c r="Y2451" s="185" t="s">
        <v>1789</v>
      </c>
      <c r="Z2451"/>
    </row>
    <row r="2452" spans="1:26">
      <c r="A2452" s="185" t="s">
        <v>3396</v>
      </c>
      <c r="B2452" s="185" t="s">
        <v>3397</v>
      </c>
      <c r="C2452" s="185" t="s">
        <v>1792</v>
      </c>
      <c r="D2452" s="185" t="s">
        <v>2371</v>
      </c>
      <c r="E2452" s="185">
        <v>23355002</v>
      </c>
      <c r="F2452" s="185" t="s">
        <v>506</v>
      </c>
      <c r="G2452" s="185" t="s">
        <v>3398</v>
      </c>
      <c r="H2452" s="185" t="s">
        <v>1628</v>
      </c>
      <c r="I2452" s="258" t="str">
        <f t="shared" si="115"/>
        <v>2</v>
      </c>
      <c r="J2452" s="221">
        <f t="shared" si="116"/>
        <v>-204990</v>
      </c>
      <c r="K2452" s="258">
        <f t="shared" si="117"/>
        <v>9</v>
      </c>
      <c r="L2452" s="188">
        <v>0</v>
      </c>
      <c r="M2452" s="188">
        <v>204990</v>
      </c>
      <c r="N2452" s="189">
        <v>900293637</v>
      </c>
      <c r="O2452" t="s">
        <v>3399</v>
      </c>
      <c r="P2452" s="187">
        <v>45190.508958333303</v>
      </c>
      <c r="Q2452" s="186">
        <v>13279</v>
      </c>
      <c r="R2452" s="185" t="s">
        <v>433</v>
      </c>
      <c r="S2452" s="185" t="s">
        <v>1596</v>
      </c>
      <c r="T2452"/>
      <c r="U2452" t="str">
        <f>IF($L2452&gt;0,VLOOKUP($E2452,Valida!$A$1:$G$270,6,FALSE),IF($M2452&gt;=0,VLOOKUP($E2452,Valida!$A$1:$G$270,7,FALSE)))</f>
        <v>(+/-) Ajustes por el incremento (disminución) de cuentas por pagar de origen comercial</v>
      </c>
      <c r="V2452" s="190" t="str">
        <f>VLOOKUP(E2452,Valida!$A$2:$K$271,4,FALSE)</f>
        <v>Trade and other payables</v>
      </c>
      <c r="W2452" s="185" t="s">
        <v>3400</v>
      </c>
      <c r="X2452" s="185" t="s">
        <v>3401</v>
      </c>
      <c r="Y2452" s="185" t="s">
        <v>1789</v>
      </c>
      <c r="Z2452"/>
    </row>
    <row r="2453" spans="1:26">
      <c r="A2453" s="185" t="s">
        <v>3402</v>
      </c>
      <c r="B2453" s="185" t="s">
        <v>3403</v>
      </c>
      <c r="C2453" s="185" t="s">
        <v>1890</v>
      </c>
      <c r="D2453" s="185" t="s">
        <v>3404</v>
      </c>
      <c r="E2453" s="185">
        <v>112005</v>
      </c>
      <c r="F2453" s="185" t="s">
        <v>24</v>
      </c>
      <c r="G2453" s="185" t="s">
        <v>1921</v>
      </c>
      <c r="H2453" s="185" t="s">
        <v>1628</v>
      </c>
      <c r="I2453" s="258" t="str">
        <f t="shared" si="115"/>
        <v>1</v>
      </c>
      <c r="J2453" s="221">
        <f t="shared" si="116"/>
        <v>-204990</v>
      </c>
      <c r="K2453" s="258">
        <f t="shared" si="117"/>
        <v>9</v>
      </c>
      <c r="L2453" s="188">
        <v>0</v>
      </c>
      <c r="M2453" s="188">
        <v>204990</v>
      </c>
      <c r="N2453" s="189">
        <v>900293637</v>
      </c>
      <c r="O2453"/>
      <c r="P2453" s="187">
        <v>45191.4199421296</v>
      </c>
      <c r="Q2453" s="186">
        <v>13307</v>
      </c>
      <c r="R2453" s="185" t="s">
        <v>433</v>
      </c>
      <c r="S2453" s="185" t="s">
        <v>1596</v>
      </c>
      <c r="T2453" t="s">
        <v>1894</v>
      </c>
      <c r="U2453" t="str">
        <f>IF($L2453&gt;0,VLOOKUP($E2453,Valida!$A$1:$G$270,6,FALSE),IF($M2453&gt;=0,VLOOKUP($E2453,Valida!$A$1:$G$270,7,FALSE)))</f>
        <v>Disponible</v>
      </c>
      <c r="V2453" s="190" t="str">
        <f>VLOOKUP(E2453,Valida!$A$2:$K$271,4,FALSE)</f>
        <v>Cash and equivalents</v>
      </c>
      <c r="W2453" s="185" t="s">
        <v>3400</v>
      </c>
      <c r="X2453" s="185" t="s">
        <v>3401</v>
      </c>
      <c r="Y2453" s="185" t="s">
        <v>1789</v>
      </c>
      <c r="Z2453"/>
    </row>
    <row r="2454" spans="1:26">
      <c r="A2454" s="185" t="s">
        <v>3402</v>
      </c>
      <c r="B2454" s="185" t="s">
        <v>3403</v>
      </c>
      <c r="C2454" s="185" t="s">
        <v>1890</v>
      </c>
      <c r="D2454" s="185" t="s">
        <v>3404</v>
      </c>
      <c r="E2454" s="185">
        <v>23355002</v>
      </c>
      <c r="F2454" s="185" t="s">
        <v>506</v>
      </c>
      <c r="G2454" s="185" t="s">
        <v>1921</v>
      </c>
      <c r="H2454" s="185" t="s">
        <v>1515</v>
      </c>
      <c r="I2454" s="258" t="str">
        <f t="shared" si="115"/>
        <v>2</v>
      </c>
      <c r="J2454" s="221">
        <f t="shared" si="116"/>
        <v>204990</v>
      </c>
      <c r="K2454" s="258">
        <f t="shared" si="117"/>
        <v>9</v>
      </c>
      <c r="L2454" s="188">
        <v>204990</v>
      </c>
      <c r="M2454" s="188">
        <v>0</v>
      </c>
      <c r="N2454" s="189">
        <v>900293637</v>
      </c>
      <c r="O2454"/>
      <c r="P2454" s="187">
        <v>45191.4199421296</v>
      </c>
      <c r="Q2454" s="186">
        <v>13308</v>
      </c>
      <c r="R2454" s="185" t="s">
        <v>433</v>
      </c>
      <c r="S2454" s="185" t="s">
        <v>1596</v>
      </c>
      <c r="T2454"/>
      <c r="U2454" t="str">
        <f>IF($L2454&gt;0,VLOOKUP($E2454,Valida!$A$1:$G$270,6,FALSE),IF($M2454&gt;=0,VLOOKUP($E2454,Valida!$A$1:$G$270,7,FALSE)))</f>
        <v>(+/-) Ajustes por el incremento (disminución) de cuentas por pagar de origen comercial</v>
      </c>
      <c r="V2454" s="190" t="str">
        <f>VLOOKUP(E2454,Valida!$A$2:$K$271,4,FALSE)</f>
        <v>Trade and other payables</v>
      </c>
      <c r="W2454" s="185" t="s">
        <v>3400</v>
      </c>
      <c r="X2454" s="185" t="s">
        <v>3401</v>
      </c>
      <c r="Y2454" s="185" t="s">
        <v>1789</v>
      </c>
      <c r="Z2454"/>
    </row>
    <row r="2455" spans="1:26">
      <c r="A2455" s="185" t="s">
        <v>3402</v>
      </c>
      <c r="B2455" s="185" t="s">
        <v>3405</v>
      </c>
      <c r="C2455" s="185" t="s">
        <v>1890</v>
      </c>
      <c r="D2455" s="185" t="s">
        <v>3406</v>
      </c>
      <c r="E2455" s="185">
        <v>112005</v>
      </c>
      <c r="F2455" s="185" t="s">
        <v>24</v>
      </c>
      <c r="G2455" s="185" t="s">
        <v>1921</v>
      </c>
      <c r="H2455" s="185" t="s">
        <v>1628</v>
      </c>
      <c r="I2455" s="258" t="str">
        <f t="shared" si="115"/>
        <v>1</v>
      </c>
      <c r="J2455" s="221">
        <f t="shared" si="116"/>
        <v>-1457040</v>
      </c>
      <c r="K2455" s="258">
        <f t="shared" si="117"/>
        <v>9</v>
      </c>
      <c r="L2455" s="188">
        <v>0</v>
      </c>
      <c r="M2455" s="188">
        <v>1457040</v>
      </c>
      <c r="N2455" s="189">
        <v>899999115</v>
      </c>
      <c r="O2455"/>
      <c r="P2455" s="187">
        <v>45191.420902777798</v>
      </c>
      <c r="Q2455" s="186">
        <v>13309</v>
      </c>
      <c r="R2455" s="185" t="s">
        <v>1827</v>
      </c>
      <c r="S2455" s="185" t="s">
        <v>1586</v>
      </c>
      <c r="T2455" t="s">
        <v>1894</v>
      </c>
      <c r="U2455" t="str">
        <f>IF($L2455&gt;0,VLOOKUP($E2455,Valida!$A$1:$G$270,6,FALSE),IF($M2455&gt;=0,VLOOKUP($E2455,Valida!$A$1:$G$270,7,FALSE)))</f>
        <v>Disponible</v>
      </c>
      <c r="V2455" s="190" t="str">
        <f>VLOOKUP(E2455,Valida!$A$2:$K$271,4,FALSE)</f>
        <v>Cash and equivalents</v>
      </c>
      <c r="W2455" s="185" t="s">
        <v>1828</v>
      </c>
      <c r="X2455" s="185" t="s">
        <v>1829</v>
      </c>
      <c r="Y2455" s="185" t="s">
        <v>1789</v>
      </c>
      <c r="Z2455"/>
    </row>
    <row r="2456" spans="1:26">
      <c r="A2456" s="185" t="s">
        <v>3352</v>
      </c>
      <c r="B2456" s="185" t="s">
        <v>3407</v>
      </c>
      <c r="C2456" s="185" t="s">
        <v>1890</v>
      </c>
      <c r="D2456" s="185" t="s">
        <v>3408</v>
      </c>
      <c r="E2456" s="185">
        <v>112005</v>
      </c>
      <c r="F2456" s="185" t="s">
        <v>24</v>
      </c>
      <c r="G2456" s="185" t="s">
        <v>1921</v>
      </c>
      <c r="H2456" s="185" t="s">
        <v>1628</v>
      </c>
      <c r="I2456" s="258" t="str">
        <f t="shared" si="115"/>
        <v>1</v>
      </c>
      <c r="J2456" s="221">
        <f t="shared" si="116"/>
        <v>-374619</v>
      </c>
      <c r="K2456" s="258">
        <f t="shared" si="117"/>
        <v>9</v>
      </c>
      <c r="L2456" s="188">
        <v>0</v>
      </c>
      <c r="M2456" s="188">
        <v>374619</v>
      </c>
      <c r="N2456" s="189">
        <v>901636211</v>
      </c>
      <c r="O2456"/>
      <c r="P2456" s="187">
        <v>45191.4043634259</v>
      </c>
      <c r="Q2456" s="186">
        <v>13280</v>
      </c>
      <c r="R2456" s="185" t="s">
        <v>1901</v>
      </c>
      <c r="S2456" s="185" t="s">
        <v>1612</v>
      </c>
      <c r="T2456" t="s">
        <v>1894</v>
      </c>
      <c r="U2456" t="str">
        <f>IF($L2456&gt;0,VLOOKUP($E2456,Valida!$A$1:$G$270,6,FALSE),IF($M2456&gt;=0,VLOOKUP($E2456,Valida!$A$1:$G$270,7,FALSE)))</f>
        <v>Disponible</v>
      </c>
      <c r="V2456" s="190" t="str">
        <f>VLOOKUP(E2456,Valida!$A$2:$K$271,4,FALSE)</f>
        <v>Cash and equivalents</v>
      </c>
      <c r="W2456" s="185" t="s">
        <v>3316</v>
      </c>
      <c r="X2456" s="185"/>
      <c r="Y2456" s="185" t="s">
        <v>1789</v>
      </c>
      <c r="Z2456"/>
    </row>
    <row r="2457" spans="1:26">
      <c r="A2457" s="185" t="s">
        <v>3402</v>
      </c>
      <c r="B2457" s="185" t="s">
        <v>3405</v>
      </c>
      <c r="C2457" s="185" t="s">
        <v>1890</v>
      </c>
      <c r="D2457" s="185" t="s">
        <v>3406</v>
      </c>
      <c r="E2457" s="185">
        <v>23355006</v>
      </c>
      <c r="F2457" s="185" t="s">
        <v>519</v>
      </c>
      <c r="G2457" s="185" t="s">
        <v>1921</v>
      </c>
      <c r="H2457" s="185" t="s">
        <v>1515</v>
      </c>
      <c r="I2457" s="258" t="str">
        <f t="shared" si="115"/>
        <v>2</v>
      </c>
      <c r="J2457" s="221">
        <f t="shared" si="116"/>
        <v>1457040</v>
      </c>
      <c r="K2457" s="258">
        <f t="shared" si="117"/>
        <v>9</v>
      </c>
      <c r="L2457" s="188">
        <v>1457040</v>
      </c>
      <c r="M2457" s="188">
        <v>0</v>
      </c>
      <c r="N2457" s="189">
        <v>899999115</v>
      </c>
      <c r="O2457"/>
      <c r="P2457" s="187">
        <v>45191.420902777798</v>
      </c>
      <c r="Q2457" s="186">
        <v>13310</v>
      </c>
      <c r="R2457" s="185" t="s">
        <v>1827</v>
      </c>
      <c r="S2457" s="185" t="s">
        <v>1586</v>
      </c>
      <c r="T2457"/>
      <c r="U2457" t="str">
        <f>IF($L2457&gt;0,VLOOKUP($E2457,Valida!$A$1:$G$270,6,FALSE),IF($M2457&gt;=0,VLOOKUP($E2457,Valida!$A$1:$G$270,7,FALSE)))</f>
        <v>(+/-) Ajustes por el incremento (disminución) de cuentas por pagar de origen comercial</v>
      </c>
      <c r="V2457" s="190" t="str">
        <f>VLOOKUP(E2457,Valida!$A$2:$K$271,4,FALSE)</f>
        <v>Trade and other payables</v>
      </c>
      <c r="W2457" s="185" t="s">
        <v>1828</v>
      </c>
      <c r="X2457" s="185" t="s">
        <v>1829</v>
      </c>
      <c r="Y2457" s="185" t="s">
        <v>1789</v>
      </c>
      <c r="Z2457"/>
    </row>
    <row r="2458" spans="1:26">
      <c r="A2458" s="185" t="s">
        <v>3402</v>
      </c>
      <c r="B2458" s="185" t="s">
        <v>3409</v>
      </c>
      <c r="C2458" s="185" t="s">
        <v>1890</v>
      </c>
      <c r="D2458" s="185" t="s">
        <v>3410</v>
      </c>
      <c r="E2458" s="185">
        <v>112005</v>
      </c>
      <c r="F2458" s="185" t="s">
        <v>24</v>
      </c>
      <c r="G2458" s="185" t="s">
        <v>1921</v>
      </c>
      <c r="H2458" s="185" t="s">
        <v>1628</v>
      </c>
      <c r="I2458" s="258" t="str">
        <f t="shared" si="115"/>
        <v>1</v>
      </c>
      <c r="J2458" s="221">
        <f t="shared" si="116"/>
        <v>-4245373</v>
      </c>
      <c r="K2458" s="258">
        <f t="shared" si="117"/>
        <v>9</v>
      </c>
      <c r="L2458" s="188">
        <v>0</v>
      </c>
      <c r="M2458" s="188">
        <v>4245373</v>
      </c>
      <c r="N2458" s="189">
        <v>800153993</v>
      </c>
      <c r="O2458"/>
      <c r="P2458" s="187">
        <v>45191.421539351897</v>
      </c>
      <c r="Q2458" s="186">
        <v>13311</v>
      </c>
      <c r="R2458" s="185" t="s">
        <v>1814</v>
      </c>
      <c r="S2458" s="185" t="s">
        <v>1556</v>
      </c>
      <c r="T2458" t="s">
        <v>1894</v>
      </c>
      <c r="U2458" t="str">
        <f>IF($L2458&gt;0,VLOOKUP($E2458,Valida!$A$1:$G$270,6,FALSE),IF($M2458&gt;=0,VLOOKUP($E2458,Valida!$A$1:$G$270,7,FALSE)))</f>
        <v>Disponible</v>
      </c>
      <c r="V2458" s="190" t="str">
        <f>VLOOKUP(E2458,Valida!$A$2:$K$271,4,FALSE)</f>
        <v>Cash and equivalents</v>
      </c>
      <c r="W2458" s="185" t="s">
        <v>1815</v>
      </c>
      <c r="X2458" s="185"/>
      <c r="Y2458" s="185" t="s">
        <v>1789</v>
      </c>
      <c r="Z2458"/>
    </row>
    <row r="2459" spans="1:26">
      <c r="A2459" s="185" t="s">
        <v>3352</v>
      </c>
      <c r="B2459" s="185" t="s">
        <v>3407</v>
      </c>
      <c r="C2459" s="185" t="s">
        <v>1890</v>
      </c>
      <c r="D2459" s="185" t="s">
        <v>3408</v>
      </c>
      <c r="E2459" s="185">
        <v>23352509</v>
      </c>
      <c r="F2459" s="185" t="s">
        <v>1636</v>
      </c>
      <c r="G2459" s="185" t="s">
        <v>1921</v>
      </c>
      <c r="H2459" s="185" t="s">
        <v>1515</v>
      </c>
      <c r="I2459" s="258" t="str">
        <f t="shared" si="115"/>
        <v>2</v>
      </c>
      <c r="J2459" s="221">
        <f t="shared" si="116"/>
        <v>374619</v>
      </c>
      <c r="K2459" s="258">
        <f t="shared" si="117"/>
        <v>9</v>
      </c>
      <c r="L2459" s="188">
        <v>374619</v>
      </c>
      <c r="M2459" s="188">
        <v>0</v>
      </c>
      <c r="N2459" s="189">
        <v>901636211</v>
      </c>
      <c r="O2459"/>
      <c r="P2459" s="187">
        <v>45191.4043634259</v>
      </c>
      <c r="Q2459" s="186">
        <v>13281</v>
      </c>
      <c r="R2459" s="185" t="s">
        <v>1901</v>
      </c>
      <c r="S2459" s="185" t="s">
        <v>1612</v>
      </c>
      <c r="T2459"/>
      <c r="U2459" t="str">
        <f>IF($L2459&gt;0,VLOOKUP($E2459,Valida!$A$1:$G$270,6,FALSE),IF($M2459&gt;=0,VLOOKUP($E2459,Valida!$A$1:$G$270,7,FALSE)))</f>
        <v>(+/-) Ajustes por el incremento (disminución) de cuentas por pagar de origen comercial</v>
      </c>
      <c r="V2459" s="190" t="str">
        <f>VLOOKUP(E2459,Valida!$A$2:$K$271,4,FALSE)</f>
        <v>Trade and other payables</v>
      </c>
      <c r="W2459" s="185" t="s">
        <v>3316</v>
      </c>
      <c r="X2459" s="185"/>
      <c r="Y2459" s="185" t="s">
        <v>1789</v>
      </c>
      <c r="Z2459"/>
    </row>
    <row r="2460" spans="1:26">
      <c r="A2460" s="185" t="s">
        <v>3352</v>
      </c>
      <c r="B2460" s="185" t="s">
        <v>3411</v>
      </c>
      <c r="C2460" s="185" t="s">
        <v>1890</v>
      </c>
      <c r="D2460" s="185" t="s">
        <v>3412</v>
      </c>
      <c r="E2460" s="185">
        <v>112005</v>
      </c>
      <c r="F2460" s="185" t="s">
        <v>24</v>
      </c>
      <c r="G2460" s="185" t="s">
        <v>1921</v>
      </c>
      <c r="H2460" s="185" t="s">
        <v>1628</v>
      </c>
      <c r="I2460" s="258" t="str">
        <f t="shared" si="115"/>
        <v>1</v>
      </c>
      <c r="J2460" s="221">
        <f t="shared" si="116"/>
        <v>-98831.71</v>
      </c>
      <c r="K2460" s="258">
        <f t="shared" si="117"/>
        <v>9</v>
      </c>
      <c r="L2460" s="188">
        <v>0</v>
      </c>
      <c r="M2460" s="188">
        <v>98831.71</v>
      </c>
      <c r="N2460" s="189">
        <v>440493581</v>
      </c>
      <c r="O2460"/>
      <c r="P2460" s="187">
        <v>45191.405370370398</v>
      </c>
      <c r="Q2460" s="186">
        <v>13282</v>
      </c>
      <c r="R2460" s="185"/>
      <c r="S2460" s="185" t="s">
        <v>1546</v>
      </c>
      <c r="T2460" t="s">
        <v>1894</v>
      </c>
      <c r="U2460" t="str">
        <f>IF($L2460&gt;0,VLOOKUP($E2460,Valida!$A$1:$G$270,6,FALSE),IF($M2460&gt;=0,VLOOKUP($E2460,Valida!$A$1:$G$270,7,FALSE)))</f>
        <v>Disponible</v>
      </c>
      <c r="V2460" s="190" t="str">
        <f>VLOOKUP(E2460,Valida!$A$2:$K$271,4,FALSE)</f>
        <v>Cash and equivalents</v>
      </c>
      <c r="W2460" s="185" t="s">
        <v>1808</v>
      </c>
      <c r="X2460" s="185"/>
      <c r="Y2460" s="185"/>
      <c r="Z2460"/>
    </row>
    <row r="2461" spans="1:26">
      <c r="A2461" s="185" t="s">
        <v>3352</v>
      </c>
      <c r="B2461" s="185" t="s">
        <v>3411</v>
      </c>
      <c r="C2461" s="185" t="s">
        <v>1890</v>
      </c>
      <c r="D2461" s="185" t="s">
        <v>3412</v>
      </c>
      <c r="E2461" s="185">
        <v>23355002</v>
      </c>
      <c r="F2461" s="185" t="s">
        <v>506</v>
      </c>
      <c r="G2461" s="185" t="s">
        <v>1921</v>
      </c>
      <c r="H2461" s="185" t="s">
        <v>1515</v>
      </c>
      <c r="I2461" s="258" t="str">
        <f t="shared" si="115"/>
        <v>2</v>
      </c>
      <c r="J2461" s="221">
        <f t="shared" si="116"/>
        <v>98831.71</v>
      </c>
      <c r="K2461" s="258">
        <f t="shared" si="117"/>
        <v>9</v>
      </c>
      <c r="L2461" s="188">
        <v>98831.71</v>
      </c>
      <c r="M2461" s="188">
        <v>0</v>
      </c>
      <c r="N2461" s="189">
        <v>440493581</v>
      </c>
      <c r="O2461"/>
      <c r="P2461" s="187">
        <v>45191.405381944402</v>
      </c>
      <c r="Q2461" s="186">
        <v>13283</v>
      </c>
      <c r="R2461" s="185"/>
      <c r="S2461" s="185" t="s">
        <v>1546</v>
      </c>
      <c r="T2461"/>
      <c r="U2461" t="str">
        <f>IF($L2461&gt;0,VLOOKUP($E2461,Valida!$A$1:$G$270,6,FALSE),IF($M2461&gt;=0,VLOOKUP($E2461,Valida!$A$1:$G$270,7,FALSE)))</f>
        <v>(+/-) Ajustes por el incremento (disminución) de cuentas por pagar de origen comercial</v>
      </c>
      <c r="V2461" s="190" t="str">
        <f>VLOOKUP(E2461,Valida!$A$2:$K$271,4,FALSE)</f>
        <v>Trade and other payables</v>
      </c>
      <c r="W2461" s="185" t="s">
        <v>1808</v>
      </c>
      <c r="X2461" s="185"/>
      <c r="Y2461" s="185"/>
      <c r="Z2461"/>
    </row>
    <row r="2462" spans="1:26">
      <c r="A2462" s="185" t="s">
        <v>3413</v>
      </c>
      <c r="B2462" s="185" t="s">
        <v>3414</v>
      </c>
      <c r="C2462" s="185" t="s">
        <v>1890</v>
      </c>
      <c r="D2462" s="185" t="s">
        <v>3415</v>
      </c>
      <c r="E2462" s="185">
        <v>112005</v>
      </c>
      <c r="F2462" s="185" t="s">
        <v>24</v>
      </c>
      <c r="G2462" s="185" t="s">
        <v>1921</v>
      </c>
      <c r="H2462" s="185" t="s">
        <v>1628</v>
      </c>
      <c r="I2462" s="258" t="str">
        <f t="shared" si="115"/>
        <v>1</v>
      </c>
      <c r="J2462" s="221">
        <f t="shared" si="116"/>
        <v>-360964</v>
      </c>
      <c r="K2462" s="258">
        <f t="shared" si="117"/>
        <v>9</v>
      </c>
      <c r="L2462" s="188">
        <v>0</v>
      </c>
      <c r="M2462" s="188">
        <v>360964</v>
      </c>
      <c r="N2462" s="189">
        <v>901636211</v>
      </c>
      <c r="O2462"/>
      <c r="P2462" s="187">
        <v>45191.406446759298</v>
      </c>
      <c r="Q2462" s="186">
        <v>13284</v>
      </c>
      <c r="R2462" s="185" t="s">
        <v>1901</v>
      </c>
      <c r="S2462" s="185" t="s">
        <v>1612</v>
      </c>
      <c r="T2462" t="s">
        <v>1894</v>
      </c>
      <c r="U2462" t="str">
        <f>IF($L2462&gt;0,VLOOKUP($E2462,Valida!$A$1:$G$270,6,FALSE),IF($M2462&gt;=0,VLOOKUP($E2462,Valida!$A$1:$G$270,7,FALSE)))</f>
        <v>Disponible</v>
      </c>
      <c r="V2462" s="190" t="str">
        <f>VLOOKUP(E2462,Valida!$A$2:$K$271,4,FALSE)</f>
        <v>Cash and equivalents</v>
      </c>
      <c r="W2462" s="185" t="s">
        <v>3316</v>
      </c>
      <c r="X2462" s="185"/>
      <c r="Y2462" s="185" t="s">
        <v>1789</v>
      </c>
      <c r="Z2462"/>
    </row>
    <row r="2463" spans="1:26">
      <c r="A2463" s="185" t="s">
        <v>3413</v>
      </c>
      <c r="B2463" s="185" t="s">
        <v>3414</v>
      </c>
      <c r="C2463" s="185" t="s">
        <v>1890</v>
      </c>
      <c r="D2463" s="185" t="s">
        <v>3415</v>
      </c>
      <c r="E2463" s="185">
        <v>23359506</v>
      </c>
      <c r="F2463" s="185" t="s">
        <v>1642</v>
      </c>
      <c r="G2463" s="185" t="s">
        <v>1921</v>
      </c>
      <c r="H2463" s="185" t="s">
        <v>1515</v>
      </c>
      <c r="I2463" s="258" t="str">
        <f t="shared" si="115"/>
        <v>2</v>
      </c>
      <c r="J2463" s="221">
        <f t="shared" si="116"/>
        <v>284710</v>
      </c>
      <c r="K2463" s="258">
        <f t="shared" si="117"/>
        <v>9</v>
      </c>
      <c r="L2463" s="188">
        <v>284710</v>
      </c>
      <c r="M2463" s="188">
        <v>0</v>
      </c>
      <c r="N2463" s="189">
        <v>901636211</v>
      </c>
      <c r="O2463"/>
      <c r="P2463" s="187">
        <v>45191.406446759298</v>
      </c>
      <c r="Q2463" s="186">
        <v>13285</v>
      </c>
      <c r="R2463" s="185" t="s">
        <v>1901</v>
      </c>
      <c r="S2463" s="185" t="s">
        <v>1612</v>
      </c>
      <c r="T2463"/>
      <c r="U2463" t="str">
        <f>IF($L2463&gt;0,VLOOKUP($E2463,Valida!$A$1:$G$270,6,FALSE),IF($M2463&gt;=0,VLOOKUP($E2463,Valida!$A$1:$G$270,7,FALSE)))</f>
        <v>(+/-) Ajustes por el incremento (disminución) de cuentas por pagar de origen comercial</v>
      </c>
      <c r="V2463" s="190" t="str">
        <f>VLOOKUP(E2463,Valida!$A$2:$K$271,4,FALSE)</f>
        <v>Trade and other payables</v>
      </c>
      <c r="W2463" s="185" t="s">
        <v>3316</v>
      </c>
      <c r="X2463" s="185"/>
      <c r="Y2463" s="185" t="s">
        <v>1789</v>
      </c>
      <c r="Z2463"/>
    </row>
    <row r="2464" spans="1:26">
      <c r="A2464" s="185" t="s">
        <v>3413</v>
      </c>
      <c r="B2464" s="185" t="s">
        <v>3416</v>
      </c>
      <c r="C2464" s="185" t="s">
        <v>1890</v>
      </c>
      <c r="D2464" s="185" t="s">
        <v>3417</v>
      </c>
      <c r="E2464" s="185">
        <v>112005</v>
      </c>
      <c r="F2464" s="185" t="s">
        <v>24</v>
      </c>
      <c r="G2464" s="185" t="s">
        <v>1921</v>
      </c>
      <c r="H2464" s="185" t="s">
        <v>1628</v>
      </c>
      <c r="I2464" s="258" t="str">
        <f t="shared" si="115"/>
        <v>1</v>
      </c>
      <c r="J2464" s="221">
        <f t="shared" si="116"/>
        <v>-3955088</v>
      </c>
      <c r="K2464" s="258">
        <f t="shared" si="117"/>
        <v>9</v>
      </c>
      <c r="L2464" s="188">
        <v>0</v>
      </c>
      <c r="M2464" s="188">
        <v>3955088</v>
      </c>
      <c r="N2464" s="189">
        <v>860044821</v>
      </c>
      <c r="O2464"/>
      <c r="P2464" s="187">
        <v>45191.407071759299</v>
      </c>
      <c r="Q2464" s="186">
        <v>13286</v>
      </c>
      <c r="R2464" s="185" t="s">
        <v>6</v>
      </c>
      <c r="S2464" s="185" t="s">
        <v>1570</v>
      </c>
      <c r="T2464" t="s">
        <v>1894</v>
      </c>
      <c r="U2464" t="str">
        <f>IF($L2464&gt;0,VLOOKUP($E2464,Valida!$A$1:$G$270,6,FALSE),IF($M2464&gt;=0,VLOOKUP($E2464,Valida!$A$1:$G$270,7,FALSE)))</f>
        <v>Disponible</v>
      </c>
      <c r="V2464" s="190" t="str">
        <f>VLOOKUP(E2464,Valida!$A$2:$K$271,4,FALSE)</f>
        <v>Cash and equivalents</v>
      </c>
      <c r="W2464" s="185" t="s">
        <v>2048</v>
      </c>
      <c r="X2464" s="185"/>
      <c r="Y2464" s="185" t="s">
        <v>1789</v>
      </c>
      <c r="Z2464"/>
    </row>
    <row r="2465" spans="1:26">
      <c r="A2465" s="185" t="s">
        <v>3413</v>
      </c>
      <c r="B2465" s="185" t="s">
        <v>3416</v>
      </c>
      <c r="C2465" s="185" t="s">
        <v>1890</v>
      </c>
      <c r="D2465" s="185" t="s">
        <v>3417</v>
      </c>
      <c r="E2465" s="185">
        <v>23354001</v>
      </c>
      <c r="F2465" s="185" t="s">
        <v>484</v>
      </c>
      <c r="G2465" s="185" t="s">
        <v>1921</v>
      </c>
      <c r="H2465" s="185" t="s">
        <v>1515</v>
      </c>
      <c r="I2465" s="258" t="str">
        <f t="shared" si="115"/>
        <v>2</v>
      </c>
      <c r="J2465" s="221">
        <f t="shared" si="116"/>
        <v>3955088</v>
      </c>
      <c r="K2465" s="258">
        <f t="shared" si="117"/>
        <v>9</v>
      </c>
      <c r="L2465" s="188">
        <v>3955088</v>
      </c>
      <c r="M2465" s="188">
        <v>0</v>
      </c>
      <c r="N2465" s="189">
        <v>860044821</v>
      </c>
      <c r="O2465"/>
      <c r="P2465" s="187">
        <v>45191.407071759299</v>
      </c>
      <c r="Q2465" s="186">
        <v>13287</v>
      </c>
      <c r="R2465" s="185" t="s">
        <v>6</v>
      </c>
      <c r="S2465" s="185" t="s">
        <v>1570</v>
      </c>
      <c r="T2465"/>
      <c r="U2465" t="str">
        <f>IF($L2465&gt;0,VLOOKUP($E2465,Valida!$A$1:$G$270,6,FALSE),IF($M2465&gt;=0,VLOOKUP($E2465,Valida!$A$1:$G$270,7,FALSE)))</f>
        <v>(+/-) Ajustes por el incremento (disminución) de cuentas por pagar de origen comercial</v>
      </c>
      <c r="V2465" s="190" t="str">
        <f>VLOOKUP(E2465,Valida!$A$2:$K$271,4,FALSE)</f>
        <v>Trade and other payables</v>
      </c>
      <c r="W2465" s="185" t="s">
        <v>2048</v>
      </c>
      <c r="X2465" s="185"/>
      <c r="Y2465" s="185" t="s">
        <v>1789</v>
      </c>
      <c r="Z2465"/>
    </row>
    <row r="2466" spans="1:26">
      <c r="A2466" s="185" t="s">
        <v>3413</v>
      </c>
      <c r="B2466" s="185" t="s">
        <v>3418</v>
      </c>
      <c r="C2466" s="185" t="s">
        <v>1890</v>
      </c>
      <c r="D2466" s="185" t="s">
        <v>3419</v>
      </c>
      <c r="E2466" s="185">
        <v>112005</v>
      </c>
      <c r="F2466" s="185" t="s">
        <v>24</v>
      </c>
      <c r="G2466" s="185" t="s">
        <v>1921</v>
      </c>
      <c r="H2466" s="185" t="s">
        <v>1628</v>
      </c>
      <c r="I2466" s="258" t="str">
        <f t="shared" si="115"/>
        <v>1</v>
      </c>
      <c r="J2466" s="221">
        <f t="shared" si="116"/>
        <v>-58500</v>
      </c>
      <c r="K2466" s="258">
        <f t="shared" si="117"/>
        <v>9</v>
      </c>
      <c r="L2466" s="188">
        <v>0</v>
      </c>
      <c r="M2466" s="188">
        <v>58500</v>
      </c>
      <c r="N2466" s="189">
        <v>900170994</v>
      </c>
      <c r="O2466"/>
      <c r="P2466" s="187">
        <v>45191.407627314802</v>
      </c>
      <c r="Q2466" s="186">
        <v>13288</v>
      </c>
      <c r="R2466" s="185" t="s">
        <v>1841</v>
      </c>
      <c r="S2466" s="185" t="s">
        <v>1592</v>
      </c>
      <c r="T2466" t="s">
        <v>1894</v>
      </c>
      <c r="U2466" t="str">
        <f>IF($L2466&gt;0,VLOOKUP($E2466,Valida!$A$1:$G$270,6,FALSE),IF($M2466&gt;=0,VLOOKUP($E2466,Valida!$A$1:$G$270,7,FALSE)))</f>
        <v>Disponible</v>
      </c>
      <c r="V2466" s="190" t="str">
        <f>VLOOKUP(E2466,Valida!$A$2:$K$271,4,FALSE)</f>
        <v>Cash and equivalents</v>
      </c>
      <c r="W2466" s="185" t="s">
        <v>2030</v>
      </c>
      <c r="X2466" s="185" t="s">
        <v>2031</v>
      </c>
      <c r="Y2466" s="185" t="s">
        <v>1789</v>
      </c>
      <c r="Z2466"/>
    </row>
    <row r="2467" spans="1:26">
      <c r="A2467" s="185" t="s">
        <v>3413</v>
      </c>
      <c r="B2467" s="185" t="s">
        <v>3418</v>
      </c>
      <c r="C2467" s="185" t="s">
        <v>1890</v>
      </c>
      <c r="D2467" s="185" t="s">
        <v>3419</v>
      </c>
      <c r="E2467" s="185">
        <v>23352503</v>
      </c>
      <c r="F2467" s="185" t="s">
        <v>470</v>
      </c>
      <c r="G2467" s="185" t="s">
        <v>1921</v>
      </c>
      <c r="H2467" s="185" t="s">
        <v>1515</v>
      </c>
      <c r="I2467" s="258" t="str">
        <f t="shared" si="115"/>
        <v>2</v>
      </c>
      <c r="J2467" s="221">
        <f t="shared" si="116"/>
        <v>58500</v>
      </c>
      <c r="K2467" s="258">
        <f t="shared" si="117"/>
        <v>9</v>
      </c>
      <c r="L2467" s="188">
        <v>58500</v>
      </c>
      <c r="M2467" s="188">
        <v>0</v>
      </c>
      <c r="N2467" s="189">
        <v>900170994</v>
      </c>
      <c r="O2467"/>
      <c r="P2467" s="187">
        <v>45191.407627314802</v>
      </c>
      <c r="Q2467" s="186">
        <v>13289</v>
      </c>
      <c r="R2467" s="185" t="s">
        <v>1841</v>
      </c>
      <c r="S2467" s="185" t="s">
        <v>1592</v>
      </c>
      <c r="T2467"/>
      <c r="U2467" t="str">
        <f>IF($L2467&gt;0,VLOOKUP($E2467,Valida!$A$1:$G$270,6,FALSE),IF($M2467&gt;=0,VLOOKUP($E2467,Valida!$A$1:$G$270,7,FALSE)))</f>
        <v>(+/-) Ajustes por el incremento (disminución) de cuentas por pagar de origen comercial</v>
      </c>
      <c r="V2467" s="190" t="str">
        <f>VLOOKUP(E2467,Valida!$A$2:$K$271,4,FALSE)</f>
        <v>Trade and other payables</v>
      </c>
      <c r="W2467" s="185" t="s">
        <v>2030</v>
      </c>
      <c r="X2467" s="185" t="s">
        <v>2031</v>
      </c>
      <c r="Y2467" s="185" t="s">
        <v>1789</v>
      </c>
      <c r="Z2467"/>
    </row>
    <row r="2468" spans="1:26">
      <c r="A2468" s="185" t="s">
        <v>3349</v>
      </c>
      <c r="B2468" s="185" t="s">
        <v>3420</v>
      </c>
      <c r="C2468" s="185" t="s">
        <v>1890</v>
      </c>
      <c r="D2468" s="185" t="s">
        <v>3421</v>
      </c>
      <c r="E2468" s="185">
        <v>112005</v>
      </c>
      <c r="F2468" s="185" t="s">
        <v>24</v>
      </c>
      <c r="G2468" s="185" t="s">
        <v>1921</v>
      </c>
      <c r="H2468" s="185" t="s">
        <v>1628</v>
      </c>
      <c r="I2468" s="258" t="str">
        <f t="shared" si="115"/>
        <v>1</v>
      </c>
      <c r="J2468" s="221">
        <f t="shared" si="116"/>
        <v>-330000</v>
      </c>
      <c r="K2468" s="258">
        <f t="shared" si="117"/>
        <v>9</v>
      </c>
      <c r="L2468" s="188">
        <v>0</v>
      </c>
      <c r="M2468" s="188">
        <v>330000</v>
      </c>
      <c r="N2468" s="189">
        <v>800042928</v>
      </c>
      <c r="O2468"/>
      <c r="P2468" s="187">
        <v>45191.408263888901</v>
      </c>
      <c r="Q2468" s="186">
        <v>13290</v>
      </c>
      <c r="R2468" s="185" t="s">
        <v>6</v>
      </c>
      <c r="S2468" s="185" t="s">
        <v>1554</v>
      </c>
      <c r="T2468" t="s">
        <v>1894</v>
      </c>
      <c r="U2468" t="str">
        <f>IF($L2468&gt;0,VLOOKUP($E2468,Valida!$A$1:$G$270,6,FALSE),IF($M2468&gt;=0,VLOOKUP($E2468,Valida!$A$1:$G$270,7,FALSE)))</f>
        <v>Disponible</v>
      </c>
      <c r="V2468" s="190" t="str">
        <f>VLOOKUP(E2468,Valida!$A$2:$K$271,4,FALSE)</f>
        <v>Cash and equivalents</v>
      </c>
      <c r="W2468" s="185" t="s">
        <v>1820</v>
      </c>
      <c r="X2468" s="185" t="s">
        <v>1821</v>
      </c>
      <c r="Y2468" s="185" t="s">
        <v>1789</v>
      </c>
      <c r="Z2468"/>
    </row>
    <row r="2469" spans="1:26">
      <c r="A2469" s="185" t="s">
        <v>3349</v>
      </c>
      <c r="B2469" s="185" t="s">
        <v>3420</v>
      </c>
      <c r="C2469" s="185" t="s">
        <v>1890</v>
      </c>
      <c r="D2469" s="185" t="s">
        <v>3421</v>
      </c>
      <c r="E2469" s="185">
        <v>23359504</v>
      </c>
      <c r="F2469" s="185" t="s">
        <v>553</v>
      </c>
      <c r="G2469" s="185" t="s">
        <v>1921</v>
      </c>
      <c r="H2469" s="185" t="s">
        <v>1515</v>
      </c>
      <c r="I2469" s="258" t="str">
        <f t="shared" si="115"/>
        <v>2</v>
      </c>
      <c r="J2469" s="221">
        <f t="shared" si="116"/>
        <v>330000</v>
      </c>
      <c r="K2469" s="258">
        <f t="shared" si="117"/>
        <v>9</v>
      </c>
      <c r="L2469" s="188">
        <v>330000</v>
      </c>
      <c r="M2469" s="188">
        <v>0</v>
      </c>
      <c r="N2469" s="189">
        <v>800042928</v>
      </c>
      <c r="O2469"/>
      <c r="P2469" s="187">
        <v>45191.408263888901</v>
      </c>
      <c r="Q2469" s="186">
        <v>13291</v>
      </c>
      <c r="R2469" s="185" t="s">
        <v>6</v>
      </c>
      <c r="S2469" s="185" t="s">
        <v>1554</v>
      </c>
      <c r="T2469"/>
      <c r="U2469" t="str">
        <f>IF($L2469&gt;0,VLOOKUP($E2469,Valida!$A$1:$G$270,6,FALSE),IF($M2469&gt;=0,VLOOKUP($E2469,Valida!$A$1:$G$270,7,FALSE)))</f>
        <v>(+/-) Ajustes por el incremento (disminución) de cuentas por pagar de origen comercial</v>
      </c>
      <c r="V2469" s="190" t="str">
        <f>VLOOKUP(E2469,Valida!$A$2:$K$271,4,FALSE)</f>
        <v>Trade and other payables</v>
      </c>
      <c r="W2469" s="185" t="s">
        <v>1820</v>
      </c>
      <c r="X2469" s="185" t="s">
        <v>1821</v>
      </c>
      <c r="Y2469" s="185" t="s">
        <v>1789</v>
      </c>
      <c r="Z2469"/>
    </row>
    <row r="2470" spans="1:26">
      <c r="A2470" s="185" t="s">
        <v>3383</v>
      </c>
      <c r="B2470" s="185" t="s">
        <v>3422</v>
      </c>
      <c r="C2470" s="185" t="s">
        <v>1890</v>
      </c>
      <c r="D2470" s="185" t="s">
        <v>3423</v>
      </c>
      <c r="E2470" s="185">
        <v>112005</v>
      </c>
      <c r="F2470" s="185" t="s">
        <v>24</v>
      </c>
      <c r="G2470" s="185" t="s">
        <v>1921</v>
      </c>
      <c r="H2470" s="185" t="s">
        <v>1628</v>
      </c>
      <c r="I2470" s="258" t="str">
        <f t="shared" si="115"/>
        <v>1</v>
      </c>
      <c r="J2470" s="221">
        <f t="shared" si="116"/>
        <v>-14603085</v>
      </c>
      <c r="K2470" s="258">
        <f t="shared" si="117"/>
        <v>9</v>
      </c>
      <c r="L2470" s="188">
        <v>0</v>
      </c>
      <c r="M2470" s="188">
        <v>14603085</v>
      </c>
      <c r="N2470" s="189">
        <v>900471482</v>
      </c>
      <c r="O2470"/>
      <c r="P2470" s="187">
        <v>45191.408784722204</v>
      </c>
      <c r="Q2470" s="186">
        <v>13292</v>
      </c>
      <c r="R2470" s="185" t="s">
        <v>6</v>
      </c>
      <c r="S2470" s="185" t="s">
        <v>1600</v>
      </c>
      <c r="T2470" t="s">
        <v>1894</v>
      </c>
      <c r="U2470" t="str">
        <f>IF($L2470&gt;0,VLOOKUP($E2470,Valida!$A$1:$G$270,6,FALSE),IF($M2470&gt;=0,VLOOKUP($E2470,Valida!$A$1:$G$270,7,FALSE)))</f>
        <v>Disponible</v>
      </c>
      <c r="V2470" s="190" t="str">
        <f>VLOOKUP(E2470,Valida!$A$2:$K$271,4,FALSE)</f>
        <v>Cash and equivalents</v>
      </c>
      <c r="W2470" s="185" t="s">
        <v>1853</v>
      </c>
      <c r="X2470" s="185" t="s">
        <v>1854</v>
      </c>
      <c r="Y2470" s="185" t="s">
        <v>1789</v>
      </c>
      <c r="Z2470"/>
    </row>
    <row r="2471" spans="1:26">
      <c r="A2471" s="185" t="s">
        <v>3383</v>
      </c>
      <c r="B2471" s="185" t="s">
        <v>3422</v>
      </c>
      <c r="C2471" s="185" t="s">
        <v>1890</v>
      </c>
      <c r="D2471" s="185" t="s">
        <v>3423</v>
      </c>
      <c r="E2471" s="185">
        <v>23354001</v>
      </c>
      <c r="F2471" s="185" t="s">
        <v>484</v>
      </c>
      <c r="G2471" s="185" t="s">
        <v>1921</v>
      </c>
      <c r="H2471" s="185" t="s">
        <v>1515</v>
      </c>
      <c r="I2471" s="258" t="str">
        <f t="shared" si="115"/>
        <v>2</v>
      </c>
      <c r="J2471" s="221">
        <f t="shared" si="116"/>
        <v>14603085</v>
      </c>
      <c r="K2471" s="258">
        <f t="shared" si="117"/>
        <v>9</v>
      </c>
      <c r="L2471" s="188">
        <v>14603085</v>
      </c>
      <c r="M2471" s="188">
        <v>0</v>
      </c>
      <c r="N2471" s="189">
        <v>900471482</v>
      </c>
      <c r="O2471"/>
      <c r="P2471" s="187">
        <v>45191.408784722204</v>
      </c>
      <c r="Q2471" s="186">
        <v>13293</v>
      </c>
      <c r="R2471" s="185" t="s">
        <v>6</v>
      </c>
      <c r="S2471" s="185" t="s">
        <v>1600</v>
      </c>
      <c r="T2471"/>
      <c r="U2471" t="str">
        <f>IF($L2471&gt;0,VLOOKUP($E2471,Valida!$A$1:$G$270,6,FALSE),IF($M2471&gt;=0,VLOOKUP($E2471,Valida!$A$1:$G$270,7,FALSE)))</f>
        <v>(+/-) Ajustes por el incremento (disminución) de cuentas por pagar de origen comercial</v>
      </c>
      <c r="V2471" s="190" t="str">
        <f>VLOOKUP(E2471,Valida!$A$2:$K$271,4,FALSE)</f>
        <v>Trade and other payables</v>
      </c>
      <c r="W2471" s="185" t="s">
        <v>1853</v>
      </c>
      <c r="X2471" s="185" t="s">
        <v>1854</v>
      </c>
      <c r="Y2471" s="185" t="s">
        <v>1789</v>
      </c>
      <c r="Z2471"/>
    </row>
    <row r="2472" spans="1:26">
      <c r="A2472" s="185" t="s">
        <v>3383</v>
      </c>
      <c r="B2472" s="185" t="s">
        <v>3424</v>
      </c>
      <c r="C2472" s="185" t="s">
        <v>1890</v>
      </c>
      <c r="D2472" s="185" t="s">
        <v>3425</v>
      </c>
      <c r="E2472" s="185">
        <v>112005</v>
      </c>
      <c r="F2472" s="185" t="s">
        <v>24</v>
      </c>
      <c r="G2472" s="185" t="s">
        <v>1921</v>
      </c>
      <c r="H2472" s="185" t="s">
        <v>1628</v>
      </c>
      <c r="I2472" s="258" t="str">
        <f t="shared" si="115"/>
        <v>1</v>
      </c>
      <c r="J2472" s="221">
        <f t="shared" si="116"/>
        <v>-4969467</v>
      </c>
      <c r="K2472" s="258">
        <f t="shared" si="117"/>
        <v>9</v>
      </c>
      <c r="L2472" s="188">
        <v>0</v>
      </c>
      <c r="M2472" s="188">
        <v>4969467</v>
      </c>
      <c r="N2472" s="189">
        <v>830062853</v>
      </c>
      <c r="O2472"/>
      <c r="P2472" s="187">
        <v>45191.4119444444</v>
      </c>
      <c r="Q2472" s="186">
        <v>13294</v>
      </c>
      <c r="R2472" s="185" t="s">
        <v>433</v>
      </c>
      <c r="S2472" s="185" t="s">
        <v>1564</v>
      </c>
      <c r="T2472" t="s">
        <v>1894</v>
      </c>
      <c r="U2472" t="str">
        <f>IF($L2472&gt;0,VLOOKUP($E2472,Valida!$A$1:$G$270,6,FALSE),IF($M2472&gt;=0,VLOOKUP($E2472,Valida!$A$1:$G$270,7,FALSE)))</f>
        <v>Disponible</v>
      </c>
      <c r="V2472" s="190" t="str">
        <f>VLOOKUP(E2472,Valida!$A$2:$K$271,4,FALSE)</f>
        <v>Cash and equivalents</v>
      </c>
      <c r="W2472" s="185" t="s">
        <v>2024</v>
      </c>
      <c r="X2472" s="185" t="s">
        <v>2025</v>
      </c>
      <c r="Y2472" s="185" t="s">
        <v>1789</v>
      </c>
      <c r="Z2472"/>
    </row>
    <row r="2473" spans="1:26">
      <c r="A2473" s="185" t="s">
        <v>3383</v>
      </c>
      <c r="B2473" s="185" t="s">
        <v>3424</v>
      </c>
      <c r="C2473" s="185" t="s">
        <v>1890</v>
      </c>
      <c r="D2473" s="185" t="s">
        <v>3425</v>
      </c>
      <c r="E2473" s="185">
        <v>23359502</v>
      </c>
      <c r="F2473" s="185" t="s">
        <v>547</v>
      </c>
      <c r="G2473" s="185" t="s">
        <v>1921</v>
      </c>
      <c r="H2473" s="185" t="s">
        <v>1515</v>
      </c>
      <c r="I2473" s="258" t="str">
        <f t="shared" si="115"/>
        <v>2</v>
      </c>
      <c r="J2473" s="221">
        <f t="shared" si="116"/>
        <v>4969467</v>
      </c>
      <c r="K2473" s="258">
        <f t="shared" si="117"/>
        <v>9</v>
      </c>
      <c r="L2473" s="188">
        <v>4969467</v>
      </c>
      <c r="M2473" s="188">
        <v>0</v>
      </c>
      <c r="N2473" s="189">
        <v>830062853</v>
      </c>
      <c r="O2473"/>
      <c r="P2473" s="187">
        <v>45191.4119444444</v>
      </c>
      <c r="Q2473" s="186">
        <v>13295</v>
      </c>
      <c r="R2473" s="185" t="s">
        <v>433</v>
      </c>
      <c r="S2473" s="185" t="s">
        <v>1564</v>
      </c>
      <c r="T2473"/>
      <c r="U2473" t="str">
        <f>IF($L2473&gt;0,VLOOKUP($E2473,Valida!$A$1:$G$270,6,FALSE),IF($M2473&gt;=0,VLOOKUP($E2473,Valida!$A$1:$G$270,7,FALSE)))</f>
        <v>(+/-) Ajustes por el incremento (disminución) de cuentas por pagar de origen comercial</v>
      </c>
      <c r="V2473" s="190" t="str">
        <f>VLOOKUP(E2473,Valida!$A$2:$K$271,4,FALSE)</f>
        <v>Trade and other payables</v>
      </c>
      <c r="W2473" s="185" t="s">
        <v>2024</v>
      </c>
      <c r="X2473" s="185" t="s">
        <v>2025</v>
      </c>
      <c r="Y2473" s="185" t="s">
        <v>1789</v>
      </c>
      <c r="Z2473"/>
    </row>
    <row r="2474" spans="1:26">
      <c r="A2474" s="185" t="s">
        <v>3383</v>
      </c>
      <c r="B2474" s="185" t="s">
        <v>3426</v>
      </c>
      <c r="C2474" s="185" t="s">
        <v>1991</v>
      </c>
      <c r="D2474" s="185" t="s">
        <v>3427</v>
      </c>
      <c r="E2474" s="185">
        <v>236595</v>
      </c>
      <c r="F2474" s="185" t="s">
        <v>648</v>
      </c>
      <c r="G2474" s="185" t="s">
        <v>3428</v>
      </c>
      <c r="H2474" s="185" t="s">
        <v>1628</v>
      </c>
      <c r="I2474" s="258" t="str">
        <f t="shared" si="115"/>
        <v>2</v>
      </c>
      <c r="J2474" s="221">
        <f t="shared" si="116"/>
        <v>-424000</v>
      </c>
      <c r="K2474" s="258">
        <f t="shared" si="117"/>
        <v>9</v>
      </c>
      <c r="L2474" s="188">
        <v>0</v>
      </c>
      <c r="M2474" s="188">
        <v>424000</v>
      </c>
      <c r="N2474" s="189">
        <v>800197268</v>
      </c>
      <c r="O2474"/>
      <c r="P2474" s="187">
        <v>45191.413634259297</v>
      </c>
      <c r="Q2474" s="186">
        <v>13296</v>
      </c>
      <c r="R2474" s="185" t="s">
        <v>983</v>
      </c>
      <c r="S2474" s="185" t="s">
        <v>1558</v>
      </c>
      <c r="T2474"/>
      <c r="U2474" t="str">
        <f>IF($L2474&gt;0,VLOOKUP($E2474,Valida!$A$1:$G$270,6,FALSE),IF($M2474&gt;=0,VLOOKUP($E2474,Valida!$A$1:$G$270,7,FALSE)))</f>
        <v>(+/-) Ajustes por el incremento (disminución) de cuentas por pagar de origen comercial</v>
      </c>
      <c r="V2474" s="190" t="str">
        <f>VLOOKUP(E2474,Valida!$A$2:$K$271,4,FALSE)</f>
        <v>Trade and other payables</v>
      </c>
      <c r="W2474" s="185" t="s">
        <v>1944</v>
      </c>
      <c r="X2474" s="185"/>
      <c r="Y2474" s="185" t="s">
        <v>1789</v>
      </c>
      <c r="Z2474"/>
    </row>
    <row r="2475" spans="1:26">
      <c r="A2475" s="185" t="s">
        <v>3383</v>
      </c>
      <c r="B2475" s="185" t="s">
        <v>3426</v>
      </c>
      <c r="C2475" s="185" t="s">
        <v>1991</v>
      </c>
      <c r="D2475" s="185" t="s">
        <v>3427</v>
      </c>
      <c r="E2475" s="185">
        <v>539520</v>
      </c>
      <c r="F2475" s="185" t="s">
        <v>1758</v>
      </c>
      <c r="G2475" s="185" t="s">
        <v>3428</v>
      </c>
      <c r="H2475" s="185" t="s">
        <v>1515</v>
      </c>
      <c r="I2475" s="258" t="str">
        <f t="shared" si="115"/>
        <v>5</v>
      </c>
      <c r="J2475" s="221">
        <f t="shared" si="116"/>
        <v>424000</v>
      </c>
      <c r="K2475" s="258">
        <f t="shared" si="117"/>
        <v>9</v>
      </c>
      <c r="L2475" s="188">
        <v>424000</v>
      </c>
      <c r="M2475" s="188">
        <v>0</v>
      </c>
      <c r="N2475" s="189">
        <v>800197268</v>
      </c>
      <c r="O2475"/>
      <c r="P2475" s="187">
        <v>45191.413645833301</v>
      </c>
      <c r="Q2475" s="186">
        <v>13297</v>
      </c>
      <c r="R2475" s="185" t="s">
        <v>983</v>
      </c>
      <c r="S2475" s="185" t="s">
        <v>1558</v>
      </c>
      <c r="T2475"/>
      <c r="U2475" t="str">
        <f>IF($L2475&gt;0,VLOOKUP($E2475,Valida!$A$1:$G$270,6,FALSE),IF($M2475&gt;=0,VLOOKUP($E2475,Valida!$A$1:$G$270,7,FALSE)))</f>
        <v>(+/-) Ganancia (pérdida)</v>
      </c>
      <c r="V2475" s="190" t="str">
        <f>VLOOKUP(E2475,Valida!$A$2:$K$271,4,FALSE)</f>
        <v>P&amp;L</v>
      </c>
      <c r="W2475" s="185" t="s">
        <v>1944</v>
      </c>
      <c r="X2475" s="185"/>
      <c r="Y2475" s="185" t="s">
        <v>1789</v>
      </c>
      <c r="Z2475"/>
    </row>
    <row r="2476" spans="1:26">
      <c r="A2476" s="185" t="s">
        <v>3383</v>
      </c>
      <c r="B2476" s="185" t="s">
        <v>3429</v>
      </c>
      <c r="C2476" s="185" t="s">
        <v>1890</v>
      </c>
      <c r="D2476" s="185" t="s">
        <v>3430</v>
      </c>
      <c r="E2476" s="185">
        <v>112005</v>
      </c>
      <c r="F2476" s="185" t="s">
        <v>24</v>
      </c>
      <c r="G2476" s="185" t="s">
        <v>3431</v>
      </c>
      <c r="H2476" s="185" t="s">
        <v>1628</v>
      </c>
      <c r="I2476" s="258" t="str">
        <f t="shared" si="115"/>
        <v>1</v>
      </c>
      <c r="J2476" s="221">
        <f t="shared" si="116"/>
        <v>-424000</v>
      </c>
      <c r="K2476" s="258">
        <f t="shared" si="117"/>
        <v>9</v>
      </c>
      <c r="L2476" s="188">
        <v>0</v>
      </c>
      <c r="M2476" s="188">
        <v>424000</v>
      </c>
      <c r="N2476" s="189">
        <v>800197268</v>
      </c>
      <c r="O2476"/>
      <c r="P2476" s="187">
        <v>45191.414212962998</v>
      </c>
      <c r="Q2476" s="186">
        <v>13298</v>
      </c>
      <c r="R2476" s="185" t="s">
        <v>983</v>
      </c>
      <c r="S2476" s="185" t="s">
        <v>1558</v>
      </c>
      <c r="T2476" t="s">
        <v>1894</v>
      </c>
      <c r="U2476" t="str">
        <f>IF($L2476&gt;0,VLOOKUP($E2476,Valida!$A$1:$G$270,6,FALSE),IF($M2476&gt;=0,VLOOKUP($E2476,Valida!$A$1:$G$270,7,FALSE)))</f>
        <v>Disponible</v>
      </c>
      <c r="V2476" s="190" t="str">
        <f>VLOOKUP(E2476,Valida!$A$2:$K$271,4,FALSE)</f>
        <v>Cash and equivalents</v>
      </c>
      <c r="W2476" s="185" t="s">
        <v>1944</v>
      </c>
      <c r="X2476" s="185"/>
      <c r="Y2476" s="185" t="s">
        <v>1789</v>
      </c>
      <c r="Z2476"/>
    </row>
    <row r="2477" spans="1:26">
      <c r="A2477" s="185" t="s">
        <v>3383</v>
      </c>
      <c r="B2477" s="185" t="s">
        <v>3429</v>
      </c>
      <c r="C2477" s="185" t="s">
        <v>1890</v>
      </c>
      <c r="D2477" s="185" t="s">
        <v>3430</v>
      </c>
      <c r="E2477" s="185">
        <v>236595</v>
      </c>
      <c r="F2477" s="185" t="s">
        <v>648</v>
      </c>
      <c r="G2477" s="185" t="s">
        <v>3431</v>
      </c>
      <c r="H2477" s="185" t="s">
        <v>1515</v>
      </c>
      <c r="I2477" s="258" t="str">
        <f t="shared" si="115"/>
        <v>2</v>
      </c>
      <c r="J2477" s="221">
        <f t="shared" si="116"/>
        <v>424000</v>
      </c>
      <c r="K2477" s="258">
        <f t="shared" si="117"/>
        <v>9</v>
      </c>
      <c r="L2477" s="188">
        <v>424000</v>
      </c>
      <c r="M2477" s="188">
        <v>0</v>
      </c>
      <c r="N2477" s="189">
        <v>800197268</v>
      </c>
      <c r="O2477"/>
      <c r="P2477" s="187">
        <v>45191.414212962998</v>
      </c>
      <c r="Q2477" s="186">
        <v>13299</v>
      </c>
      <c r="R2477" s="185" t="s">
        <v>983</v>
      </c>
      <c r="S2477" s="185" t="s">
        <v>1558</v>
      </c>
      <c r="T2477"/>
      <c r="U2477" t="str">
        <f>IF($L2477&gt;0,VLOOKUP($E2477,Valida!$A$1:$G$270,6,FALSE),IF($M2477&gt;=0,VLOOKUP($E2477,Valida!$A$1:$G$270,7,FALSE)))</f>
        <v>(+/-) Ajustes por el incremento (disminución) de cuentas por pagar de origen comercial</v>
      </c>
      <c r="V2477" s="190" t="str">
        <f>VLOOKUP(E2477,Valida!$A$2:$K$271,4,FALSE)</f>
        <v>Trade and other payables</v>
      </c>
      <c r="W2477" s="185" t="s">
        <v>1944</v>
      </c>
      <c r="X2477" s="185"/>
      <c r="Y2477" s="185" t="s">
        <v>1789</v>
      </c>
      <c r="Z2477"/>
    </row>
    <row r="2478" spans="1:26">
      <c r="A2478" s="185" t="s">
        <v>3383</v>
      </c>
      <c r="B2478" s="185" t="s">
        <v>3432</v>
      </c>
      <c r="C2478" s="185" t="s">
        <v>1890</v>
      </c>
      <c r="D2478" s="185" t="s">
        <v>3433</v>
      </c>
      <c r="E2478" s="185">
        <v>112005</v>
      </c>
      <c r="F2478" s="185" t="s">
        <v>24</v>
      </c>
      <c r="G2478" s="185" t="s">
        <v>3434</v>
      </c>
      <c r="H2478" s="185" t="s">
        <v>1628</v>
      </c>
      <c r="I2478" s="258" t="str">
        <f t="shared" si="115"/>
        <v>1</v>
      </c>
      <c r="J2478" s="221">
        <f t="shared" si="116"/>
        <v>-2026000</v>
      </c>
      <c r="K2478" s="258">
        <f t="shared" si="117"/>
        <v>9</v>
      </c>
      <c r="L2478" s="188">
        <v>0</v>
      </c>
      <c r="M2478" s="188">
        <v>2026000</v>
      </c>
      <c r="N2478" s="189">
        <v>800197268</v>
      </c>
      <c r="O2478"/>
      <c r="P2478" s="187">
        <v>45191.4147337963</v>
      </c>
      <c r="Q2478" s="186">
        <v>13300</v>
      </c>
      <c r="R2478" s="185" t="s">
        <v>983</v>
      </c>
      <c r="S2478" s="185" t="s">
        <v>1558</v>
      </c>
      <c r="T2478" t="s">
        <v>1894</v>
      </c>
      <c r="U2478" t="str">
        <f>IF($L2478&gt;0,VLOOKUP($E2478,Valida!$A$1:$G$270,6,FALSE),IF($M2478&gt;=0,VLOOKUP($E2478,Valida!$A$1:$G$270,7,FALSE)))</f>
        <v>Disponible</v>
      </c>
      <c r="V2478" s="190" t="str">
        <f>VLOOKUP(E2478,Valida!$A$2:$K$271,4,FALSE)</f>
        <v>Cash and equivalents</v>
      </c>
      <c r="W2478" s="185" t="s">
        <v>1944</v>
      </c>
      <c r="X2478" s="185"/>
      <c r="Y2478" s="185" t="s">
        <v>1789</v>
      </c>
      <c r="Z2478"/>
    </row>
    <row r="2479" spans="1:26">
      <c r="A2479" s="185" t="s">
        <v>3383</v>
      </c>
      <c r="B2479" s="185" t="s">
        <v>3432</v>
      </c>
      <c r="C2479" s="185" t="s">
        <v>1890</v>
      </c>
      <c r="D2479" s="185" t="s">
        <v>3433</v>
      </c>
      <c r="E2479" s="185">
        <v>236595</v>
      </c>
      <c r="F2479" s="185" t="s">
        <v>648</v>
      </c>
      <c r="G2479" s="185" t="s">
        <v>3434</v>
      </c>
      <c r="H2479" s="185" t="s">
        <v>1515</v>
      </c>
      <c r="I2479" s="258" t="str">
        <f t="shared" si="115"/>
        <v>2</v>
      </c>
      <c r="J2479" s="221">
        <f t="shared" si="116"/>
        <v>2026000</v>
      </c>
      <c r="K2479" s="258">
        <f t="shared" si="117"/>
        <v>9</v>
      </c>
      <c r="L2479" s="188">
        <v>2026000</v>
      </c>
      <c r="M2479" s="188">
        <v>0</v>
      </c>
      <c r="N2479" s="189">
        <v>800197268</v>
      </c>
      <c r="O2479"/>
      <c r="P2479" s="187">
        <v>45191.4147337963</v>
      </c>
      <c r="Q2479" s="186">
        <v>13301</v>
      </c>
      <c r="R2479" s="185" t="s">
        <v>983</v>
      </c>
      <c r="S2479" s="185" t="s">
        <v>1558</v>
      </c>
      <c r="T2479"/>
      <c r="U2479" t="str">
        <f>IF($L2479&gt;0,VLOOKUP($E2479,Valida!$A$1:$G$270,6,FALSE),IF($M2479&gt;=0,VLOOKUP($E2479,Valida!$A$1:$G$270,7,FALSE)))</f>
        <v>(+/-) Ajustes por el incremento (disminución) de cuentas por pagar de origen comercial</v>
      </c>
      <c r="V2479" s="190" t="str">
        <f>VLOOKUP(E2479,Valida!$A$2:$K$271,4,FALSE)</f>
        <v>Trade and other payables</v>
      </c>
      <c r="W2479" s="185" t="s">
        <v>1944</v>
      </c>
      <c r="X2479" s="185"/>
      <c r="Y2479" s="185" t="s">
        <v>1789</v>
      </c>
      <c r="Z2479"/>
    </row>
    <row r="2480" spans="1:26">
      <c r="A2480" s="185" t="s">
        <v>3358</v>
      </c>
      <c r="B2480" s="185" t="s">
        <v>3435</v>
      </c>
      <c r="C2480" s="185" t="s">
        <v>1890</v>
      </c>
      <c r="D2480" s="185" t="s">
        <v>3436</v>
      </c>
      <c r="E2480" s="185">
        <v>112005</v>
      </c>
      <c r="F2480" s="185" t="s">
        <v>24</v>
      </c>
      <c r="G2480" s="185" t="s">
        <v>1921</v>
      </c>
      <c r="H2480" s="185" t="s">
        <v>1628</v>
      </c>
      <c r="I2480" s="258" t="str">
        <f t="shared" si="115"/>
        <v>1</v>
      </c>
      <c r="J2480" s="221">
        <f t="shared" si="116"/>
        <v>-47608.58</v>
      </c>
      <c r="K2480" s="258">
        <f t="shared" si="117"/>
        <v>9</v>
      </c>
      <c r="L2480" s="188">
        <v>0</v>
      </c>
      <c r="M2480" s="188">
        <v>47608.58</v>
      </c>
      <c r="N2480" s="189">
        <v>444444001</v>
      </c>
      <c r="O2480"/>
      <c r="P2480" s="187">
        <v>45191.4153240741</v>
      </c>
      <c r="Q2480" s="186">
        <v>13302</v>
      </c>
      <c r="R2480" s="185"/>
      <c r="S2480" s="185" t="s">
        <v>1548</v>
      </c>
      <c r="T2480" t="s">
        <v>1894</v>
      </c>
      <c r="U2480" t="str">
        <f>IF($L2480&gt;0,VLOOKUP($E2480,Valida!$A$1:$G$270,6,FALSE),IF($M2480&gt;=0,VLOOKUP($E2480,Valida!$A$1:$G$270,7,FALSE)))</f>
        <v>Disponible</v>
      </c>
      <c r="V2480" s="190" t="str">
        <f>VLOOKUP(E2480,Valida!$A$2:$K$271,4,FALSE)</f>
        <v>Cash and equivalents</v>
      </c>
      <c r="W2480" s="185"/>
      <c r="X2480" s="185"/>
      <c r="Y2480" s="185"/>
      <c r="Z2480"/>
    </row>
    <row r="2481" spans="1:26">
      <c r="A2481" s="185" t="s">
        <v>3358</v>
      </c>
      <c r="B2481" s="185" t="s">
        <v>3435</v>
      </c>
      <c r="C2481" s="185" t="s">
        <v>1890</v>
      </c>
      <c r="D2481" s="185" t="s">
        <v>3436</v>
      </c>
      <c r="E2481" s="185">
        <v>23355007</v>
      </c>
      <c r="F2481" s="185" t="s">
        <v>1638</v>
      </c>
      <c r="G2481" s="185" t="s">
        <v>1921</v>
      </c>
      <c r="H2481" s="185" t="s">
        <v>1515</v>
      </c>
      <c r="I2481" s="258" t="str">
        <f t="shared" si="115"/>
        <v>2</v>
      </c>
      <c r="J2481" s="221">
        <f t="shared" si="116"/>
        <v>47608.58</v>
      </c>
      <c r="K2481" s="258">
        <f t="shared" si="117"/>
        <v>9</v>
      </c>
      <c r="L2481" s="188">
        <v>47608.58</v>
      </c>
      <c r="M2481" s="188">
        <v>0</v>
      </c>
      <c r="N2481" s="189">
        <v>444444001</v>
      </c>
      <c r="O2481"/>
      <c r="P2481" s="187">
        <v>45191.4153240741</v>
      </c>
      <c r="Q2481" s="186">
        <v>13303</v>
      </c>
      <c r="R2481" s="185"/>
      <c r="S2481" s="185" t="s">
        <v>1548</v>
      </c>
      <c r="T2481"/>
      <c r="U2481" t="str">
        <f>IF($L2481&gt;0,VLOOKUP($E2481,Valida!$A$1:$G$270,6,FALSE),IF($M2481&gt;=0,VLOOKUP($E2481,Valida!$A$1:$G$270,7,FALSE)))</f>
        <v>(+/-) Ajustes por el incremento (disminución) de cuentas por pagar de origen comercial</v>
      </c>
      <c r="V2481" s="190" t="str">
        <f>VLOOKUP(E2481,Valida!$A$2:$K$271,4,FALSE)</f>
        <v>Trade and other payables</v>
      </c>
      <c r="W2481" s="185"/>
      <c r="X2481" s="185"/>
      <c r="Y2481" s="185"/>
      <c r="Z2481"/>
    </row>
    <row r="2482" spans="1:26">
      <c r="A2482" s="185" t="s">
        <v>3402</v>
      </c>
      <c r="B2482" s="185" t="s">
        <v>3437</v>
      </c>
      <c r="C2482" s="185" t="s">
        <v>1890</v>
      </c>
      <c r="D2482" s="185" t="s">
        <v>3438</v>
      </c>
      <c r="E2482" s="185">
        <v>112005</v>
      </c>
      <c r="F2482" s="185" t="s">
        <v>24</v>
      </c>
      <c r="G2482" s="185" t="s">
        <v>3439</v>
      </c>
      <c r="H2482" s="185" t="s">
        <v>1628</v>
      </c>
      <c r="I2482" s="258" t="str">
        <f t="shared" si="115"/>
        <v>1</v>
      </c>
      <c r="J2482" s="221">
        <f t="shared" si="116"/>
        <v>-312000</v>
      </c>
      <c r="K2482" s="258">
        <f t="shared" si="117"/>
        <v>9</v>
      </c>
      <c r="L2482" s="188">
        <v>0</v>
      </c>
      <c r="M2482" s="188">
        <v>312000</v>
      </c>
      <c r="N2482" s="189">
        <v>899999061</v>
      </c>
      <c r="O2482"/>
      <c r="P2482" s="187">
        <v>45191.418101851901</v>
      </c>
      <c r="Q2482" s="186">
        <v>13304</v>
      </c>
      <c r="R2482" s="185"/>
      <c r="S2482" s="185" t="s">
        <v>1584</v>
      </c>
      <c r="T2482" t="s">
        <v>1894</v>
      </c>
      <c r="U2482" t="str">
        <f>IF($L2482&gt;0,VLOOKUP($E2482,Valida!$A$1:$G$270,6,FALSE),IF($M2482&gt;=0,VLOOKUP($E2482,Valida!$A$1:$G$270,7,FALSE)))</f>
        <v>Disponible</v>
      </c>
      <c r="V2482" s="190" t="str">
        <f>VLOOKUP(E2482,Valida!$A$2:$K$271,4,FALSE)</f>
        <v>Cash and equivalents</v>
      </c>
      <c r="W2482" s="185" t="s">
        <v>1893</v>
      </c>
      <c r="X2482" s="185"/>
      <c r="Y2482" s="185" t="s">
        <v>1789</v>
      </c>
      <c r="Z2482"/>
    </row>
    <row r="2483" spans="1:26">
      <c r="A2483" s="185" t="s">
        <v>3402</v>
      </c>
      <c r="B2483" s="185" t="s">
        <v>3437</v>
      </c>
      <c r="C2483" s="185" t="s">
        <v>1890</v>
      </c>
      <c r="D2483" s="185" t="s">
        <v>3438</v>
      </c>
      <c r="E2483" s="185">
        <v>236890</v>
      </c>
      <c r="F2483" s="185" t="s">
        <v>1648</v>
      </c>
      <c r="G2483" s="185" t="s">
        <v>3439</v>
      </c>
      <c r="H2483" s="185" t="s">
        <v>1515</v>
      </c>
      <c r="I2483" s="258" t="str">
        <f t="shared" si="115"/>
        <v>2</v>
      </c>
      <c r="J2483" s="221">
        <f t="shared" si="116"/>
        <v>311000</v>
      </c>
      <c r="K2483" s="258">
        <f t="shared" si="117"/>
        <v>9</v>
      </c>
      <c r="L2483" s="188">
        <v>311000</v>
      </c>
      <c r="M2483" s="188">
        <v>0</v>
      </c>
      <c r="N2483" s="189">
        <v>899999061</v>
      </c>
      <c r="O2483"/>
      <c r="P2483" s="187">
        <v>45191.418101851901</v>
      </c>
      <c r="Q2483" s="186">
        <v>13305</v>
      </c>
      <c r="R2483" s="185"/>
      <c r="S2483" s="185" t="s">
        <v>1584</v>
      </c>
      <c r="T2483"/>
      <c r="U2483" t="str">
        <f>IF($L2483&gt;0,VLOOKUP($E2483,Valida!$A$1:$G$270,6,FALSE),IF($M2483&gt;=0,VLOOKUP($E2483,Valida!$A$1:$G$270,7,FALSE)))</f>
        <v>(+/-) Ajustes por el incremento (disminución) de cuentas por pagar de origen comercial</v>
      </c>
      <c r="V2483" s="190" t="str">
        <f>VLOOKUP(E2483,Valida!$A$2:$K$271,4,FALSE)</f>
        <v>Trade and other payables</v>
      </c>
      <c r="W2483" s="185" t="s">
        <v>1893</v>
      </c>
      <c r="X2483" s="185"/>
      <c r="Y2483" s="185" t="s">
        <v>1789</v>
      </c>
      <c r="Z2483"/>
    </row>
    <row r="2484" spans="1:26">
      <c r="A2484" s="185" t="s">
        <v>3402</v>
      </c>
      <c r="B2484" s="185" t="s">
        <v>3437</v>
      </c>
      <c r="C2484" s="185" t="s">
        <v>1890</v>
      </c>
      <c r="D2484" s="185" t="s">
        <v>3438</v>
      </c>
      <c r="E2484" s="185">
        <v>53052001</v>
      </c>
      <c r="F2484" s="185" t="s">
        <v>1749</v>
      </c>
      <c r="G2484" s="185" t="s">
        <v>3439</v>
      </c>
      <c r="H2484" s="185" t="s">
        <v>1515</v>
      </c>
      <c r="I2484" s="258" t="str">
        <f t="shared" si="115"/>
        <v>5</v>
      </c>
      <c r="J2484" s="221">
        <f t="shared" si="116"/>
        <v>1000</v>
      </c>
      <c r="K2484" s="258">
        <f t="shared" si="117"/>
        <v>9</v>
      </c>
      <c r="L2484" s="188">
        <v>1000</v>
      </c>
      <c r="M2484" s="188">
        <v>0</v>
      </c>
      <c r="N2484" s="189">
        <v>899999061</v>
      </c>
      <c r="O2484"/>
      <c r="P2484" s="187">
        <v>45191.418101851901</v>
      </c>
      <c r="Q2484" s="186">
        <v>13306</v>
      </c>
      <c r="R2484" s="185"/>
      <c r="S2484" s="185" t="s">
        <v>1584</v>
      </c>
      <c r="T2484"/>
      <c r="U2484" t="str">
        <f>IF($L2484&gt;0,VLOOKUP($E2484,Valida!$A$1:$G$270,6,FALSE),IF($M2484&gt;=0,VLOOKUP($E2484,Valida!$A$1:$G$270,7,FALSE)))</f>
        <v>(+/-) Ganancia (pérdida)</v>
      </c>
      <c r="V2484" s="190" t="str">
        <f>VLOOKUP(E2484,Valida!$A$2:$K$271,4,FALSE)</f>
        <v>P&amp;L</v>
      </c>
      <c r="W2484" s="185" t="s">
        <v>1893</v>
      </c>
      <c r="X2484" s="185"/>
      <c r="Y2484" s="185" t="s">
        <v>1789</v>
      </c>
      <c r="Z2484"/>
    </row>
    <row r="2485" spans="1:26">
      <c r="A2485" s="185" t="s">
        <v>3402</v>
      </c>
      <c r="B2485" s="185" t="s">
        <v>3409</v>
      </c>
      <c r="C2485" s="185" t="s">
        <v>1890</v>
      </c>
      <c r="D2485" s="185" t="s">
        <v>3410</v>
      </c>
      <c r="E2485" s="185">
        <v>23355006</v>
      </c>
      <c r="F2485" s="185" t="s">
        <v>519</v>
      </c>
      <c r="G2485" s="185" t="s">
        <v>1921</v>
      </c>
      <c r="H2485" s="185" t="s">
        <v>1515</v>
      </c>
      <c r="I2485" s="258" t="str">
        <f t="shared" si="115"/>
        <v>2</v>
      </c>
      <c r="J2485" s="221">
        <f t="shared" si="116"/>
        <v>4245373</v>
      </c>
      <c r="K2485" s="258">
        <f t="shared" si="117"/>
        <v>9</v>
      </c>
      <c r="L2485" s="188">
        <v>4245373</v>
      </c>
      <c r="M2485" s="188">
        <v>0</v>
      </c>
      <c r="N2485" s="189">
        <v>800153993</v>
      </c>
      <c r="O2485"/>
      <c r="P2485" s="187">
        <v>45191.421539351897</v>
      </c>
      <c r="Q2485" s="186">
        <v>13312</v>
      </c>
      <c r="R2485" s="185" t="s">
        <v>1814</v>
      </c>
      <c r="S2485" s="185" t="s">
        <v>1556</v>
      </c>
      <c r="T2485"/>
      <c r="U2485" t="str">
        <f>IF($L2485&gt;0,VLOOKUP($E2485,Valida!$A$1:$G$270,6,FALSE),IF($M2485&gt;=0,VLOOKUP($E2485,Valida!$A$1:$G$270,7,FALSE)))</f>
        <v>(+/-) Ajustes por el incremento (disminución) de cuentas por pagar de origen comercial</v>
      </c>
      <c r="V2485" s="190" t="str">
        <f>VLOOKUP(E2485,Valida!$A$2:$K$271,4,FALSE)</f>
        <v>Trade and other payables</v>
      </c>
      <c r="W2485" s="185" t="s">
        <v>1815</v>
      </c>
      <c r="X2485" s="185"/>
      <c r="Y2485" s="185" t="s">
        <v>1789</v>
      </c>
      <c r="Z2485"/>
    </row>
    <row r="2486" spans="1:26">
      <c r="A2486" s="185" t="s">
        <v>3440</v>
      </c>
      <c r="B2486" s="185" t="s">
        <v>3441</v>
      </c>
      <c r="C2486" s="185" t="s">
        <v>1890</v>
      </c>
      <c r="D2486" s="185" t="s">
        <v>3442</v>
      </c>
      <c r="E2486" s="185">
        <v>112005</v>
      </c>
      <c r="F2486" s="185" t="s">
        <v>24</v>
      </c>
      <c r="G2486" s="185" t="s">
        <v>1921</v>
      </c>
      <c r="H2486" s="185" t="s">
        <v>1628</v>
      </c>
      <c r="I2486" s="258" t="str">
        <f t="shared" si="115"/>
        <v>1</v>
      </c>
      <c r="J2486" s="221">
        <f t="shared" si="116"/>
        <v>-122016</v>
      </c>
      <c r="K2486" s="258">
        <f t="shared" si="117"/>
        <v>9</v>
      </c>
      <c r="L2486" s="188">
        <v>0</v>
      </c>
      <c r="M2486" s="188">
        <v>122016</v>
      </c>
      <c r="N2486" s="189">
        <v>900424409</v>
      </c>
      <c r="O2486"/>
      <c r="P2486" s="187">
        <v>45191.421956018501</v>
      </c>
      <c r="Q2486" s="186">
        <v>13313</v>
      </c>
      <c r="R2486" s="185" t="s">
        <v>844</v>
      </c>
      <c r="S2486" s="185" t="s">
        <v>1598</v>
      </c>
      <c r="T2486" t="s">
        <v>1894</v>
      </c>
      <c r="U2486" t="str">
        <f>IF($L2486&gt;0,VLOOKUP($E2486,Valida!$A$1:$G$270,6,FALSE),IF($M2486&gt;=0,VLOOKUP($E2486,Valida!$A$1:$G$270,7,FALSE)))</f>
        <v>Disponible</v>
      </c>
      <c r="V2486" s="190" t="str">
        <f>VLOOKUP(E2486,Valida!$A$2:$K$271,4,FALSE)</f>
        <v>Cash and equivalents</v>
      </c>
      <c r="W2486" s="185" t="s">
        <v>1864</v>
      </c>
      <c r="X2486" s="185" t="s">
        <v>1865</v>
      </c>
      <c r="Y2486" s="185" t="s">
        <v>1789</v>
      </c>
      <c r="Z2486"/>
    </row>
    <row r="2487" spans="1:26">
      <c r="A2487" s="185" t="s">
        <v>3440</v>
      </c>
      <c r="B2487" s="185" t="s">
        <v>3441</v>
      </c>
      <c r="C2487" s="185" t="s">
        <v>1890</v>
      </c>
      <c r="D2487" s="185" t="s">
        <v>3442</v>
      </c>
      <c r="E2487" s="185">
        <v>23359502</v>
      </c>
      <c r="F2487" s="185" t="s">
        <v>547</v>
      </c>
      <c r="G2487" s="185" t="s">
        <v>1921</v>
      </c>
      <c r="H2487" s="185" t="s">
        <v>1515</v>
      </c>
      <c r="I2487" s="258" t="str">
        <f t="shared" si="115"/>
        <v>2</v>
      </c>
      <c r="J2487" s="221">
        <f t="shared" si="116"/>
        <v>122016</v>
      </c>
      <c r="K2487" s="258">
        <f t="shared" si="117"/>
        <v>9</v>
      </c>
      <c r="L2487" s="188">
        <v>122016</v>
      </c>
      <c r="M2487" s="188">
        <v>0</v>
      </c>
      <c r="N2487" s="189">
        <v>900424409</v>
      </c>
      <c r="O2487"/>
      <c r="P2487" s="187">
        <v>45191.421956018501</v>
      </c>
      <c r="Q2487" s="186">
        <v>13314</v>
      </c>
      <c r="R2487" s="185" t="s">
        <v>844</v>
      </c>
      <c r="S2487" s="185" t="s">
        <v>1598</v>
      </c>
      <c r="T2487"/>
      <c r="U2487" t="str">
        <f>IF($L2487&gt;0,VLOOKUP($E2487,Valida!$A$1:$G$270,6,FALSE),IF($M2487&gt;=0,VLOOKUP($E2487,Valida!$A$1:$G$270,7,FALSE)))</f>
        <v>(+/-) Ajustes por el incremento (disminución) de cuentas por pagar de origen comercial</v>
      </c>
      <c r="V2487" s="190" t="str">
        <f>VLOOKUP(E2487,Valida!$A$2:$K$271,4,FALSE)</f>
        <v>Trade and other payables</v>
      </c>
      <c r="W2487" s="185" t="s">
        <v>1864</v>
      </c>
      <c r="X2487" s="185" t="s">
        <v>1865</v>
      </c>
      <c r="Y2487" s="185" t="s">
        <v>1789</v>
      </c>
      <c r="Z2487"/>
    </row>
    <row r="2488" spans="1:26">
      <c r="A2488" s="185" t="s">
        <v>3440</v>
      </c>
      <c r="B2488" s="185" t="s">
        <v>3443</v>
      </c>
      <c r="C2488" s="185" t="s">
        <v>1890</v>
      </c>
      <c r="D2488" s="185" t="s">
        <v>3444</v>
      </c>
      <c r="E2488" s="185">
        <v>112005</v>
      </c>
      <c r="F2488" s="185" t="s">
        <v>24</v>
      </c>
      <c r="G2488" s="185" t="s">
        <v>1921</v>
      </c>
      <c r="H2488" s="185" t="s">
        <v>1628</v>
      </c>
      <c r="I2488" s="258" t="str">
        <f t="shared" si="115"/>
        <v>1</v>
      </c>
      <c r="J2488" s="221">
        <f t="shared" si="116"/>
        <v>-6808980</v>
      </c>
      <c r="K2488" s="258">
        <f t="shared" si="117"/>
        <v>9</v>
      </c>
      <c r="L2488" s="188">
        <v>0</v>
      </c>
      <c r="M2488" s="188">
        <v>6808980</v>
      </c>
      <c r="N2488" s="189">
        <v>860063875</v>
      </c>
      <c r="O2488"/>
      <c r="P2488" s="187">
        <v>45191.423032407401</v>
      </c>
      <c r="Q2488" s="186">
        <v>13315</v>
      </c>
      <c r="R2488" s="185" t="s">
        <v>1827</v>
      </c>
      <c r="S2488" s="185" t="s">
        <v>1572</v>
      </c>
      <c r="T2488" t="s">
        <v>1894</v>
      </c>
      <c r="U2488" t="str">
        <f>IF($L2488&gt;0,VLOOKUP($E2488,Valida!$A$1:$G$270,6,FALSE),IF($M2488&gt;=0,VLOOKUP($E2488,Valida!$A$1:$G$270,7,FALSE)))</f>
        <v>Disponible</v>
      </c>
      <c r="V2488" s="190" t="str">
        <f>VLOOKUP(E2488,Valida!$A$2:$K$271,4,FALSE)</f>
        <v>Cash and equivalents</v>
      </c>
      <c r="W2488" s="185" t="s">
        <v>1835</v>
      </c>
      <c r="X2488" s="185"/>
      <c r="Y2488" s="185" t="s">
        <v>1789</v>
      </c>
      <c r="Z2488"/>
    </row>
    <row r="2489" spans="1:26">
      <c r="A2489" s="185" t="s">
        <v>3440</v>
      </c>
      <c r="B2489" s="185" t="s">
        <v>3443</v>
      </c>
      <c r="C2489" s="185" t="s">
        <v>1890</v>
      </c>
      <c r="D2489" s="185" t="s">
        <v>3444</v>
      </c>
      <c r="E2489" s="185">
        <v>23355005</v>
      </c>
      <c r="F2489" s="185" t="s">
        <v>516</v>
      </c>
      <c r="G2489" s="185" t="s">
        <v>1921</v>
      </c>
      <c r="H2489" s="185" t="s">
        <v>1515</v>
      </c>
      <c r="I2489" s="258" t="str">
        <f t="shared" si="115"/>
        <v>2</v>
      </c>
      <c r="J2489" s="221">
        <f t="shared" si="116"/>
        <v>6808980</v>
      </c>
      <c r="K2489" s="258">
        <f t="shared" si="117"/>
        <v>9</v>
      </c>
      <c r="L2489" s="188">
        <v>6808980</v>
      </c>
      <c r="M2489" s="188">
        <v>0</v>
      </c>
      <c r="N2489" s="189">
        <v>860063875</v>
      </c>
      <c r="O2489"/>
      <c r="P2489" s="187">
        <v>45191.423032407401</v>
      </c>
      <c r="Q2489" s="186">
        <v>13316</v>
      </c>
      <c r="R2489" s="185" t="s">
        <v>1827</v>
      </c>
      <c r="S2489" s="185" t="s">
        <v>1572</v>
      </c>
      <c r="T2489"/>
      <c r="U2489" t="str">
        <f>IF($L2489&gt;0,VLOOKUP($E2489,Valida!$A$1:$G$270,6,FALSE),IF($M2489&gt;=0,VLOOKUP($E2489,Valida!$A$1:$G$270,7,FALSE)))</f>
        <v>(+/-) Ajustes por el incremento (disminución) de cuentas por pagar de origen comercial</v>
      </c>
      <c r="V2489" s="190" t="str">
        <f>VLOOKUP(E2489,Valida!$A$2:$K$271,4,FALSE)</f>
        <v>Trade and other payables</v>
      </c>
      <c r="W2489" s="185" t="s">
        <v>1835</v>
      </c>
      <c r="X2489" s="185"/>
      <c r="Y2489" s="185" t="s">
        <v>1789</v>
      </c>
      <c r="Z2489"/>
    </row>
    <row r="2490" spans="1:26">
      <c r="A2490" s="185" t="s">
        <v>3440</v>
      </c>
      <c r="B2490" s="185" t="s">
        <v>3445</v>
      </c>
      <c r="C2490" s="185" t="s">
        <v>1890</v>
      </c>
      <c r="D2490" s="185" t="s">
        <v>3446</v>
      </c>
      <c r="E2490" s="185">
        <v>112005</v>
      </c>
      <c r="F2490" s="185" t="s">
        <v>24</v>
      </c>
      <c r="G2490" s="185" t="s">
        <v>1921</v>
      </c>
      <c r="H2490" s="185" t="s">
        <v>1628</v>
      </c>
      <c r="I2490" s="258" t="str">
        <f t="shared" si="115"/>
        <v>1</v>
      </c>
      <c r="J2490" s="221">
        <f t="shared" si="116"/>
        <v>-1437590</v>
      </c>
      <c r="K2490" s="258">
        <f t="shared" si="117"/>
        <v>9</v>
      </c>
      <c r="L2490" s="188">
        <v>0</v>
      </c>
      <c r="M2490" s="188">
        <v>1437590</v>
      </c>
      <c r="N2490" s="189">
        <v>901636211</v>
      </c>
      <c r="O2490"/>
      <c r="P2490" s="187">
        <v>45191.423645833303</v>
      </c>
      <c r="Q2490" s="186">
        <v>13317</v>
      </c>
      <c r="R2490" s="185" t="s">
        <v>1901</v>
      </c>
      <c r="S2490" s="185" t="s">
        <v>1612</v>
      </c>
      <c r="T2490" t="s">
        <v>1894</v>
      </c>
      <c r="U2490" t="str">
        <f>IF($L2490&gt;0,VLOOKUP($E2490,Valida!$A$1:$G$270,6,FALSE),IF($M2490&gt;=0,VLOOKUP($E2490,Valida!$A$1:$G$270,7,FALSE)))</f>
        <v>Disponible</v>
      </c>
      <c r="V2490" s="190" t="str">
        <f>VLOOKUP(E2490,Valida!$A$2:$K$271,4,FALSE)</f>
        <v>Cash and equivalents</v>
      </c>
      <c r="W2490" s="185" t="s">
        <v>3316</v>
      </c>
      <c r="X2490" s="185"/>
      <c r="Y2490" s="185" t="s">
        <v>1789</v>
      </c>
      <c r="Z2490"/>
    </row>
    <row r="2491" spans="1:26">
      <c r="A2491" s="185" t="s">
        <v>3440</v>
      </c>
      <c r="B2491" s="185" t="s">
        <v>3445</v>
      </c>
      <c r="C2491" s="185" t="s">
        <v>1890</v>
      </c>
      <c r="D2491" s="185" t="s">
        <v>3446</v>
      </c>
      <c r="E2491" s="185">
        <v>23359506</v>
      </c>
      <c r="F2491" s="185" t="s">
        <v>1642</v>
      </c>
      <c r="G2491" s="185" t="s">
        <v>1921</v>
      </c>
      <c r="H2491" s="185" t="s">
        <v>1515</v>
      </c>
      <c r="I2491" s="258" t="str">
        <f t="shared" si="115"/>
        <v>2</v>
      </c>
      <c r="J2491" s="221">
        <f t="shared" si="116"/>
        <v>1437590</v>
      </c>
      <c r="K2491" s="258">
        <f t="shared" si="117"/>
        <v>9</v>
      </c>
      <c r="L2491" s="188">
        <v>1437590</v>
      </c>
      <c r="M2491" s="188">
        <v>0</v>
      </c>
      <c r="N2491" s="189">
        <v>901636211</v>
      </c>
      <c r="O2491"/>
      <c r="P2491" s="187">
        <v>45191.423645833303</v>
      </c>
      <c r="Q2491" s="186">
        <v>13318</v>
      </c>
      <c r="R2491" s="185" t="s">
        <v>1901</v>
      </c>
      <c r="S2491" s="185" t="s">
        <v>1612</v>
      </c>
      <c r="T2491"/>
      <c r="U2491" t="str">
        <f>IF($L2491&gt;0,VLOOKUP($E2491,Valida!$A$1:$G$270,6,FALSE),IF($M2491&gt;=0,VLOOKUP($E2491,Valida!$A$1:$G$270,7,FALSE)))</f>
        <v>(+/-) Ajustes por el incremento (disminución) de cuentas por pagar de origen comercial</v>
      </c>
      <c r="V2491" s="190" t="str">
        <f>VLOOKUP(E2491,Valida!$A$2:$K$271,4,FALSE)</f>
        <v>Trade and other payables</v>
      </c>
      <c r="W2491" s="185" t="s">
        <v>3316</v>
      </c>
      <c r="X2491" s="185"/>
      <c r="Y2491" s="185" t="s">
        <v>1789</v>
      </c>
      <c r="Z2491"/>
    </row>
    <row r="2492" spans="1:26">
      <c r="A2492" s="185" t="s">
        <v>3447</v>
      </c>
      <c r="B2492" s="185" t="s">
        <v>3448</v>
      </c>
      <c r="C2492" s="185" t="s">
        <v>1792</v>
      </c>
      <c r="D2492" s="185" t="s">
        <v>2395</v>
      </c>
      <c r="E2492" s="185">
        <v>51350501</v>
      </c>
      <c r="F2492" s="185" t="s">
        <v>1256</v>
      </c>
      <c r="G2492" s="185" t="s">
        <v>1794</v>
      </c>
      <c r="H2492" s="185" t="s">
        <v>1515</v>
      </c>
      <c r="I2492" s="258" t="str">
        <f t="shared" si="115"/>
        <v>5</v>
      </c>
      <c r="J2492" s="221">
        <f t="shared" si="116"/>
        <v>2280608</v>
      </c>
      <c r="K2492" s="258">
        <f t="shared" si="117"/>
        <v>9</v>
      </c>
      <c r="L2492" s="188">
        <v>2280608</v>
      </c>
      <c r="M2492" s="188">
        <v>0</v>
      </c>
      <c r="N2492" s="189">
        <v>900994552</v>
      </c>
      <c r="O2492" t="s">
        <v>3449</v>
      </c>
      <c r="P2492" s="187">
        <v>45195.371122685203</v>
      </c>
      <c r="Q2492" s="186">
        <v>13319</v>
      </c>
      <c r="R2492" s="185" t="s">
        <v>844</v>
      </c>
      <c r="S2492" s="185" t="s">
        <v>1606</v>
      </c>
      <c r="T2492"/>
      <c r="U2492" t="str">
        <f>IF($L2492&gt;0,VLOOKUP($E2492,Valida!$A$1:$G$270,6,FALSE),IF($M2492&gt;=0,VLOOKUP($E2492,Valida!$A$1:$G$270,7,FALSE)))</f>
        <v>(+/-) Ganancia (pérdida)</v>
      </c>
      <c r="V2492" s="190" t="str">
        <f>VLOOKUP(E2492,Valida!$A$2:$K$271,4,FALSE)</f>
        <v>P&amp;L</v>
      </c>
      <c r="W2492" s="185" t="s">
        <v>1796</v>
      </c>
      <c r="X2492" s="185" t="s">
        <v>1797</v>
      </c>
      <c r="Y2492" s="185" t="s">
        <v>1789</v>
      </c>
      <c r="Z2492"/>
    </row>
    <row r="2493" spans="1:26">
      <c r="A2493" s="185" t="s">
        <v>3447</v>
      </c>
      <c r="B2493" s="185" t="s">
        <v>3448</v>
      </c>
      <c r="C2493" s="185" t="s">
        <v>1792</v>
      </c>
      <c r="D2493" s="185" t="s">
        <v>2395</v>
      </c>
      <c r="E2493" s="185">
        <v>51350501</v>
      </c>
      <c r="F2493" s="185" t="s">
        <v>1256</v>
      </c>
      <c r="G2493" s="185" t="s">
        <v>1794</v>
      </c>
      <c r="H2493" s="185" t="s">
        <v>1515</v>
      </c>
      <c r="I2493" s="258" t="str">
        <f t="shared" si="115"/>
        <v>5</v>
      </c>
      <c r="J2493" s="221">
        <f t="shared" si="116"/>
        <v>228060.79999999999</v>
      </c>
      <c r="K2493" s="258">
        <f t="shared" si="117"/>
        <v>9</v>
      </c>
      <c r="L2493" s="188">
        <v>228060.79999999999</v>
      </c>
      <c r="M2493" s="188">
        <v>0</v>
      </c>
      <c r="N2493" s="189">
        <v>900994552</v>
      </c>
      <c r="O2493" t="s">
        <v>3449</v>
      </c>
      <c r="P2493" s="187">
        <v>45195.371122685203</v>
      </c>
      <c r="Q2493" s="186">
        <v>13320</v>
      </c>
      <c r="R2493" s="185" t="s">
        <v>844</v>
      </c>
      <c r="S2493" s="185" t="s">
        <v>1606</v>
      </c>
      <c r="T2493"/>
      <c r="U2493" t="str">
        <f>IF($L2493&gt;0,VLOOKUP($E2493,Valida!$A$1:$G$270,6,FALSE),IF($M2493&gt;=0,VLOOKUP($E2493,Valida!$A$1:$G$270,7,FALSE)))</f>
        <v>(+/-) Ganancia (pérdida)</v>
      </c>
      <c r="V2493" s="190" t="str">
        <f>VLOOKUP(E2493,Valida!$A$2:$K$271,4,FALSE)</f>
        <v>P&amp;L</v>
      </c>
      <c r="W2493" s="185" t="s">
        <v>1796</v>
      </c>
      <c r="X2493" s="185" t="s">
        <v>1797</v>
      </c>
      <c r="Y2493" s="185" t="s">
        <v>1789</v>
      </c>
      <c r="Z2493"/>
    </row>
    <row r="2494" spans="1:26">
      <c r="A2494" s="185" t="s">
        <v>3447</v>
      </c>
      <c r="B2494" s="185" t="s">
        <v>3448</v>
      </c>
      <c r="C2494" s="185" t="s">
        <v>1792</v>
      </c>
      <c r="D2494" s="185" t="s">
        <v>2395</v>
      </c>
      <c r="E2494" s="185">
        <v>24081002</v>
      </c>
      <c r="F2494" s="185" t="s">
        <v>1687</v>
      </c>
      <c r="G2494" s="185" t="s">
        <v>1794</v>
      </c>
      <c r="H2494" s="185" t="s">
        <v>1515</v>
      </c>
      <c r="I2494" s="258" t="str">
        <f t="shared" si="115"/>
        <v>2</v>
      </c>
      <c r="J2494" s="221">
        <f t="shared" si="116"/>
        <v>43331.199999999997</v>
      </c>
      <c r="K2494" s="258">
        <f t="shared" si="117"/>
        <v>9</v>
      </c>
      <c r="L2494" s="188">
        <v>43331.199999999997</v>
      </c>
      <c r="M2494" s="188">
        <v>0</v>
      </c>
      <c r="N2494" s="189">
        <v>900994552</v>
      </c>
      <c r="O2494" t="s">
        <v>3449</v>
      </c>
      <c r="P2494" s="187">
        <v>45195.371122685203</v>
      </c>
      <c r="Q2494" s="186">
        <v>13321</v>
      </c>
      <c r="R2494" s="185" t="s">
        <v>844</v>
      </c>
      <c r="S2494" s="185" t="s">
        <v>1606</v>
      </c>
      <c r="T2494"/>
      <c r="U2494" t="str">
        <f>IF($L2494&gt;0,VLOOKUP($E2494,Valida!$A$1:$G$270,6,FALSE),IF($M2494&gt;=0,VLOOKUP($E2494,Valida!$A$1:$G$270,7,FALSE)))</f>
        <v>(+/-) Ajustes por el incremento (disminución) de cuentas por pagar de origen comercial</v>
      </c>
      <c r="V2494" s="190" t="str">
        <f>VLOOKUP(E2494,Valida!$A$2:$K$271,4,FALSE)</f>
        <v>Trade and other payables</v>
      </c>
      <c r="W2494" s="185" t="s">
        <v>1796</v>
      </c>
      <c r="X2494" s="185" t="s">
        <v>1797</v>
      </c>
      <c r="Y2494" s="185" t="s">
        <v>1789</v>
      </c>
      <c r="Z2494"/>
    </row>
    <row r="2495" spans="1:26">
      <c r="A2495" s="185" t="s">
        <v>3447</v>
      </c>
      <c r="B2495" s="185" t="s">
        <v>3448</v>
      </c>
      <c r="C2495" s="185" t="s">
        <v>1792</v>
      </c>
      <c r="D2495" s="185" t="s">
        <v>2395</v>
      </c>
      <c r="E2495" s="185">
        <v>23355004</v>
      </c>
      <c r="F2495" s="185" t="s">
        <v>513</v>
      </c>
      <c r="G2495" s="185" t="s">
        <v>1794</v>
      </c>
      <c r="H2495" s="185" t="s">
        <v>1628</v>
      </c>
      <c r="I2495" s="258" t="str">
        <f t="shared" si="115"/>
        <v>2</v>
      </c>
      <c r="J2495" s="221">
        <f t="shared" si="116"/>
        <v>-2552000</v>
      </c>
      <c r="K2495" s="258">
        <f t="shared" si="117"/>
        <v>9</v>
      </c>
      <c r="L2495" s="188">
        <v>0</v>
      </c>
      <c r="M2495" s="188">
        <v>2552000</v>
      </c>
      <c r="N2495" s="189">
        <v>900994552</v>
      </c>
      <c r="O2495" t="s">
        <v>3449</v>
      </c>
      <c r="P2495" s="187">
        <v>45195.371122685203</v>
      </c>
      <c r="Q2495" s="186">
        <v>13322</v>
      </c>
      <c r="R2495" s="185" t="s">
        <v>844</v>
      </c>
      <c r="S2495" s="185" t="s">
        <v>1606</v>
      </c>
      <c r="T2495"/>
      <c r="U2495" t="str">
        <f>IF($L2495&gt;0,VLOOKUP($E2495,Valida!$A$1:$G$270,6,FALSE),IF($M2495&gt;=0,VLOOKUP($E2495,Valida!$A$1:$G$270,7,FALSE)))</f>
        <v>(+/-) Ajustes por el incremento (disminución) de cuentas por pagar de origen comercial</v>
      </c>
      <c r="V2495" s="190" t="str">
        <f>VLOOKUP(E2495,Valida!$A$2:$K$271,4,FALSE)</f>
        <v>Trade and other payables</v>
      </c>
      <c r="W2495" s="185" t="s">
        <v>1796</v>
      </c>
      <c r="X2495" s="185" t="s">
        <v>1797</v>
      </c>
      <c r="Y2495" s="185" t="s">
        <v>1789</v>
      </c>
      <c r="Z2495"/>
    </row>
    <row r="2496" spans="1:26">
      <c r="A2496" s="185" t="s">
        <v>3450</v>
      </c>
      <c r="B2496" s="185" t="s">
        <v>3451</v>
      </c>
      <c r="C2496" s="185" t="s">
        <v>1897</v>
      </c>
      <c r="D2496" s="185" t="s">
        <v>3452</v>
      </c>
      <c r="E2496" s="185">
        <v>510506</v>
      </c>
      <c r="F2496" s="185" t="s">
        <v>1076</v>
      </c>
      <c r="G2496" s="185" t="s">
        <v>3453</v>
      </c>
      <c r="H2496" s="185" t="s">
        <v>1515</v>
      </c>
      <c r="I2496" s="258" t="str">
        <f t="shared" si="115"/>
        <v>5</v>
      </c>
      <c r="J2496" s="221">
        <f t="shared" si="116"/>
        <v>1160000</v>
      </c>
      <c r="K2496" s="258">
        <f t="shared" si="117"/>
        <v>9</v>
      </c>
      <c r="L2496" s="188">
        <v>1160000</v>
      </c>
      <c r="M2496" s="188">
        <v>0</v>
      </c>
      <c r="N2496" s="189">
        <v>1130744136</v>
      </c>
      <c r="O2496" t="s">
        <v>3451</v>
      </c>
      <c r="P2496" s="187">
        <v>45195</v>
      </c>
      <c r="Q2496" s="186">
        <v>13569</v>
      </c>
      <c r="R2496" s="185"/>
      <c r="S2496" s="185" t="s">
        <v>1538</v>
      </c>
      <c r="T2496" t="s">
        <v>2729</v>
      </c>
      <c r="U2496" t="str">
        <f>IF($L2496&gt;0,VLOOKUP($E2496,Valida!$A$1:$G$270,6,FALSE),IF($M2496&gt;=0,VLOOKUP($E2496,Valida!$A$1:$G$270,7,FALSE)))</f>
        <v>(+/-) Ganancia (pérdida)</v>
      </c>
      <c r="V2496" s="190" t="str">
        <f>VLOOKUP(E2496,Valida!$A$2:$K$271,4,FALSE)</f>
        <v>P&amp;L</v>
      </c>
      <c r="W2496" s="185" t="s">
        <v>1909</v>
      </c>
      <c r="X2496" s="185" t="s">
        <v>1910</v>
      </c>
      <c r="Y2496" s="185" t="s">
        <v>1789</v>
      </c>
      <c r="Z2496"/>
    </row>
    <row r="2497" spans="1:26">
      <c r="A2497" s="185" t="s">
        <v>3450</v>
      </c>
      <c r="B2497" s="185" t="s">
        <v>3451</v>
      </c>
      <c r="C2497" s="185" t="s">
        <v>1897</v>
      </c>
      <c r="D2497" s="185" t="s">
        <v>3452</v>
      </c>
      <c r="E2497" s="185">
        <v>510527</v>
      </c>
      <c r="F2497" s="185" t="s">
        <v>1089</v>
      </c>
      <c r="G2497" s="185" t="s">
        <v>3453</v>
      </c>
      <c r="H2497" s="185" t="s">
        <v>1515</v>
      </c>
      <c r="I2497" s="258" t="str">
        <f t="shared" si="115"/>
        <v>5</v>
      </c>
      <c r="J2497" s="221">
        <f t="shared" si="116"/>
        <v>140606</v>
      </c>
      <c r="K2497" s="258">
        <f t="shared" si="117"/>
        <v>9</v>
      </c>
      <c r="L2497" s="188">
        <v>140606</v>
      </c>
      <c r="M2497" s="188">
        <v>0</v>
      </c>
      <c r="N2497" s="189">
        <v>1130744136</v>
      </c>
      <c r="O2497" t="s">
        <v>3451</v>
      </c>
      <c r="P2497" s="187">
        <v>45195</v>
      </c>
      <c r="Q2497" s="186">
        <v>13570</v>
      </c>
      <c r="R2497" s="185"/>
      <c r="S2497" s="185" t="s">
        <v>1538</v>
      </c>
      <c r="T2497" t="s">
        <v>2729</v>
      </c>
      <c r="U2497" t="str">
        <f>IF($L2497&gt;0,VLOOKUP($E2497,Valida!$A$1:$G$270,6,FALSE),IF($M2497&gt;=0,VLOOKUP($E2497,Valida!$A$1:$G$270,7,FALSE)))</f>
        <v>(+/-) Ganancia (pérdida)</v>
      </c>
      <c r="V2497" s="190" t="str">
        <f>VLOOKUP(E2497,Valida!$A$2:$K$271,4,FALSE)</f>
        <v>P&amp;L</v>
      </c>
      <c r="W2497" s="185" t="s">
        <v>1909</v>
      </c>
      <c r="X2497" s="185" t="s">
        <v>1910</v>
      </c>
      <c r="Y2497" s="185" t="s">
        <v>1789</v>
      </c>
      <c r="Z2497"/>
    </row>
    <row r="2498" spans="1:26">
      <c r="A2498" s="185" t="s">
        <v>3450</v>
      </c>
      <c r="B2498" s="185" t="s">
        <v>3451</v>
      </c>
      <c r="C2498" s="185" t="s">
        <v>1897</v>
      </c>
      <c r="D2498" s="185" t="s">
        <v>3452</v>
      </c>
      <c r="E2498" s="185">
        <v>237005</v>
      </c>
      <c r="F2498" s="185" t="s">
        <v>676</v>
      </c>
      <c r="G2498" s="185" t="s">
        <v>3453</v>
      </c>
      <c r="H2498" s="185" t="s">
        <v>1628</v>
      </c>
      <c r="I2498" s="258" t="str">
        <f t="shared" si="115"/>
        <v>2</v>
      </c>
      <c r="J2498" s="221">
        <f t="shared" si="116"/>
        <v>-46400</v>
      </c>
      <c r="K2498" s="258">
        <f t="shared" si="117"/>
        <v>9</v>
      </c>
      <c r="L2498" s="188">
        <v>0</v>
      </c>
      <c r="M2498" s="188">
        <v>46400</v>
      </c>
      <c r="N2498" s="189">
        <v>800251440</v>
      </c>
      <c r="O2498" t="s">
        <v>3451</v>
      </c>
      <c r="P2498" s="187">
        <v>45195</v>
      </c>
      <c r="Q2498" s="186">
        <v>13571</v>
      </c>
      <c r="R2498" s="185" t="s">
        <v>1901</v>
      </c>
      <c r="S2498" s="185" t="s">
        <v>1560</v>
      </c>
      <c r="T2498" t="s">
        <v>2729</v>
      </c>
      <c r="U2498" t="str">
        <f>IF($L2498&gt;0,VLOOKUP($E2498,Valida!$A$1:$G$270,6,FALSE),IF($M2498&gt;=0,VLOOKUP($E2498,Valida!$A$1:$G$270,7,FALSE)))</f>
        <v>(+/-) Ajustes por el incremento (disminución) de cuentas por pagar de origen comercial</v>
      </c>
      <c r="V2498" s="190" t="str">
        <f>VLOOKUP(E2498,Valida!$A$2:$K$271,4,FALSE)</f>
        <v>Trade and other payables</v>
      </c>
      <c r="W2498" s="185" t="s">
        <v>1902</v>
      </c>
      <c r="X2498" s="185" t="s">
        <v>1903</v>
      </c>
      <c r="Y2498" s="185" t="s">
        <v>1789</v>
      </c>
      <c r="Z2498"/>
    </row>
    <row r="2499" spans="1:26">
      <c r="A2499" s="185" t="s">
        <v>3450</v>
      </c>
      <c r="B2499" s="185" t="s">
        <v>3451</v>
      </c>
      <c r="C2499" s="185" t="s">
        <v>1897</v>
      </c>
      <c r="D2499" s="185" t="s">
        <v>3452</v>
      </c>
      <c r="E2499" s="185">
        <v>238030</v>
      </c>
      <c r="F2499" s="185" t="s">
        <v>721</v>
      </c>
      <c r="G2499" s="185" t="s">
        <v>3453</v>
      </c>
      <c r="H2499" s="185" t="s">
        <v>1628</v>
      </c>
      <c r="I2499" s="258" t="str">
        <f t="shared" ref="I2499:I2562" si="118">LEFT(E2499,1)</f>
        <v>2</v>
      </c>
      <c r="J2499" s="221">
        <f t="shared" ref="J2499:J2562" si="119">L2499-M2499</f>
        <v>-46400</v>
      </c>
      <c r="K2499" s="258">
        <f t="shared" ref="K2499:K2562" si="120">MONTH(A2499)</f>
        <v>9</v>
      </c>
      <c r="L2499" s="188">
        <v>0</v>
      </c>
      <c r="M2499" s="188">
        <v>46400</v>
      </c>
      <c r="N2499" s="189">
        <v>800224808</v>
      </c>
      <c r="O2499" t="s">
        <v>3451</v>
      </c>
      <c r="P2499" s="187">
        <v>45195</v>
      </c>
      <c r="Q2499" s="186">
        <v>13572</v>
      </c>
      <c r="R2499" s="185" t="s">
        <v>1827</v>
      </c>
      <c r="S2499" s="185" t="s">
        <v>1662</v>
      </c>
      <c r="T2499" t="s">
        <v>2729</v>
      </c>
      <c r="U2499" t="str">
        <f>IF($L2499&gt;0,VLOOKUP($E2499,Valida!$A$1:$G$270,6,FALSE),IF($M2499&gt;=0,VLOOKUP($E2499,Valida!$A$1:$G$270,7,FALSE)))</f>
        <v>(+/-) Ajustes por el incremento (disminución) de cuentas por pagar de origen comercial</v>
      </c>
      <c r="V2499" s="190" t="str">
        <f>VLOOKUP(E2499,Valida!$A$2:$K$271,4,FALSE)</f>
        <v>Trade and other payables</v>
      </c>
      <c r="W2499" s="185" t="s">
        <v>1911</v>
      </c>
      <c r="X2499" s="185"/>
      <c r="Y2499" s="185" t="s">
        <v>1789</v>
      </c>
      <c r="Z2499"/>
    </row>
    <row r="2500" spans="1:26">
      <c r="A2500" s="185" t="s">
        <v>3450</v>
      </c>
      <c r="B2500" s="185" t="s">
        <v>3451</v>
      </c>
      <c r="C2500" s="185" t="s">
        <v>1897</v>
      </c>
      <c r="D2500" s="185" t="s">
        <v>3452</v>
      </c>
      <c r="E2500" s="185">
        <v>510506</v>
      </c>
      <c r="F2500" s="185" t="s">
        <v>1076</v>
      </c>
      <c r="G2500" s="185" t="s">
        <v>3453</v>
      </c>
      <c r="H2500" s="185" t="s">
        <v>1515</v>
      </c>
      <c r="I2500" s="258" t="str">
        <f t="shared" si="118"/>
        <v>5</v>
      </c>
      <c r="J2500" s="221">
        <f t="shared" si="119"/>
        <v>1500000</v>
      </c>
      <c r="K2500" s="258">
        <f t="shared" si="120"/>
        <v>9</v>
      </c>
      <c r="L2500" s="188">
        <v>1500000</v>
      </c>
      <c r="M2500" s="188">
        <v>0</v>
      </c>
      <c r="N2500" s="189">
        <v>1010101811</v>
      </c>
      <c r="O2500" t="s">
        <v>3451</v>
      </c>
      <c r="P2500" s="187">
        <v>45195</v>
      </c>
      <c r="Q2500" s="186">
        <v>13573</v>
      </c>
      <c r="R2500" s="185"/>
      <c r="S2500" s="185" t="s">
        <v>1528</v>
      </c>
      <c r="T2500" t="s">
        <v>2729</v>
      </c>
      <c r="U2500" t="str">
        <f>IF($L2500&gt;0,VLOOKUP($E2500,Valida!$A$1:$G$270,6,FALSE),IF($M2500&gt;=0,VLOOKUP($E2500,Valida!$A$1:$G$270,7,FALSE)))</f>
        <v>(+/-) Ganancia (pérdida)</v>
      </c>
      <c r="V2500" s="190" t="str">
        <f>VLOOKUP(E2500,Valida!$A$2:$K$271,4,FALSE)</f>
        <v>P&amp;L</v>
      </c>
      <c r="W2500" s="185" t="s">
        <v>1967</v>
      </c>
      <c r="X2500" s="185"/>
      <c r="Y2500" s="185" t="s">
        <v>1789</v>
      </c>
      <c r="Z2500"/>
    </row>
    <row r="2501" spans="1:26">
      <c r="A2501" s="185" t="s">
        <v>3450</v>
      </c>
      <c r="B2501" s="185" t="s">
        <v>3451</v>
      </c>
      <c r="C2501" s="185" t="s">
        <v>1897</v>
      </c>
      <c r="D2501" s="185" t="s">
        <v>3452</v>
      </c>
      <c r="E2501" s="185">
        <v>510527</v>
      </c>
      <c r="F2501" s="185" t="s">
        <v>1089</v>
      </c>
      <c r="G2501" s="185" t="s">
        <v>3453</v>
      </c>
      <c r="H2501" s="185" t="s">
        <v>1515</v>
      </c>
      <c r="I2501" s="258" t="str">
        <f t="shared" si="118"/>
        <v>5</v>
      </c>
      <c r="J2501" s="221">
        <f t="shared" si="119"/>
        <v>140606</v>
      </c>
      <c r="K2501" s="258">
        <f t="shared" si="120"/>
        <v>9</v>
      </c>
      <c r="L2501" s="188">
        <v>140606</v>
      </c>
      <c r="M2501" s="188">
        <v>0</v>
      </c>
      <c r="N2501" s="189">
        <v>1010101811</v>
      </c>
      <c r="O2501" t="s">
        <v>3451</v>
      </c>
      <c r="P2501" s="187">
        <v>45195</v>
      </c>
      <c r="Q2501" s="186">
        <v>13574</v>
      </c>
      <c r="R2501" s="185"/>
      <c r="S2501" s="185" t="s">
        <v>1528</v>
      </c>
      <c r="T2501" t="s">
        <v>2729</v>
      </c>
      <c r="U2501" t="str">
        <f>IF($L2501&gt;0,VLOOKUP($E2501,Valida!$A$1:$G$270,6,FALSE),IF($M2501&gt;=0,VLOOKUP($E2501,Valida!$A$1:$G$270,7,FALSE)))</f>
        <v>(+/-) Ganancia (pérdida)</v>
      </c>
      <c r="V2501" s="190" t="str">
        <f>VLOOKUP(E2501,Valida!$A$2:$K$271,4,FALSE)</f>
        <v>P&amp;L</v>
      </c>
      <c r="W2501" s="185" t="s">
        <v>1967</v>
      </c>
      <c r="X2501" s="185"/>
      <c r="Y2501" s="185" t="s">
        <v>1789</v>
      </c>
      <c r="Z2501"/>
    </row>
    <row r="2502" spans="1:26">
      <c r="A2502" s="185" t="s">
        <v>3450</v>
      </c>
      <c r="B2502" s="185" t="s">
        <v>3451</v>
      </c>
      <c r="C2502" s="185" t="s">
        <v>1897</v>
      </c>
      <c r="D2502" s="185" t="s">
        <v>3452</v>
      </c>
      <c r="E2502" s="185">
        <v>237005</v>
      </c>
      <c r="F2502" s="185" t="s">
        <v>676</v>
      </c>
      <c r="G2502" s="185" t="s">
        <v>3453</v>
      </c>
      <c r="H2502" s="185" t="s">
        <v>1628</v>
      </c>
      <c r="I2502" s="258" t="str">
        <f t="shared" si="118"/>
        <v>2</v>
      </c>
      <c r="J2502" s="221">
        <f t="shared" si="119"/>
        <v>-60000</v>
      </c>
      <c r="K2502" s="258">
        <f t="shared" si="120"/>
        <v>9</v>
      </c>
      <c r="L2502" s="188">
        <v>0</v>
      </c>
      <c r="M2502" s="188">
        <v>60000</v>
      </c>
      <c r="N2502" s="189">
        <v>860066942</v>
      </c>
      <c r="O2502" t="s">
        <v>3451</v>
      </c>
      <c r="P2502" s="187">
        <v>45195</v>
      </c>
      <c r="Q2502" s="186">
        <v>13575</v>
      </c>
      <c r="R2502" s="185" t="s">
        <v>1814</v>
      </c>
      <c r="S2502" s="185" t="s">
        <v>1574</v>
      </c>
      <c r="T2502" t="s">
        <v>2729</v>
      </c>
      <c r="U2502" t="str">
        <f>IF($L2502&gt;0,VLOOKUP($E2502,Valida!$A$1:$G$270,6,FALSE),IF($M2502&gt;=0,VLOOKUP($E2502,Valida!$A$1:$G$270,7,FALSE)))</f>
        <v>(+/-) Ajustes por el incremento (disminución) de cuentas por pagar de origen comercial</v>
      </c>
      <c r="V2502" s="190" t="str">
        <f>VLOOKUP(E2502,Valida!$A$2:$K$271,4,FALSE)</f>
        <v>Trade and other payables</v>
      </c>
      <c r="W2502" s="185" t="s">
        <v>1914</v>
      </c>
      <c r="X2502" s="185" t="s">
        <v>1915</v>
      </c>
      <c r="Y2502" s="185" t="s">
        <v>1789</v>
      </c>
      <c r="Z2502"/>
    </row>
    <row r="2503" spans="1:26">
      <c r="A2503" s="185" t="s">
        <v>3450</v>
      </c>
      <c r="B2503" s="185" t="s">
        <v>3451</v>
      </c>
      <c r="C2503" s="185" t="s">
        <v>1897</v>
      </c>
      <c r="D2503" s="185" t="s">
        <v>3452</v>
      </c>
      <c r="E2503" s="185">
        <v>238030</v>
      </c>
      <c r="F2503" s="185" t="s">
        <v>721</v>
      </c>
      <c r="G2503" s="185" t="s">
        <v>3453</v>
      </c>
      <c r="H2503" s="185" t="s">
        <v>1628</v>
      </c>
      <c r="I2503" s="258" t="str">
        <f t="shared" si="118"/>
        <v>2</v>
      </c>
      <c r="J2503" s="221">
        <f t="shared" si="119"/>
        <v>-60000</v>
      </c>
      <c r="K2503" s="258">
        <f t="shared" si="120"/>
        <v>9</v>
      </c>
      <c r="L2503" s="188">
        <v>0</v>
      </c>
      <c r="M2503" s="188">
        <v>60000</v>
      </c>
      <c r="N2503" s="189">
        <v>800224808</v>
      </c>
      <c r="O2503" t="s">
        <v>3451</v>
      </c>
      <c r="P2503" s="187">
        <v>45195</v>
      </c>
      <c r="Q2503" s="186">
        <v>13576</v>
      </c>
      <c r="R2503" s="185" t="s">
        <v>1827</v>
      </c>
      <c r="S2503" s="185" t="s">
        <v>1662</v>
      </c>
      <c r="T2503" t="s">
        <v>2729</v>
      </c>
      <c r="U2503" t="str">
        <f>IF($L2503&gt;0,VLOOKUP($E2503,Valida!$A$1:$G$270,6,FALSE),IF($M2503&gt;=0,VLOOKUP($E2503,Valida!$A$1:$G$270,7,FALSE)))</f>
        <v>(+/-) Ajustes por el incremento (disminución) de cuentas por pagar de origen comercial</v>
      </c>
      <c r="V2503" s="190" t="str">
        <f>VLOOKUP(E2503,Valida!$A$2:$K$271,4,FALSE)</f>
        <v>Trade and other payables</v>
      </c>
      <c r="W2503" s="185" t="s">
        <v>1911</v>
      </c>
      <c r="X2503" s="185"/>
      <c r="Y2503" s="185" t="s">
        <v>1789</v>
      </c>
      <c r="Z2503"/>
    </row>
    <row r="2504" spans="1:26">
      <c r="A2504" s="185" t="s">
        <v>3450</v>
      </c>
      <c r="B2504" s="185" t="s">
        <v>3451</v>
      </c>
      <c r="C2504" s="185" t="s">
        <v>1897</v>
      </c>
      <c r="D2504" s="185" t="s">
        <v>3452</v>
      </c>
      <c r="E2504" s="185">
        <v>51052403</v>
      </c>
      <c r="F2504" s="185" t="s">
        <v>1720</v>
      </c>
      <c r="G2504" s="185" t="s">
        <v>3453</v>
      </c>
      <c r="H2504" s="185" t="s">
        <v>1515</v>
      </c>
      <c r="I2504" s="258" t="str">
        <f t="shared" si="118"/>
        <v>5</v>
      </c>
      <c r="J2504" s="221">
        <f t="shared" si="119"/>
        <v>1160000</v>
      </c>
      <c r="K2504" s="258">
        <f t="shared" si="120"/>
        <v>9</v>
      </c>
      <c r="L2504" s="188">
        <v>1160000</v>
      </c>
      <c r="M2504" s="188">
        <v>0</v>
      </c>
      <c r="N2504" s="189">
        <v>1020842223</v>
      </c>
      <c r="O2504" t="s">
        <v>3451</v>
      </c>
      <c r="P2504" s="187">
        <v>45195</v>
      </c>
      <c r="Q2504" s="186">
        <v>13577</v>
      </c>
      <c r="R2504" s="185"/>
      <c r="S2504" s="185" t="s">
        <v>1532</v>
      </c>
      <c r="T2504" t="s">
        <v>2729</v>
      </c>
      <c r="U2504" t="str">
        <f>IF($L2504&gt;0,VLOOKUP($E2504,Valida!$A$1:$G$270,6,FALSE),IF($M2504&gt;=0,VLOOKUP($E2504,Valida!$A$1:$G$270,7,FALSE)))</f>
        <v>(+/-) Ganancia (pérdida)</v>
      </c>
      <c r="V2504" s="190" t="str">
        <f>VLOOKUP(E2504,Valida!$A$2:$K$271,4,FALSE)</f>
        <v>P&amp;L</v>
      </c>
      <c r="W2504" s="185" t="s">
        <v>1900</v>
      </c>
      <c r="X2504" s="185"/>
      <c r="Y2504" s="185" t="s">
        <v>1789</v>
      </c>
      <c r="Z2504"/>
    </row>
    <row r="2505" spans="1:26">
      <c r="A2505" s="185" t="s">
        <v>3450</v>
      </c>
      <c r="B2505" s="185" t="s">
        <v>3451</v>
      </c>
      <c r="C2505" s="185" t="s">
        <v>1897</v>
      </c>
      <c r="D2505" s="185" t="s">
        <v>3452</v>
      </c>
      <c r="E2505" s="185">
        <v>237005</v>
      </c>
      <c r="F2505" s="185" t="s">
        <v>676</v>
      </c>
      <c r="G2505" s="185" t="s">
        <v>3453</v>
      </c>
      <c r="H2505" s="185" t="s">
        <v>1628</v>
      </c>
      <c r="I2505" s="258" t="str">
        <f t="shared" si="118"/>
        <v>2</v>
      </c>
      <c r="J2505" s="221">
        <f t="shared" si="119"/>
        <v>-46400</v>
      </c>
      <c r="K2505" s="258">
        <f t="shared" si="120"/>
        <v>9</v>
      </c>
      <c r="L2505" s="188">
        <v>0</v>
      </c>
      <c r="M2505" s="188">
        <v>46400</v>
      </c>
      <c r="N2505" s="189">
        <v>800251440</v>
      </c>
      <c r="O2505" t="s">
        <v>3451</v>
      </c>
      <c r="P2505" s="187">
        <v>45195</v>
      </c>
      <c r="Q2505" s="186">
        <v>13578</v>
      </c>
      <c r="R2505" s="185" t="s">
        <v>1901</v>
      </c>
      <c r="S2505" s="185" t="s">
        <v>1560</v>
      </c>
      <c r="T2505" t="s">
        <v>2729</v>
      </c>
      <c r="U2505" t="str">
        <f>IF($L2505&gt;0,VLOOKUP($E2505,Valida!$A$1:$G$270,6,FALSE),IF($M2505&gt;=0,VLOOKUP($E2505,Valida!$A$1:$G$270,7,FALSE)))</f>
        <v>(+/-) Ajustes por el incremento (disminución) de cuentas por pagar de origen comercial</v>
      </c>
      <c r="V2505" s="190" t="str">
        <f>VLOOKUP(E2505,Valida!$A$2:$K$271,4,FALSE)</f>
        <v>Trade and other payables</v>
      </c>
      <c r="W2505" s="185" t="s">
        <v>1902</v>
      </c>
      <c r="X2505" s="185" t="s">
        <v>1903</v>
      </c>
      <c r="Y2505" s="185" t="s">
        <v>1789</v>
      </c>
      <c r="Z2505"/>
    </row>
    <row r="2506" spans="1:26">
      <c r="A2506" s="185" t="s">
        <v>3450</v>
      </c>
      <c r="B2506" s="185" t="s">
        <v>3451</v>
      </c>
      <c r="C2506" s="185" t="s">
        <v>1897</v>
      </c>
      <c r="D2506" s="185" t="s">
        <v>3452</v>
      </c>
      <c r="E2506" s="185">
        <v>238030</v>
      </c>
      <c r="F2506" s="185" t="s">
        <v>721</v>
      </c>
      <c r="G2506" s="185" t="s">
        <v>3453</v>
      </c>
      <c r="H2506" s="185" t="s">
        <v>1628</v>
      </c>
      <c r="I2506" s="258" t="str">
        <f t="shared" si="118"/>
        <v>2</v>
      </c>
      <c r="J2506" s="221">
        <f t="shared" si="119"/>
        <v>-46400</v>
      </c>
      <c r="K2506" s="258">
        <f t="shared" si="120"/>
        <v>9</v>
      </c>
      <c r="L2506" s="188">
        <v>0</v>
      </c>
      <c r="M2506" s="188">
        <v>46400</v>
      </c>
      <c r="N2506" s="189">
        <v>800224808</v>
      </c>
      <c r="O2506" t="s">
        <v>3451</v>
      </c>
      <c r="P2506" s="187">
        <v>45195</v>
      </c>
      <c r="Q2506" s="186">
        <v>13579</v>
      </c>
      <c r="R2506" s="185" t="s">
        <v>1827</v>
      </c>
      <c r="S2506" s="185" t="s">
        <v>1662</v>
      </c>
      <c r="T2506" t="s">
        <v>2729</v>
      </c>
      <c r="U2506" t="str">
        <f>IF($L2506&gt;0,VLOOKUP($E2506,Valida!$A$1:$G$270,6,FALSE),IF($M2506&gt;=0,VLOOKUP($E2506,Valida!$A$1:$G$270,7,FALSE)))</f>
        <v>(+/-) Ajustes por el incremento (disminución) de cuentas por pagar de origen comercial</v>
      </c>
      <c r="V2506" s="190" t="str">
        <f>VLOOKUP(E2506,Valida!$A$2:$K$271,4,FALSE)</f>
        <v>Trade and other payables</v>
      </c>
      <c r="W2506" s="185" t="s">
        <v>1911</v>
      </c>
      <c r="X2506" s="185"/>
      <c r="Y2506" s="185" t="s">
        <v>1789</v>
      </c>
      <c r="Z2506"/>
    </row>
    <row r="2507" spans="1:26">
      <c r="A2507" s="185" t="s">
        <v>3450</v>
      </c>
      <c r="B2507" s="185" t="s">
        <v>3451</v>
      </c>
      <c r="C2507" s="185" t="s">
        <v>1897</v>
      </c>
      <c r="D2507" s="185" t="s">
        <v>3452</v>
      </c>
      <c r="E2507" s="185">
        <v>510506</v>
      </c>
      <c r="F2507" s="185" t="s">
        <v>1076</v>
      </c>
      <c r="G2507" s="185" t="s">
        <v>3453</v>
      </c>
      <c r="H2507" s="185" t="s">
        <v>1515</v>
      </c>
      <c r="I2507" s="258" t="str">
        <f t="shared" si="118"/>
        <v>5</v>
      </c>
      <c r="J2507" s="221">
        <f t="shared" si="119"/>
        <v>1276000</v>
      </c>
      <c r="K2507" s="258">
        <f t="shared" si="120"/>
        <v>9</v>
      </c>
      <c r="L2507" s="188">
        <v>1276000</v>
      </c>
      <c r="M2507" s="188">
        <v>0</v>
      </c>
      <c r="N2507" s="189">
        <v>1000018061</v>
      </c>
      <c r="O2507" t="s">
        <v>3451</v>
      </c>
      <c r="P2507" s="187">
        <v>45195</v>
      </c>
      <c r="Q2507" s="186">
        <v>13580</v>
      </c>
      <c r="R2507" s="185"/>
      <c r="S2507" s="185" t="s">
        <v>1522</v>
      </c>
      <c r="T2507" t="s">
        <v>2729</v>
      </c>
      <c r="U2507" t="str">
        <f>IF($L2507&gt;0,VLOOKUP($E2507,Valida!$A$1:$G$270,6,FALSE),IF($M2507&gt;=0,VLOOKUP($E2507,Valida!$A$1:$G$270,7,FALSE)))</f>
        <v>(+/-) Ganancia (pérdida)</v>
      </c>
      <c r="V2507" s="190" t="str">
        <f>VLOOKUP(E2507,Valida!$A$2:$K$271,4,FALSE)</f>
        <v>P&amp;L</v>
      </c>
      <c r="W2507" s="185" t="s">
        <v>1978</v>
      </c>
      <c r="X2507" s="185"/>
      <c r="Y2507" s="185" t="s">
        <v>1789</v>
      </c>
      <c r="Z2507"/>
    </row>
    <row r="2508" spans="1:26">
      <c r="A2508" s="185" t="s">
        <v>3450</v>
      </c>
      <c r="B2508" s="185" t="s">
        <v>3451</v>
      </c>
      <c r="C2508" s="185" t="s">
        <v>1897</v>
      </c>
      <c r="D2508" s="185" t="s">
        <v>3452</v>
      </c>
      <c r="E2508" s="185">
        <v>510527</v>
      </c>
      <c r="F2508" s="185" t="s">
        <v>1089</v>
      </c>
      <c r="G2508" s="185" t="s">
        <v>3453</v>
      </c>
      <c r="H2508" s="185" t="s">
        <v>1515</v>
      </c>
      <c r="I2508" s="258" t="str">
        <f t="shared" si="118"/>
        <v>5</v>
      </c>
      <c r="J2508" s="221">
        <f t="shared" si="119"/>
        <v>140606</v>
      </c>
      <c r="K2508" s="258">
        <f t="shared" si="120"/>
        <v>9</v>
      </c>
      <c r="L2508" s="188">
        <v>140606</v>
      </c>
      <c r="M2508" s="188">
        <v>0</v>
      </c>
      <c r="N2508" s="189">
        <v>1000018061</v>
      </c>
      <c r="O2508" t="s">
        <v>3451</v>
      </c>
      <c r="P2508" s="187">
        <v>45195</v>
      </c>
      <c r="Q2508" s="186">
        <v>13581</v>
      </c>
      <c r="R2508" s="185"/>
      <c r="S2508" s="185" t="s">
        <v>1522</v>
      </c>
      <c r="T2508" t="s">
        <v>2729</v>
      </c>
      <c r="U2508" t="str">
        <f>IF($L2508&gt;0,VLOOKUP($E2508,Valida!$A$1:$G$270,6,FALSE),IF($M2508&gt;=0,VLOOKUP($E2508,Valida!$A$1:$G$270,7,FALSE)))</f>
        <v>(+/-) Ganancia (pérdida)</v>
      </c>
      <c r="V2508" s="190" t="str">
        <f>VLOOKUP(E2508,Valida!$A$2:$K$271,4,FALSE)</f>
        <v>P&amp;L</v>
      </c>
      <c r="W2508" s="185" t="s">
        <v>1978</v>
      </c>
      <c r="X2508" s="185"/>
      <c r="Y2508" s="185" t="s">
        <v>1789</v>
      </c>
      <c r="Z2508"/>
    </row>
    <row r="2509" spans="1:26">
      <c r="A2509" s="185" t="s">
        <v>3450</v>
      </c>
      <c r="B2509" s="185" t="s">
        <v>3451</v>
      </c>
      <c r="C2509" s="185" t="s">
        <v>1897</v>
      </c>
      <c r="D2509" s="185" t="s">
        <v>3452</v>
      </c>
      <c r="E2509" s="185">
        <v>237005</v>
      </c>
      <c r="F2509" s="185" t="s">
        <v>676</v>
      </c>
      <c r="G2509" s="185" t="s">
        <v>3453</v>
      </c>
      <c r="H2509" s="185" t="s">
        <v>1628</v>
      </c>
      <c r="I2509" s="258" t="str">
        <f t="shared" si="118"/>
        <v>2</v>
      </c>
      <c r="J2509" s="221">
        <f t="shared" si="119"/>
        <v>-51040</v>
      </c>
      <c r="K2509" s="258">
        <f t="shared" si="120"/>
        <v>9</v>
      </c>
      <c r="L2509" s="188">
        <v>0</v>
      </c>
      <c r="M2509" s="188">
        <v>51040</v>
      </c>
      <c r="N2509" s="189">
        <v>830003564</v>
      </c>
      <c r="O2509" t="s">
        <v>3451</v>
      </c>
      <c r="P2509" s="187">
        <v>45195</v>
      </c>
      <c r="Q2509" s="186">
        <v>13582</v>
      </c>
      <c r="R2509" s="185" t="s">
        <v>1814</v>
      </c>
      <c r="S2509" s="185" t="s">
        <v>1652</v>
      </c>
      <c r="T2509" t="s">
        <v>2729</v>
      </c>
      <c r="U2509" t="str">
        <f>IF($L2509&gt;0,VLOOKUP($E2509,Valida!$A$1:$G$270,6,FALSE),IF($M2509&gt;=0,VLOOKUP($E2509,Valida!$A$1:$G$270,7,FALSE)))</f>
        <v>(+/-) Ajustes por el incremento (disminución) de cuentas por pagar de origen comercial</v>
      </c>
      <c r="V2509" s="190" t="str">
        <f>VLOOKUP(E2509,Valida!$A$2:$K$271,4,FALSE)</f>
        <v>Trade and other payables</v>
      </c>
      <c r="W2509" s="185" t="s">
        <v>1973</v>
      </c>
      <c r="X2509" s="185" t="s">
        <v>1974</v>
      </c>
      <c r="Y2509" s="185" t="s">
        <v>1789</v>
      </c>
      <c r="Z2509"/>
    </row>
    <row r="2510" spans="1:26">
      <c r="A2510" s="185" t="s">
        <v>3450</v>
      </c>
      <c r="B2510" s="185" t="s">
        <v>3451</v>
      </c>
      <c r="C2510" s="185" t="s">
        <v>1897</v>
      </c>
      <c r="D2510" s="185" t="s">
        <v>3452</v>
      </c>
      <c r="E2510" s="185">
        <v>238030</v>
      </c>
      <c r="F2510" s="185" t="s">
        <v>721</v>
      </c>
      <c r="G2510" s="185" t="s">
        <v>3453</v>
      </c>
      <c r="H2510" s="185" t="s">
        <v>1628</v>
      </c>
      <c r="I2510" s="258" t="str">
        <f t="shared" si="118"/>
        <v>2</v>
      </c>
      <c r="J2510" s="221">
        <f t="shared" si="119"/>
        <v>-51040</v>
      </c>
      <c r="K2510" s="258">
        <f t="shared" si="120"/>
        <v>9</v>
      </c>
      <c r="L2510" s="188">
        <v>0</v>
      </c>
      <c r="M2510" s="188">
        <v>51040</v>
      </c>
      <c r="N2510" s="189">
        <v>800227940</v>
      </c>
      <c r="O2510" t="s">
        <v>3451</v>
      </c>
      <c r="P2510" s="187">
        <v>45195</v>
      </c>
      <c r="Q2510" s="186">
        <v>13583</v>
      </c>
      <c r="R2510" s="185"/>
      <c r="S2510" s="185" t="s">
        <v>1664</v>
      </c>
      <c r="T2510" t="s">
        <v>2729</v>
      </c>
      <c r="U2510" t="str">
        <f>IF($L2510&gt;0,VLOOKUP($E2510,Valida!$A$1:$G$270,6,FALSE),IF($M2510&gt;=0,VLOOKUP($E2510,Valida!$A$1:$G$270,7,FALSE)))</f>
        <v>(+/-) Ajustes por el incremento (disminución) de cuentas por pagar de origen comercial</v>
      </c>
      <c r="V2510" s="190" t="str">
        <f>VLOOKUP(E2510,Valida!$A$2:$K$271,4,FALSE)</f>
        <v>Trade and other payables</v>
      </c>
      <c r="W2510" s="185"/>
      <c r="X2510" s="185"/>
      <c r="Y2510" s="185"/>
      <c r="Z2510"/>
    </row>
    <row r="2511" spans="1:26">
      <c r="A2511" s="185" t="s">
        <v>3450</v>
      </c>
      <c r="B2511" s="185" t="s">
        <v>3451</v>
      </c>
      <c r="C2511" s="185" t="s">
        <v>1897</v>
      </c>
      <c r="D2511" s="185" t="s">
        <v>3452</v>
      </c>
      <c r="E2511" s="185">
        <v>510506</v>
      </c>
      <c r="F2511" s="185" t="s">
        <v>1076</v>
      </c>
      <c r="G2511" s="185" t="s">
        <v>3453</v>
      </c>
      <c r="H2511" s="185" t="s">
        <v>1515</v>
      </c>
      <c r="I2511" s="258" t="str">
        <f t="shared" si="118"/>
        <v>5</v>
      </c>
      <c r="J2511" s="221">
        <f t="shared" si="119"/>
        <v>1700000</v>
      </c>
      <c r="K2511" s="258">
        <f t="shared" si="120"/>
        <v>9</v>
      </c>
      <c r="L2511" s="188">
        <v>1700000</v>
      </c>
      <c r="M2511" s="188">
        <v>0</v>
      </c>
      <c r="N2511" s="189">
        <v>1000036375</v>
      </c>
      <c r="O2511" t="s">
        <v>3451</v>
      </c>
      <c r="P2511" s="187">
        <v>45195</v>
      </c>
      <c r="Q2511" s="186">
        <v>13584</v>
      </c>
      <c r="R2511" s="185"/>
      <c r="S2511" s="185" t="s">
        <v>1524</v>
      </c>
      <c r="T2511" t="s">
        <v>2729</v>
      </c>
      <c r="U2511" t="str">
        <f>IF($L2511&gt;0,VLOOKUP($E2511,Valida!$A$1:$G$270,6,FALSE),IF($M2511&gt;=0,VLOOKUP($E2511,Valida!$A$1:$G$270,7,FALSE)))</f>
        <v>(+/-) Ganancia (pérdida)</v>
      </c>
      <c r="V2511" s="190" t="str">
        <f>VLOOKUP(E2511,Valida!$A$2:$K$271,4,FALSE)</f>
        <v>P&amp;L</v>
      </c>
      <c r="W2511" s="185" t="s">
        <v>1983</v>
      </c>
      <c r="X2511" s="185"/>
      <c r="Y2511" s="185" t="s">
        <v>1789</v>
      </c>
      <c r="Z2511"/>
    </row>
    <row r="2512" spans="1:26">
      <c r="A2512" s="185" t="s">
        <v>3450</v>
      </c>
      <c r="B2512" s="185" t="s">
        <v>3451</v>
      </c>
      <c r="C2512" s="185" t="s">
        <v>1897</v>
      </c>
      <c r="D2512" s="185" t="s">
        <v>3452</v>
      </c>
      <c r="E2512" s="185">
        <v>510527</v>
      </c>
      <c r="F2512" s="185" t="s">
        <v>1089</v>
      </c>
      <c r="G2512" s="185" t="s">
        <v>3453</v>
      </c>
      <c r="H2512" s="185" t="s">
        <v>1515</v>
      </c>
      <c r="I2512" s="258" t="str">
        <f t="shared" si="118"/>
        <v>5</v>
      </c>
      <c r="J2512" s="221">
        <f t="shared" si="119"/>
        <v>140606</v>
      </c>
      <c r="K2512" s="258">
        <f t="shared" si="120"/>
        <v>9</v>
      </c>
      <c r="L2512" s="188">
        <v>140606</v>
      </c>
      <c r="M2512" s="188">
        <v>0</v>
      </c>
      <c r="N2512" s="189">
        <v>1000036375</v>
      </c>
      <c r="O2512" t="s">
        <v>3451</v>
      </c>
      <c r="P2512" s="187">
        <v>45195</v>
      </c>
      <c r="Q2512" s="186">
        <v>13585</v>
      </c>
      <c r="R2512" s="185"/>
      <c r="S2512" s="185" t="s">
        <v>1524</v>
      </c>
      <c r="T2512" t="s">
        <v>2729</v>
      </c>
      <c r="U2512" t="str">
        <f>IF($L2512&gt;0,VLOOKUP($E2512,Valida!$A$1:$G$270,6,FALSE),IF($M2512&gt;=0,VLOOKUP($E2512,Valida!$A$1:$G$270,7,FALSE)))</f>
        <v>(+/-) Ganancia (pérdida)</v>
      </c>
      <c r="V2512" s="190" t="str">
        <f>VLOOKUP(E2512,Valida!$A$2:$K$271,4,FALSE)</f>
        <v>P&amp;L</v>
      </c>
      <c r="W2512" s="185" t="s">
        <v>1983</v>
      </c>
      <c r="X2512" s="185"/>
      <c r="Y2512" s="185" t="s">
        <v>1789</v>
      </c>
      <c r="Z2512"/>
    </row>
    <row r="2513" spans="1:26">
      <c r="A2513" s="185" t="s">
        <v>3450</v>
      </c>
      <c r="B2513" s="185" t="s">
        <v>3451</v>
      </c>
      <c r="C2513" s="185" t="s">
        <v>1897</v>
      </c>
      <c r="D2513" s="185" t="s">
        <v>3452</v>
      </c>
      <c r="E2513" s="185">
        <v>510515</v>
      </c>
      <c r="F2513" s="185" t="s">
        <v>1080</v>
      </c>
      <c r="G2513" s="185" t="s">
        <v>3453</v>
      </c>
      <c r="H2513" s="185" t="s">
        <v>1515</v>
      </c>
      <c r="I2513" s="258" t="str">
        <f t="shared" si="118"/>
        <v>5</v>
      </c>
      <c r="J2513" s="221">
        <f t="shared" si="119"/>
        <v>101562</v>
      </c>
      <c r="K2513" s="258">
        <f t="shared" si="120"/>
        <v>9</v>
      </c>
      <c r="L2513" s="188">
        <v>101562</v>
      </c>
      <c r="M2513" s="188">
        <v>0</v>
      </c>
      <c r="N2513" s="189">
        <v>1000036375</v>
      </c>
      <c r="O2513" t="s">
        <v>3451</v>
      </c>
      <c r="P2513" s="187">
        <v>45195</v>
      </c>
      <c r="Q2513" s="186">
        <v>13586</v>
      </c>
      <c r="R2513" s="185"/>
      <c r="S2513" s="185" t="s">
        <v>1524</v>
      </c>
      <c r="T2513" t="s">
        <v>2729</v>
      </c>
      <c r="U2513" t="str">
        <f>IF($L2513&gt;0,VLOOKUP($E2513,Valida!$A$1:$G$270,6,FALSE),IF($M2513&gt;=0,VLOOKUP($E2513,Valida!$A$1:$G$270,7,FALSE)))</f>
        <v>(+/-) Ganancia (pérdida)</v>
      </c>
      <c r="V2513" s="190" t="str">
        <f>VLOOKUP(E2513,Valida!$A$2:$K$271,4,FALSE)</f>
        <v>P&amp;L</v>
      </c>
      <c r="W2513" s="185" t="s">
        <v>1983</v>
      </c>
      <c r="X2513" s="185"/>
      <c r="Y2513" s="185" t="s">
        <v>1789</v>
      </c>
      <c r="Z2513"/>
    </row>
    <row r="2514" spans="1:26">
      <c r="A2514" s="185" t="s">
        <v>3450</v>
      </c>
      <c r="B2514" s="185" t="s">
        <v>3451</v>
      </c>
      <c r="C2514" s="185" t="s">
        <v>1897</v>
      </c>
      <c r="D2514" s="185" t="s">
        <v>3452</v>
      </c>
      <c r="E2514" s="185">
        <v>510515</v>
      </c>
      <c r="F2514" s="185" t="s">
        <v>1080</v>
      </c>
      <c r="G2514" s="185" t="s">
        <v>3453</v>
      </c>
      <c r="H2514" s="185" t="s">
        <v>1515</v>
      </c>
      <c r="I2514" s="258" t="str">
        <f t="shared" si="118"/>
        <v>5</v>
      </c>
      <c r="J2514" s="221">
        <f t="shared" si="119"/>
        <v>187500</v>
      </c>
      <c r="K2514" s="258">
        <f t="shared" si="120"/>
        <v>9</v>
      </c>
      <c r="L2514" s="188">
        <v>187500</v>
      </c>
      <c r="M2514" s="188">
        <v>0</v>
      </c>
      <c r="N2514" s="189">
        <v>1000036375</v>
      </c>
      <c r="O2514" t="s">
        <v>3451</v>
      </c>
      <c r="P2514" s="187">
        <v>45195</v>
      </c>
      <c r="Q2514" s="186">
        <v>13587</v>
      </c>
      <c r="R2514" s="185"/>
      <c r="S2514" s="185" t="s">
        <v>1524</v>
      </c>
      <c r="T2514" t="s">
        <v>2729</v>
      </c>
      <c r="U2514" t="str">
        <f>IF($L2514&gt;0,VLOOKUP($E2514,Valida!$A$1:$G$270,6,FALSE),IF($M2514&gt;=0,VLOOKUP($E2514,Valida!$A$1:$G$270,7,FALSE)))</f>
        <v>(+/-) Ganancia (pérdida)</v>
      </c>
      <c r="V2514" s="190" t="str">
        <f>VLOOKUP(E2514,Valida!$A$2:$K$271,4,FALSE)</f>
        <v>P&amp;L</v>
      </c>
      <c r="W2514" s="185" t="s">
        <v>1983</v>
      </c>
      <c r="X2514" s="185"/>
      <c r="Y2514" s="185" t="s">
        <v>1789</v>
      </c>
      <c r="Z2514"/>
    </row>
    <row r="2515" spans="1:26">
      <c r="A2515" s="185" t="s">
        <v>3450</v>
      </c>
      <c r="B2515" s="185" t="s">
        <v>3451</v>
      </c>
      <c r="C2515" s="185" t="s">
        <v>1897</v>
      </c>
      <c r="D2515" s="185" t="s">
        <v>3452</v>
      </c>
      <c r="E2515" s="185">
        <v>51054501</v>
      </c>
      <c r="F2515" s="185" t="s">
        <v>1724</v>
      </c>
      <c r="G2515" s="185" t="s">
        <v>3453</v>
      </c>
      <c r="H2515" s="185" t="s">
        <v>1515</v>
      </c>
      <c r="I2515" s="258" t="str">
        <f t="shared" si="118"/>
        <v>5</v>
      </c>
      <c r="J2515" s="221">
        <f t="shared" si="119"/>
        <v>150000</v>
      </c>
      <c r="K2515" s="258">
        <f t="shared" si="120"/>
        <v>9</v>
      </c>
      <c r="L2515" s="188">
        <v>150000</v>
      </c>
      <c r="M2515" s="188">
        <v>0</v>
      </c>
      <c r="N2515" s="189">
        <v>1000036375</v>
      </c>
      <c r="O2515" t="s">
        <v>3451</v>
      </c>
      <c r="P2515" s="187">
        <v>45195</v>
      </c>
      <c r="Q2515" s="186">
        <v>13588</v>
      </c>
      <c r="R2515" s="185"/>
      <c r="S2515" s="185" t="s">
        <v>1524</v>
      </c>
      <c r="T2515" t="s">
        <v>2729</v>
      </c>
      <c r="U2515" t="str">
        <f>IF($L2515&gt;0,VLOOKUP($E2515,Valida!$A$1:$G$270,6,FALSE),IF($M2515&gt;=0,VLOOKUP($E2515,Valida!$A$1:$G$270,7,FALSE)))</f>
        <v>(+/-) Ganancia (pérdida)</v>
      </c>
      <c r="V2515" s="190" t="str">
        <f>VLOOKUP(E2515,Valida!$A$2:$K$271,4,FALSE)</f>
        <v>P&amp;L</v>
      </c>
      <c r="W2515" s="185" t="s">
        <v>1983</v>
      </c>
      <c r="X2515" s="185"/>
      <c r="Y2515" s="185" t="s">
        <v>1789</v>
      </c>
      <c r="Z2515"/>
    </row>
    <row r="2516" spans="1:26">
      <c r="A2516" s="185" t="s">
        <v>3450</v>
      </c>
      <c r="B2516" s="185" t="s">
        <v>3451</v>
      </c>
      <c r="C2516" s="185" t="s">
        <v>1897</v>
      </c>
      <c r="D2516" s="185" t="s">
        <v>3452</v>
      </c>
      <c r="E2516" s="185">
        <v>237005</v>
      </c>
      <c r="F2516" s="185" t="s">
        <v>676</v>
      </c>
      <c r="G2516" s="185" t="s">
        <v>3453</v>
      </c>
      <c r="H2516" s="185" t="s">
        <v>1628</v>
      </c>
      <c r="I2516" s="258" t="str">
        <f t="shared" si="118"/>
        <v>2</v>
      </c>
      <c r="J2516" s="221">
        <f t="shared" si="119"/>
        <v>-79562</v>
      </c>
      <c r="K2516" s="258">
        <f t="shared" si="120"/>
        <v>9</v>
      </c>
      <c r="L2516" s="188">
        <v>0</v>
      </c>
      <c r="M2516" s="188">
        <v>79562</v>
      </c>
      <c r="N2516" s="189">
        <v>900156264</v>
      </c>
      <c r="O2516" t="s">
        <v>3451</v>
      </c>
      <c r="P2516" s="187">
        <v>45195</v>
      </c>
      <c r="Q2516" s="186">
        <v>13589</v>
      </c>
      <c r="R2516" s="185" t="s">
        <v>433</v>
      </c>
      <c r="S2516" s="185" t="s">
        <v>1654</v>
      </c>
      <c r="T2516" t="s">
        <v>2729</v>
      </c>
      <c r="U2516" t="str">
        <f>IF($L2516&gt;0,VLOOKUP($E2516,Valida!$A$1:$G$270,6,FALSE),IF($M2516&gt;=0,VLOOKUP($E2516,Valida!$A$1:$G$270,7,FALSE)))</f>
        <v>(+/-) Ajustes por el incremento (disminución) de cuentas por pagar de origen comercial</v>
      </c>
      <c r="V2516" s="190" t="str">
        <f>VLOOKUP(E2516,Valida!$A$2:$K$271,4,FALSE)</f>
        <v>Trade and other payables</v>
      </c>
      <c r="W2516" s="185" t="s">
        <v>1926</v>
      </c>
      <c r="X2516" s="185" t="s">
        <v>1927</v>
      </c>
      <c r="Y2516" s="185" t="s">
        <v>1789</v>
      </c>
      <c r="Z2516"/>
    </row>
    <row r="2517" spans="1:26">
      <c r="A2517" s="185" t="s">
        <v>3450</v>
      </c>
      <c r="B2517" s="185" t="s">
        <v>3451</v>
      </c>
      <c r="C2517" s="185" t="s">
        <v>1897</v>
      </c>
      <c r="D2517" s="185" t="s">
        <v>3452</v>
      </c>
      <c r="E2517" s="185">
        <v>238030</v>
      </c>
      <c r="F2517" s="185" t="s">
        <v>721</v>
      </c>
      <c r="G2517" s="185" t="s">
        <v>3453</v>
      </c>
      <c r="H2517" s="185" t="s">
        <v>1628</v>
      </c>
      <c r="I2517" s="258" t="str">
        <f t="shared" si="118"/>
        <v>2</v>
      </c>
      <c r="J2517" s="221">
        <f t="shared" si="119"/>
        <v>-79562</v>
      </c>
      <c r="K2517" s="258">
        <f t="shared" si="120"/>
        <v>9</v>
      </c>
      <c r="L2517" s="188">
        <v>0</v>
      </c>
      <c r="M2517" s="188">
        <v>79562</v>
      </c>
      <c r="N2517" s="189">
        <v>800224808</v>
      </c>
      <c r="O2517" t="s">
        <v>3451</v>
      </c>
      <c r="P2517" s="187">
        <v>45195</v>
      </c>
      <c r="Q2517" s="186">
        <v>13590</v>
      </c>
      <c r="R2517" s="185" t="s">
        <v>1827</v>
      </c>
      <c r="S2517" s="185" t="s">
        <v>1662</v>
      </c>
      <c r="T2517" t="s">
        <v>2729</v>
      </c>
      <c r="U2517" t="str">
        <f>IF($L2517&gt;0,VLOOKUP($E2517,Valida!$A$1:$G$270,6,FALSE),IF($M2517&gt;=0,VLOOKUP($E2517,Valida!$A$1:$G$270,7,FALSE)))</f>
        <v>(+/-) Ajustes por el incremento (disminución) de cuentas por pagar de origen comercial</v>
      </c>
      <c r="V2517" s="190" t="str">
        <f>VLOOKUP(E2517,Valida!$A$2:$K$271,4,FALSE)</f>
        <v>Trade and other payables</v>
      </c>
      <c r="W2517" s="185" t="s">
        <v>1911</v>
      </c>
      <c r="X2517" s="185"/>
      <c r="Y2517" s="185" t="s">
        <v>1789</v>
      </c>
      <c r="Z2517"/>
    </row>
    <row r="2518" spans="1:26">
      <c r="A2518" s="185" t="s">
        <v>3450</v>
      </c>
      <c r="B2518" s="185" t="s">
        <v>3451</v>
      </c>
      <c r="C2518" s="185" t="s">
        <v>1897</v>
      </c>
      <c r="D2518" s="185" t="s">
        <v>3452</v>
      </c>
      <c r="E2518" s="185">
        <v>510506</v>
      </c>
      <c r="F2518" s="185" t="s">
        <v>1076</v>
      </c>
      <c r="G2518" s="185" t="s">
        <v>3453</v>
      </c>
      <c r="H2518" s="185" t="s">
        <v>1515</v>
      </c>
      <c r="I2518" s="258" t="str">
        <f t="shared" si="118"/>
        <v>5</v>
      </c>
      <c r="J2518" s="221">
        <f t="shared" si="119"/>
        <v>920000</v>
      </c>
      <c r="K2518" s="258">
        <f t="shared" si="120"/>
        <v>9</v>
      </c>
      <c r="L2518" s="188">
        <v>920000</v>
      </c>
      <c r="M2518" s="188">
        <v>0</v>
      </c>
      <c r="N2518" s="189">
        <v>1001284057</v>
      </c>
      <c r="O2518" t="s">
        <v>3451</v>
      </c>
      <c r="P2518" s="187">
        <v>45195</v>
      </c>
      <c r="Q2518" s="186">
        <v>13591</v>
      </c>
      <c r="R2518" s="185"/>
      <c r="S2518" s="185" t="s">
        <v>1526</v>
      </c>
      <c r="T2518" t="s">
        <v>2729</v>
      </c>
      <c r="U2518" t="str">
        <f>IF($L2518&gt;0,VLOOKUP($E2518,Valida!$A$1:$G$270,6,FALSE),IF($M2518&gt;=0,VLOOKUP($E2518,Valida!$A$1:$G$270,7,FALSE)))</f>
        <v>(+/-) Ganancia (pérdida)</v>
      </c>
      <c r="V2518" s="190" t="str">
        <f>VLOOKUP(E2518,Valida!$A$2:$K$271,4,FALSE)</f>
        <v>P&amp;L</v>
      </c>
      <c r="W2518" s="185" t="s">
        <v>3454</v>
      </c>
      <c r="X2518" s="185" t="s">
        <v>3455</v>
      </c>
      <c r="Y2518" s="185" t="s">
        <v>1789</v>
      </c>
      <c r="Z2518"/>
    </row>
    <row r="2519" spans="1:26">
      <c r="A2519" s="185" t="s">
        <v>3450</v>
      </c>
      <c r="B2519" s="185" t="s">
        <v>3451</v>
      </c>
      <c r="C2519" s="185" t="s">
        <v>1897</v>
      </c>
      <c r="D2519" s="185" t="s">
        <v>3452</v>
      </c>
      <c r="E2519" s="185">
        <v>510527</v>
      </c>
      <c r="F2519" s="185" t="s">
        <v>1089</v>
      </c>
      <c r="G2519" s="185" t="s">
        <v>3453</v>
      </c>
      <c r="H2519" s="185" t="s">
        <v>1515</v>
      </c>
      <c r="I2519" s="258" t="str">
        <f t="shared" si="118"/>
        <v>5</v>
      </c>
      <c r="J2519" s="221">
        <f t="shared" si="119"/>
        <v>107798</v>
      </c>
      <c r="K2519" s="258">
        <f t="shared" si="120"/>
        <v>9</v>
      </c>
      <c r="L2519" s="188">
        <v>107798</v>
      </c>
      <c r="M2519" s="188">
        <v>0</v>
      </c>
      <c r="N2519" s="189">
        <v>1001284057</v>
      </c>
      <c r="O2519" t="s">
        <v>3451</v>
      </c>
      <c r="P2519" s="187">
        <v>45195</v>
      </c>
      <c r="Q2519" s="186">
        <v>13592</v>
      </c>
      <c r="R2519" s="185"/>
      <c r="S2519" s="185" t="s">
        <v>1526</v>
      </c>
      <c r="T2519" t="s">
        <v>2729</v>
      </c>
      <c r="U2519" t="str">
        <f>IF($L2519&gt;0,VLOOKUP($E2519,Valida!$A$1:$G$270,6,FALSE),IF($M2519&gt;=0,VLOOKUP($E2519,Valida!$A$1:$G$270,7,FALSE)))</f>
        <v>(+/-) Ganancia (pérdida)</v>
      </c>
      <c r="V2519" s="190" t="str">
        <f>VLOOKUP(E2519,Valida!$A$2:$K$271,4,FALSE)</f>
        <v>P&amp;L</v>
      </c>
      <c r="W2519" s="185" t="s">
        <v>3454</v>
      </c>
      <c r="X2519" s="185" t="s">
        <v>3455</v>
      </c>
      <c r="Y2519" s="185" t="s">
        <v>1789</v>
      </c>
      <c r="Z2519"/>
    </row>
    <row r="2520" spans="1:26">
      <c r="A2520" s="185" t="s">
        <v>3450</v>
      </c>
      <c r="B2520" s="185" t="s">
        <v>3451</v>
      </c>
      <c r="C2520" s="185" t="s">
        <v>1897</v>
      </c>
      <c r="D2520" s="185" t="s">
        <v>3452</v>
      </c>
      <c r="E2520" s="185">
        <v>510515</v>
      </c>
      <c r="F2520" s="185" t="s">
        <v>1080</v>
      </c>
      <c r="G2520" s="185" t="s">
        <v>3453</v>
      </c>
      <c r="H2520" s="185" t="s">
        <v>1515</v>
      </c>
      <c r="I2520" s="258" t="str">
        <f t="shared" si="118"/>
        <v>5</v>
      </c>
      <c r="J2520" s="221">
        <f t="shared" si="119"/>
        <v>90000</v>
      </c>
      <c r="K2520" s="258">
        <f t="shared" si="120"/>
        <v>9</v>
      </c>
      <c r="L2520" s="188">
        <v>90000</v>
      </c>
      <c r="M2520" s="188">
        <v>0</v>
      </c>
      <c r="N2520" s="189">
        <v>1001284057</v>
      </c>
      <c r="O2520" t="s">
        <v>3451</v>
      </c>
      <c r="P2520" s="187">
        <v>45195</v>
      </c>
      <c r="Q2520" s="186">
        <v>13593</v>
      </c>
      <c r="R2520" s="185"/>
      <c r="S2520" s="185" t="s">
        <v>1526</v>
      </c>
      <c r="T2520" t="s">
        <v>2729</v>
      </c>
      <c r="U2520" t="str">
        <f>IF($L2520&gt;0,VLOOKUP($E2520,Valida!$A$1:$G$270,6,FALSE),IF($M2520&gt;=0,VLOOKUP($E2520,Valida!$A$1:$G$270,7,FALSE)))</f>
        <v>(+/-) Ganancia (pérdida)</v>
      </c>
      <c r="V2520" s="190" t="str">
        <f>VLOOKUP(E2520,Valida!$A$2:$K$271,4,FALSE)</f>
        <v>P&amp;L</v>
      </c>
      <c r="W2520" s="185" t="s">
        <v>3454</v>
      </c>
      <c r="X2520" s="185" t="s">
        <v>3455</v>
      </c>
      <c r="Y2520" s="185" t="s">
        <v>1789</v>
      </c>
      <c r="Z2520"/>
    </row>
    <row r="2521" spans="1:26">
      <c r="A2521" s="185" t="s">
        <v>3450</v>
      </c>
      <c r="B2521" s="185" t="s">
        <v>3451</v>
      </c>
      <c r="C2521" s="185" t="s">
        <v>1897</v>
      </c>
      <c r="D2521" s="185" t="s">
        <v>3452</v>
      </c>
      <c r="E2521" s="185">
        <v>237005</v>
      </c>
      <c r="F2521" s="185" t="s">
        <v>676</v>
      </c>
      <c r="G2521" s="185" t="s">
        <v>3453</v>
      </c>
      <c r="H2521" s="185" t="s">
        <v>1628</v>
      </c>
      <c r="I2521" s="258" t="str">
        <f t="shared" si="118"/>
        <v>2</v>
      </c>
      <c r="J2521" s="221">
        <f t="shared" si="119"/>
        <v>-40400</v>
      </c>
      <c r="K2521" s="258">
        <f t="shared" si="120"/>
        <v>9</v>
      </c>
      <c r="L2521" s="188">
        <v>0</v>
      </c>
      <c r="M2521" s="188">
        <v>40400</v>
      </c>
      <c r="N2521" s="189">
        <v>860066942</v>
      </c>
      <c r="O2521" t="s">
        <v>3451</v>
      </c>
      <c r="P2521" s="187">
        <v>45195</v>
      </c>
      <c r="Q2521" s="186">
        <v>13594</v>
      </c>
      <c r="R2521" s="185" t="s">
        <v>1814</v>
      </c>
      <c r="S2521" s="185" t="s">
        <v>1574</v>
      </c>
      <c r="T2521" t="s">
        <v>2729</v>
      </c>
      <c r="U2521" t="str">
        <f>IF($L2521&gt;0,VLOOKUP($E2521,Valida!$A$1:$G$270,6,FALSE),IF($M2521&gt;=0,VLOOKUP($E2521,Valida!$A$1:$G$270,7,FALSE)))</f>
        <v>(+/-) Ajustes por el incremento (disminución) de cuentas por pagar de origen comercial</v>
      </c>
      <c r="V2521" s="190" t="str">
        <f>VLOOKUP(E2521,Valida!$A$2:$K$271,4,FALSE)</f>
        <v>Trade and other payables</v>
      </c>
      <c r="W2521" s="185" t="s">
        <v>1914</v>
      </c>
      <c r="X2521" s="185" t="s">
        <v>1915</v>
      </c>
      <c r="Y2521" s="185" t="s">
        <v>1789</v>
      </c>
      <c r="Z2521"/>
    </row>
    <row r="2522" spans="1:26">
      <c r="A2522" s="185" t="s">
        <v>3450</v>
      </c>
      <c r="B2522" s="185" t="s">
        <v>3451</v>
      </c>
      <c r="C2522" s="185" t="s">
        <v>1897</v>
      </c>
      <c r="D2522" s="185" t="s">
        <v>3452</v>
      </c>
      <c r="E2522" s="185">
        <v>238030</v>
      </c>
      <c r="F2522" s="185" t="s">
        <v>721</v>
      </c>
      <c r="G2522" s="185" t="s">
        <v>3453</v>
      </c>
      <c r="H2522" s="185" t="s">
        <v>1628</v>
      </c>
      <c r="I2522" s="258" t="str">
        <f t="shared" si="118"/>
        <v>2</v>
      </c>
      <c r="J2522" s="221">
        <f t="shared" si="119"/>
        <v>-40400</v>
      </c>
      <c r="K2522" s="258">
        <f t="shared" si="120"/>
        <v>9</v>
      </c>
      <c r="L2522" s="188">
        <v>0</v>
      </c>
      <c r="M2522" s="188">
        <v>40400</v>
      </c>
      <c r="N2522" s="189">
        <v>800224808</v>
      </c>
      <c r="O2522" t="s">
        <v>3451</v>
      </c>
      <c r="P2522" s="187">
        <v>45195</v>
      </c>
      <c r="Q2522" s="186">
        <v>13595</v>
      </c>
      <c r="R2522" s="185" t="s">
        <v>1827</v>
      </c>
      <c r="S2522" s="185" t="s">
        <v>1662</v>
      </c>
      <c r="T2522" t="s">
        <v>2729</v>
      </c>
      <c r="U2522" t="str">
        <f>IF($L2522&gt;0,VLOOKUP($E2522,Valida!$A$1:$G$270,6,FALSE),IF($M2522&gt;=0,VLOOKUP($E2522,Valida!$A$1:$G$270,7,FALSE)))</f>
        <v>(+/-) Ajustes por el incremento (disminución) de cuentas por pagar de origen comercial</v>
      </c>
      <c r="V2522" s="190" t="str">
        <f>VLOOKUP(E2522,Valida!$A$2:$K$271,4,FALSE)</f>
        <v>Trade and other payables</v>
      </c>
      <c r="W2522" s="185" t="s">
        <v>1911</v>
      </c>
      <c r="X2522" s="185"/>
      <c r="Y2522" s="185" t="s">
        <v>1789</v>
      </c>
      <c r="Z2522"/>
    </row>
    <row r="2523" spans="1:26">
      <c r="A2523" s="185" t="s">
        <v>3450</v>
      </c>
      <c r="B2523" s="185" t="s">
        <v>3451</v>
      </c>
      <c r="C2523" s="185" t="s">
        <v>1897</v>
      </c>
      <c r="D2523" s="185" t="s">
        <v>3452</v>
      </c>
      <c r="E2523" s="185">
        <v>250505</v>
      </c>
      <c r="F2523" s="185" t="s">
        <v>767</v>
      </c>
      <c r="G2523" s="185" t="s">
        <v>3453</v>
      </c>
      <c r="H2523" s="185" t="s">
        <v>1628</v>
      </c>
      <c r="I2523" s="258" t="str">
        <f t="shared" si="118"/>
        <v>2</v>
      </c>
      <c r="J2523" s="221">
        <f t="shared" si="119"/>
        <v>-1314526</v>
      </c>
      <c r="K2523" s="258">
        <f t="shared" si="120"/>
        <v>9</v>
      </c>
      <c r="L2523" s="188">
        <v>0</v>
      </c>
      <c r="M2523" s="188">
        <v>1314526</v>
      </c>
      <c r="N2523" s="189">
        <v>1000018061</v>
      </c>
      <c r="O2523" t="s">
        <v>3451</v>
      </c>
      <c r="P2523" s="187">
        <v>45195</v>
      </c>
      <c r="Q2523" s="186">
        <v>13596</v>
      </c>
      <c r="R2523" s="185"/>
      <c r="S2523" s="185" t="s">
        <v>1522</v>
      </c>
      <c r="T2523" t="s">
        <v>2729</v>
      </c>
      <c r="U2523" t="str">
        <f>IF($L2523&gt;0,VLOOKUP($E2523,Valida!$A$1:$G$270,6,FALSE),IF($M2523&gt;=0,VLOOKUP($E2523,Valida!$A$1:$G$270,7,FALSE)))</f>
        <v>(+/-) Ajustes por el incremento (disminución) de cuentas por pagar de origen comercial</v>
      </c>
      <c r="V2523" s="190" t="str">
        <f>VLOOKUP(E2523,Valida!$A$2:$K$271,4,FALSE)</f>
        <v>Trade and other payables</v>
      </c>
      <c r="W2523" s="185" t="s">
        <v>1978</v>
      </c>
      <c r="X2523" s="185"/>
      <c r="Y2523" s="185" t="s">
        <v>1789</v>
      </c>
      <c r="Z2523"/>
    </row>
    <row r="2524" spans="1:26">
      <c r="A2524" s="185" t="s">
        <v>3450</v>
      </c>
      <c r="B2524" s="185" t="s">
        <v>3451</v>
      </c>
      <c r="C2524" s="185" t="s">
        <v>1897</v>
      </c>
      <c r="D2524" s="185" t="s">
        <v>3452</v>
      </c>
      <c r="E2524" s="185">
        <v>250505</v>
      </c>
      <c r="F2524" s="185" t="s">
        <v>767</v>
      </c>
      <c r="G2524" s="185" t="s">
        <v>3453</v>
      </c>
      <c r="H2524" s="185" t="s">
        <v>1628</v>
      </c>
      <c r="I2524" s="258" t="str">
        <f t="shared" si="118"/>
        <v>2</v>
      </c>
      <c r="J2524" s="221">
        <f t="shared" si="119"/>
        <v>-2120544</v>
      </c>
      <c r="K2524" s="258">
        <f t="shared" si="120"/>
        <v>9</v>
      </c>
      <c r="L2524" s="188">
        <v>0</v>
      </c>
      <c r="M2524" s="188">
        <v>2120544</v>
      </c>
      <c r="N2524" s="189">
        <v>1000036375</v>
      </c>
      <c r="O2524" t="s">
        <v>3451</v>
      </c>
      <c r="P2524" s="187">
        <v>45195</v>
      </c>
      <c r="Q2524" s="186">
        <v>13597</v>
      </c>
      <c r="R2524" s="185"/>
      <c r="S2524" s="185" t="s">
        <v>1524</v>
      </c>
      <c r="T2524" t="s">
        <v>2729</v>
      </c>
      <c r="U2524" t="str">
        <f>IF($L2524&gt;0,VLOOKUP($E2524,Valida!$A$1:$G$270,6,FALSE),IF($M2524&gt;=0,VLOOKUP($E2524,Valida!$A$1:$G$270,7,FALSE)))</f>
        <v>(+/-) Ajustes por el incremento (disminución) de cuentas por pagar de origen comercial</v>
      </c>
      <c r="V2524" s="190" t="str">
        <f>VLOOKUP(E2524,Valida!$A$2:$K$271,4,FALSE)</f>
        <v>Trade and other payables</v>
      </c>
      <c r="W2524" s="185" t="s">
        <v>1983</v>
      </c>
      <c r="X2524" s="185"/>
      <c r="Y2524" s="185" t="s">
        <v>1789</v>
      </c>
      <c r="Z2524"/>
    </row>
    <row r="2525" spans="1:26">
      <c r="A2525" s="185" t="s">
        <v>3450</v>
      </c>
      <c r="B2525" s="185" t="s">
        <v>3451</v>
      </c>
      <c r="C2525" s="185" t="s">
        <v>1897</v>
      </c>
      <c r="D2525" s="185" t="s">
        <v>3452</v>
      </c>
      <c r="E2525" s="185">
        <v>250505</v>
      </c>
      <c r="F2525" s="185" t="s">
        <v>767</v>
      </c>
      <c r="G2525" s="185" t="s">
        <v>3453</v>
      </c>
      <c r="H2525" s="185" t="s">
        <v>1628</v>
      </c>
      <c r="I2525" s="258" t="str">
        <f t="shared" si="118"/>
        <v>2</v>
      </c>
      <c r="J2525" s="221">
        <f t="shared" si="119"/>
        <v>-1036998</v>
      </c>
      <c r="K2525" s="258">
        <f t="shared" si="120"/>
        <v>9</v>
      </c>
      <c r="L2525" s="188">
        <v>0</v>
      </c>
      <c r="M2525" s="188">
        <v>1036998</v>
      </c>
      <c r="N2525" s="189">
        <v>1001284057</v>
      </c>
      <c r="O2525" t="s">
        <v>3451</v>
      </c>
      <c r="P2525" s="187">
        <v>45195</v>
      </c>
      <c r="Q2525" s="186">
        <v>13598</v>
      </c>
      <c r="R2525" s="185"/>
      <c r="S2525" s="185" t="s">
        <v>1526</v>
      </c>
      <c r="T2525" t="s">
        <v>2729</v>
      </c>
      <c r="U2525" t="str">
        <f>IF($L2525&gt;0,VLOOKUP($E2525,Valida!$A$1:$G$270,6,FALSE),IF($M2525&gt;=0,VLOOKUP($E2525,Valida!$A$1:$G$270,7,FALSE)))</f>
        <v>(+/-) Ajustes por el incremento (disminución) de cuentas por pagar de origen comercial</v>
      </c>
      <c r="V2525" s="190" t="str">
        <f>VLOOKUP(E2525,Valida!$A$2:$K$271,4,FALSE)</f>
        <v>Trade and other payables</v>
      </c>
      <c r="W2525" s="185" t="s">
        <v>3454</v>
      </c>
      <c r="X2525" s="185" t="s">
        <v>3455</v>
      </c>
      <c r="Y2525" s="185" t="s">
        <v>1789</v>
      </c>
      <c r="Z2525"/>
    </row>
    <row r="2526" spans="1:26">
      <c r="A2526" s="185" t="s">
        <v>3450</v>
      </c>
      <c r="B2526" s="185" t="s">
        <v>3451</v>
      </c>
      <c r="C2526" s="185" t="s">
        <v>1897</v>
      </c>
      <c r="D2526" s="185" t="s">
        <v>3452</v>
      </c>
      <c r="E2526" s="185">
        <v>250505</v>
      </c>
      <c r="F2526" s="185" t="s">
        <v>767</v>
      </c>
      <c r="G2526" s="185" t="s">
        <v>3453</v>
      </c>
      <c r="H2526" s="185" t="s">
        <v>1628</v>
      </c>
      <c r="I2526" s="258" t="str">
        <f t="shared" si="118"/>
        <v>2</v>
      </c>
      <c r="J2526" s="221">
        <f t="shared" si="119"/>
        <v>-1520606</v>
      </c>
      <c r="K2526" s="258">
        <f t="shared" si="120"/>
        <v>9</v>
      </c>
      <c r="L2526" s="188">
        <v>0</v>
      </c>
      <c r="M2526" s="188">
        <v>1520606</v>
      </c>
      <c r="N2526" s="189">
        <v>1010101811</v>
      </c>
      <c r="O2526" t="s">
        <v>3451</v>
      </c>
      <c r="P2526" s="187">
        <v>45195</v>
      </c>
      <c r="Q2526" s="186">
        <v>13599</v>
      </c>
      <c r="R2526" s="185"/>
      <c r="S2526" s="185" t="s">
        <v>1528</v>
      </c>
      <c r="T2526" t="s">
        <v>2729</v>
      </c>
      <c r="U2526" t="str">
        <f>IF($L2526&gt;0,VLOOKUP($E2526,Valida!$A$1:$G$270,6,FALSE),IF($M2526&gt;=0,VLOOKUP($E2526,Valida!$A$1:$G$270,7,FALSE)))</f>
        <v>(+/-) Ajustes por el incremento (disminución) de cuentas por pagar de origen comercial</v>
      </c>
      <c r="V2526" s="190" t="str">
        <f>VLOOKUP(E2526,Valida!$A$2:$K$271,4,FALSE)</f>
        <v>Trade and other payables</v>
      </c>
      <c r="W2526" s="185" t="s">
        <v>1967</v>
      </c>
      <c r="X2526" s="185"/>
      <c r="Y2526" s="185" t="s">
        <v>1789</v>
      </c>
      <c r="Z2526"/>
    </row>
    <row r="2527" spans="1:26">
      <c r="A2527" s="185" t="s">
        <v>3450</v>
      </c>
      <c r="B2527" s="185" t="s">
        <v>3451</v>
      </c>
      <c r="C2527" s="185" t="s">
        <v>1897</v>
      </c>
      <c r="D2527" s="185" t="s">
        <v>3452</v>
      </c>
      <c r="E2527" s="185">
        <v>250505</v>
      </c>
      <c r="F2527" s="185" t="s">
        <v>767</v>
      </c>
      <c r="G2527" s="185" t="s">
        <v>3453</v>
      </c>
      <c r="H2527" s="185" t="s">
        <v>1628</v>
      </c>
      <c r="I2527" s="258" t="str">
        <f t="shared" si="118"/>
        <v>2</v>
      </c>
      <c r="J2527" s="221">
        <f t="shared" si="119"/>
        <v>-1067200</v>
      </c>
      <c r="K2527" s="258">
        <f t="shared" si="120"/>
        <v>9</v>
      </c>
      <c r="L2527" s="188">
        <v>0</v>
      </c>
      <c r="M2527" s="188">
        <v>1067200</v>
      </c>
      <c r="N2527" s="189">
        <v>1020842223</v>
      </c>
      <c r="O2527" t="s">
        <v>3451</v>
      </c>
      <c r="P2527" s="187">
        <v>45195</v>
      </c>
      <c r="Q2527" s="186">
        <v>13600</v>
      </c>
      <c r="R2527" s="185"/>
      <c r="S2527" s="185" t="s">
        <v>1532</v>
      </c>
      <c r="T2527" t="s">
        <v>2729</v>
      </c>
      <c r="U2527" t="str">
        <f>IF($L2527&gt;0,VLOOKUP($E2527,Valida!$A$1:$G$270,6,FALSE),IF($M2527&gt;=0,VLOOKUP($E2527,Valida!$A$1:$G$270,7,FALSE)))</f>
        <v>(+/-) Ajustes por el incremento (disminución) de cuentas por pagar de origen comercial</v>
      </c>
      <c r="V2527" s="190" t="str">
        <f>VLOOKUP(E2527,Valida!$A$2:$K$271,4,FALSE)</f>
        <v>Trade and other payables</v>
      </c>
      <c r="W2527" s="185" t="s">
        <v>1900</v>
      </c>
      <c r="X2527" s="185"/>
      <c r="Y2527" s="185" t="s">
        <v>1789</v>
      </c>
      <c r="Z2527"/>
    </row>
    <row r="2528" spans="1:26">
      <c r="A2528" s="185" t="s">
        <v>3450</v>
      </c>
      <c r="B2528" s="185" t="s">
        <v>3451</v>
      </c>
      <c r="C2528" s="185" t="s">
        <v>1897</v>
      </c>
      <c r="D2528" s="185" t="s">
        <v>3452</v>
      </c>
      <c r="E2528" s="185">
        <v>250505</v>
      </c>
      <c r="F2528" s="185" t="s">
        <v>767</v>
      </c>
      <c r="G2528" s="185" t="s">
        <v>3453</v>
      </c>
      <c r="H2528" s="185" t="s">
        <v>1628</v>
      </c>
      <c r="I2528" s="258" t="str">
        <f t="shared" si="118"/>
        <v>2</v>
      </c>
      <c r="J2528" s="221">
        <f t="shared" si="119"/>
        <v>-1207806</v>
      </c>
      <c r="K2528" s="258">
        <f t="shared" si="120"/>
        <v>9</v>
      </c>
      <c r="L2528" s="188">
        <v>0</v>
      </c>
      <c r="M2528" s="188">
        <v>1207806</v>
      </c>
      <c r="N2528" s="189">
        <v>1130744136</v>
      </c>
      <c r="O2528" t="s">
        <v>3451</v>
      </c>
      <c r="P2528" s="187">
        <v>45195</v>
      </c>
      <c r="Q2528" s="186">
        <v>13601</v>
      </c>
      <c r="R2528" s="185"/>
      <c r="S2528" s="185" t="s">
        <v>1538</v>
      </c>
      <c r="T2528" t="s">
        <v>2729</v>
      </c>
      <c r="U2528" t="str">
        <f>IF($L2528&gt;0,VLOOKUP($E2528,Valida!$A$1:$G$270,6,FALSE),IF($M2528&gt;=0,VLOOKUP($E2528,Valida!$A$1:$G$270,7,FALSE)))</f>
        <v>(+/-) Ajustes por el incremento (disminución) de cuentas por pagar de origen comercial</v>
      </c>
      <c r="V2528" s="190" t="str">
        <f>VLOOKUP(E2528,Valida!$A$2:$K$271,4,FALSE)</f>
        <v>Trade and other payables</v>
      </c>
      <c r="W2528" s="185" t="s">
        <v>1909</v>
      </c>
      <c r="X2528" s="185" t="s">
        <v>1910</v>
      </c>
      <c r="Y2528" s="185" t="s">
        <v>1789</v>
      </c>
      <c r="Z2528"/>
    </row>
    <row r="2529" spans="1:26">
      <c r="A2529" s="185" t="s">
        <v>3450</v>
      </c>
      <c r="B2529" s="185" t="s">
        <v>3456</v>
      </c>
      <c r="C2529" s="185" t="s">
        <v>1897</v>
      </c>
      <c r="D2529" s="185" t="s">
        <v>3457</v>
      </c>
      <c r="E2529" s="185">
        <v>237006</v>
      </c>
      <c r="F2529" s="185" t="s">
        <v>680</v>
      </c>
      <c r="G2529" s="185" t="s">
        <v>3458</v>
      </c>
      <c r="H2529" s="185" t="s">
        <v>1628</v>
      </c>
      <c r="I2529" s="258" t="str">
        <f t="shared" si="118"/>
        <v>2</v>
      </c>
      <c r="J2529" s="221">
        <f t="shared" si="119"/>
        <v>-7830</v>
      </c>
      <c r="K2529" s="258">
        <f t="shared" si="120"/>
        <v>9</v>
      </c>
      <c r="L2529" s="188">
        <v>0</v>
      </c>
      <c r="M2529" s="188">
        <v>7830</v>
      </c>
      <c r="N2529" s="189">
        <v>860002503</v>
      </c>
      <c r="O2529" t="s">
        <v>3456</v>
      </c>
      <c r="P2529" s="187">
        <v>45195</v>
      </c>
      <c r="Q2529" s="186">
        <v>13686</v>
      </c>
      <c r="R2529" s="185" t="s">
        <v>433</v>
      </c>
      <c r="S2529" s="185" t="s">
        <v>1656</v>
      </c>
      <c r="T2529" t="s">
        <v>2729</v>
      </c>
      <c r="U2529" t="str">
        <f>IF($L2529&gt;0,VLOOKUP($E2529,Valida!$A$1:$G$270,6,FALSE),IF($M2529&gt;=0,VLOOKUP($E2529,Valida!$A$1:$G$270,7,FALSE)))</f>
        <v>(+/-) Ajustes por el incremento (disminución) de cuentas por pagar de origen comercial</v>
      </c>
      <c r="V2529" s="190" t="str">
        <f>VLOOKUP(E2529,Valida!$A$2:$K$271,4,FALSE)</f>
        <v>Trade and other payables</v>
      </c>
      <c r="W2529" s="185" t="s">
        <v>1912</v>
      </c>
      <c r="X2529" s="185" t="s">
        <v>1913</v>
      </c>
      <c r="Y2529" s="185" t="s">
        <v>1789</v>
      </c>
      <c r="Z2529"/>
    </row>
    <row r="2530" spans="1:26">
      <c r="A2530" s="185" t="s">
        <v>3450</v>
      </c>
      <c r="B2530" s="185" t="s">
        <v>3456</v>
      </c>
      <c r="C2530" s="185" t="s">
        <v>1897</v>
      </c>
      <c r="D2530" s="185" t="s">
        <v>3457</v>
      </c>
      <c r="E2530" s="185">
        <v>237006</v>
      </c>
      <c r="F2530" s="185" t="s">
        <v>680</v>
      </c>
      <c r="G2530" s="185" t="s">
        <v>3458</v>
      </c>
      <c r="H2530" s="185" t="s">
        <v>1628</v>
      </c>
      <c r="I2530" s="258" t="str">
        <f t="shared" si="118"/>
        <v>2</v>
      </c>
      <c r="J2530" s="221">
        <f t="shared" si="119"/>
        <v>-6661</v>
      </c>
      <c r="K2530" s="258">
        <f t="shared" si="120"/>
        <v>9</v>
      </c>
      <c r="L2530" s="188">
        <v>0</v>
      </c>
      <c r="M2530" s="188">
        <v>6661</v>
      </c>
      <c r="N2530" s="189">
        <v>860002503</v>
      </c>
      <c r="O2530" t="s">
        <v>3456</v>
      </c>
      <c r="P2530" s="187">
        <v>45195</v>
      </c>
      <c r="Q2530" s="186">
        <v>13687</v>
      </c>
      <c r="R2530" s="185" t="s">
        <v>433</v>
      </c>
      <c r="S2530" s="185" t="s">
        <v>1656</v>
      </c>
      <c r="T2530" t="s">
        <v>2729</v>
      </c>
      <c r="U2530" t="str">
        <f>IF($L2530&gt;0,VLOOKUP($E2530,Valida!$A$1:$G$270,6,FALSE),IF($M2530&gt;=0,VLOOKUP($E2530,Valida!$A$1:$G$270,7,FALSE)))</f>
        <v>(+/-) Ajustes por el incremento (disminución) de cuentas por pagar de origen comercial</v>
      </c>
      <c r="V2530" s="190" t="str">
        <f>VLOOKUP(E2530,Valida!$A$2:$K$271,4,FALSE)</f>
        <v>Trade and other payables</v>
      </c>
      <c r="W2530" s="185" t="s">
        <v>1912</v>
      </c>
      <c r="X2530" s="185" t="s">
        <v>1913</v>
      </c>
      <c r="Y2530" s="185" t="s">
        <v>1789</v>
      </c>
      <c r="Z2530"/>
    </row>
    <row r="2531" spans="1:26">
      <c r="A2531" s="185" t="s">
        <v>3450</v>
      </c>
      <c r="B2531" s="185" t="s">
        <v>3456</v>
      </c>
      <c r="C2531" s="185" t="s">
        <v>1897</v>
      </c>
      <c r="D2531" s="185" t="s">
        <v>3457</v>
      </c>
      <c r="E2531" s="185">
        <v>237006</v>
      </c>
      <c r="F2531" s="185" t="s">
        <v>680</v>
      </c>
      <c r="G2531" s="185" t="s">
        <v>3458</v>
      </c>
      <c r="H2531" s="185" t="s">
        <v>1628</v>
      </c>
      <c r="I2531" s="258" t="str">
        <f t="shared" si="118"/>
        <v>2</v>
      </c>
      <c r="J2531" s="221">
        <f t="shared" si="119"/>
        <v>-10383</v>
      </c>
      <c r="K2531" s="258">
        <f t="shared" si="120"/>
        <v>9</v>
      </c>
      <c r="L2531" s="188">
        <v>0</v>
      </c>
      <c r="M2531" s="188">
        <v>10383</v>
      </c>
      <c r="N2531" s="189">
        <v>860002503</v>
      </c>
      <c r="O2531" t="s">
        <v>3456</v>
      </c>
      <c r="P2531" s="187">
        <v>45195</v>
      </c>
      <c r="Q2531" s="186">
        <v>13688</v>
      </c>
      <c r="R2531" s="185" t="s">
        <v>433</v>
      </c>
      <c r="S2531" s="185" t="s">
        <v>1656</v>
      </c>
      <c r="T2531" t="s">
        <v>2729</v>
      </c>
      <c r="U2531" t="str">
        <f>IF($L2531&gt;0,VLOOKUP($E2531,Valida!$A$1:$G$270,6,FALSE),IF($M2531&gt;=0,VLOOKUP($E2531,Valida!$A$1:$G$270,7,FALSE)))</f>
        <v>(+/-) Ajustes por el incremento (disminución) de cuentas por pagar de origen comercial</v>
      </c>
      <c r="V2531" s="190" t="str">
        <f>VLOOKUP(E2531,Valida!$A$2:$K$271,4,FALSE)</f>
        <v>Trade and other payables</v>
      </c>
      <c r="W2531" s="185" t="s">
        <v>1912</v>
      </c>
      <c r="X2531" s="185" t="s">
        <v>1913</v>
      </c>
      <c r="Y2531" s="185" t="s">
        <v>1789</v>
      </c>
      <c r="Z2531"/>
    </row>
    <row r="2532" spans="1:26">
      <c r="A2532" s="185" t="s">
        <v>3450</v>
      </c>
      <c r="B2532" s="185" t="s">
        <v>3456</v>
      </c>
      <c r="C2532" s="185" t="s">
        <v>1897</v>
      </c>
      <c r="D2532" s="185" t="s">
        <v>3457</v>
      </c>
      <c r="E2532" s="185">
        <v>237006</v>
      </c>
      <c r="F2532" s="185" t="s">
        <v>680</v>
      </c>
      <c r="G2532" s="185" t="s">
        <v>3458</v>
      </c>
      <c r="H2532" s="185" t="s">
        <v>1628</v>
      </c>
      <c r="I2532" s="258" t="str">
        <f t="shared" si="118"/>
        <v>2</v>
      </c>
      <c r="J2532" s="221">
        <f t="shared" si="119"/>
        <v>-5272</v>
      </c>
      <c r="K2532" s="258">
        <f t="shared" si="120"/>
        <v>9</v>
      </c>
      <c r="L2532" s="188">
        <v>0</v>
      </c>
      <c r="M2532" s="188">
        <v>5272</v>
      </c>
      <c r="N2532" s="189">
        <v>860002503</v>
      </c>
      <c r="O2532" t="s">
        <v>3456</v>
      </c>
      <c r="P2532" s="187">
        <v>45195</v>
      </c>
      <c r="Q2532" s="186">
        <v>13689</v>
      </c>
      <c r="R2532" s="185" t="s">
        <v>433</v>
      </c>
      <c r="S2532" s="185" t="s">
        <v>1656</v>
      </c>
      <c r="T2532" t="s">
        <v>2729</v>
      </c>
      <c r="U2532" t="str">
        <f>IF($L2532&gt;0,VLOOKUP($E2532,Valida!$A$1:$G$270,6,FALSE),IF($M2532&gt;=0,VLOOKUP($E2532,Valida!$A$1:$G$270,7,FALSE)))</f>
        <v>(+/-) Ajustes por el incremento (disminución) de cuentas por pagar de origen comercial</v>
      </c>
      <c r="V2532" s="190" t="str">
        <f>VLOOKUP(E2532,Valida!$A$2:$K$271,4,FALSE)</f>
        <v>Trade and other payables</v>
      </c>
      <c r="W2532" s="185" t="s">
        <v>1912</v>
      </c>
      <c r="X2532" s="185" t="s">
        <v>1913</v>
      </c>
      <c r="Y2532" s="185" t="s">
        <v>1789</v>
      </c>
      <c r="Z2532"/>
    </row>
    <row r="2533" spans="1:26">
      <c r="A2533" s="185" t="s">
        <v>3450</v>
      </c>
      <c r="B2533" s="185" t="s">
        <v>3456</v>
      </c>
      <c r="C2533" s="185" t="s">
        <v>1897</v>
      </c>
      <c r="D2533" s="185" t="s">
        <v>3457</v>
      </c>
      <c r="E2533" s="185">
        <v>237006</v>
      </c>
      <c r="F2533" s="185" t="s">
        <v>680</v>
      </c>
      <c r="G2533" s="185" t="s">
        <v>3458</v>
      </c>
      <c r="H2533" s="185" t="s">
        <v>1628</v>
      </c>
      <c r="I2533" s="258" t="str">
        <f t="shared" si="118"/>
        <v>2</v>
      </c>
      <c r="J2533" s="221">
        <f t="shared" si="119"/>
        <v>-6055</v>
      </c>
      <c r="K2533" s="258">
        <f t="shared" si="120"/>
        <v>9</v>
      </c>
      <c r="L2533" s="188">
        <v>0</v>
      </c>
      <c r="M2533" s="188">
        <v>6055</v>
      </c>
      <c r="N2533" s="189">
        <v>860002503</v>
      </c>
      <c r="O2533" t="s">
        <v>3456</v>
      </c>
      <c r="P2533" s="187">
        <v>45195</v>
      </c>
      <c r="Q2533" s="186">
        <v>13690</v>
      </c>
      <c r="R2533" s="185" t="s">
        <v>433</v>
      </c>
      <c r="S2533" s="185" t="s">
        <v>1656</v>
      </c>
      <c r="T2533" t="s">
        <v>2729</v>
      </c>
      <c r="U2533" t="str">
        <f>IF($L2533&gt;0,VLOOKUP($E2533,Valida!$A$1:$G$270,6,FALSE),IF($M2533&gt;=0,VLOOKUP($E2533,Valida!$A$1:$G$270,7,FALSE)))</f>
        <v>(+/-) Ajustes por el incremento (disminución) de cuentas por pagar de origen comercial</v>
      </c>
      <c r="V2533" s="190" t="str">
        <f>VLOOKUP(E2533,Valida!$A$2:$K$271,4,FALSE)</f>
        <v>Trade and other payables</v>
      </c>
      <c r="W2533" s="185" t="s">
        <v>1912</v>
      </c>
      <c r="X2533" s="185" t="s">
        <v>1913</v>
      </c>
      <c r="Y2533" s="185" t="s">
        <v>1789</v>
      </c>
      <c r="Z2533"/>
    </row>
    <row r="2534" spans="1:26">
      <c r="A2534" s="185" t="s">
        <v>3450</v>
      </c>
      <c r="B2534" s="185" t="s">
        <v>3456</v>
      </c>
      <c r="C2534" s="185" t="s">
        <v>1897</v>
      </c>
      <c r="D2534" s="185" t="s">
        <v>3457</v>
      </c>
      <c r="E2534" s="185">
        <v>237010</v>
      </c>
      <c r="F2534" s="185" t="s">
        <v>683</v>
      </c>
      <c r="G2534" s="185" t="s">
        <v>3459</v>
      </c>
      <c r="H2534" s="185" t="s">
        <v>1628</v>
      </c>
      <c r="I2534" s="258" t="str">
        <f t="shared" si="118"/>
        <v>2</v>
      </c>
      <c r="J2534" s="221">
        <f t="shared" si="119"/>
        <v>-242900</v>
      </c>
      <c r="K2534" s="258">
        <f t="shared" si="120"/>
        <v>9</v>
      </c>
      <c r="L2534" s="188">
        <v>0</v>
      </c>
      <c r="M2534" s="188">
        <v>242900</v>
      </c>
      <c r="N2534" s="189">
        <v>860066942</v>
      </c>
      <c r="O2534" t="s">
        <v>3456</v>
      </c>
      <c r="P2534" s="187">
        <v>45195</v>
      </c>
      <c r="Q2534" s="186">
        <v>13692</v>
      </c>
      <c r="R2534" s="185" t="s">
        <v>1814</v>
      </c>
      <c r="S2534" s="185" t="s">
        <v>1574</v>
      </c>
      <c r="T2534" t="s">
        <v>2729</v>
      </c>
      <c r="U2534" t="str">
        <f>IF($L2534&gt;0,VLOOKUP($E2534,Valida!$A$1:$G$270,6,FALSE),IF($M2534&gt;=0,VLOOKUP($E2534,Valida!$A$1:$G$270,7,FALSE)))</f>
        <v>(+/-) Ajustes por el incremento (disminución) de cuentas por pagar de origen comercial</v>
      </c>
      <c r="V2534" s="190" t="str">
        <f>VLOOKUP(E2534,Valida!$A$2:$K$271,4,FALSE)</f>
        <v>Trade and other payables</v>
      </c>
      <c r="W2534" s="185" t="s">
        <v>1914</v>
      </c>
      <c r="X2534" s="185" t="s">
        <v>1915</v>
      </c>
      <c r="Y2534" s="185" t="s">
        <v>1789</v>
      </c>
      <c r="Z2534"/>
    </row>
    <row r="2535" spans="1:26">
      <c r="A2535" s="185" t="s">
        <v>3450</v>
      </c>
      <c r="B2535" s="185" t="s">
        <v>3456</v>
      </c>
      <c r="C2535" s="185" t="s">
        <v>1897</v>
      </c>
      <c r="D2535" s="185" t="s">
        <v>3457</v>
      </c>
      <c r="E2535" s="185">
        <v>238030</v>
      </c>
      <c r="F2535" s="185" t="s">
        <v>721</v>
      </c>
      <c r="G2535" s="185" t="s">
        <v>3460</v>
      </c>
      <c r="H2535" s="185" t="s">
        <v>1628</v>
      </c>
      <c r="I2535" s="258" t="str">
        <f t="shared" si="118"/>
        <v>2</v>
      </c>
      <c r="J2535" s="221">
        <f t="shared" si="119"/>
        <v>-180000</v>
      </c>
      <c r="K2535" s="258">
        <f t="shared" si="120"/>
        <v>9</v>
      </c>
      <c r="L2535" s="188">
        <v>0</v>
      </c>
      <c r="M2535" s="188">
        <v>180000</v>
      </c>
      <c r="N2535" s="189">
        <v>800224808</v>
      </c>
      <c r="O2535" t="s">
        <v>3456</v>
      </c>
      <c r="P2535" s="187">
        <v>45195</v>
      </c>
      <c r="Q2535" s="186">
        <v>13698</v>
      </c>
      <c r="R2535" s="185" t="s">
        <v>1827</v>
      </c>
      <c r="S2535" s="185" t="s">
        <v>1662</v>
      </c>
      <c r="T2535" t="s">
        <v>2729</v>
      </c>
      <c r="U2535" t="str">
        <f>IF($L2535&gt;0,VLOOKUP($E2535,Valida!$A$1:$G$270,6,FALSE),IF($M2535&gt;=0,VLOOKUP($E2535,Valida!$A$1:$G$270,7,FALSE)))</f>
        <v>(+/-) Ajustes por el incremento (disminución) de cuentas por pagar de origen comercial</v>
      </c>
      <c r="V2535" s="190" t="str">
        <f>VLOOKUP(E2535,Valida!$A$2:$K$271,4,FALSE)</f>
        <v>Trade and other payables</v>
      </c>
      <c r="W2535" s="185" t="s">
        <v>1911</v>
      </c>
      <c r="X2535" s="185"/>
      <c r="Y2535" s="185" t="s">
        <v>1789</v>
      </c>
      <c r="Z2535"/>
    </row>
    <row r="2536" spans="1:26">
      <c r="A2536" s="185" t="s">
        <v>3450</v>
      </c>
      <c r="B2536" s="185" t="s">
        <v>3456</v>
      </c>
      <c r="C2536" s="185" t="s">
        <v>1897</v>
      </c>
      <c r="D2536" s="185" t="s">
        <v>3457</v>
      </c>
      <c r="E2536" s="185">
        <v>238030</v>
      </c>
      <c r="F2536" s="185" t="s">
        <v>721</v>
      </c>
      <c r="G2536" s="185" t="s">
        <v>3460</v>
      </c>
      <c r="H2536" s="185" t="s">
        <v>1628</v>
      </c>
      <c r="I2536" s="258" t="str">
        <f t="shared" si="118"/>
        <v>2</v>
      </c>
      <c r="J2536" s="221">
        <f t="shared" si="119"/>
        <v>-238687</v>
      </c>
      <c r="K2536" s="258">
        <f t="shared" si="120"/>
        <v>9</v>
      </c>
      <c r="L2536" s="188">
        <v>0</v>
      </c>
      <c r="M2536" s="188">
        <v>238687</v>
      </c>
      <c r="N2536" s="189">
        <v>800224808</v>
      </c>
      <c r="O2536" t="s">
        <v>3456</v>
      </c>
      <c r="P2536" s="187">
        <v>45195</v>
      </c>
      <c r="Q2536" s="186">
        <v>13699</v>
      </c>
      <c r="R2536" s="185" t="s">
        <v>1827</v>
      </c>
      <c r="S2536" s="185" t="s">
        <v>1662</v>
      </c>
      <c r="T2536" t="s">
        <v>2729</v>
      </c>
      <c r="U2536" t="str">
        <f>IF($L2536&gt;0,VLOOKUP($E2536,Valida!$A$1:$G$270,6,FALSE),IF($M2536&gt;=0,VLOOKUP($E2536,Valida!$A$1:$G$270,7,FALSE)))</f>
        <v>(+/-) Ajustes por el incremento (disminución) de cuentas por pagar de origen comercial</v>
      </c>
      <c r="V2536" s="190" t="str">
        <f>VLOOKUP(E2536,Valida!$A$2:$K$271,4,FALSE)</f>
        <v>Trade and other payables</v>
      </c>
      <c r="W2536" s="185" t="s">
        <v>1911</v>
      </c>
      <c r="X2536" s="185"/>
      <c r="Y2536" s="185" t="s">
        <v>1789</v>
      </c>
      <c r="Z2536"/>
    </row>
    <row r="2537" spans="1:26">
      <c r="A2537" s="185" t="s">
        <v>3450</v>
      </c>
      <c r="B2537" s="185" t="s">
        <v>3456</v>
      </c>
      <c r="C2537" s="185" t="s">
        <v>1897</v>
      </c>
      <c r="D2537" s="185" t="s">
        <v>3457</v>
      </c>
      <c r="E2537" s="185">
        <v>238030</v>
      </c>
      <c r="F2537" s="185" t="s">
        <v>721</v>
      </c>
      <c r="G2537" s="185" t="s">
        <v>3460</v>
      </c>
      <c r="H2537" s="185" t="s">
        <v>1628</v>
      </c>
      <c r="I2537" s="258" t="str">
        <f t="shared" si="118"/>
        <v>2</v>
      </c>
      <c r="J2537" s="221">
        <f t="shared" si="119"/>
        <v>-121200</v>
      </c>
      <c r="K2537" s="258">
        <f t="shared" si="120"/>
        <v>9</v>
      </c>
      <c r="L2537" s="188">
        <v>0</v>
      </c>
      <c r="M2537" s="188">
        <v>121200</v>
      </c>
      <c r="N2537" s="189">
        <v>800224808</v>
      </c>
      <c r="O2537" t="s">
        <v>3456</v>
      </c>
      <c r="P2537" s="187">
        <v>45195</v>
      </c>
      <c r="Q2537" s="186">
        <v>13700</v>
      </c>
      <c r="R2537" s="185" t="s">
        <v>1827</v>
      </c>
      <c r="S2537" s="185" t="s">
        <v>1662</v>
      </c>
      <c r="T2537" t="s">
        <v>2729</v>
      </c>
      <c r="U2537" t="str">
        <f>IF($L2537&gt;0,VLOOKUP($E2537,Valida!$A$1:$G$270,6,FALSE),IF($M2537&gt;=0,VLOOKUP($E2537,Valida!$A$1:$G$270,7,FALSE)))</f>
        <v>(+/-) Ajustes por el incremento (disminución) de cuentas por pagar de origen comercial</v>
      </c>
      <c r="V2537" s="190" t="str">
        <f>VLOOKUP(E2537,Valida!$A$2:$K$271,4,FALSE)</f>
        <v>Trade and other payables</v>
      </c>
      <c r="W2537" s="185" t="s">
        <v>1911</v>
      </c>
      <c r="X2537" s="185"/>
      <c r="Y2537" s="185" t="s">
        <v>1789</v>
      </c>
      <c r="Z2537"/>
    </row>
    <row r="2538" spans="1:26">
      <c r="A2538" s="185" t="s">
        <v>3450</v>
      </c>
      <c r="B2538" s="185" t="s">
        <v>3456</v>
      </c>
      <c r="C2538" s="185" t="s">
        <v>1897</v>
      </c>
      <c r="D2538" s="185" t="s">
        <v>3457</v>
      </c>
      <c r="E2538" s="185">
        <v>238030</v>
      </c>
      <c r="F2538" s="185" t="s">
        <v>721</v>
      </c>
      <c r="G2538" s="185" t="s">
        <v>3460</v>
      </c>
      <c r="H2538" s="185" t="s">
        <v>1628</v>
      </c>
      <c r="I2538" s="258" t="str">
        <f t="shared" si="118"/>
        <v>2</v>
      </c>
      <c r="J2538" s="221">
        <f t="shared" si="119"/>
        <v>-139200</v>
      </c>
      <c r="K2538" s="258">
        <f t="shared" si="120"/>
        <v>9</v>
      </c>
      <c r="L2538" s="188">
        <v>0</v>
      </c>
      <c r="M2538" s="188">
        <v>139200</v>
      </c>
      <c r="N2538" s="189">
        <v>800224808</v>
      </c>
      <c r="O2538" t="s">
        <v>3456</v>
      </c>
      <c r="P2538" s="187">
        <v>45195</v>
      </c>
      <c r="Q2538" s="186">
        <v>13701</v>
      </c>
      <c r="R2538" s="185" t="s">
        <v>1827</v>
      </c>
      <c r="S2538" s="185" t="s">
        <v>1662</v>
      </c>
      <c r="T2538" t="s">
        <v>2729</v>
      </c>
      <c r="U2538" t="str">
        <f>IF($L2538&gt;0,VLOOKUP($E2538,Valida!$A$1:$G$270,6,FALSE),IF($M2538&gt;=0,VLOOKUP($E2538,Valida!$A$1:$G$270,7,FALSE)))</f>
        <v>(+/-) Ajustes por el incremento (disminución) de cuentas por pagar de origen comercial</v>
      </c>
      <c r="V2538" s="190" t="str">
        <f>VLOOKUP(E2538,Valida!$A$2:$K$271,4,FALSE)</f>
        <v>Trade and other payables</v>
      </c>
      <c r="W2538" s="185" t="s">
        <v>1911</v>
      </c>
      <c r="X2538" s="185"/>
      <c r="Y2538" s="185" t="s">
        <v>1789</v>
      </c>
      <c r="Z2538"/>
    </row>
    <row r="2539" spans="1:26">
      <c r="A2539" s="185" t="s">
        <v>3450</v>
      </c>
      <c r="B2539" s="185" t="s">
        <v>3456</v>
      </c>
      <c r="C2539" s="185" t="s">
        <v>1897</v>
      </c>
      <c r="D2539" s="185" t="s">
        <v>3457</v>
      </c>
      <c r="E2539" s="185">
        <v>238030</v>
      </c>
      <c r="F2539" s="185" t="s">
        <v>721</v>
      </c>
      <c r="G2539" s="185" t="s">
        <v>3460</v>
      </c>
      <c r="H2539" s="185" t="s">
        <v>1628</v>
      </c>
      <c r="I2539" s="258" t="str">
        <f t="shared" si="118"/>
        <v>2</v>
      </c>
      <c r="J2539" s="221">
        <f t="shared" si="119"/>
        <v>-139200</v>
      </c>
      <c r="K2539" s="258">
        <f t="shared" si="120"/>
        <v>9</v>
      </c>
      <c r="L2539" s="188">
        <v>0</v>
      </c>
      <c r="M2539" s="188">
        <v>139200</v>
      </c>
      <c r="N2539" s="189">
        <v>800224808</v>
      </c>
      <c r="O2539" t="s">
        <v>3456</v>
      </c>
      <c r="P2539" s="187">
        <v>45195</v>
      </c>
      <c r="Q2539" s="186">
        <v>13702</v>
      </c>
      <c r="R2539" s="185" t="s">
        <v>1827</v>
      </c>
      <c r="S2539" s="185" t="s">
        <v>1662</v>
      </c>
      <c r="T2539" t="s">
        <v>2729</v>
      </c>
      <c r="U2539" t="str">
        <f>IF($L2539&gt;0,VLOOKUP($E2539,Valida!$A$1:$G$270,6,FALSE),IF($M2539&gt;=0,VLOOKUP($E2539,Valida!$A$1:$G$270,7,FALSE)))</f>
        <v>(+/-) Ajustes por el incremento (disminución) de cuentas por pagar de origen comercial</v>
      </c>
      <c r="V2539" s="190" t="str">
        <f>VLOOKUP(E2539,Valida!$A$2:$K$271,4,FALSE)</f>
        <v>Trade and other payables</v>
      </c>
      <c r="W2539" s="185" t="s">
        <v>1911</v>
      </c>
      <c r="X2539" s="185"/>
      <c r="Y2539" s="185" t="s">
        <v>1789</v>
      </c>
      <c r="Z2539"/>
    </row>
    <row r="2540" spans="1:26">
      <c r="A2540" s="185" t="s">
        <v>3450</v>
      </c>
      <c r="B2540" s="185" t="s">
        <v>3456</v>
      </c>
      <c r="C2540" s="185" t="s">
        <v>1897</v>
      </c>
      <c r="D2540" s="185" t="s">
        <v>3457</v>
      </c>
      <c r="E2540" s="185">
        <v>238030</v>
      </c>
      <c r="F2540" s="185" t="s">
        <v>721</v>
      </c>
      <c r="G2540" s="185" t="s">
        <v>3460</v>
      </c>
      <c r="H2540" s="185" t="s">
        <v>1628</v>
      </c>
      <c r="I2540" s="258" t="str">
        <f t="shared" si="118"/>
        <v>2</v>
      </c>
      <c r="J2540" s="221">
        <f t="shared" si="119"/>
        <v>-153120</v>
      </c>
      <c r="K2540" s="258">
        <f t="shared" si="120"/>
        <v>9</v>
      </c>
      <c r="L2540" s="188">
        <v>0</v>
      </c>
      <c r="M2540" s="188">
        <v>153120</v>
      </c>
      <c r="N2540" s="189">
        <v>800227940</v>
      </c>
      <c r="O2540" t="s">
        <v>3456</v>
      </c>
      <c r="P2540" s="187">
        <v>45195</v>
      </c>
      <c r="Q2540" s="186">
        <v>13703</v>
      </c>
      <c r="R2540" s="185"/>
      <c r="S2540" s="185" t="s">
        <v>1664</v>
      </c>
      <c r="T2540" t="s">
        <v>2729</v>
      </c>
      <c r="U2540" t="str">
        <f>IF($L2540&gt;0,VLOOKUP($E2540,Valida!$A$1:$G$270,6,FALSE),IF($M2540&gt;=0,VLOOKUP($E2540,Valida!$A$1:$G$270,7,FALSE)))</f>
        <v>(+/-) Ajustes por el incremento (disminución) de cuentas por pagar de origen comercial</v>
      </c>
      <c r="V2540" s="190" t="str">
        <f>VLOOKUP(E2540,Valida!$A$2:$K$271,4,FALSE)</f>
        <v>Trade and other payables</v>
      </c>
      <c r="W2540" s="185"/>
      <c r="X2540" s="185"/>
      <c r="Y2540" s="185"/>
      <c r="Z2540"/>
    </row>
    <row r="2541" spans="1:26">
      <c r="A2541" s="185" t="s">
        <v>3450</v>
      </c>
      <c r="B2541" s="185" t="s">
        <v>3456</v>
      </c>
      <c r="C2541" s="185" t="s">
        <v>1897</v>
      </c>
      <c r="D2541" s="185" t="s">
        <v>3457</v>
      </c>
      <c r="E2541" s="185">
        <v>251010</v>
      </c>
      <c r="F2541" s="185" t="s">
        <v>776</v>
      </c>
      <c r="G2541" s="185" t="s">
        <v>3461</v>
      </c>
      <c r="H2541" s="185" t="s">
        <v>1628</v>
      </c>
      <c r="I2541" s="258" t="str">
        <f t="shared" si="118"/>
        <v>2</v>
      </c>
      <c r="J2541" s="221">
        <f t="shared" si="119"/>
        <v>-118003</v>
      </c>
      <c r="K2541" s="258">
        <f t="shared" si="120"/>
        <v>9</v>
      </c>
      <c r="L2541" s="188">
        <v>0</v>
      </c>
      <c r="M2541" s="188">
        <v>118003</v>
      </c>
      <c r="N2541" s="189">
        <v>1000018061</v>
      </c>
      <c r="O2541" t="s">
        <v>3456</v>
      </c>
      <c r="P2541" s="187">
        <v>45195</v>
      </c>
      <c r="Q2541" s="186">
        <v>13704</v>
      </c>
      <c r="R2541" s="185"/>
      <c r="S2541" s="185" t="s">
        <v>1522</v>
      </c>
      <c r="T2541" t="s">
        <v>2729</v>
      </c>
      <c r="U2541" t="str">
        <f>IF($L2541&gt;0,VLOOKUP($E2541,Valida!$A$1:$G$270,6,FALSE),IF($M2541&gt;=0,VLOOKUP($E2541,Valida!$A$1:$G$270,7,FALSE)))</f>
        <v>(+/-) Ajustes por el incremento (disminución) de cuentas por pagar de origen comercial</v>
      </c>
      <c r="V2541" s="190" t="str">
        <f>VLOOKUP(E2541,Valida!$A$2:$K$271,4,FALSE)</f>
        <v>Trade and other payables</v>
      </c>
      <c r="W2541" s="185" t="s">
        <v>1978</v>
      </c>
      <c r="X2541" s="185"/>
      <c r="Y2541" s="185" t="s">
        <v>1789</v>
      </c>
      <c r="Z2541"/>
    </row>
    <row r="2542" spans="1:26">
      <c r="A2542" s="185" t="s">
        <v>3450</v>
      </c>
      <c r="B2542" s="185" t="s">
        <v>3456</v>
      </c>
      <c r="C2542" s="185" t="s">
        <v>1897</v>
      </c>
      <c r="D2542" s="185" t="s">
        <v>3457</v>
      </c>
      <c r="E2542" s="185">
        <v>251010</v>
      </c>
      <c r="F2542" s="185" t="s">
        <v>776</v>
      </c>
      <c r="G2542" s="185" t="s">
        <v>3461</v>
      </c>
      <c r="H2542" s="185" t="s">
        <v>1628</v>
      </c>
      <c r="I2542" s="258" t="str">
        <f t="shared" si="118"/>
        <v>2</v>
      </c>
      <c r="J2542" s="221">
        <f t="shared" si="119"/>
        <v>-177401</v>
      </c>
      <c r="K2542" s="258">
        <f t="shared" si="120"/>
        <v>9</v>
      </c>
      <c r="L2542" s="188">
        <v>0</v>
      </c>
      <c r="M2542" s="188">
        <v>177401</v>
      </c>
      <c r="N2542" s="189">
        <v>1000036375</v>
      </c>
      <c r="O2542" t="s">
        <v>3456</v>
      </c>
      <c r="P2542" s="187">
        <v>45195</v>
      </c>
      <c r="Q2542" s="186">
        <v>13705</v>
      </c>
      <c r="R2542" s="185"/>
      <c r="S2542" s="185" t="s">
        <v>1524</v>
      </c>
      <c r="T2542" t="s">
        <v>2729</v>
      </c>
      <c r="U2542" t="str">
        <f>IF($L2542&gt;0,VLOOKUP($E2542,Valida!$A$1:$G$270,6,FALSE),IF($M2542&gt;=0,VLOOKUP($E2542,Valida!$A$1:$G$270,7,FALSE)))</f>
        <v>(+/-) Ajustes por el incremento (disminución) de cuentas por pagar de origen comercial</v>
      </c>
      <c r="V2542" s="190" t="str">
        <f>VLOOKUP(E2542,Valida!$A$2:$K$271,4,FALSE)</f>
        <v>Trade and other payables</v>
      </c>
      <c r="W2542" s="185" t="s">
        <v>1983</v>
      </c>
      <c r="X2542" s="185"/>
      <c r="Y2542" s="185" t="s">
        <v>1789</v>
      </c>
      <c r="Z2542"/>
    </row>
    <row r="2543" spans="1:26">
      <c r="A2543" s="185" t="s">
        <v>3450</v>
      </c>
      <c r="B2543" s="185" t="s">
        <v>3456</v>
      </c>
      <c r="C2543" s="185" t="s">
        <v>1897</v>
      </c>
      <c r="D2543" s="185" t="s">
        <v>3457</v>
      </c>
      <c r="E2543" s="185">
        <v>251010</v>
      </c>
      <c r="F2543" s="185" t="s">
        <v>776</v>
      </c>
      <c r="G2543" s="185" t="s">
        <v>3461</v>
      </c>
      <c r="H2543" s="185" t="s">
        <v>1628</v>
      </c>
      <c r="I2543" s="258" t="str">
        <f t="shared" si="118"/>
        <v>2</v>
      </c>
      <c r="J2543" s="221">
        <f t="shared" si="119"/>
        <v>-93113</v>
      </c>
      <c r="K2543" s="258">
        <f t="shared" si="120"/>
        <v>9</v>
      </c>
      <c r="L2543" s="188">
        <v>0</v>
      </c>
      <c r="M2543" s="188">
        <v>93113</v>
      </c>
      <c r="N2543" s="189">
        <v>1001284057</v>
      </c>
      <c r="O2543" t="s">
        <v>3456</v>
      </c>
      <c r="P2543" s="187">
        <v>45195</v>
      </c>
      <c r="Q2543" s="186">
        <v>13706</v>
      </c>
      <c r="R2543" s="185"/>
      <c r="S2543" s="185" t="s">
        <v>1526</v>
      </c>
      <c r="T2543" t="s">
        <v>2729</v>
      </c>
      <c r="U2543" t="str">
        <f>IF($L2543&gt;0,VLOOKUP($E2543,Valida!$A$1:$G$270,6,FALSE),IF($M2543&gt;=0,VLOOKUP($E2543,Valida!$A$1:$G$270,7,FALSE)))</f>
        <v>(+/-) Ajustes por el incremento (disminución) de cuentas por pagar de origen comercial</v>
      </c>
      <c r="V2543" s="190" t="str">
        <f>VLOOKUP(E2543,Valida!$A$2:$K$271,4,FALSE)</f>
        <v>Trade and other payables</v>
      </c>
      <c r="W2543" s="185" t="s">
        <v>3454</v>
      </c>
      <c r="X2543" s="185" t="s">
        <v>3455</v>
      </c>
      <c r="Y2543" s="185" t="s">
        <v>1789</v>
      </c>
      <c r="Z2543"/>
    </row>
    <row r="2544" spans="1:26">
      <c r="A2544" s="185" t="s">
        <v>3450</v>
      </c>
      <c r="B2544" s="185" t="s">
        <v>3456</v>
      </c>
      <c r="C2544" s="185" t="s">
        <v>1897</v>
      </c>
      <c r="D2544" s="185" t="s">
        <v>3457</v>
      </c>
      <c r="E2544" s="185">
        <v>251010</v>
      </c>
      <c r="F2544" s="185" t="s">
        <v>776</v>
      </c>
      <c r="G2544" s="185" t="s">
        <v>3461</v>
      </c>
      <c r="H2544" s="185" t="s">
        <v>1628</v>
      </c>
      <c r="I2544" s="258" t="str">
        <f t="shared" si="118"/>
        <v>2</v>
      </c>
      <c r="J2544" s="221">
        <f t="shared" si="119"/>
        <v>-136662</v>
      </c>
      <c r="K2544" s="258">
        <f t="shared" si="120"/>
        <v>9</v>
      </c>
      <c r="L2544" s="188">
        <v>0</v>
      </c>
      <c r="M2544" s="188">
        <v>136662</v>
      </c>
      <c r="N2544" s="189">
        <v>1010101811</v>
      </c>
      <c r="O2544" t="s">
        <v>3456</v>
      </c>
      <c r="P2544" s="187">
        <v>45195</v>
      </c>
      <c r="Q2544" s="186">
        <v>13707</v>
      </c>
      <c r="R2544" s="185"/>
      <c r="S2544" s="185" t="s">
        <v>1528</v>
      </c>
      <c r="T2544" t="s">
        <v>2729</v>
      </c>
      <c r="U2544" t="str">
        <f>IF($L2544&gt;0,VLOOKUP($E2544,Valida!$A$1:$G$270,6,FALSE),IF($M2544&gt;=0,VLOOKUP($E2544,Valida!$A$1:$G$270,7,FALSE)))</f>
        <v>(+/-) Ajustes por el incremento (disminución) de cuentas por pagar de origen comercial</v>
      </c>
      <c r="V2544" s="190" t="str">
        <f>VLOOKUP(E2544,Valida!$A$2:$K$271,4,FALSE)</f>
        <v>Trade and other payables</v>
      </c>
      <c r="W2544" s="185" t="s">
        <v>1967</v>
      </c>
      <c r="X2544" s="185"/>
      <c r="Y2544" s="185" t="s">
        <v>1789</v>
      </c>
      <c r="Z2544"/>
    </row>
    <row r="2545" spans="1:26">
      <c r="A2545" s="185" t="s">
        <v>3450</v>
      </c>
      <c r="B2545" s="185" t="s">
        <v>3456</v>
      </c>
      <c r="C2545" s="185" t="s">
        <v>1897</v>
      </c>
      <c r="D2545" s="185" t="s">
        <v>3457</v>
      </c>
      <c r="E2545" s="185">
        <v>251010</v>
      </c>
      <c r="F2545" s="185" t="s">
        <v>776</v>
      </c>
      <c r="G2545" s="185" t="s">
        <v>3461</v>
      </c>
      <c r="H2545" s="185" t="s">
        <v>1628</v>
      </c>
      <c r="I2545" s="258" t="str">
        <f t="shared" si="118"/>
        <v>2</v>
      </c>
      <c r="J2545" s="221">
        <f t="shared" si="119"/>
        <v>-96628</v>
      </c>
      <c r="K2545" s="258">
        <f t="shared" si="120"/>
        <v>9</v>
      </c>
      <c r="L2545" s="188">
        <v>0</v>
      </c>
      <c r="M2545" s="188">
        <v>96628</v>
      </c>
      <c r="N2545" s="189">
        <v>1020842223</v>
      </c>
      <c r="O2545" t="s">
        <v>3456</v>
      </c>
      <c r="P2545" s="187">
        <v>45195</v>
      </c>
      <c r="Q2545" s="186">
        <v>13708</v>
      </c>
      <c r="R2545" s="185"/>
      <c r="S2545" s="185" t="s">
        <v>1532</v>
      </c>
      <c r="T2545" t="s">
        <v>2729</v>
      </c>
      <c r="U2545" t="str">
        <f>IF($L2545&gt;0,VLOOKUP($E2545,Valida!$A$1:$G$270,6,FALSE),IF($M2545&gt;=0,VLOOKUP($E2545,Valida!$A$1:$G$270,7,FALSE)))</f>
        <v>(+/-) Ajustes por el incremento (disminución) de cuentas por pagar de origen comercial</v>
      </c>
      <c r="V2545" s="190" t="str">
        <f>VLOOKUP(E2545,Valida!$A$2:$K$271,4,FALSE)</f>
        <v>Trade and other payables</v>
      </c>
      <c r="W2545" s="185" t="s">
        <v>1900</v>
      </c>
      <c r="X2545" s="185"/>
      <c r="Y2545" s="185" t="s">
        <v>1789</v>
      </c>
      <c r="Z2545"/>
    </row>
    <row r="2546" spans="1:26">
      <c r="A2546" s="185" t="s">
        <v>3450</v>
      </c>
      <c r="B2546" s="185" t="s">
        <v>3456</v>
      </c>
      <c r="C2546" s="185" t="s">
        <v>1897</v>
      </c>
      <c r="D2546" s="185" t="s">
        <v>3457</v>
      </c>
      <c r="E2546" s="185">
        <v>251010</v>
      </c>
      <c r="F2546" s="185" t="s">
        <v>776</v>
      </c>
      <c r="G2546" s="185" t="s">
        <v>3461</v>
      </c>
      <c r="H2546" s="185" t="s">
        <v>1628</v>
      </c>
      <c r="I2546" s="258" t="str">
        <f t="shared" si="118"/>
        <v>2</v>
      </c>
      <c r="J2546" s="221">
        <f t="shared" si="119"/>
        <v>-108340</v>
      </c>
      <c r="K2546" s="258">
        <f t="shared" si="120"/>
        <v>9</v>
      </c>
      <c r="L2546" s="188">
        <v>0</v>
      </c>
      <c r="M2546" s="188">
        <v>108340</v>
      </c>
      <c r="N2546" s="189">
        <v>1130744136</v>
      </c>
      <c r="O2546" t="s">
        <v>3456</v>
      </c>
      <c r="P2546" s="187">
        <v>45195</v>
      </c>
      <c r="Q2546" s="186">
        <v>13709</v>
      </c>
      <c r="R2546" s="185"/>
      <c r="S2546" s="185" t="s">
        <v>1538</v>
      </c>
      <c r="T2546" t="s">
        <v>2729</v>
      </c>
      <c r="U2546" t="str">
        <f>IF($L2546&gt;0,VLOOKUP($E2546,Valida!$A$1:$G$270,6,FALSE),IF($M2546&gt;=0,VLOOKUP($E2546,Valida!$A$1:$G$270,7,FALSE)))</f>
        <v>(+/-) Ajustes por el incremento (disminución) de cuentas por pagar de origen comercial</v>
      </c>
      <c r="V2546" s="190" t="str">
        <f>VLOOKUP(E2546,Valida!$A$2:$K$271,4,FALSE)</f>
        <v>Trade and other payables</v>
      </c>
      <c r="W2546" s="185" t="s">
        <v>1909</v>
      </c>
      <c r="X2546" s="185" t="s">
        <v>1910</v>
      </c>
      <c r="Y2546" s="185" t="s">
        <v>1789</v>
      </c>
      <c r="Z2546"/>
    </row>
    <row r="2547" spans="1:26">
      <c r="A2547" s="185" t="s">
        <v>3450</v>
      </c>
      <c r="B2547" s="185" t="s">
        <v>3456</v>
      </c>
      <c r="C2547" s="185" t="s">
        <v>1897</v>
      </c>
      <c r="D2547" s="185" t="s">
        <v>3457</v>
      </c>
      <c r="E2547" s="185">
        <v>251505</v>
      </c>
      <c r="F2547" s="185" t="s">
        <v>779</v>
      </c>
      <c r="G2547" s="185" t="s">
        <v>3462</v>
      </c>
      <c r="H2547" s="185" t="s">
        <v>1628</v>
      </c>
      <c r="I2547" s="258" t="str">
        <f t="shared" si="118"/>
        <v>2</v>
      </c>
      <c r="J2547" s="221">
        <f t="shared" si="119"/>
        <v>-16406</v>
      </c>
      <c r="K2547" s="258">
        <f t="shared" si="120"/>
        <v>9</v>
      </c>
      <c r="L2547" s="188">
        <v>0</v>
      </c>
      <c r="M2547" s="188">
        <v>16406</v>
      </c>
      <c r="N2547" s="189">
        <v>800224808</v>
      </c>
      <c r="O2547" t="s">
        <v>3456</v>
      </c>
      <c r="P2547" s="187">
        <v>45195</v>
      </c>
      <c r="Q2547" s="186">
        <v>13710</v>
      </c>
      <c r="R2547" s="185" t="s">
        <v>1827</v>
      </c>
      <c r="S2547" s="185" t="s">
        <v>1662</v>
      </c>
      <c r="T2547" t="s">
        <v>2729</v>
      </c>
      <c r="U2547" t="str">
        <f>IF($L2547&gt;0,VLOOKUP($E2547,Valida!$A$1:$G$270,6,FALSE),IF($M2547&gt;=0,VLOOKUP($E2547,Valida!$A$1:$G$270,7,FALSE)))</f>
        <v>(+/-) Ajustes por el incremento (disminución) de cuentas por pagar de origen comercial</v>
      </c>
      <c r="V2547" s="190" t="str">
        <f>VLOOKUP(E2547,Valida!$A$2:$K$271,4,FALSE)</f>
        <v>Trade and other payables</v>
      </c>
      <c r="W2547" s="185" t="s">
        <v>1911</v>
      </c>
      <c r="X2547" s="185"/>
      <c r="Y2547" s="185" t="s">
        <v>1789</v>
      </c>
      <c r="Z2547"/>
    </row>
    <row r="2548" spans="1:26">
      <c r="A2548" s="185" t="s">
        <v>3450</v>
      </c>
      <c r="B2548" s="185" t="s">
        <v>3456</v>
      </c>
      <c r="C2548" s="185" t="s">
        <v>1897</v>
      </c>
      <c r="D2548" s="185" t="s">
        <v>3457</v>
      </c>
      <c r="E2548" s="185">
        <v>251505</v>
      </c>
      <c r="F2548" s="185" t="s">
        <v>779</v>
      </c>
      <c r="G2548" s="185" t="s">
        <v>3462</v>
      </c>
      <c r="H2548" s="185" t="s">
        <v>1628</v>
      </c>
      <c r="I2548" s="258" t="str">
        <f t="shared" si="118"/>
        <v>2</v>
      </c>
      <c r="J2548" s="221">
        <f t="shared" si="119"/>
        <v>-21297</v>
      </c>
      <c r="K2548" s="258">
        <f t="shared" si="120"/>
        <v>9</v>
      </c>
      <c r="L2548" s="188">
        <v>0</v>
      </c>
      <c r="M2548" s="188">
        <v>21297</v>
      </c>
      <c r="N2548" s="189">
        <v>800224808</v>
      </c>
      <c r="O2548" t="s">
        <v>3456</v>
      </c>
      <c r="P2548" s="187">
        <v>45195</v>
      </c>
      <c r="Q2548" s="186">
        <v>13711</v>
      </c>
      <c r="R2548" s="185" t="s">
        <v>1827</v>
      </c>
      <c r="S2548" s="185" t="s">
        <v>1662</v>
      </c>
      <c r="T2548" t="s">
        <v>2729</v>
      </c>
      <c r="U2548" t="str">
        <f>IF($L2548&gt;0,VLOOKUP($E2548,Valida!$A$1:$G$270,6,FALSE),IF($M2548&gt;=0,VLOOKUP($E2548,Valida!$A$1:$G$270,7,FALSE)))</f>
        <v>(+/-) Ajustes por el incremento (disminución) de cuentas por pagar de origen comercial</v>
      </c>
      <c r="V2548" s="190" t="str">
        <f>VLOOKUP(E2548,Valida!$A$2:$K$271,4,FALSE)</f>
        <v>Trade and other payables</v>
      </c>
      <c r="W2548" s="185" t="s">
        <v>1911</v>
      </c>
      <c r="X2548" s="185"/>
      <c r="Y2548" s="185" t="s">
        <v>1789</v>
      </c>
      <c r="Z2548"/>
    </row>
    <row r="2549" spans="1:26">
      <c r="A2549" s="185" t="s">
        <v>3450</v>
      </c>
      <c r="B2549" s="185" t="s">
        <v>3456</v>
      </c>
      <c r="C2549" s="185" t="s">
        <v>1897</v>
      </c>
      <c r="D2549" s="185" t="s">
        <v>3457</v>
      </c>
      <c r="E2549" s="185">
        <v>251505</v>
      </c>
      <c r="F2549" s="185" t="s">
        <v>779</v>
      </c>
      <c r="G2549" s="185" t="s">
        <v>3462</v>
      </c>
      <c r="H2549" s="185" t="s">
        <v>1628</v>
      </c>
      <c r="I2549" s="258" t="str">
        <f t="shared" si="118"/>
        <v>2</v>
      </c>
      <c r="J2549" s="221">
        <f t="shared" si="119"/>
        <v>-11178</v>
      </c>
      <c r="K2549" s="258">
        <f t="shared" si="120"/>
        <v>9</v>
      </c>
      <c r="L2549" s="188">
        <v>0</v>
      </c>
      <c r="M2549" s="188">
        <v>11178</v>
      </c>
      <c r="N2549" s="189">
        <v>800224808</v>
      </c>
      <c r="O2549" t="s">
        <v>3456</v>
      </c>
      <c r="P2549" s="187">
        <v>45195</v>
      </c>
      <c r="Q2549" s="186">
        <v>13712</v>
      </c>
      <c r="R2549" s="185" t="s">
        <v>1827</v>
      </c>
      <c r="S2549" s="185" t="s">
        <v>1662</v>
      </c>
      <c r="T2549" t="s">
        <v>2729</v>
      </c>
      <c r="U2549" t="str">
        <f>IF($L2549&gt;0,VLOOKUP($E2549,Valida!$A$1:$G$270,6,FALSE),IF($M2549&gt;=0,VLOOKUP($E2549,Valida!$A$1:$G$270,7,FALSE)))</f>
        <v>(+/-) Ajustes por el incremento (disminución) de cuentas por pagar de origen comercial</v>
      </c>
      <c r="V2549" s="190" t="str">
        <f>VLOOKUP(E2549,Valida!$A$2:$K$271,4,FALSE)</f>
        <v>Trade and other payables</v>
      </c>
      <c r="W2549" s="185" t="s">
        <v>1911</v>
      </c>
      <c r="X2549" s="185"/>
      <c r="Y2549" s="185" t="s">
        <v>1789</v>
      </c>
      <c r="Z2549"/>
    </row>
    <row r="2550" spans="1:26">
      <c r="A2550" s="185" t="s">
        <v>3450</v>
      </c>
      <c r="B2550" s="185" t="s">
        <v>3456</v>
      </c>
      <c r="C2550" s="185" t="s">
        <v>1897</v>
      </c>
      <c r="D2550" s="185" t="s">
        <v>3457</v>
      </c>
      <c r="E2550" s="185">
        <v>251505</v>
      </c>
      <c r="F2550" s="185" t="s">
        <v>779</v>
      </c>
      <c r="G2550" s="185" t="s">
        <v>3462</v>
      </c>
      <c r="H2550" s="185" t="s">
        <v>1628</v>
      </c>
      <c r="I2550" s="258" t="str">
        <f t="shared" si="118"/>
        <v>2</v>
      </c>
      <c r="J2550" s="221">
        <f t="shared" si="119"/>
        <v>-13006</v>
      </c>
      <c r="K2550" s="258">
        <f t="shared" si="120"/>
        <v>9</v>
      </c>
      <c r="L2550" s="188">
        <v>0</v>
      </c>
      <c r="M2550" s="188">
        <v>13006</v>
      </c>
      <c r="N2550" s="189">
        <v>800224808</v>
      </c>
      <c r="O2550" t="s">
        <v>3456</v>
      </c>
      <c r="P2550" s="187">
        <v>45195</v>
      </c>
      <c r="Q2550" s="186">
        <v>13713</v>
      </c>
      <c r="R2550" s="185" t="s">
        <v>1827</v>
      </c>
      <c r="S2550" s="185" t="s">
        <v>1662</v>
      </c>
      <c r="T2550" t="s">
        <v>2729</v>
      </c>
      <c r="U2550" t="str">
        <f>IF($L2550&gt;0,VLOOKUP($E2550,Valida!$A$1:$G$270,6,FALSE),IF($M2550&gt;=0,VLOOKUP($E2550,Valida!$A$1:$G$270,7,FALSE)))</f>
        <v>(+/-) Ajustes por el incremento (disminución) de cuentas por pagar de origen comercial</v>
      </c>
      <c r="V2550" s="190" t="str">
        <f>VLOOKUP(E2550,Valida!$A$2:$K$271,4,FALSE)</f>
        <v>Trade and other payables</v>
      </c>
      <c r="W2550" s="185" t="s">
        <v>1911</v>
      </c>
      <c r="X2550" s="185"/>
      <c r="Y2550" s="185" t="s">
        <v>1789</v>
      </c>
      <c r="Z2550"/>
    </row>
    <row r="2551" spans="1:26">
      <c r="A2551" s="185" t="s">
        <v>3450</v>
      </c>
      <c r="B2551" s="185" t="s">
        <v>3456</v>
      </c>
      <c r="C2551" s="185" t="s">
        <v>1897</v>
      </c>
      <c r="D2551" s="185" t="s">
        <v>3457</v>
      </c>
      <c r="E2551" s="185">
        <v>251505</v>
      </c>
      <c r="F2551" s="185" t="s">
        <v>779</v>
      </c>
      <c r="G2551" s="185" t="s">
        <v>3462</v>
      </c>
      <c r="H2551" s="185" t="s">
        <v>1628</v>
      </c>
      <c r="I2551" s="258" t="str">
        <f t="shared" si="118"/>
        <v>2</v>
      </c>
      <c r="J2551" s="221">
        <f t="shared" si="119"/>
        <v>-11600</v>
      </c>
      <c r="K2551" s="258">
        <f t="shared" si="120"/>
        <v>9</v>
      </c>
      <c r="L2551" s="188">
        <v>0</v>
      </c>
      <c r="M2551" s="188">
        <v>11600</v>
      </c>
      <c r="N2551" s="189">
        <v>800224808</v>
      </c>
      <c r="O2551" t="s">
        <v>3456</v>
      </c>
      <c r="P2551" s="187">
        <v>45195</v>
      </c>
      <c r="Q2551" s="186">
        <v>13714</v>
      </c>
      <c r="R2551" s="185" t="s">
        <v>1827</v>
      </c>
      <c r="S2551" s="185" t="s">
        <v>1662</v>
      </c>
      <c r="T2551" t="s">
        <v>2729</v>
      </c>
      <c r="U2551" t="str">
        <f>IF($L2551&gt;0,VLOOKUP($E2551,Valida!$A$1:$G$270,6,FALSE),IF($M2551&gt;=0,VLOOKUP($E2551,Valida!$A$1:$G$270,7,FALSE)))</f>
        <v>(+/-) Ajustes por el incremento (disminución) de cuentas por pagar de origen comercial</v>
      </c>
      <c r="V2551" s="190" t="str">
        <f>VLOOKUP(E2551,Valida!$A$2:$K$271,4,FALSE)</f>
        <v>Trade and other payables</v>
      </c>
      <c r="W2551" s="185" t="s">
        <v>1911</v>
      </c>
      <c r="X2551" s="185"/>
      <c r="Y2551" s="185" t="s">
        <v>1789</v>
      </c>
      <c r="Z2551"/>
    </row>
    <row r="2552" spans="1:26">
      <c r="A2552" s="185" t="s">
        <v>3450</v>
      </c>
      <c r="B2552" s="185" t="s">
        <v>3456</v>
      </c>
      <c r="C2552" s="185" t="s">
        <v>1897</v>
      </c>
      <c r="D2552" s="185" t="s">
        <v>3457</v>
      </c>
      <c r="E2552" s="185">
        <v>251505</v>
      </c>
      <c r="F2552" s="185" t="s">
        <v>779</v>
      </c>
      <c r="G2552" s="185" t="s">
        <v>3462</v>
      </c>
      <c r="H2552" s="185" t="s">
        <v>1628</v>
      </c>
      <c r="I2552" s="258" t="str">
        <f t="shared" si="118"/>
        <v>2</v>
      </c>
      <c r="J2552" s="221">
        <f t="shared" si="119"/>
        <v>-14166</v>
      </c>
      <c r="K2552" s="258">
        <f t="shared" si="120"/>
        <v>9</v>
      </c>
      <c r="L2552" s="188">
        <v>0</v>
      </c>
      <c r="M2552" s="188">
        <v>14166</v>
      </c>
      <c r="N2552" s="189">
        <v>800227940</v>
      </c>
      <c r="O2552" t="s">
        <v>3456</v>
      </c>
      <c r="P2552" s="187">
        <v>45195</v>
      </c>
      <c r="Q2552" s="186">
        <v>13715</v>
      </c>
      <c r="R2552" s="185"/>
      <c r="S2552" s="185" t="s">
        <v>1664</v>
      </c>
      <c r="T2552" t="s">
        <v>2729</v>
      </c>
      <c r="U2552" t="str">
        <f>IF($L2552&gt;0,VLOOKUP($E2552,Valida!$A$1:$G$270,6,FALSE),IF($M2552&gt;=0,VLOOKUP($E2552,Valida!$A$1:$G$270,7,FALSE)))</f>
        <v>(+/-) Ajustes por el incremento (disminución) de cuentas por pagar de origen comercial</v>
      </c>
      <c r="V2552" s="190" t="str">
        <f>VLOOKUP(E2552,Valida!$A$2:$K$271,4,FALSE)</f>
        <v>Trade and other payables</v>
      </c>
      <c r="W2552" s="185"/>
      <c r="X2552" s="185"/>
      <c r="Y2552" s="185"/>
      <c r="Z2552"/>
    </row>
    <row r="2553" spans="1:26">
      <c r="A2553" s="185" t="s">
        <v>3450</v>
      </c>
      <c r="B2553" s="185" t="s">
        <v>3456</v>
      </c>
      <c r="C2553" s="185" t="s">
        <v>1897</v>
      </c>
      <c r="D2553" s="185" t="s">
        <v>3457</v>
      </c>
      <c r="E2553" s="185">
        <v>252005</v>
      </c>
      <c r="F2553" s="185" t="s">
        <v>783</v>
      </c>
      <c r="G2553" s="185" t="s">
        <v>3463</v>
      </c>
      <c r="H2553" s="185" t="s">
        <v>1628</v>
      </c>
      <c r="I2553" s="258" t="str">
        <f t="shared" si="118"/>
        <v>2</v>
      </c>
      <c r="J2553" s="221">
        <f t="shared" si="119"/>
        <v>-118003</v>
      </c>
      <c r="K2553" s="258">
        <f t="shared" si="120"/>
        <v>9</v>
      </c>
      <c r="L2553" s="188">
        <v>0</v>
      </c>
      <c r="M2553" s="188">
        <v>118003</v>
      </c>
      <c r="N2553" s="189">
        <v>1000018061</v>
      </c>
      <c r="O2553" t="s">
        <v>3456</v>
      </c>
      <c r="P2553" s="187">
        <v>45195</v>
      </c>
      <c r="Q2553" s="186">
        <v>13716</v>
      </c>
      <c r="R2553" s="185"/>
      <c r="S2553" s="185" t="s">
        <v>1522</v>
      </c>
      <c r="T2553" t="s">
        <v>2729</v>
      </c>
      <c r="U2553" t="str">
        <f>IF($L2553&gt;0,VLOOKUP($E2553,Valida!$A$1:$G$270,6,FALSE),IF($M2553&gt;=0,VLOOKUP($E2553,Valida!$A$1:$G$270,7,FALSE)))</f>
        <v>(+/-) Ajustes por el incremento (disminución) de cuentas por pagar de origen comercial</v>
      </c>
      <c r="V2553" s="190" t="str">
        <f>VLOOKUP(E2553,Valida!$A$2:$K$271,4,FALSE)</f>
        <v>Trade and other payables</v>
      </c>
      <c r="W2553" s="185" t="s">
        <v>1978</v>
      </c>
      <c r="X2553" s="185"/>
      <c r="Y2553" s="185" t="s">
        <v>1789</v>
      </c>
      <c r="Z2553"/>
    </row>
    <row r="2554" spans="1:26">
      <c r="A2554" s="185" t="s">
        <v>3450</v>
      </c>
      <c r="B2554" s="185" t="s">
        <v>3456</v>
      </c>
      <c r="C2554" s="185" t="s">
        <v>1897</v>
      </c>
      <c r="D2554" s="185" t="s">
        <v>3457</v>
      </c>
      <c r="E2554" s="185">
        <v>252005</v>
      </c>
      <c r="F2554" s="185" t="s">
        <v>783</v>
      </c>
      <c r="G2554" s="185" t="s">
        <v>3463</v>
      </c>
      <c r="H2554" s="185" t="s">
        <v>1628</v>
      </c>
      <c r="I2554" s="258" t="str">
        <f t="shared" si="118"/>
        <v>2</v>
      </c>
      <c r="J2554" s="221">
        <f t="shared" si="119"/>
        <v>-177401</v>
      </c>
      <c r="K2554" s="258">
        <f t="shared" si="120"/>
        <v>9</v>
      </c>
      <c r="L2554" s="188">
        <v>0</v>
      </c>
      <c r="M2554" s="188">
        <v>177401</v>
      </c>
      <c r="N2554" s="189">
        <v>1000036375</v>
      </c>
      <c r="O2554" t="s">
        <v>3456</v>
      </c>
      <c r="P2554" s="187">
        <v>45195</v>
      </c>
      <c r="Q2554" s="186">
        <v>13717</v>
      </c>
      <c r="R2554" s="185"/>
      <c r="S2554" s="185" t="s">
        <v>1524</v>
      </c>
      <c r="T2554" t="s">
        <v>2729</v>
      </c>
      <c r="U2554" t="str">
        <f>IF($L2554&gt;0,VLOOKUP($E2554,Valida!$A$1:$G$270,6,FALSE),IF($M2554&gt;=0,VLOOKUP($E2554,Valida!$A$1:$G$270,7,FALSE)))</f>
        <v>(+/-) Ajustes por el incremento (disminución) de cuentas por pagar de origen comercial</v>
      </c>
      <c r="V2554" s="190" t="str">
        <f>VLOOKUP(E2554,Valida!$A$2:$K$271,4,FALSE)</f>
        <v>Trade and other payables</v>
      </c>
      <c r="W2554" s="185" t="s">
        <v>1983</v>
      </c>
      <c r="X2554" s="185"/>
      <c r="Y2554" s="185" t="s">
        <v>1789</v>
      </c>
      <c r="Z2554"/>
    </row>
    <row r="2555" spans="1:26">
      <c r="A2555" s="185" t="s">
        <v>3450</v>
      </c>
      <c r="B2555" s="185" t="s">
        <v>3456</v>
      </c>
      <c r="C2555" s="185" t="s">
        <v>1897</v>
      </c>
      <c r="D2555" s="185" t="s">
        <v>3457</v>
      </c>
      <c r="E2555" s="185">
        <v>252005</v>
      </c>
      <c r="F2555" s="185" t="s">
        <v>783</v>
      </c>
      <c r="G2555" s="185" t="s">
        <v>3463</v>
      </c>
      <c r="H2555" s="185" t="s">
        <v>1628</v>
      </c>
      <c r="I2555" s="258" t="str">
        <f t="shared" si="118"/>
        <v>2</v>
      </c>
      <c r="J2555" s="221">
        <f t="shared" si="119"/>
        <v>-93113</v>
      </c>
      <c r="K2555" s="258">
        <f t="shared" si="120"/>
        <v>9</v>
      </c>
      <c r="L2555" s="188">
        <v>0</v>
      </c>
      <c r="M2555" s="188">
        <v>93113</v>
      </c>
      <c r="N2555" s="189">
        <v>1001284057</v>
      </c>
      <c r="O2555" t="s">
        <v>3456</v>
      </c>
      <c r="P2555" s="187">
        <v>45195</v>
      </c>
      <c r="Q2555" s="186">
        <v>13718</v>
      </c>
      <c r="R2555" s="185"/>
      <c r="S2555" s="185" t="s">
        <v>1526</v>
      </c>
      <c r="T2555" t="s">
        <v>2729</v>
      </c>
      <c r="U2555" t="str">
        <f>IF($L2555&gt;0,VLOOKUP($E2555,Valida!$A$1:$G$270,6,FALSE),IF($M2555&gt;=0,VLOOKUP($E2555,Valida!$A$1:$G$270,7,FALSE)))</f>
        <v>(+/-) Ajustes por el incremento (disminución) de cuentas por pagar de origen comercial</v>
      </c>
      <c r="V2555" s="190" t="str">
        <f>VLOOKUP(E2555,Valida!$A$2:$K$271,4,FALSE)</f>
        <v>Trade and other payables</v>
      </c>
      <c r="W2555" s="185" t="s">
        <v>3454</v>
      </c>
      <c r="X2555" s="185" t="s">
        <v>3455</v>
      </c>
      <c r="Y2555" s="185" t="s">
        <v>1789</v>
      </c>
      <c r="Z2555"/>
    </row>
    <row r="2556" spans="1:26">
      <c r="A2556" s="185" t="s">
        <v>3450</v>
      </c>
      <c r="B2556" s="185" t="s">
        <v>3456</v>
      </c>
      <c r="C2556" s="185" t="s">
        <v>1897</v>
      </c>
      <c r="D2556" s="185" t="s">
        <v>3457</v>
      </c>
      <c r="E2556" s="185">
        <v>252005</v>
      </c>
      <c r="F2556" s="185" t="s">
        <v>783</v>
      </c>
      <c r="G2556" s="185" t="s">
        <v>3463</v>
      </c>
      <c r="H2556" s="185" t="s">
        <v>1628</v>
      </c>
      <c r="I2556" s="258" t="str">
        <f t="shared" si="118"/>
        <v>2</v>
      </c>
      <c r="J2556" s="221">
        <f t="shared" si="119"/>
        <v>-136662</v>
      </c>
      <c r="K2556" s="258">
        <f t="shared" si="120"/>
        <v>9</v>
      </c>
      <c r="L2556" s="188">
        <v>0</v>
      </c>
      <c r="M2556" s="188">
        <v>136662</v>
      </c>
      <c r="N2556" s="189">
        <v>1010101811</v>
      </c>
      <c r="O2556" t="s">
        <v>3456</v>
      </c>
      <c r="P2556" s="187">
        <v>45195</v>
      </c>
      <c r="Q2556" s="186">
        <v>13719</v>
      </c>
      <c r="R2556" s="185"/>
      <c r="S2556" s="185" t="s">
        <v>1528</v>
      </c>
      <c r="T2556" t="s">
        <v>2729</v>
      </c>
      <c r="U2556" t="str">
        <f>IF($L2556&gt;0,VLOOKUP($E2556,Valida!$A$1:$G$270,6,FALSE),IF($M2556&gt;=0,VLOOKUP($E2556,Valida!$A$1:$G$270,7,FALSE)))</f>
        <v>(+/-) Ajustes por el incremento (disminución) de cuentas por pagar de origen comercial</v>
      </c>
      <c r="V2556" s="190" t="str">
        <f>VLOOKUP(E2556,Valida!$A$2:$K$271,4,FALSE)</f>
        <v>Trade and other payables</v>
      </c>
      <c r="W2556" s="185" t="s">
        <v>1967</v>
      </c>
      <c r="X2556" s="185"/>
      <c r="Y2556" s="185" t="s">
        <v>1789</v>
      </c>
      <c r="Z2556"/>
    </row>
    <row r="2557" spans="1:26">
      <c r="A2557" s="185" t="s">
        <v>3450</v>
      </c>
      <c r="B2557" s="185" t="s">
        <v>3456</v>
      </c>
      <c r="C2557" s="185" t="s">
        <v>1897</v>
      </c>
      <c r="D2557" s="185" t="s">
        <v>3457</v>
      </c>
      <c r="E2557" s="185">
        <v>252005</v>
      </c>
      <c r="F2557" s="185" t="s">
        <v>783</v>
      </c>
      <c r="G2557" s="185" t="s">
        <v>3463</v>
      </c>
      <c r="H2557" s="185" t="s">
        <v>1628</v>
      </c>
      <c r="I2557" s="258" t="str">
        <f t="shared" si="118"/>
        <v>2</v>
      </c>
      <c r="J2557" s="221">
        <f t="shared" si="119"/>
        <v>-96628</v>
      </c>
      <c r="K2557" s="258">
        <f t="shared" si="120"/>
        <v>9</v>
      </c>
      <c r="L2557" s="188">
        <v>0</v>
      </c>
      <c r="M2557" s="188">
        <v>96628</v>
      </c>
      <c r="N2557" s="189">
        <v>1020842223</v>
      </c>
      <c r="O2557" t="s">
        <v>3456</v>
      </c>
      <c r="P2557" s="187">
        <v>45195</v>
      </c>
      <c r="Q2557" s="186">
        <v>13720</v>
      </c>
      <c r="R2557" s="185"/>
      <c r="S2557" s="185" t="s">
        <v>1532</v>
      </c>
      <c r="T2557" t="s">
        <v>2729</v>
      </c>
      <c r="U2557" t="str">
        <f>IF($L2557&gt;0,VLOOKUP($E2557,Valida!$A$1:$G$270,6,FALSE),IF($M2557&gt;=0,VLOOKUP($E2557,Valida!$A$1:$G$270,7,FALSE)))</f>
        <v>(+/-) Ajustes por el incremento (disminución) de cuentas por pagar de origen comercial</v>
      </c>
      <c r="V2557" s="190" t="str">
        <f>VLOOKUP(E2557,Valida!$A$2:$K$271,4,FALSE)</f>
        <v>Trade and other payables</v>
      </c>
      <c r="W2557" s="185" t="s">
        <v>1900</v>
      </c>
      <c r="X2557" s="185"/>
      <c r="Y2557" s="185" t="s">
        <v>1789</v>
      </c>
      <c r="Z2557"/>
    </row>
    <row r="2558" spans="1:26">
      <c r="A2558" s="185" t="s">
        <v>3450</v>
      </c>
      <c r="B2558" s="185" t="s">
        <v>3456</v>
      </c>
      <c r="C2558" s="185" t="s">
        <v>1897</v>
      </c>
      <c r="D2558" s="185" t="s">
        <v>3457</v>
      </c>
      <c r="E2558" s="185">
        <v>252005</v>
      </c>
      <c r="F2558" s="185" t="s">
        <v>783</v>
      </c>
      <c r="G2558" s="185" t="s">
        <v>3463</v>
      </c>
      <c r="H2558" s="185" t="s">
        <v>1628</v>
      </c>
      <c r="I2558" s="258" t="str">
        <f t="shared" si="118"/>
        <v>2</v>
      </c>
      <c r="J2558" s="221">
        <f t="shared" si="119"/>
        <v>-108340</v>
      </c>
      <c r="K2558" s="258">
        <f t="shared" si="120"/>
        <v>9</v>
      </c>
      <c r="L2558" s="188">
        <v>0</v>
      </c>
      <c r="M2558" s="188">
        <v>108340</v>
      </c>
      <c r="N2558" s="189">
        <v>1130744136</v>
      </c>
      <c r="O2558" t="s">
        <v>3456</v>
      </c>
      <c r="P2558" s="187">
        <v>45195</v>
      </c>
      <c r="Q2558" s="186">
        <v>13721</v>
      </c>
      <c r="R2558" s="185"/>
      <c r="S2558" s="185" t="s">
        <v>1538</v>
      </c>
      <c r="T2558" t="s">
        <v>2729</v>
      </c>
      <c r="U2558" t="str">
        <f>IF($L2558&gt;0,VLOOKUP($E2558,Valida!$A$1:$G$270,6,FALSE),IF($M2558&gt;=0,VLOOKUP($E2558,Valida!$A$1:$G$270,7,FALSE)))</f>
        <v>(+/-) Ajustes por el incremento (disminución) de cuentas por pagar de origen comercial</v>
      </c>
      <c r="V2558" s="190" t="str">
        <f>VLOOKUP(E2558,Valida!$A$2:$K$271,4,FALSE)</f>
        <v>Trade and other payables</v>
      </c>
      <c r="W2558" s="185" t="s">
        <v>1909</v>
      </c>
      <c r="X2558" s="185" t="s">
        <v>1910</v>
      </c>
      <c r="Y2558" s="185" t="s">
        <v>1789</v>
      </c>
      <c r="Z2558"/>
    </row>
    <row r="2559" spans="1:26">
      <c r="A2559" s="185" t="s">
        <v>3450</v>
      </c>
      <c r="B2559" s="185" t="s">
        <v>3456</v>
      </c>
      <c r="C2559" s="185" t="s">
        <v>1897</v>
      </c>
      <c r="D2559" s="185" t="s">
        <v>3457</v>
      </c>
      <c r="E2559" s="185">
        <v>252505</v>
      </c>
      <c r="F2559" s="185" t="s">
        <v>787</v>
      </c>
      <c r="G2559" s="185" t="s">
        <v>3464</v>
      </c>
      <c r="H2559" s="185" t="s">
        <v>1628</v>
      </c>
      <c r="I2559" s="258" t="str">
        <f t="shared" si="118"/>
        <v>2</v>
      </c>
      <c r="J2559" s="221">
        <f t="shared" si="119"/>
        <v>-53209</v>
      </c>
      <c r="K2559" s="258">
        <f t="shared" si="120"/>
        <v>9</v>
      </c>
      <c r="L2559" s="188">
        <v>0</v>
      </c>
      <c r="M2559" s="188">
        <v>53209</v>
      </c>
      <c r="N2559" s="189">
        <v>1000018061</v>
      </c>
      <c r="O2559" t="s">
        <v>3456</v>
      </c>
      <c r="P2559" s="187">
        <v>45195</v>
      </c>
      <c r="Q2559" s="186">
        <v>13722</v>
      </c>
      <c r="R2559" s="185"/>
      <c r="S2559" s="185" t="s">
        <v>1522</v>
      </c>
      <c r="T2559" t="s">
        <v>2729</v>
      </c>
      <c r="U2559" t="str">
        <f>IF($L2559&gt;0,VLOOKUP($E2559,Valida!$A$1:$G$270,6,FALSE),IF($M2559&gt;=0,VLOOKUP($E2559,Valida!$A$1:$G$270,7,FALSE)))</f>
        <v>(+/-) Ajustes por el incremento (disminución) de cuentas por pagar de origen comercial</v>
      </c>
      <c r="V2559" s="190" t="str">
        <f>VLOOKUP(E2559,Valida!$A$2:$K$271,4,FALSE)</f>
        <v>Trade and other payables</v>
      </c>
      <c r="W2559" s="185" t="s">
        <v>1978</v>
      </c>
      <c r="X2559" s="185"/>
      <c r="Y2559" s="185" t="s">
        <v>1789</v>
      </c>
      <c r="Z2559"/>
    </row>
    <row r="2560" spans="1:26">
      <c r="A2560" s="185" t="s">
        <v>3450</v>
      </c>
      <c r="B2560" s="185" t="s">
        <v>3456</v>
      </c>
      <c r="C2560" s="185" t="s">
        <v>1897</v>
      </c>
      <c r="D2560" s="185" t="s">
        <v>3457</v>
      </c>
      <c r="E2560" s="185">
        <v>252505</v>
      </c>
      <c r="F2560" s="185" t="s">
        <v>787</v>
      </c>
      <c r="G2560" s="185" t="s">
        <v>3464</v>
      </c>
      <c r="H2560" s="185" t="s">
        <v>1628</v>
      </c>
      <c r="I2560" s="258" t="str">
        <f t="shared" si="118"/>
        <v>2</v>
      </c>
      <c r="J2560" s="221">
        <f t="shared" si="119"/>
        <v>-78709</v>
      </c>
      <c r="K2560" s="258">
        <f t="shared" si="120"/>
        <v>9</v>
      </c>
      <c r="L2560" s="188">
        <v>0</v>
      </c>
      <c r="M2560" s="188">
        <v>78709</v>
      </c>
      <c r="N2560" s="189">
        <v>1000036375</v>
      </c>
      <c r="O2560" t="s">
        <v>3456</v>
      </c>
      <c r="P2560" s="187">
        <v>45195</v>
      </c>
      <c r="Q2560" s="186">
        <v>13723</v>
      </c>
      <c r="R2560" s="185"/>
      <c r="S2560" s="185" t="s">
        <v>1524</v>
      </c>
      <c r="T2560" t="s">
        <v>2729</v>
      </c>
      <c r="U2560" t="str">
        <f>IF($L2560&gt;0,VLOOKUP($E2560,Valida!$A$1:$G$270,6,FALSE),IF($M2560&gt;=0,VLOOKUP($E2560,Valida!$A$1:$G$270,7,FALSE)))</f>
        <v>(+/-) Ajustes por el incremento (disminución) de cuentas por pagar de origen comercial</v>
      </c>
      <c r="V2560" s="190" t="str">
        <f>VLOOKUP(E2560,Valida!$A$2:$K$271,4,FALSE)</f>
        <v>Trade and other payables</v>
      </c>
      <c r="W2560" s="185" t="s">
        <v>1983</v>
      </c>
      <c r="X2560" s="185"/>
      <c r="Y2560" s="185" t="s">
        <v>1789</v>
      </c>
      <c r="Z2560"/>
    </row>
    <row r="2561" spans="1:26">
      <c r="A2561" s="185" t="s">
        <v>3450</v>
      </c>
      <c r="B2561" s="185" t="s">
        <v>3456</v>
      </c>
      <c r="C2561" s="185" t="s">
        <v>1897</v>
      </c>
      <c r="D2561" s="185" t="s">
        <v>3457</v>
      </c>
      <c r="E2561" s="185">
        <v>252505</v>
      </c>
      <c r="F2561" s="185" t="s">
        <v>787</v>
      </c>
      <c r="G2561" s="185" t="s">
        <v>3464</v>
      </c>
      <c r="H2561" s="185" t="s">
        <v>1628</v>
      </c>
      <c r="I2561" s="258" t="str">
        <f t="shared" si="118"/>
        <v>2</v>
      </c>
      <c r="J2561" s="221">
        <f t="shared" si="119"/>
        <v>-42117</v>
      </c>
      <c r="K2561" s="258">
        <f t="shared" si="120"/>
        <v>9</v>
      </c>
      <c r="L2561" s="188">
        <v>0</v>
      </c>
      <c r="M2561" s="188">
        <v>42117</v>
      </c>
      <c r="N2561" s="189">
        <v>1001284057</v>
      </c>
      <c r="O2561" t="s">
        <v>3456</v>
      </c>
      <c r="P2561" s="187">
        <v>45195</v>
      </c>
      <c r="Q2561" s="186">
        <v>13724</v>
      </c>
      <c r="R2561" s="185"/>
      <c r="S2561" s="185" t="s">
        <v>1526</v>
      </c>
      <c r="T2561" t="s">
        <v>2729</v>
      </c>
      <c r="U2561" t="str">
        <f>IF($L2561&gt;0,VLOOKUP($E2561,Valida!$A$1:$G$270,6,FALSE),IF($M2561&gt;=0,VLOOKUP($E2561,Valida!$A$1:$G$270,7,FALSE)))</f>
        <v>(+/-) Ajustes por el incremento (disminución) de cuentas por pagar de origen comercial</v>
      </c>
      <c r="V2561" s="190" t="str">
        <f>VLOOKUP(E2561,Valida!$A$2:$K$271,4,FALSE)</f>
        <v>Trade and other payables</v>
      </c>
      <c r="W2561" s="185" t="s">
        <v>3454</v>
      </c>
      <c r="X2561" s="185" t="s">
        <v>3455</v>
      </c>
      <c r="Y2561" s="185" t="s">
        <v>1789</v>
      </c>
      <c r="Z2561"/>
    </row>
    <row r="2562" spans="1:26">
      <c r="A2562" s="185" t="s">
        <v>3450</v>
      </c>
      <c r="B2562" s="185" t="s">
        <v>3456</v>
      </c>
      <c r="C2562" s="185" t="s">
        <v>1897</v>
      </c>
      <c r="D2562" s="185" t="s">
        <v>3457</v>
      </c>
      <c r="E2562" s="185">
        <v>252505</v>
      </c>
      <c r="F2562" s="185" t="s">
        <v>787</v>
      </c>
      <c r="G2562" s="185" t="s">
        <v>3464</v>
      </c>
      <c r="H2562" s="185" t="s">
        <v>1628</v>
      </c>
      <c r="I2562" s="258" t="str">
        <f t="shared" si="118"/>
        <v>2</v>
      </c>
      <c r="J2562" s="221">
        <f t="shared" si="119"/>
        <v>-62550</v>
      </c>
      <c r="K2562" s="258">
        <f t="shared" si="120"/>
        <v>9</v>
      </c>
      <c r="L2562" s="188">
        <v>0</v>
      </c>
      <c r="M2562" s="188">
        <v>62550</v>
      </c>
      <c r="N2562" s="189">
        <v>1010101811</v>
      </c>
      <c r="O2562" t="s">
        <v>3456</v>
      </c>
      <c r="P2562" s="187">
        <v>45195</v>
      </c>
      <c r="Q2562" s="186">
        <v>13725</v>
      </c>
      <c r="R2562" s="185"/>
      <c r="S2562" s="185" t="s">
        <v>1528</v>
      </c>
      <c r="T2562" t="s">
        <v>2729</v>
      </c>
      <c r="U2562" t="str">
        <f>IF($L2562&gt;0,VLOOKUP($E2562,Valida!$A$1:$G$270,6,FALSE),IF($M2562&gt;=0,VLOOKUP($E2562,Valida!$A$1:$G$270,7,FALSE)))</f>
        <v>(+/-) Ajustes por el incremento (disminución) de cuentas por pagar de origen comercial</v>
      </c>
      <c r="V2562" s="190" t="str">
        <f>VLOOKUP(E2562,Valida!$A$2:$K$271,4,FALSE)</f>
        <v>Trade and other payables</v>
      </c>
      <c r="W2562" s="185" t="s">
        <v>1967</v>
      </c>
      <c r="X2562" s="185"/>
      <c r="Y2562" s="185" t="s">
        <v>1789</v>
      </c>
      <c r="Z2562"/>
    </row>
    <row r="2563" spans="1:26">
      <c r="A2563" s="185" t="s">
        <v>3450</v>
      </c>
      <c r="B2563" s="185" t="s">
        <v>3456</v>
      </c>
      <c r="C2563" s="185" t="s">
        <v>1897</v>
      </c>
      <c r="D2563" s="185" t="s">
        <v>3457</v>
      </c>
      <c r="E2563" s="185">
        <v>252505</v>
      </c>
      <c r="F2563" s="185" t="s">
        <v>787</v>
      </c>
      <c r="G2563" s="185" t="s">
        <v>3464</v>
      </c>
      <c r="H2563" s="185" t="s">
        <v>1628</v>
      </c>
      <c r="I2563" s="258" t="str">
        <f t="shared" ref="I2563:I2626" si="121">LEFT(E2563,1)</f>
        <v>2</v>
      </c>
      <c r="J2563" s="221">
        <f t="shared" ref="J2563:J2626" si="122">L2563-M2563</f>
        <v>-48372</v>
      </c>
      <c r="K2563" s="258">
        <f t="shared" ref="K2563:K2626" si="123">MONTH(A2563)</f>
        <v>9</v>
      </c>
      <c r="L2563" s="188">
        <v>0</v>
      </c>
      <c r="M2563" s="188">
        <v>48372</v>
      </c>
      <c r="N2563" s="189">
        <v>1020842223</v>
      </c>
      <c r="O2563" t="s">
        <v>3456</v>
      </c>
      <c r="P2563" s="187">
        <v>45195</v>
      </c>
      <c r="Q2563" s="186">
        <v>13726</v>
      </c>
      <c r="R2563" s="185"/>
      <c r="S2563" s="185" t="s">
        <v>1532</v>
      </c>
      <c r="T2563" t="s">
        <v>2729</v>
      </c>
      <c r="U2563" t="str">
        <f>IF($L2563&gt;0,VLOOKUP($E2563,Valida!$A$1:$G$270,6,FALSE),IF($M2563&gt;=0,VLOOKUP($E2563,Valida!$A$1:$G$270,7,FALSE)))</f>
        <v>(+/-) Ajustes por el incremento (disminución) de cuentas por pagar de origen comercial</v>
      </c>
      <c r="V2563" s="190" t="str">
        <f>VLOOKUP(E2563,Valida!$A$2:$K$271,4,FALSE)</f>
        <v>Trade and other payables</v>
      </c>
      <c r="W2563" s="185" t="s">
        <v>1900</v>
      </c>
      <c r="X2563" s="185"/>
      <c r="Y2563" s="185" t="s">
        <v>1789</v>
      </c>
      <c r="Z2563"/>
    </row>
    <row r="2564" spans="1:26">
      <c r="A2564" s="185" t="s">
        <v>3450</v>
      </c>
      <c r="B2564" s="185" t="s">
        <v>3456</v>
      </c>
      <c r="C2564" s="185" t="s">
        <v>1897</v>
      </c>
      <c r="D2564" s="185" t="s">
        <v>3457</v>
      </c>
      <c r="E2564" s="185">
        <v>252505</v>
      </c>
      <c r="F2564" s="185" t="s">
        <v>787</v>
      </c>
      <c r="G2564" s="185" t="s">
        <v>3464</v>
      </c>
      <c r="H2564" s="185" t="s">
        <v>1628</v>
      </c>
      <c r="I2564" s="258" t="str">
        <f t="shared" si="121"/>
        <v>2</v>
      </c>
      <c r="J2564" s="221">
        <f t="shared" si="122"/>
        <v>-48372</v>
      </c>
      <c r="K2564" s="258">
        <f t="shared" si="123"/>
        <v>9</v>
      </c>
      <c r="L2564" s="188">
        <v>0</v>
      </c>
      <c r="M2564" s="188">
        <v>48372</v>
      </c>
      <c r="N2564" s="189">
        <v>1130744136</v>
      </c>
      <c r="O2564" t="s">
        <v>3456</v>
      </c>
      <c r="P2564" s="187">
        <v>45195</v>
      </c>
      <c r="Q2564" s="186">
        <v>13727</v>
      </c>
      <c r="R2564" s="185"/>
      <c r="S2564" s="185" t="s">
        <v>1538</v>
      </c>
      <c r="T2564" t="s">
        <v>2729</v>
      </c>
      <c r="U2564" t="str">
        <f>IF($L2564&gt;0,VLOOKUP($E2564,Valida!$A$1:$G$270,6,FALSE),IF($M2564&gt;=0,VLOOKUP($E2564,Valida!$A$1:$G$270,7,FALSE)))</f>
        <v>(+/-) Ajustes por el incremento (disminución) de cuentas por pagar de origen comercial</v>
      </c>
      <c r="V2564" s="190" t="str">
        <f>VLOOKUP(E2564,Valida!$A$2:$K$271,4,FALSE)</f>
        <v>Trade and other payables</v>
      </c>
      <c r="W2564" s="185" t="s">
        <v>1909</v>
      </c>
      <c r="X2564" s="185" t="s">
        <v>1910</v>
      </c>
      <c r="Y2564" s="185" t="s">
        <v>1789</v>
      </c>
      <c r="Z2564"/>
    </row>
    <row r="2565" spans="1:26">
      <c r="A2565" s="185" t="s">
        <v>3450</v>
      </c>
      <c r="B2565" s="185" t="s">
        <v>3456</v>
      </c>
      <c r="C2565" s="185" t="s">
        <v>1897</v>
      </c>
      <c r="D2565" s="185" t="s">
        <v>3457</v>
      </c>
      <c r="E2565" s="185">
        <v>510530</v>
      </c>
      <c r="F2565" s="185" t="s">
        <v>813</v>
      </c>
      <c r="G2565" s="185" t="s">
        <v>3461</v>
      </c>
      <c r="H2565" s="185" t="s">
        <v>1515</v>
      </c>
      <c r="I2565" s="258" t="str">
        <f t="shared" si="121"/>
        <v>5</v>
      </c>
      <c r="J2565" s="221">
        <f t="shared" si="122"/>
        <v>118003</v>
      </c>
      <c r="K2565" s="258">
        <f t="shared" si="123"/>
        <v>9</v>
      </c>
      <c r="L2565" s="188">
        <v>118003</v>
      </c>
      <c r="M2565" s="188">
        <v>0</v>
      </c>
      <c r="N2565" s="189">
        <v>1000018061</v>
      </c>
      <c r="O2565" t="s">
        <v>3456</v>
      </c>
      <c r="P2565" s="187">
        <v>45195</v>
      </c>
      <c r="Q2565" s="186">
        <v>13728</v>
      </c>
      <c r="R2565" s="185"/>
      <c r="S2565" s="185" t="s">
        <v>1522</v>
      </c>
      <c r="T2565" t="s">
        <v>2729</v>
      </c>
      <c r="U2565" t="str">
        <f>IF($L2565&gt;0,VLOOKUP($E2565,Valida!$A$1:$G$270,6,FALSE),IF($M2565&gt;=0,VLOOKUP($E2565,Valida!$A$1:$G$270,7,FALSE)))</f>
        <v>(+/-) Ganancia (pérdida)</v>
      </c>
      <c r="V2565" s="190" t="str">
        <f>VLOOKUP(E2565,Valida!$A$2:$K$271,4,FALSE)</f>
        <v>P&amp;L</v>
      </c>
      <c r="W2565" s="185" t="s">
        <v>1978</v>
      </c>
      <c r="X2565" s="185"/>
      <c r="Y2565" s="185" t="s">
        <v>1789</v>
      </c>
      <c r="Z2565"/>
    </row>
    <row r="2566" spans="1:26">
      <c r="A2566" s="185" t="s">
        <v>3450</v>
      </c>
      <c r="B2566" s="185" t="s">
        <v>3456</v>
      </c>
      <c r="C2566" s="185" t="s">
        <v>1897</v>
      </c>
      <c r="D2566" s="185" t="s">
        <v>3457</v>
      </c>
      <c r="E2566" s="185">
        <v>510530</v>
      </c>
      <c r="F2566" s="185" t="s">
        <v>813</v>
      </c>
      <c r="G2566" s="185" t="s">
        <v>3461</v>
      </c>
      <c r="H2566" s="185" t="s">
        <v>1515</v>
      </c>
      <c r="I2566" s="258" t="str">
        <f t="shared" si="121"/>
        <v>5</v>
      </c>
      <c r="J2566" s="221">
        <f t="shared" si="122"/>
        <v>177401</v>
      </c>
      <c r="K2566" s="258">
        <f t="shared" si="123"/>
        <v>9</v>
      </c>
      <c r="L2566" s="188">
        <v>177401</v>
      </c>
      <c r="M2566" s="188">
        <v>0</v>
      </c>
      <c r="N2566" s="189">
        <v>1000036375</v>
      </c>
      <c r="O2566" t="s">
        <v>3456</v>
      </c>
      <c r="P2566" s="187">
        <v>45195</v>
      </c>
      <c r="Q2566" s="186">
        <v>13729</v>
      </c>
      <c r="R2566" s="185"/>
      <c r="S2566" s="185" t="s">
        <v>1524</v>
      </c>
      <c r="T2566" t="s">
        <v>2729</v>
      </c>
      <c r="U2566" t="str">
        <f>IF($L2566&gt;0,VLOOKUP($E2566,Valida!$A$1:$G$270,6,FALSE),IF($M2566&gt;=0,VLOOKUP($E2566,Valida!$A$1:$G$270,7,FALSE)))</f>
        <v>(+/-) Ganancia (pérdida)</v>
      </c>
      <c r="V2566" s="190" t="str">
        <f>VLOOKUP(E2566,Valida!$A$2:$K$271,4,FALSE)</f>
        <v>P&amp;L</v>
      </c>
      <c r="W2566" s="185" t="s">
        <v>1983</v>
      </c>
      <c r="X2566" s="185"/>
      <c r="Y2566" s="185" t="s">
        <v>1789</v>
      </c>
      <c r="Z2566"/>
    </row>
    <row r="2567" spans="1:26">
      <c r="A2567" s="185" t="s">
        <v>3450</v>
      </c>
      <c r="B2567" s="185" t="s">
        <v>3456</v>
      </c>
      <c r="C2567" s="185" t="s">
        <v>1897</v>
      </c>
      <c r="D2567" s="185" t="s">
        <v>3457</v>
      </c>
      <c r="E2567" s="185">
        <v>510530</v>
      </c>
      <c r="F2567" s="185" t="s">
        <v>813</v>
      </c>
      <c r="G2567" s="185" t="s">
        <v>3461</v>
      </c>
      <c r="H2567" s="185" t="s">
        <v>1515</v>
      </c>
      <c r="I2567" s="258" t="str">
        <f t="shared" si="121"/>
        <v>5</v>
      </c>
      <c r="J2567" s="221">
        <f t="shared" si="122"/>
        <v>93113</v>
      </c>
      <c r="K2567" s="258">
        <f t="shared" si="123"/>
        <v>9</v>
      </c>
      <c r="L2567" s="188">
        <v>93113</v>
      </c>
      <c r="M2567" s="188">
        <v>0</v>
      </c>
      <c r="N2567" s="189">
        <v>1001284057</v>
      </c>
      <c r="O2567" t="s">
        <v>3456</v>
      </c>
      <c r="P2567" s="187">
        <v>45195</v>
      </c>
      <c r="Q2567" s="186">
        <v>13730</v>
      </c>
      <c r="R2567" s="185"/>
      <c r="S2567" s="185" t="s">
        <v>1526</v>
      </c>
      <c r="T2567" t="s">
        <v>2729</v>
      </c>
      <c r="U2567" t="str">
        <f>IF($L2567&gt;0,VLOOKUP($E2567,Valida!$A$1:$G$270,6,FALSE),IF($M2567&gt;=0,VLOOKUP($E2567,Valida!$A$1:$G$270,7,FALSE)))</f>
        <v>(+/-) Ganancia (pérdida)</v>
      </c>
      <c r="V2567" s="190" t="str">
        <f>VLOOKUP(E2567,Valida!$A$2:$K$271,4,FALSE)</f>
        <v>P&amp;L</v>
      </c>
      <c r="W2567" s="185" t="s">
        <v>3454</v>
      </c>
      <c r="X2567" s="185" t="s">
        <v>3455</v>
      </c>
      <c r="Y2567" s="185" t="s">
        <v>1789</v>
      </c>
      <c r="Z2567"/>
    </row>
    <row r="2568" spans="1:26">
      <c r="A2568" s="185" t="s">
        <v>3450</v>
      </c>
      <c r="B2568" s="185" t="s">
        <v>3456</v>
      </c>
      <c r="C2568" s="185" t="s">
        <v>1897</v>
      </c>
      <c r="D2568" s="185" t="s">
        <v>3457</v>
      </c>
      <c r="E2568" s="185">
        <v>510530</v>
      </c>
      <c r="F2568" s="185" t="s">
        <v>813</v>
      </c>
      <c r="G2568" s="185" t="s">
        <v>3461</v>
      </c>
      <c r="H2568" s="185" t="s">
        <v>1515</v>
      </c>
      <c r="I2568" s="258" t="str">
        <f t="shared" si="121"/>
        <v>5</v>
      </c>
      <c r="J2568" s="221">
        <f t="shared" si="122"/>
        <v>136662</v>
      </c>
      <c r="K2568" s="258">
        <f t="shared" si="123"/>
        <v>9</v>
      </c>
      <c r="L2568" s="188">
        <v>136662</v>
      </c>
      <c r="M2568" s="188">
        <v>0</v>
      </c>
      <c r="N2568" s="189">
        <v>1010101811</v>
      </c>
      <c r="O2568" t="s">
        <v>3456</v>
      </c>
      <c r="P2568" s="187">
        <v>45195</v>
      </c>
      <c r="Q2568" s="186">
        <v>13731</v>
      </c>
      <c r="R2568" s="185"/>
      <c r="S2568" s="185" t="s">
        <v>1528</v>
      </c>
      <c r="T2568" t="s">
        <v>2729</v>
      </c>
      <c r="U2568" t="str">
        <f>IF($L2568&gt;0,VLOOKUP($E2568,Valida!$A$1:$G$270,6,FALSE),IF($M2568&gt;=0,VLOOKUP($E2568,Valida!$A$1:$G$270,7,FALSE)))</f>
        <v>(+/-) Ganancia (pérdida)</v>
      </c>
      <c r="V2568" s="190" t="str">
        <f>VLOOKUP(E2568,Valida!$A$2:$K$271,4,FALSE)</f>
        <v>P&amp;L</v>
      </c>
      <c r="W2568" s="185" t="s">
        <v>1967</v>
      </c>
      <c r="X2568" s="185"/>
      <c r="Y2568" s="185" t="s">
        <v>1789</v>
      </c>
      <c r="Z2568"/>
    </row>
    <row r="2569" spans="1:26">
      <c r="A2569" s="185" t="s">
        <v>3450</v>
      </c>
      <c r="B2569" s="185" t="s">
        <v>3456</v>
      </c>
      <c r="C2569" s="185" t="s">
        <v>1897</v>
      </c>
      <c r="D2569" s="185" t="s">
        <v>3457</v>
      </c>
      <c r="E2569" s="185">
        <v>510530</v>
      </c>
      <c r="F2569" s="185" t="s">
        <v>813</v>
      </c>
      <c r="G2569" s="185" t="s">
        <v>3461</v>
      </c>
      <c r="H2569" s="185" t="s">
        <v>1515</v>
      </c>
      <c r="I2569" s="258" t="str">
        <f t="shared" si="121"/>
        <v>5</v>
      </c>
      <c r="J2569" s="221">
        <f t="shared" si="122"/>
        <v>96628</v>
      </c>
      <c r="K2569" s="258">
        <f t="shared" si="123"/>
        <v>9</v>
      </c>
      <c r="L2569" s="188">
        <v>96628</v>
      </c>
      <c r="M2569" s="188">
        <v>0</v>
      </c>
      <c r="N2569" s="189">
        <v>1020842223</v>
      </c>
      <c r="O2569" t="s">
        <v>3456</v>
      </c>
      <c r="P2569" s="187">
        <v>45195</v>
      </c>
      <c r="Q2569" s="186">
        <v>13732</v>
      </c>
      <c r="R2569" s="185"/>
      <c r="S2569" s="185" t="s">
        <v>1532</v>
      </c>
      <c r="T2569" t="s">
        <v>2729</v>
      </c>
      <c r="U2569" t="str">
        <f>IF($L2569&gt;0,VLOOKUP($E2569,Valida!$A$1:$G$270,6,FALSE),IF($M2569&gt;=0,VLOOKUP($E2569,Valida!$A$1:$G$270,7,FALSE)))</f>
        <v>(+/-) Ganancia (pérdida)</v>
      </c>
      <c r="V2569" s="190" t="str">
        <f>VLOOKUP(E2569,Valida!$A$2:$K$271,4,FALSE)</f>
        <v>P&amp;L</v>
      </c>
      <c r="W2569" s="185" t="s">
        <v>1900</v>
      </c>
      <c r="X2569" s="185"/>
      <c r="Y2569" s="185" t="s">
        <v>1789</v>
      </c>
      <c r="Z2569"/>
    </row>
    <row r="2570" spans="1:26">
      <c r="A2570" s="185" t="s">
        <v>3450</v>
      </c>
      <c r="B2570" s="185" t="s">
        <v>3456</v>
      </c>
      <c r="C2570" s="185" t="s">
        <v>1897</v>
      </c>
      <c r="D2570" s="185" t="s">
        <v>3457</v>
      </c>
      <c r="E2570" s="185">
        <v>510530</v>
      </c>
      <c r="F2570" s="185" t="s">
        <v>813</v>
      </c>
      <c r="G2570" s="185" t="s">
        <v>3461</v>
      </c>
      <c r="H2570" s="185" t="s">
        <v>1515</v>
      </c>
      <c r="I2570" s="258" t="str">
        <f t="shared" si="121"/>
        <v>5</v>
      </c>
      <c r="J2570" s="221">
        <f t="shared" si="122"/>
        <v>108340</v>
      </c>
      <c r="K2570" s="258">
        <f t="shared" si="123"/>
        <v>9</v>
      </c>
      <c r="L2570" s="188">
        <v>108340</v>
      </c>
      <c r="M2570" s="188">
        <v>0</v>
      </c>
      <c r="N2570" s="189">
        <v>1130744136</v>
      </c>
      <c r="O2570" t="s">
        <v>3456</v>
      </c>
      <c r="P2570" s="187">
        <v>45195</v>
      </c>
      <c r="Q2570" s="186">
        <v>13733</v>
      </c>
      <c r="R2570" s="185"/>
      <c r="S2570" s="185" t="s">
        <v>1538</v>
      </c>
      <c r="T2570" t="s">
        <v>2729</v>
      </c>
      <c r="U2570" t="str">
        <f>IF($L2570&gt;0,VLOOKUP($E2570,Valida!$A$1:$G$270,6,FALSE),IF($M2570&gt;=0,VLOOKUP($E2570,Valida!$A$1:$G$270,7,FALSE)))</f>
        <v>(+/-) Ganancia (pérdida)</v>
      </c>
      <c r="V2570" s="190" t="str">
        <f>VLOOKUP(E2570,Valida!$A$2:$K$271,4,FALSE)</f>
        <v>P&amp;L</v>
      </c>
      <c r="W2570" s="185" t="s">
        <v>1909</v>
      </c>
      <c r="X2570" s="185" t="s">
        <v>1910</v>
      </c>
      <c r="Y2570" s="185" t="s">
        <v>1789</v>
      </c>
      <c r="Z2570"/>
    </row>
    <row r="2571" spans="1:26">
      <c r="A2571" s="185" t="s">
        <v>3450</v>
      </c>
      <c r="B2571" s="185" t="s">
        <v>3456</v>
      </c>
      <c r="C2571" s="185" t="s">
        <v>1897</v>
      </c>
      <c r="D2571" s="185" t="s">
        <v>3457</v>
      </c>
      <c r="E2571" s="185">
        <v>510533</v>
      </c>
      <c r="F2571" s="185" t="s">
        <v>779</v>
      </c>
      <c r="G2571" s="185" t="s">
        <v>3462</v>
      </c>
      <c r="H2571" s="185" t="s">
        <v>1515</v>
      </c>
      <c r="I2571" s="258" t="str">
        <f t="shared" si="121"/>
        <v>5</v>
      </c>
      <c r="J2571" s="221">
        <f t="shared" si="122"/>
        <v>14166</v>
      </c>
      <c r="K2571" s="258">
        <f t="shared" si="123"/>
        <v>9</v>
      </c>
      <c r="L2571" s="188">
        <v>14166</v>
      </c>
      <c r="M2571" s="188">
        <v>0</v>
      </c>
      <c r="N2571" s="189">
        <v>1000018061</v>
      </c>
      <c r="O2571" t="s">
        <v>3456</v>
      </c>
      <c r="P2571" s="187">
        <v>45195</v>
      </c>
      <c r="Q2571" s="186">
        <v>13734</v>
      </c>
      <c r="R2571" s="185"/>
      <c r="S2571" s="185" t="s">
        <v>1522</v>
      </c>
      <c r="T2571" t="s">
        <v>2729</v>
      </c>
      <c r="U2571" t="str">
        <f>IF($L2571&gt;0,VLOOKUP($E2571,Valida!$A$1:$G$270,6,FALSE),IF($M2571&gt;=0,VLOOKUP($E2571,Valida!$A$1:$G$270,7,FALSE)))</f>
        <v>(+/-) Ganancia (pérdida)</v>
      </c>
      <c r="V2571" s="190" t="str">
        <f>VLOOKUP(E2571,Valida!$A$2:$K$271,4,FALSE)</f>
        <v>P&amp;L</v>
      </c>
      <c r="W2571" s="185" t="s">
        <v>1978</v>
      </c>
      <c r="X2571" s="185"/>
      <c r="Y2571" s="185" t="s">
        <v>1789</v>
      </c>
      <c r="Z2571"/>
    </row>
    <row r="2572" spans="1:26">
      <c r="A2572" s="185" t="s">
        <v>3450</v>
      </c>
      <c r="B2572" s="185" t="s">
        <v>3456</v>
      </c>
      <c r="C2572" s="185" t="s">
        <v>1897</v>
      </c>
      <c r="D2572" s="185" t="s">
        <v>3457</v>
      </c>
      <c r="E2572" s="185">
        <v>510533</v>
      </c>
      <c r="F2572" s="185" t="s">
        <v>779</v>
      </c>
      <c r="G2572" s="185" t="s">
        <v>3462</v>
      </c>
      <c r="H2572" s="185" t="s">
        <v>1515</v>
      </c>
      <c r="I2572" s="258" t="str">
        <f t="shared" si="121"/>
        <v>5</v>
      </c>
      <c r="J2572" s="221">
        <f t="shared" si="122"/>
        <v>21297</v>
      </c>
      <c r="K2572" s="258">
        <f t="shared" si="123"/>
        <v>9</v>
      </c>
      <c r="L2572" s="188">
        <v>21297</v>
      </c>
      <c r="M2572" s="188">
        <v>0</v>
      </c>
      <c r="N2572" s="189">
        <v>1000036375</v>
      </c>
      <c r="O2572" t="s">
        <v>3456</v>
      </c>
      <c r="P2572" s="187">
        <v>45195</v>
      </c>
      <c r="Q2572" s="186">
        <v>13735</v>
      </c>
      <c r="R2572" s="185"/>
      <c r="S2572" s="185" t="s">
        <v>1524</v>
      </c>
      <c r="T2572" t="s">
        <v>2729</v>
      </c>
      <c r="U2572" t="str">
        <f>IF($L2572&gt;0,VLOOKUP($E2572,Valida!$A$1:$G$270,6,FALSE),IF($M2572&gt;=0,VLOOKUP($E2572,Valida!$A$1:$G$270,7,FALSE)))</f>
        <v>(+/-) Ganancia (pérdida)</v>
      </c>
      <c r="V2572" s="190" t="str">
        <f>VLOOKUP(E2572,Valida!$A$2:$K$271,4,FALSE)</f>
        <v>P&amp;L</v>
      </c>
      <c r="W2572" s="185" t="s">
        <v>1983</v>
      </c>
      <c r="X2572" s="185"/>
      <c r="Y2572" s="185" t="s">
        <v>1789</v>
      </c>
      <c r="Z2572"/>
    </row>
    <row r="2573" spans="1:26">
      <c r="A2573" s="185" t="s">
        <v>3450</v>
      </c>
      <c r="B2573" s="185" t="s">
        <v>3456</v>
      </c>
      <c r="C2573" s="185" t="s">
        <v>1897</v>
      </c>
      <c r="D2573" s="185" t="s">
        <v>3457</v>
      </c>
      <c r="E2573" s="185">
        <v>510533</v>
      </c>
      <c r="F2573" s="185" t="s">
        <v>779</v>
      </c>
      <c r="G2573" s="185" t="s">
        <v>3462</v>
      </c>
      <c r="H2573" s="185" t="s">
        <v>1515</v>
      </c>
      <c r="I2573" s="258" t="str">
        <f t="shared" si="121"/>
        <v>5</v>
      </c>
      <c r="J2573" s="221">
        <f t="shared" si="122"/>
        <v>11178</v>
      </c>
      <c r="K2573" s="258">
        <f t="shared" si="123"/>
        <v>9</v>
      </c>
      <c r="L2573" s="188">
        <v>11178</v>
      </c>
      <c r="M2573" s="188">
        <v>0</v>
      </c>
      <c r="N2573" s="189">
        <v>1001284057</v>
      </c>
      <c r="O2573" t="s">
        <v>3456</v>
      </c>
      <c r="P2573" s="187">
        <v>45195</v>
      </c>
      <c r="Q2573" s="186">
        <v>13736</v>
      </c>
      <c r="R2573" s="185"/>
      <c r="S2573" s="185" t="s">
        <v>1526</v>
      </c>
      <c r="T2573" t="s">
        <v>2729</v>
      </c>
      <c r="U2573" t="str">
        <f>IF($L2573&gt;0,VLOOKUP($E2573,Valida!$A$1:$G$270,6,FALSE),IF($M2573&gt;=0,VLOOKUP($E2573,Valida!$A$1:$G$270,7,FALSE)))</f>
        <v>(+/-) Ganancia (pérdida)</v>
      </c>
      <c r="V2573" s="190" t="str">
        <f>VLOOKUP(E2573,Valida!$A$2:$K$271,4,FALSE)</f>
        <v>P&amp;L</v>
      </c>
      <c r="W2573" s="185" t="s">
        <v>3454</v>
      </c>
      <c r="X2573" s="185" t="s">
        <v>3455</v>
      </c>
      <c r="Y2573" s="185" t="s">
        <v>1789</v>
      </c>
      <c r="Z2573"/>
    </row>
    <row r="2574" spans="1:26">
      <c r="A2574" s="185" t="s">
        <v>3450</v>
      </c>
      <c r="B2574" s="185" t="s">
        <v>3456</v>
      </c>
      <c r="C2574" s="185" t="s">
        <v>1897</v>
      </c>
      <c r="D2574" s="185" t="s">
        <v>3457</v>
      </c>
      <c r="E2574" s="185">
        <v>510533</v>
      </c>
      <c r="F2574" s="185" t="s">
        <v>779</v>
      </c>
      <c r="G2574" s="185" t="s">
        <v>3462</v>
      </c>
      <c r="H2574" s="185" t="s">
        <v>1515</v>
      </c>
      <c r="I2574" s="258" t="str">
        <f t="shared" si="121"/>
        <v>5</v>
      </c>
      <c r="J2574" s="221">
        <f t="shared" si="122"/>
        <v>16406</v>
      </c>
      <c r="K2574" s="258">
        <f t="shared" si="123"/>
        <v>9</v>
      </c>
      <c r="L2574" s="188">
        <v>16406</v>
      </c>
      <c r="M2574" s="188">
        <v>0</v>
      </c>
      <c r="N2574" s="189">
        <v>1010101811</v>
      </c>
      <c r="O2574" t="s">
        <v>3456</v>
      </c>
      <c r="P2574" s="187">
        <v>45195</v>
      </c>
      <c r="Q2574" s="186">
        <v>13737</v>
      </c>
      <c r="R2574" s="185"/>
      <c r="S2574" s="185" t="s">
        <v>1528</v>
      </c>
      <c r="T2574" t="s">
        <v>2729</v>
      </c>
      <c r="U2574" t="str">
        <f>IF($L2574&gt;0,VLOOKUP($E2574,Valida!$A$1:$G$270,6,FALSE),IF($M2574&gt;=0,VLOOKUP($E2574,Valida!$A$1:$G$270,7,FALSE)))</f>
        <v>(+/-) Ganancia (pérdida)</v>
      </c>
      <c r="V2574" s="190" t="str">
        <f>VLOOKUP(E2574,Valida!$A$2:$K$271,4,FALSE)</f>
        <v>P&amp;L</v>
      </c>
      <c r="W2574" s="185" t="s">
        <v>1967</v>
      </c>
      <c r="X2574" s="185"/>
      <c r="Y2574" s="185" t="s">
        <v>1789</v>
      </c>
      <c r="Z2574"/>
    </row>
    <row r="2575" spans="1:26">
      <c r="A2575" s="185" t="s">
        <v>3450</v>
      </c>
      <c r="B2575" s="185" t="s">
        <v>3456</v>
      </c>
      <c r="C2575" s="185" t="s">
        <v>1897</v>
      </c>
      <c r="D2575" s="185" t="s">
        <v>3457</v>
      </c>
      <c r="E2575" s="185">
        <v>510533</v>
      </c>
      <c r="F2575" s="185" t="s">
        <v>779</v>
      </c>
      <c r="G2575" s="185" t="s">
        <v>3462</v>
      </c>
      <c r="H2575" s="185" t="s">
        <v>1515</v>
      </c>
      <c r="I2575" s="258" t="str">
        <f t="shared" si="121"/>
        <v>5</v>
      </c>
      <c r="J2575" s="221">
        <f t="shared" si="122"/>
        <v>11600</v>
      </c>
      <c r="K2575" s="258">
        <f t="shared" si="123"/>
        <v>9</v>
      </c>
      <c r="L2575" s="188">
        <v>11600</v>
      </c>
      <c r="M2575" s="188">
        <v>0</v>
      </c>
      <c r="N2575" s="189">
        <v>1020842223</v>
      </c>
      <c r="O2575" t="s">
        <v>3456</v>
      </c>
      <c r="P2575" s="187">
        <v>45195</v>
      </c>
      <c r="Q2575" s="186">
        <v>13738</v>
      </c>
      <c r="R2575" s="185"/>
      <c r="S2575" s="185" t="s">
        <v>1532</v>
      </c>
      <c r="T2575" t="s">
        <v>2729</v>
      </c>
      <c r="U2575" t="str">
        <f>IF($L2575&gt;0,VLOOKUP($E2575,Valida!$A$1:$G$270,6,FALSE),IF($M2575&gt;=0,VLOOKUP($E2575,Valida!$A$1:$G$270,7,FALSE)))</f>
        <v>(+/-) Ganancia (pérdida)</v>
      </c>
      <c r="V2575" s="190" t="str">
        <f>VLOOKUP(E2575,Valida!$A$2:$K$271,4,FALSE)</f>
        <v>P&amp;L</v>
      </c>
      <c r="W2575" s="185" t="s">
        <v>1900</v>
      </c>
      <c r="X2575" s="185"/>
      <c r="Y2575" s="185" t="s">
        <v>1789</v>
      </c>
      <c r="Z2575"/>
    </row>
    <row r="2576" spans="1:26">
      <c r="A2576" s="185" t="s">
        <v>3450</v>
      </c>
      <c r="B2576" s="185" t="s">
        <v>3456</v>
      </c>
      <c r="C2576" s="185" t="s">
        <v>1897</v>
      </c>
      <c r="D2576" s="185" t="s">
        <v>3457</v>
      </c>
      <c r="E2576" s="185">
        <v>510533</v>
      </c>
      <c r="F2576" s="185" t="s">
        <v>779</v>
      </c>
      <c r="G2576" s="185" t="s">
        <v>3462</v>
      </c>
      <c r="H2576" s="185" t="s">
        <v>1515</v>
      </c>
      <c r="I2576" s="258" t="str">
        <f t="shared" si="121"/>
        <v>5</v>
      </c>
      <c r="J2576" s="221">
        <f t="shared" si="122"/>
        <v>13006</v>
      </c>
      <c r="K2576" s="258">
        <f t="shared" si="123"/>
        <v>9</v>
      </c>
      <c r="L2576" s="188">
        <v>13006</v>
      </c>
      <c r="M2576" s="188">
        <v>0</v>
      </c>
      <c r="N2576" s="189">
        <v>1130744136</v>
      </c>
      <c r="O2576" t="s">
        <v>3456</v>
      </c>
      <c r="P2576" s="187">
        <v>45195</v>
      </c>
      <c r="Q2576" s="186">
        <v>13739</v>
      </c>
      <c r="R2576" s="185"/>
      <c r="S2576" s="185" t="s">
        <v>1538</v>
      </c>
      <c r="T2576" t="s">
        <v>2729</v>
      </c>
      <c r="U2576" t="str">
        <f>IF($L2576&gt;0,VLOOKUP($E2576,Valida!$A$1:$G$270,6,FALSE),IF($M2576&gt;=0,VLOOKUP($E2576,Valida!$A$1:$G$270,7,FALSE)))</f>
        <v>(+/-) Ganancia (pérdida)</v>
      </c>
      <c r="V2576" s="190" t="str">
        <f>VLOOKUP(E2576,Valida!$A$2:$K$271,4,FALSE)</f>
        <v>P&amp;L</v>
      </c>
      <c r="W2576" s="185" t="s">
        <v>1909</v>
      </c>
      <c r="X2576" s="185" t="s">
        <v>1910</v>
      </c>
      <c r="Y2576" s="185" t="s">
        <v>1789</v>
      </c>
      <c r="Z2576"/>
    </row>
    <row r="2577" spans="1:26">
      <c r="A2577" s="185" t="s">
        <v>3450</v>
      </c>
      <c r="B2577" s="185" t="s">
        <v>3456</v>
      </c>
      <c r="C2577" s="185" t="s">
        <v>1897</v>
      </c>
      <c r="D2577" s="185" t="s">
        <v>3457</v>
      </c>
      <c r="E2577" s="185">
        <v>510536</v>
      </c>
      <c r="F2577" s="185" t="s">
        <v>783</v>
      </c>
      <c r="G2577" s="185" t="s">
        <v>3463</v>
      </c>
      <c r="H2577" s="185" t="s">
        <v>1515</v>
      </c>
      <c r="I2577" s="258" t="str">
        <f t="shared" si="121"/>
        <v>5</v>
      </c>
      <c r="J2577" s="221">
        <f t="shared" si="122"/>
        <v>118003</v>
      </c>
      <c r="K2577" s="258">
        <f t="shared" si="123"/>
        <v>9</v>
      </c>
      <c r="L2577" s="188">
        <v>118003</v>
      </c>
      <c r="M2577" s="188">
        <v>0</v>
      </c>
      <c r="N2577" s="189">
        <v>1000018061</v>
      </c>
      <c r="O2577" t="s">
        <v>3456</v>
      </c>
      <c r="P2577" s="187">
        <v>45195</v>
      </c>
      <c r="Q2577" s="186">
        <v>13740</v>
      </c>
      <c r="R2577" s="185"/>
      <c r="S2577" s="185" t="s">
        <v>1522</v>
      </c>
      <c r="T2577" t="s">
        <v>2729</v>
      </c>
      <c r="U2577" t="str">
        <f>IF($L2577&gt;0,VLOOKUP($E2577,Valida!$A$1:$G$270,6,FALSE),IF($M2577&gt;=0,VLOOKUP($E2577,Valida!$A$1:$G$270,7,FALSE)))</f>
        <v>(+/-) Ganancia (pérdida)</v>
      </c>
      <c r="V2577" s="190" t="str">
        <f>VLOOKUP(E2577,Valida!$A$2:$K$271,4,FALSE)</f>
        <v>P&amp;L</v>
      </c>
      <c r="W2577" s="185" t="s">
        <v>1978</v>
      </c>
      <c r="X2577" s="185"/>
      <c r="Y2577" s="185" t="s">
        <v>1789</v>
      </c>
      <c r="Z2577"/>
    </row>
    <row r="2578" spans="1:26">
      <c r="A2578" s="185" t="s">
        <v>3450</v>
      </c>
      <c r="B2578" s="185" t="s">
        <v>3456</v>
      </c>
      <c r="C2578" s="185" t="s">
        <v>1897</v>
      </c>
      <c r="D2578" s="185" t="s">
        <v>3457</v>
      </c>
      <c r="E2578" s="185">
        <v>510536</v>
      </c>
      <c r="F2578" s="185" t="s">
        <v>783</v>
      </c>
      <c r="G2578" s="185" t="s">
        <v>3463</v>
      </c>
      <c r="H2578" s="185" t="s">
        <v>1515</v>
      </c>
      <c r="I2578" s="258" t="str">
        <f t="shared" si="121"/>
        <v>5</v>
      </c>
      <c r="J2578" s="221">
        <f t="shared" si="122"/>
        <v>177401</v>
      </c>
      <c r="K2578" s="258">
        <f t="shared" si="123"/>
        <v>9</v>
      </c>
      <c r="L2578" s="188">
        <v>177401</v>
      </c>
      <c r="M2578" s="188">
        <v>0</v>
      </c>
      <c r="N2578" s="189">
        <v>1000036375</v>
      </c>
      <c r="O2578" t="s">
        <v>3456</v>
      </c>
      <c r="P2578" s="187">
        <v>45195</v>
      </c>
      <c r="Q2578" s="186">
        <v>13741</v>
      </c>
      <c r="R2578" s="185"/>
      <c r="S2578" s="185" t="s">
        <v>1524</v>
      </c>
      <c r="T2578" t="s">
        <v>2729</v>
      </c>
      <c r="U2578" t="str">
        <f>IF($L2578&gt;0,VLOOKUP($E2578,Valida!$A$1:$G$270,6,FALSE),IF($M2578&gt;=0,VLOOKUP($E2578,Valida!$A$1:$G$270,7,FALSE)))</f>
        <v>(+/-) Ganancia (pérdida)</v>
      </c>
      <c r="V2578" s="190" t="str">
        <f>VLOOKUP(E2578,Valida!$A$2:$K$271,4,FALSE)</f>
        <v>P&amp;L</v>
      </c>
      <c r="W2578" s="185" t="s">
        <v>1983</v>
      </c>
      <c r="X2578" s="185"/>
      <c r="Y2578" s="185" t="s">
        <v>1789</v>
      </c>
      <c r="Z2578"/>
    </row>
    <row r="2579" spans="1:26">
      <c r="A2579" s="185" t="s">
        <v>3450</v>
      </c>
      <c r="B2579" s="185" t="s">
        <v>3456</v>
      </c>
      <c r="C2579" s="185" t="s">
        <v>1897</v>
      </c>
      <c r="D2579" s="185" t="s">
        <v>3457</v>
      </c>
      <c r="E2579" s="185">
        <v>510536</v>
      </c>
      <c r="F2579" s="185" t="s">
        <v>783</v>
      </c>
      <c r="G2579" s="185" t="s">
        <v>3463</v>
      </c>
      <c r="H2579" s="185" t="s">
        <v>1515</v>
      </c>
      <c r="I2579" s="258" t="str">
        <f t="shared" si="121"/>
        <v>5</v>
      </c>
      <c r="J2579" s="221">
        <f t="shared" si="122"/>
        <v>93113</v>
      </c>
      <c r="K2579" s="258">
        <f t="shared" si="123"/>
        <v>9</v>
      </c>
      <c r="L2579" s="188">
        <v>93113</v>
      </c>
      <c r="M2579" s="188">
        <v>0</v>
      </c>
      <c r="N2579" s="189">
        <v>1001284057</v>
      </c>
      <c r="O2579" t="s">
        <v>3456</v>
      </c>
      <c r="P2579" s="187">
        <v>45195</v>
      </c>
      <c r="Q2579" s="186">
        <v>13742</v>
      </c>
      <c r="R2579" s="185"/>
      <c r="S2579" s="185" t="s">
        <v>1526</v>
      </c>
      <c r="T2579" t="s">
        <v>2729</v>
      </c>
      <c r="U2579" t="str">
        <f>IF($L2579&gt;0,VLOOKUP($E2579,Valida!$A$1:$G$270,6,FALSE),IF($M2579&gt;=0,VLOOKUP($E2579,Valida!$A$1:$G$270,7,FALSE)))</f>
        <v>(+/-) Ganancia (pérdida)</v>
      </c>
      <c r="V2579" s="190" t="str">
        <f>VLOOKUP(E2579,Valida!$A$2:$K$271,4,FALSE)</f>
        <v>P&amp;L</v>
      </c>
      <c r="W2579" s="185" t="s">
        <v>3454</v>
      </c>
      <c r="X2579" s="185" t="s">
        <v>3455</v>
      </c>
      <c r="Y2579" s="185" t="s">
        <v>1789</v>
      </c>
      <c r="Z2579"/>
    </row>
    <row r="2580" spans="1:26">
      <c r="A2580" s="185" t="s">
        <v>3450</v>
      </c>
      <c r="B2580" s="185" t="s">
        <v>3456</v>
      </c>
      <c r="C2580" s="185" t="s">
        <v>1897</v>
      </c>
      <c r="D2580" s="185" t="s">
        <v>3457</v>
      </c>
      <c r="E2580" s="185">
        <v>510536</v>
      </c>
      <c r="F2580" s="185" t="s">
        <v>783</v>
      </c>
      <c r="G2580" s="185" t="s">
        <v>3463</v>
      </c>
      <c r="H2580" s="185" t="s">
        <v>1515</v>
      </c>
      <c r="I2580" s="258" t="str">
        <f t="shared" si="121"/>
        <v>5</v>
      </c>
      <c r="J2580" s="221">
        <f t="shared" si="122"/>
        <v>136662</v>
      </c>
      <c r="K2580" s="258">
        <f t="shared" si="123"/>
        <v>9</v>
      </c>
      <c r="L2580" s="188">
        <v>136662</v>
      </c>
      <c r="M2580" s="188">
        <v>0</v>
      </c>
      <c r="N2580" s="189">
        <v>1010101811</v>
      </c>
      <c r="O2580" t="s">
        <v>3456</v>
      </c>
      <c r="P2580" s="187">
        <v>45195</v>
      </c>
      <c r="Q2580" s="186">
        <v>13743</v>
      </c>
      <c r="R2580" s="185"/>
      <c r="S2580" s="185" t="s">
        <v>1528</v>
      </c>
      <c r="T2580" t="s">
        <v>2729</v>
      </c>
      <c r="U2580" t="str">
        <f>IF($L2580&gt;0,VLOOKUP($E2580,Valida!$A$1:$G$270,6,FALSE),IF($M2580&gt;=0,VLOOKUP($E2580,Valida!$A$1:$G$270,7,FALSE)))</f>
        <v>(+/-) Ganancia (pérdida)</v>
      </c>
      <c r="V2580" s="190" t="str">
        <f>VLOOKUP(E2580,Valida!$A$2:$K$271,4,FALSE)</f>
        <v>P&amp;L</v>
      </c>
      <c r="W2580" s="185" t="s">
        <v>1967</v>
      </c>
      <c r="X2580" s="185"/>
      <c r="Y2580" s="185" t="s">
        <v>1789</v>
      </c>
      <c r="Z2580"/>
    </row>
    <row r="2581" spans="1:26">
      <c r="A2581" s="185" t="s">
        <v>3450</v>
      </c>
      <c r="B2581" s="185" t="s">
        <v>3456</v>
      </c>
      <c r="C2581" s="185" t="s">
        <v>1897</v>
      </c>
      <c r="D2581" s="185" t="s">
        <v>3457</v>
      </c>
      <c r="E2581" s="185">
        <v>510536</v>
      </c>
      <c r="F2581" s="185" t="s">
        <v>783</v>
      </c>
      <c r="G2581" s="185" t="s">
        <v>3463</v>
      </c>
      <c r="H2581" s="185" t="s">
        <v>1515</v>
      </c>
      <c r="I2581" s="258" t="str">
        <f t="shared" si="121"/>
        <v>5</v>
      </c>
      <c r="J2581" s="221">
        <f t="shared" si="122"/>
        <v>96628</v>
      </c>
      <c r="K2581" s="258">
        <f t="shared" si="123"/>
        <v>9</v>
      </c>
      <c r="L2581" s="188">
        <v>96628</v>
      </c>
      <c r="M2581" s="188">
        <v>0</v>
      </c>
      <c r="N2581" s="189">
        <v>1020842223</v>
      </c>
      <c r="O2581" t="s">
        <v>3456</v>
      </c>
      <c r="P2581" s="187">
        <v>45195</v>
      </c>
      <c r="Q2581" s="186">
        <v>13744</v>
      </c>
      <c r="R2581" s="185"/>
      <c r="S2581" s="185" t="s">
        <v>1532</v>
      </c>
      <c r="T2581" t="s">
        <v>2729</v>
      </c>
      <c r="U2581" t="str">
        <f>IF($L2581&gt;0,VLOOKUP($E2581,Valida!$A$1:$G$270,6,FALSE),IF($M2581&gt;=0,VLOOKUP($E2581,Valida!$A$1:$G$270,7,FALSE)))</f>
        <v>(+/-) Ganancia (pérdida)</v>
      </c>
      <c r="V2581" s="190" t="str">
        <f>VLOOKUP(E2581,Valida!$A$2:$K$271,4,FALSE)</f>
        <v>P&amp;L</v>
      </c>
      <c r="W2581" s="185" t="s">
        <v>1900</v>
      </c>
      <c r="X2581" s="185"/>
      <c r="Y2581" s="185" t="s">
        <v>1789</v>
      </c>
      <c r="Z2581"/>
    </row>
    <row r="2582" spans="1:26">
      <c r="A2582" s="185" t="s">
        <v>3450</v>
      </c>
      <c r="B2582" s="185" t="s">
        <v>3456</v>
      </c>
      <c r="C2582" s="185" t="s">
        <v>1897</v>
      </c>
      <c r="D2582" s="185" t="s">
        <v>3457</v>
      </c>
      <c r="E2582" s="185">
        <v>510536</v>
      </c>
      <c r="F2582" s="185" t="s">
        <v>783</v>
      </c>
      <c r="G2582" s="185" t="s">
        <v>3463</v>
      </c>
      <c r="H2582" s="185" t="s">
        <v>1515</v>
      </c>
      <c r="I2582" s="258" t="str">
        <f t="shared" si="121"/>
        <v>5</v>
      </c>
      <c r="J2582" s="221">
        <f t="shared" si="122"/>
        <v>108340</v>
      </c>
      <c r="K2582" s="258">
        <f t="shared" si="123"/>
        <v>9</v>
      </c>
      <c r="L2582" s="188">
        <v>108340</v>
      </c>
      <c r="M2582" s="188">
        <v>0</v>
      </c>
      <c r="N2582" s="189">
        <v>1130744136</v>
      </c>
      <c r="O2582" t="s">
        <v>3456</v>
      </c>
      <c r="P2582" s="187">
        <v>45195</v>
      </c>
      <c r="Q2582" s="186">
        <v>13745</v>
      </c>
      <c r="R2582" s="185"/>
      <c r="S2582" s="185" t="s">
        <v>1538</v>
      </c>
      <c r="T2582" t="s">
        <v>2729</v>
      </c>
      <c r="U2582" t="str">
        <f>IF($L2582&gt;0,VLOOKUP($E2582,Valida!$A$1:$G$270,6,FALSE),IF($M2582&gt;=0,VLOOKUP($E2582,Valida!$A$1:$G$270,7,FALSE)))</f>
        <v>(+/-) Ganancia (pérdida)</v>
      </c>
      <c r="V2582" s="190" t="str">
        <f>VLOOKUP(E2582,Valida!$A$2:$K$271,4,FALSE)</f>
        <v>P&amp;L</v>
      </c>
      <c r="W2582" s="185" t="s">
        <v>1909</v>
      </c>
      <c r="X2582" s="185" t="s">
        <v>1910</v>
      </c>
      <c r="Y2582" s="185" t="s">
        <v>1789</v>
      </c>
      <c r="Z2582"/>
    </row>
    <row r="2583" spans="1:26">
      <c r="A2583" s="185" t="s">
        <v>3450</v>
      </c>
      <c r="B2583" s="185" t="s">
        <v>3456</v>
      </c>
      <c r="C2583" s="185" t="s">
        <v>1897</v>
      </c>
      <c r="D2583" s="185" t="s">
        <v>3457</v>
      </c>
      <c r="E2583" s="185">
        <v>510539</v>
      </c>
      <c r="F2583" s="185" t="s">
        <v>818</v>
      </c>
      <c r="G2583" s="185" t="s">
        <v>3464</v>
      </c>
      <c r="H2583" s="185" t="s">
        <v>1515</v>
      </c>
      <c r="I2583" s="258" t="str">
        <f t="shared" si="121"/>
        <v>5</v>
      </c>
      <c r="J2583" s="221">
        <f t="shared" si="122"/>
        <v>53209</v>
      </c>
      <c r="K2583" s="258">
        <f t="shared" si="123"/>
        <v>9</v>
      </c>
      <c r="L2583" s="188">
        <v>53209</v>
      </c>
      <c r="M2583" s="188">
        <v>0</v>
      </c>
      <c r="N2583" s="189">
        <v>1000018061</v>
      </c>
      <c r="O2583" t="s">
        <v>3456</v>
      </c>
      <c r="P2583" s="187">
        <v>45195</v>
      </c>
      <c r="Q2583" s="186">
        <v>13746</v>
      </c>
      <c r="R2583" s="185"/>
      <c r="S2583" s="185" t="s">
        <v>1522</v>
      </c>
      <c r="T2583" t="s">
        <v>2729</v>
      </c>
      <c r="U2583" t="str">
        <f>IF($L2583&gt;0,VLOOKUP($E2583,Valida!$A$1:$G$270,6,FALSE),IF($M2583&gt;=0,VLOOKUP($E2583,Valida!$A$1:$G$270,7,FALSE)))</f>
        <v>(+/-) Ganancia (pérdida)</v>
      </c>
      <c r="V2583" s="190" t="str">
        <f>VLOOKUP(E2583,Valida!$A$2:$K$271,4,FALSE)</f>
        <v>P&amp;L</v>
      </c>
      <c r="W2583" s="185" t="s">
        <v>1978</v>
      </c>
      <c r="X2583" s="185"/>
      <c r="Y2583" s="185" t="s">
        <v>1789</v>
      </c>
      <c r="Z2583"/>
    </row>
    <row r="2584" spans="1:26">
      <c r="A2584" s="185" t="s">
        <v>3450</v>
      </c>
      <c r="B2584" s="185" t="s">
        <v>3456</v>
      </c>
      <c r="C2584" s="185" t="s">
        <v>1897</v>
      </c>
      <c r="D2584" s="185" t="s">
        <v>3457</v>
      </c>
      <c r="E2584" s="185">
        <v>510539</v>
      </c>
      <c r="F2584" s="185" t="s">
        <v>818</v>
      </c>
      <c r="G2584" s="185" t="s">
        <v>3464</v>
      </c>
      <c r="H2584" s="185" t="s">
        <v>1515</v>
      </c>
      <c r="I2584" s="258" t="str">
        <f t="shared" si="121"/>
        <v>5</v>
      </c>
      <c r="J2584" s="221">
        <f t="shared" si="122"/>
        <v>78709</v>
      </c>
      <c r="K2584" s="258">
        <f t="shared" si="123"/>
        <v>9</v>
      </c>
      <c r="L2584" s="188">
        <v>78709</v>
      </c>
      <c r="M2584" s="188">
        <v>0</v>
      </c>
      <c r="N2584" s="189">
        <v>1000036375</v>
      </c>
      <c r="O2584" t="s">
        <v>3456</v>
      </c>
      <c r="P2584" s="187">
        <v>45195</v>
      </c>
      <c r="Q2584" s="186">
        <v>13747</v>
      </c>
      <c r="R2584" s="185"/>
      <c r="S2584" s="185" t="s">
        <v>1524</v>
      </c>
      <c r="T2584" t="s">
        <v>2729</v>
      </c>
      <c r="U2584" t="str">
        <f>IF($L2584&gt;0,VLOOKUP($E2584,Valida!$A$1:$G$270,6,FALSE),IF($M2584&gt;=0,VLOOKUP($E2584,Valida!$A$1:$G$270,7,FALSE)))</f>
        <v>(+/-) Ganancia (pérdida)</v>
      </c>
      <c r="V2584" s="190" t="str">
        <f>VLOOKUP(E2584,Valida!$A$2:$K$271,4,FALSE)</f>
        <v>P&amp;L</v>
      </c>
      <c r="W2584" s="185" t="s">
        <v>1983</v>
      </c>
      <c r="X2584" s="185"/>
      <c r="Y2584" s="185" t="s">
        <v>1789</v>
      </c>
      <c r="Z2584"/>
    </row>
    <row r="2585" spans="1:26">
      <c r="A2585" s="185" t="s">
        <v>3450</v>
      </c>
      <c r="B2585" s="185" t="s">
        <v>3456</v>
      </c>
      <c r="C2585" s="185" t="s">
        <v>1897</v>
      </c>
      <c r="D2585" s="185" t="s">
        <v>3457</v>
      </c>
      <c r="E2585" s="185">
        <v>510539</v>
      </c>
      <c r="F2585" s="185" t="s">
        <v>818</v>
      </c>
      <c r="G2585" s="185" t="s">
        <v>3464</v>
      </c>
      <c r="H2585" s="185" t="s">
        <v>1515</v>
      </c>
      <c r="I2585" s="258" t="str">
        <f t="shared" si="121"/>
        <v>5</v>
      </c>
      <c r="J2585" s="221">
        <f t="shared" si="122"/>
        <v>42117</v>
      </c>
      <c r="K2585" s="258">
        <f t="shared" si="123"/>
        <v>9</v>
      </c>
      <c r="L2585" s="188">
        <v>42117</v>
      </c>
      <c r="M2585" s="188">
        <v>0</v>
      </c>
      <c r="N2585" s="189">
        <v>1001284057</v>
      </c>
      <c r="O2585" t="s">
        <v>3456</v>
      </c>
      <c r="P2585" s="187">
        <v>45195</v>
      </c>
      <c r="Q2585" s="186">
        <v>13748</v>
      </c>
      <c r="R2585" s="185"/>
      <c r="S2585" s="185" t="s">
        <v>1526</v>
      </c>
      <c r="T2585" t="s">
        <v>2729</v>
      </c>
      <c r="U2585" t="str">
        <f>IF($L2585&gt;0,VLOOKUP($E2585,Valida!$A$1:$G$270,6,FALSE),IF($M2585&gt;=0,VLOOKUP($E2585,Valida!$A$1:$G$270,7,FALSE)))</f>
        <v>(+/-) Ganancia (pérdida)</v>
      </c>
      <c r="V2585" s="190" t="str">
        <f>VLOOKUP(E2585,Valida!$A$2:$K$271,4,FALSE)</f>
        <v>P&amp;L</v>
      </c>
      <c r="W2585" s="185" t="s">
        <v>3454</v>
      </c>
      <c r="X2585" s="185" t="s">
        <v>3455</v>
      </c>
      <c r="Y2585" s="185" t="s">
        <v>1789</v>
      </c>
      <c r="Z2585"/>
    </row>
    <row r="2586" spans="1:26">
      <c r="A2586" s="185" t="s">
        <v>3450</v>
      </c>
      <c r="B2586" s="185" t="s">
        <v>3456</v>
      </c>
      <c r="C2586" s="185" t="s">
        <v>1897</v>
      </c>
      <c r="D2586" s="185" t="s">
        <v>3457</v>
      </c>
      <c r="E2586" s="185">
        <v>510539</v>
      </c>
      <c r="F2586" s="185" t="s">
        <v>818</v>
      </c>
      <c r="G2586" s="185" t="s">
        <v>3464</v>
      </c>
      <c r="H2586" s="185" t="s">
        <v>1515</v>
      </c>
      <c r="I2586" s="258" t="str">
        <f t="shared" si="121"/>
        <v>5</v>
      </c>
      <c r="J2586" s="221">
        <f t="shared" si="122"/>
        <v>62550</v>
      </c>
      <c r="K2586" s="258">
        <f t="shared" si="123"/>
        <v>9</v>
      </c>
      <c r="L2586" s="188">
        <v>62550</v>
      </c>
      <c r="M2586" s="188">
        <v>0</v>
      </c>
      <c r="N2586" s="189">
        <v>1010101811</v>
      </c>
      <c r="O2586" t="s">
        <v>3456</v>
      </c>
      <c r="P2586" s="187">
        <v>45195</v>
      </c>
      <c r="Q2586" s="186">
        <v>13749</v>
      </c>
      <c r="R2586" s="185"/>
      <c r="S2586" s="185" t="s">
        <v>1528</v>
      </c>
      <c r="T2586" t="s">
        <v>2729</v>
      </c>
      <c r="U2586" t="str">
        <f>IF($L2586&gt;0,VLOOKUP($E2586,Valida!$A$1:$G$270,6,FALSE),IF($M2586&gt;=0,VLOOKUP($E2586,Valida!$A$1:$G$270,7,FALSE)))</f>
        <v>(+/-) Ganancia (pérdida)</v>
      </c>
      <c r="V2586" s="190" t="str">
        <f>VLOOKUP(E2586,Valida!$A$2:$K$271,4,FALSE)</f>
        <v>P&amp;L</v>
      </c>
      <c r="W2586" s="185" t="s">
        <v>1967</v>
      </c>
      <c r="X2586" s="185"/>
      <c r="Y2586" s="185" t="s">
        <v>1789</v>
      </c>
      <c r="Z2586"/>
    </row>
    <row r="2587" spans="1:26">
      <c r="A2587" s="185" t="s">
        <v>3450</v>
      </c>
      <c r="B2587" s="185" t="s">
        <v>3456</v>
      </c>
      <c r="C2587" s="185" t="s">
        <v>1897</v>
      </c>
      <c r="D2587" s="185" t="s">
        <v>3457</v>
      </c>
      <c r="E2587" s="185">
        <v>510539</v>
      </c>
      <c r="F2587" s="185" t="s">
        <v>818</v>
      </c>
      <c r="G2587" s="185" t="s">
        <v>3464</v>
      </c>
      <c r="H2587" s="185" t="s">
        <v>1515</v>
      </c>
      <c r="I2587" s="258" t="str">
        <f t="shared" si="121"/>
        <v>5</v>
      </c>
      <c r="J2587" s="221">
        <f t="shared" si="122"/>
        <v>48372</v>
      </c>
      <c r="K2587" s="258">
        <f t="shared" si="123"/>
        <v>9</v>
      </c>
      <c r="L2587" s="188">
        <v>48372</v>
      </c>
      <c r="M2587" s="188">
        <v>0</v>
      </c>
      <c r="N2587" s="189">
        <v>1020842223</v>
      </c>
      <c r="O2587" t="s">
        <v>3456</v>
      </c>
      <c r="P2587" s="187">
        <v>45195</v>
      </c>
      <c r="Q2587" s="186">
        <v>13750</v>
      </c>
      <c r="R2587" s="185"/>
      <c r="S2587" s="185" t="s">
        <v>1532</v>
      </c>
      <c r="T2587" t="s">
        <v>2729</v>
      </c>
      <c r="U2587" t="str">
        <f>IF($L2587&gt;0,VLOOKUP($E2587,Valida!$A$1:$G$270,6,FALSE),IF($M2587&gt;=0,VLOOKUP($E2587,Valida!$A$1:$G$270,7,FALSE)))</f>
        <v>(+/-) Ganancia (pérdida)</v>
      </c>
      <c r="V2587" s="190" t="str">
        <f>VLOOKUP(E2587,Valida!$A$2:$K$271,4,FALSE)</f>
        <v>P&amp;L</v>
      </c>
      <c r="W2587" s="185" t="s">
        <v>1900</v>
      </c>
      <c r="X2587" s="185"/>
      <c r="Y2587" s="185" t="s">
        <v>1789</v>
      </c>
      <c r="Z2587"/>
    </row>
    <row r="2588" spans="1:26">
      <c r="A2588" s="185" t="s">
        <v>3450</v>
      </c>
      <c r="B2588" s="185" t="s">
        <v>3456</v>
      </c>
      <c r="C2588" s="185" t="s">
        <v>1897</v>
      </c>
      <c r="D2588" s="185" t="s">
        <v>3457</v>
      </c>
      <c r="E2588" s="185">
        <v>510539</v>
      </c>
      <c r="F2588" s="185" t="s">
        <v>818</v>
      </c>
      <c r="G2588" s="185" t="s">
        <v>3464</v>
      </c>
      <c r="H2588" s="185" t="s">
        <v>1515</v>
      </c>
      <c r="I2588" s="258" t="str">
        <f t="shared" si="121"/>
        <v>5</v>
      </c>
      <c r="J2588" s="221">
        <f t="shared" si="122"/>
        <v>48372</v>
      </c>
      <c r="K2588" s="258">
        <f t="shared" si="123"/>
        <v>9</v>
      </c>
      <c r="L2588" s="188">
        <v>48372</v>
      </c>
      <c r="M2588" s="188">
        <v>0</v>
      </c>
      <c r="N2588" s="189">
        <v>1130744136</v>
      </c>
      <c r="O2588" t="s">
        <v>3456</v>
      </c>
      <c r="P2588" s="187">
        <v>45195</v>
      </c>
      <c r="Q2588" s="186">
        <v>13751</v>
      </c>
      <c r="R2588" s="185"/>
      <c r="S2588" s="185" t="s">
        <v>1538</v>
      </c>
      <c r="T2588" t="s">
        <v>2729</v>
      </c>
      <c r="U2588" t="str">
        <f>IF($L2588&gt;0,VLOOKUP($E2588,Valida!$A$1:$G$270,6,FALSE),IF($M2588&gt;=0,VLOOKUP($E2588,Valida!$A$1:$G$270,7,FALSE)))</f>
        <v>(+/-) Ganancia (pérdida)</v>
      </c>
      <c r="V2588" s="190" t="str">
        <f>VLOOKUP(E2588,Valida!$A$2:$K$271,4,FALSE)</f>
        <v>P&amp;L</v>
      </c>
      <c r="W2588" s="185" t="s">
        <v>1909</v>
      </c>
      <c r="X2588" s="185" t="s">
        <v>1910</v>
      </c>
      <c r="Y2588" s="185" t="s">
        <v>1789</v>
      </c>
      <c r="Z2588"/>
    </row>
    <row r="2589" spans="1:26">
      <c r="A2589" s="185" t="s">
        <v>3450</v>
      </c>
      <c r="B2589" s="185" t="s">
        <v>3456</v>
      </c>
      <c r="C2589" s="185" t="s">
        <v>1897</v>
      </c>
      <c r="D2589" s="185" t="s">
        <v>3457</v>
      </c>
      <c r="E2589" s="185">
        <v>510568</v>
      </c>
      <c r="F2589" s="185" t="s">
        <v>680</v>
      </c>
      <c r="G2589" s="185" t="s">
        <v>3458</v>
      </c>
      <c r="H2589" s="185" t="s">
        <v>1515</v>
      </c>
      <c r="I2589" s="258" t="str">
        <f t="shared" si="121"/>
        <v>5</v>
      </c>
      <c r="J2589" s="221">
        <f t="shared" si="122"/>
        <v>7830</v>
      </c>
      <c r="K2589" s="258">
        <f t="shared" si="123"/>
        <v>9</v>
      </c>
      <c r="L2589" s="188">
        <v>7830</v>
      </c>
      <c r="M2589" s="188">
        <v>0</v>
      </c>
      <c r="N2589" s="189">
        <v>860002503</v>
      </c>
      <c r="O2589" t="s">
        <v>3456</v>
      </c>
      <c r="P2589" s="187">
        <v>45195</v>
      </c>
      <c r="Q2589" s="186">
        <v>13752</v>
      </c>
      <c r="R2589" s="185" t="s">
        <v>433</v>
      </c>
      <c r="S2589" s="185" t="s">
        <v>1656</v>
      </c>
      <c r="T2589" t="s">
        <v>2729</v>
      </c>
      <c r="U2589" t="str">
        <f>IF($L2589&gt;0,VLOOKUP($E2589,Valida!$A$1:$G$270,6,FALSE),IF($M2589&gt;=0,VLOOKUP($E2589,Valida!$A$1:$G$270,7,FALSE)))</f>
        <v>(+/-) Ganancia (pérdida)</v>
      </c>
      <c r="V2589" s="190" t="str">
        <f>VLOOKUP(E2589,Valida!$A$2:$K$271,4,FALSE)</f>
        <v>P&amp;L</v>
      </c>
      <c r="W2589" s="185" t="s">
        <v>1912</v>
      </c>
      <c r="X2589" s="185" t="s">
        <v>1913</v>
      </c>
      <c r="Y2589" s="185" t="s">
        <v>1789</v>
      </c>
      <c r="Z2589"/>
    </row>
    <row r="2590" spans="1:26">
      <c r="A2590" s="185" t="s">
        <v>3450</v>
      </c>
      <c r="B2590" s="185" t="s">
        <v>3456</v>
      </c>
      <c r="C2590" s="185" t="s">
        <v>1897</v>
      </c>
      <c r="D2590" s="185" t="s">
        <v>3457</v>
      </c>
      <c r="E2590" s="185">
        <v>510568</v>
      </c>
      <c r="F2590" s="185" t="s">
        <v>680</v>
      </c>
      <c r="G2590" s="185" t="s">
        <v>3458</v>
      </c>
      <c r="H2590" s="185" t="s">
        <v>1515</v>
      </c>
      <c r="I2590" s="258" t="str">
        <f t="shared" si="121"/>
        <v>5</v>
      </c>
      <c r="J2590" s="221">
        <f t="shared" si="122"/>
        <v>6661</v>
      </c>
      <c r="K2590" s="258">
        <f t="shared" si="123"/>
        <v>9</v>
      </c>
      <c r="L2590" s="188">
        <v>6661</v>
      </c>
      <c r="M2590" s="188">
        <v>0</v>
      </c>
      <c r="N2590" s="189">
        <v>860002503</v>
      </c>
      <c r="O2590" t="s">
        <v>3456</v>
      </c>
      <c r="P2590" s="187">
        <v>45195</v>
      </c>
      <c r="Q2590" s="186">
        <v>13753</v>
      </c>
      <c r="R2590" s="185" t="s">
        <v>433</v>
      </c>
      <c r="S2590" s="185" t="s">
        <v>1656</v>
      </c>
      <c r="T2590" t="s">
        <v>2729</v>
      </c>
      <c r="U2590" t="str">
        <f>IF($L2590&gt;0,VLOOKUP($E2590,Valida!$A$1:$G$270,6,FALSE),IF($M2590&gt;=0,VLOOKUP($E2590,Valida!$A$1:$G$270,7,FALSE)))</f>
        <v>(+/-) Ganancia (pérdida)</v>
      </c>
      <c r="V2590" s="190" t="str">
        <f>VLOOKUP(E2590,Valida!$A$2:$K$271,4,FALSE)</f>
        <v>P&amp;L</v>
      </c>
      <c r="W2590" s="185" t="s">
        <v>1912</v>
      </c>
      <c r="X2590" s="185" t="s">
        <v>1913</v>
      </c>
      <c r="Y2590" s="185" t="s">
        <v>1789</v>
      </c>
      <c r="Z2590"/>
    </row>
    <row r="2591" spans="1:26">
      <c r="A2591" s="185" t="s">
        <v>3450</v>
      </c>
      <c r="B2591" s="185" t="s">
        <v>3456</v>
      </c>
      <c r="C2591" s="185" t="s">
        <v>1897</v>
      </c>
      <c r="D2591" s="185" t="s">
        <v>3457</v>
      </c>
      <c r="E2591" s="185">
        <v>510568</v>
      </c>
      <c r="F2591" s="185" t="s">
        <v>680</v>
      </c>
      <c r="G2591" s="185" t="s">
        <v>3458</v>
      </c>
      <c r="H2591" s="185" t="s">
        <v>1515</v>
      </c>
      <c r="I2591" s="258" t="str">
        <f t="shared" si="121"/>
        <v>5</v>
      </c>
      <c r="J2591" s="221">
        <f t="shared" si="122"/>
        <v>10383</v>
      </c>
      <c r="K2591" s="258">
        <f t="shared" si="123"/>
        <v>9</v>
      </c>
      <c r="L2591" s="188">
        <v>10383</v>
      </c>
      <c r="M2591" s="188">
        <v>0</v>
      </c>
      <c r="N2591" s="189">
        <v>860002503</v>
      </c>
      <c r="O2591" t="s">
        <v>3456</v>
      </c>
      <c r="P2591" s="187">
        <v>45195</v>
      </c>
      <c r="Q2591" s="186">
        <v>13754</v>
      </c>
      <c r="R2591" s="185" t="s">
        <v>433</v>
      </c>
      <c r="S2591" s="185" t="s">
        <v>1656</v>
      </c>
      <c r="T2591" t="s">
        <v>2729</v>
      </c>
      <c r="U2591" t="str">
        <f>IF($L2591&gt;0,VLOOKUP($E2591,Valida!$A$1:$G$270,6,FALSE),IF($M2591&gt;=0,VLOOKUP($E2591,Valida!$A$1:$G$270,7,FALSE)))</f>
        <v>(+/-) Ganancia (pérdida)</v>
      </c>
      <c r="V2591" s="190" t="str">
        <f>VLOOKUP(E2591,Valida!$A$2:$K$271,4,FALSE)</f>
        <v>P&amp;L</v>
      </c>
      <c r="W2591" s="185" t="s">
        <v>1912</v>
      </c>
      <c r="X2591" s="185" t="s">
        <v>1913</v>
      </c>
      <c r="Y2591" s="185" t="s">
        <v>1789</v>
      </c>
      <c r="Z2591"/>
    </row>
    <row r="2592" spans="1:26">
      <c r="A2592" s="185" t="s">
        <v>3450</v>
      </c>
      <c r="B2592" s="185" t="s">
        <v>3456</v>
      </c>
      <c r="C2592" s="185" t="s">
        <v>1897</v>
      </c>
      <c r="D2592" s="185" t="s">
        <v>3457</v>
      </c>
      <c r="E2592" s="185">
        <v>510568</v>
      </c>
      <c r="F2592" s="185" t="s">
        <v>680</v>
      </c>
      <c r="G2592" s="185" t="s">
        <v>3458</v>
      </c>
      <c r="H2592" s="185" t="s">
        <v>1515</v>
      </c>
      <c r="I2592" s="258" t="str">
        <f t="shared" si="121"/>
        <v>5</v>
      </c>
      <c r="J2592" s="221">
        <f t="shared" si="122"/>
        <v>5272</v>
      </c>
      <c r="K2592" s="258">
        <f t="shared" si="123"/>
        <v>9</v>
      </c>
      <c r="L2592" s="188">
        <v>5272</v>
      </c>
      <c r="M2592" s="188">
        <v>0</v>
      </c>
      <c r="N2592" s="189">
        <v>860002503</v>
      </c>
      <c r="O2592" t="s">
        <v>3456</v>
      </c>
      <c r="P2592" s="187">
        <v>45195</v>
      </c>
      <c r="Q2592" s="186">
        <v>13755</v>
      </c>
      <c r="R2592" s="185" t="s">
        <v>433</v>
      </c>
      <c r="S2592" s="185" t="s">
        <v>1656</v>
      </c>
      <c r="T2592" t="s">
        <v>2729</v>
      </c>
      <c r="U2592" t="str">
        <f>IF($L2592&gt;0,VLOOKUP($E2592,Valida!$A$1:$G$270,6,FALSE),IF($M2592&gt;=0,VLOOKUP($E2592,Valida!$A$1:$G$270,7,FALSE)))</f>
        <v>(+/-) Ganancia (pérdida)</v>
      </c>
      <c r="V2592" s="190" t="str">
        <f>VLOOKUP(E2592,Valida!$A$2:$K$271,4,FALSE)</f>
        <v>P&amp;L</v>
      </c>
      <c r="W2592" s="185" t="s">
        <v>1912</v>
      </c>
      <c r="X2592" s="185" t="s">
        <v>1913</v>
      </c>
      <c r="Y2592" s="185" t="s">
        <v>1789</v>
      </c>
      <c r="Z2592"/>
    </row>
    <row r="2593" spans="1:26">
      <c r="A2593" s="185" t="s">
        <v>3450</v>
      </c>
      <c r="B2593" s="185" t="s">
        <v>3456</v>
      </c>
      <c r="C2593" s="185" t="s">
        <v>1897</v>
      </c>
      <c r="D2593" s="185" t="s">
        <v>3457</v>
      </c>
      <c r="E2593" s="185">
        <v>510568</v>
      </c>
      <c r="F2593" s="185" t="s">
        <v>680</v>
      </c>
      <c r="G2593" s="185" t="s">
        <v>3458</v>
      </c>
      <c r="H2593" s="185" t="s">
        <v>1515</v>
      </c>
      <c r="I2593" s="258" t="str">
        <f t="shared" si="121"/>
        <v>5</v>
      </c>
      <c r="J2593" s="221">
        <f t="shared" si="122"/>
        <v>6055</v>
      </c>
      <c r="K2593" s="258">
        <f t="shared" si="123"/>
        <v>9</v>
      </c>
      <c r="L2593" s="188">
        <v>6055</v>
      </c>
      <c r="M2593" s="188">
        <v>0</v>
      </c>
      <c r="N2593" s="189">
        <v>860002503</v>
      </c>
      <c r="O2593" t="s">
        <v>3456</v>
      </c>
      <c r="P2593" s="187">
        <v>45195</v>
      </c>
      <c r="Q2593" s="186">
        <v>13756</v>
      </c>
      <c r="R2593" s="185" t="s">
        <v>433</v>
      </c>
      <c r="S2593" s="185" t="s">
        <v>1656</v>
      </c>
      <c r="T2593" t="s">
        <v>2729</v>
      </c>
      <c r="U2593" t="str">
        <f>IF($L2593&gt;0,VLOOKUP($E2593,Valida!$A$1:$G$270,6,FALSE),IF($M2593&gt;=0,VLOOKUP($E2593,Valida!$A$1:$G$270,7,FALSE)))</f>
        <v>(+/-) Ganancia (pérdida)</v>
      </c>
      <c r="V2593" s="190" t="str">
        <f>VLOOKUP(E2593,Valida!$A$2:$K$271,4,FALSE)</f>
        <v>P&amp;L</v>
      </c>
      <c r="W2593" s="185" t="s">
        <v>1912</v>
      </c>
      <c r="X2593" s="185" t="s">
        <v>1913</v>
      </c>
      <c r="Y2593" s="185" t="s">
        <v>1789</v>
      </c>
      <c r="Z2593"/>
    </row>
    <row r="2594" spans="1:26">
      <c r="A2594" s="185" t="s">
        <v>3450</v>
      </c>
      <c r="B2594" s="185" t="s">
        <v>3456</v>
      </c>
      <c r="C2594" s="185" t="s">
        <v>1897</v>
      </c>
      <c r="D2594" s="185" t="s">
        <v>3457</v>
      </c>
      <c r="E2594" s="185">
        <v>510568</v>
      </c>
      <c r="F2594" s="185" t="s">
        <v>680</v>
      </c>
      <c r="G2594" s="185" t="s">
        <v>3458</v>
      </c>
      <c r="H2594" s="185" t="s">
        <v>1628</v>
      </c>
      <c r="I2594" s="258" t="str">
        <f t="shared" si="121"/>
        <v>5</v>
      </c>
      <c r="J2594" s="221">
        <f t="shared" si="122"/>
        <v>0</v>
      </c>
      <c r="K2594" s="258">
        <f t="shared" si="123"/>
        <v>9</v>
      </c>
      <c r="L2594" s="188">
        <v>0</v>
      </c>
      <c r="M2594" s="188">
        <v>0</v>
      </c>
      <c r="N2594" s="189">
        <v>860002503</v>
      </c>
      <c r="O2594" t="s">
        <v>3456</v>
      </c>
      <c r="P2594" s="187">
        <v>45195</v>
      </c>
      <c r="Q2594" s="186">
        <v>13757</v>
      </c>
      <c r="R2594" s="185" t="s">
        <v>433</v>
      </c>
      <c r="S2594" s="185" t="s">
        <v>1656</v>
      </c>
      <c r="T2594" t="s">
        <v>2729</v>
      </c>
      <c r="U2594" t="str">
        <f>IF($L2594&gt;0,VLOOKUP($E2594,Valida!$A$1:$G$270,6,FALSE),IF($M2594&gt;=0,VLOOKUP($E2594,Valida!$A$1:$G$270,7,FALSE)))</f>
        <v>(+/-) Ganancia (pérdida)</v>
      </c>
      <c r="V2594" s="190" t="str">
        <f>VLOOKUP(E2594,Valida!$A$2:$K$271,4,FALSE)</f>
        <v>P&amp;L</v>
      </c>
      <c r="W2594" s="185" t="s">
        <v>1912</v>
      </c>
      <c r="X2594" s="185" t="s">
        <v>1913</v>
      </c>
      <c r="Y2594" s="185" t="s">
        <v>1789</v>
      </c>
      <c r="Z2594"/>
    </row>
    <row r="2595" spans="1:26">
      <c r="A2595" s="185" t="s">
        <v>3450</v>
      </c>
      <c r="B2595" s="185" t="s">
        <v>3456</v>
      </c>
      <c r="C2595" s="185" t="s">
        <v>1897</v>
      </c>
      <c r="D2595" s="185" t="s">
        <v>3457</v>
      </c>
      <c r="E2595" s="185">
        <v>510570</v>
      </c>
      <c r="F2595" s="185" t="s">
        <v>1116</v>
      </c>
      <c r="G2595" s="185" t="s">
        <v>3460</v>
      </c>
      <c r="H2595" s="185" t="s">
        <v>1515</v>
      </c>
      <c r="I2595" s="258" t="str">
        <f t="shared" si="121"/>
        <v>5</v>
      </c>
      <c r="J2595" s="221">
        <f t="shared" si="122"/>
        <v>180000</v>
      </c>
      <c r="K2595" s="258">
        <f t="shared" si="123"/>
        <v>9</v>
      </c>
      <c r="L2595" s="188">
        <v>180000</v>
      </c>
      <c r="M2595" s="188">
        <v>0</v>
      </c>
      <c r="N2595" s="189">
        <v>800224808</v>
      </c>
      <c r="O2595" t="s">
        <v>3456</v>
      </c>
      <c r="P2595" s="187">
        <v>45195</v>
      </c>
      <c r="Q2595" s="186">
        <v>13758</v>
      </c>
      <c r="R2595" s="185" t="s">
        <v>1827</v>
      </c>
      <c r="S2595" s="185" t="s">
        <v>1662</v>
      </c>
      <c r="T2595" t="s">
        <v>2729</v>
      </c>
      <c r="U2595" t="str">
        <f>IF($L2595&gt;0,VLOOKUP($E2595,Valida!$A$1:$G$270,6,FALSE),IF($M2595&gt;=0,VLOOKUP($E2595,Valida!$A$1:$G$270,7,FALSE)))</f>
        <v>(+/-) Ganancia (pérdida)</v>
      </c>
      <c r="V2595" s="190" t="str">
        <f>VLOOKUP(E2595,Valida!$A$2:$K$271,4,FALSE)</f>
        <v>P&amp;L</v>
      </c>
      <c r="W2595" s="185" t="s">
        <v>1911</v>
      </c>
      <c r="X2595" s="185"/>
      <c r="Y2595" s="185" t="s">
        <v>1789</v>
      </c>
      <c r="Z2595"/>
    </row>
    <row r="2596" spans="1:26">
      <c r="A2596" s="185" t="s">
        <v>3450</v>
      </c>
      <c r="B2596" s="185" t="s">
        <v>3456</v>
      </c>
      <c r="C2596" s="185" t="s">
        <v>1897</v>
      </c>
      <c r="D2596" s="185" t="s">
        <v>3457</v>
      </c>
      <c r="E2596" s="185">
        <v>510570</v>
      </c>
      <c r="F2596" s="185" t="s">
        <v>1116</v>
      </c>
      <c r="G2596" s="185" t="s">
        <v>3460</v>
      </c>
      <c r="H2596" s="185" t="s">
        <v>1515</v>
      </c>
      <c r="I2596" s="258" t="str">
        <f t="shared" si="121"/>
        <v>5</v>
      </c>
      <c r="J2596" s="221">
        <f t="shared" si="122"/>
        <v>238687</v>
      </c>
      <c r="K2596" s="258">
        <f t="shared" si="123"/>
        <v>9</v>
      </c>
      <c r="L2596" s="188">
        <v>238687</v>
      </c>
      <c r="M2596" s="188">
        <v>0</v>
      </c>
      <c r="N2596" s="189">
        <v>800224808</v>
      </c>
      <c r="O2596" t="s">
        <v>3456</v>
      </c>
      <c r="P2596" s="187">
        <v>45195</v>
      </c>
      <c r="Q2596" s="186">
        <v>13759</v>
      </c>
      <c r="R2596" s="185" t="s">
        <v>1827</v>
      </c>
      <c r="S2596" s="185" t="s">
        <v>1662</v>
      </c>
      <c r="T2596" t="s">
        <v>2729</v>
      </c>
      <c r="U2596" t="str">
        <f>IF($L2596&gt;0,VLOOKUP($E2596,Valida!$A$1:$G$270,6,FALSE),IF($M2596&gt;=0,VLOOKUP($E2596,Valida!$A$1:$G$270,7,FALSE)))</f>
        <v>(+/-) Ganancia (pérdida)</v>
      </c>
      <c r="V2596" s="190" t="str">
        <f>VLOOKUP(E2596,Valida!$A$2:$K$271,4,FALSE)</f>
        <v>P&amp;L</v>
      </c>
      <c r="W2596" s="185" t="s">
        <v>1911</v>
      </c>
      <c r="X2596" s="185"/>
      <c r="Y2596" s="185" t="s">
        <v>1789</v>
      </c>
      <c r="Z2596"/>
    </row>
    <row r="2597" spans="1:26">
      <c r="A2597" s="185" t="s">
        <v>3450</v>
      </c>
      <c r="B2597" s="185" t="s">
        <v>3456</v>
      </c>
      <c r="C2597" s="185" t="s">
        <v>1897</v>
      </c>
      <c r="D2597" s="185" t="s">
        <v>3457</v>
      </c>
      <c r="E2597" s="185">
        <v>510570</v>
      </c>
      <c r="F2597" s="185" t="s">
        <v>1116</v>
      </c>
      <c r="G2597" s="185" t="s">
        <v>3460</v>
      </c>
      <c r="H2597" s="185" t="s">
        <v>1515</v>
      </c>
      <c r="I2597" s="258" t="str">
        <f t="shared" si="121"/>
        <v>5</v>
      </c>
      <c r="J2597" s="221">
        <f t="shared" si="122"/>
        <v>121200</v>
      </c>
      <c r="K2597" s="258">
        <f t="shared" si="123"/>
        <v>9</v>
      </c>
      <c r="L2597" s="188">
        <v>121200</v>
      </c>
      <c r="M2597" s="188">
        <v>0</v>
      </c>
      <c r="N2597" s="189">
        <v>800224808</v>
      </c>
      <c r="O2597" t="s">
        <v>3456</v>
      </c>
      <c r="P2597" s="187">
        <v>45195</v>
      </c>
      <c r="Q2597" s="186">
        <v>13760</v>
      </c>
      <c r="R2597" s="185" t="s">
        <v>1827</v>
      </c>
      <c r="S2597" s="185" t="s">
        <v>1662</v>
      </c>
      <c r="T2597" t="s">
        <v>2729</v>
      </c>
      <c r="U2597" t="str">
        <f>IF($L2597&gt;0,VLOOKUP($E2597,Valida!$A$1:$G$270,6,FALSE),IF($M2597&gt;=0,VLOOKUP($E2597,Valida!$A$1:$G$270,7,FALSE)))</f>
        <v>(+/-) Ganancia (pérdida)</v>
      </c>
      <c r="V2597" s="190" t="str">
        <f>VLOOKUP(E2597,Valida!$A$2:$K$271,4,FALSE)</f>
        <v>P&amp;L</v>
      </c>
      <c r="W2597" s="185" t="s">
        <v>1911</v>
      </c>
      <c r="X2597" s="185"/>
      <c r="Y2597" s="185" t="s">
        <v>1789</v>
      </c>
      <c r="Z2597"/>
    </row>
    <row r="2598" spans="1:26">
      <c r="A2598" s="185" t="s">
        <v>3450</v>
      </c>
      <c r="B2598" s="185" t="s">
        <v>3456</v>
      </c>
      <c r="C2598" s="185" t="s">
        <v>1897</v>
      </c>
      <c r="D2598" s="185" t="s">
        <v>3457</v>
      </c>
      <c r="E2598" s="185">
        <v>510570</v>
      </c>
      <c r="F2598" s="185" t="s">
        <v>1116</v>
      </c>
      <c r="G2598" s="185" t="s">
        <v>3460</v>
      </c>
      <c r="H2598" s="185" t="s">
        <v>1515</v>
      </c>
      <c r="I2598" s="258" t="str">
        <f t="shared" si="121"/>
        <v>5</v>
      </c>
      <c r="J2598" s="221">
        <f t="shared" si="122"/>
        <v>139200</v>
      </c>
      <c r="K2598" s="258">
        <f t="shared" si="123"/>
        <v>9</v>
      </c>
      <c r="L2598" s="188">
        <v>139200</v>
      </c>
      <c r="M2598" s="188">
        <v>0</v>
      </c>
      <c r="N2598" s="189">
        <v>800224808</v>
      </c>
      <c r="O2598" t="s">
        <v>3456</v>
      </c>
      <c r="P2598" s="187">
        <v>45195</v>
      </c>
      <c r="Q2598" s="186">
        <v>13761</v>
      </c>
      <c r="R2598" s="185" t="s">
        <v>1827</v>
      </c>
      <c r="S2598" s="185" t="s">
        <v>1662</v>
      </c>
      <c r="T2598" t="s">
        <v>2729</v>
      </c>
      <c r="U2598" t="str">
        <f>IF($L2598&gt;0,VLOOKUP($E2598,Valida!$A$1:$G$270,6,FALSE),IF($M2598&gt;=0,VLOOKUP($E2598,Valida!$A$1:$G$270,7,FALSE)))</f>
        <v>(+/-) Ganancia (pérdida)</v>
      </c>
      <c r="V2598" s="190" t="str">
        <f>VLOOKUP(E2598,Valida!$A$2:$K$271,4,FALSE)</f>
        <v>P&amp;L</v>
      </c>
      <c r="W2598" s="185" t="s">
        <v>1911</v>
      </c>
      <c r="X2598" s="185"/>
      <c r="Y2598" s="185" t="s">
        <v>1789</v>
      </c>
      <c r="Z2598"/>
    </row>
    <row r="2599" spans="1:26">
      <c r="A2599" s="185" t="s">
        <v>3450</v>
      </c>
      <c r="B2599" s="185" t="s">
        <v>3456</v>
      </c>
      <c r="C2599" s="185" t="s">
        <v>1897</v>
      </c>
      <c r="D2599" s="185" t="s">
        <v>3457</v>
      </c>
      <c r="E2599" s="185">
        <v>510570</v>
      </c>
      <c r="F2599" s="185" t="s">
        <v>1116</v>
      </c>
      <c r="G2599" s="185" t="s">
        <v>3460</v>
      </c>
      <c r="H2599" s="185" t="s">
        <v>1515</v>
      </c>
      <c r="I2599" s="258" t="str">
        <f t="shared" si="121"/>
        <v>5</v>
      </c>
      <c r="J2599" s="221">
        <f t="shared" si="122"/>
        <v>139200</v>
      </c>
      <c r="K2599" s="258">
        <f t="shared" si="123"/>
        <v>9</v>
      </c>
      <c r="L2599" s="188">
        <v>139200</v>
      </c>
      <c r="M2599" s="188">
        <v>0</v>
      </c>
      <c r="N2599" s="189">
        <v>800224808</v>
      </c>
      <c r="O2599" t="s">
        <v>3456</v>
      </c>
      <c r="P2599" s="187">
        <v>45195</v>
      </c>
      <c r="Q2599" s="186">
        <v>13762</v>
      </c>
      <c r="R2599" s="185" t="s">
        <v>1827</v>
      </c>
      <c r="S2599" s="185" t="s">
        <v>1662</v>
      </c>
      <c r="T2599" t="s">
        <v>2729</v>
      </c>
      <c r="U2599" t="str">
        <f>IF($L2599&gt;0,VLOOKUP($E2599,Valida!$A$1:$G$270,6,FALSE),IF($M2599&gt;=0,VLOOKUP($E2599,Valida!$A$1:$G$270,7,FALSE)))</f>
        <v>(+/-) Ganancia (pérdida)</v>
      </c>
      <c r="V2599" s="190" t="str">
        <f>VLOOKUP(E2599,Valida!$A$2:$K$271,4,FALSE)</f>
        <v>P&amp;L</v>
      </c>
      <c r="W2599" s="185" t="s">
        <v>1911</v>
      </c>
      <c r="X2599" s="185"/>
      <c r="Y2599" s="185" t="s">
        <v>1789</v>
      </c>
      <c r="Z2599"/>
    </row>
    <row r="2600" spans="1:26">
      <c r="A2600" s="185" t="s">
        <v>3450</v>
      </c>
      <c r="B2600" s="185" t="s">
        <v>3456</v>
      </c>
      <c r="C2600" s="185" t="s">
        <v>1897</v>
      </c>
      <c r="D2600" s="185" t="s">
        <v>3457</v>
      </c>
      <c r="E2600" s="185">
        <v>510570</v>
      </c>
      <c r="F2600" s="185" t="s">
        <v>1116</v>
      </c>
      <c r="G2600" s="185" t="s">
        <v>3460</v>
      </c>
      <c r="H2600" s="185" t="s">
        <v>1515</v>
      </c>
      <c r="I2600" s="258" t="str">
        <f t="shared" si="121"/>
        <v>5</v>
      </c>
      <c r="J2600" s="221">
        <f t="shared" si="122"/>
        <v>153120</v>
      </c>
      <c r="K2600" s="258">
        <f t="shared" si="123"/>
        <v>9</v>
      </c>
      <c r="L2600" s="188">
        <v>153120</v>
      </c>
      <c r="M2600" s="188">
        <v>0</v>
      </c>
      <c r="N2600" s="189">
        <v>800227940</v>
      </c>
      <c r="O2600" t="s">
        <v>3456</v>
      </c>
      <c r="P2600" s="187">
        <v>45195</v>
      </c>
      <c r="Q2600" s="186">
        <v>13763</v>
      </c>
      <c r="R2600" s="185"/>
      <c r="S2600" s="185" t="s">
        <v>1664</v>
      </c>
      <c r="T2600" t="s">
        <v>2729</v>
      </c>
      <c r="U2600" t="str">
        <f>IF($L2600&gt;0,VLOOKUP($E2600,Valida!$A$1:$G$270,6,FALSE),IF($M2600&gt;=0,VLOOKUP($E2600,Valida!$A$1:$G$270,7,FALSE)))</f>
        <v>(+/-) Ganancia (pérdida)</v>
      </c>
      <c r="V2600" s="190" t="str">
        <f>VLOOKUP(E2600,Valida!$A$2:$K$271,4,FALSE)</f>
        <v>P&amp;L</v>
      </c>
      <c r="W2600" s="185"/>
      <c r="X2600" s="185"/>
      <c r="Y2600" s="185"/>
      <c r="Z2600"/>
    </row>
    <row r="2601" spans="1:26">
      <c r="A2601" s="185" t="s">
        <v>3450</v>
      </c>
      <c r="B2601" s="185" t="s">
        <v>3456</v>
      </c>
      <c r="C2601" s="185" t="s">
        <v>1897</v>
      </c>
      <c r="D2601" s="185" t="s">
        <v>3457</v>
      </c>
      <c r="E2601" s="185">
        <v>510572</v>
      </c>
      <c r="F2601" s="185" t="s">
        <v>1118</v>
      </c>
      <c r="G2601" s="185" t="s">
        <v>3459</v>
      </c>
      <c r="H2601" s="185" t="s">
        <v>1515</v>
      </c>
      <c r="I2601" s="258" t="str">
        <f t="shared" si="121"/>
        <v>5</v>
      </c>
      <c r="J2601" s="221">
        <f t="shared" si="122"/>
        <v>242900</v>
      </c>
      <c r="K2601" s="258">
        <f t="shared" si="123"/>
        <v>9</v>
      </c>
      <c r="L2601" s="188">
        <v>242900</v>
      </c>
      <c r="M2601" s="188">
        <v>0</v>
      </c>
      <c r="N2601" s="189">
        <v>860066942</v>
      </c>
      <c r="O2601" t="s">
        <v>3456</v>
      </c>
      <c r="P2601" s="187">
        <v>45195</v>
      </c>
      <c r="Q2601" s="186">
        <v>13764</v>
      </c>
      <c r="R2601" s="185" t="s">
        <v>1814</v>
      </c>
      <c r="S2601" s="185" t="s">
        <v>1574</v>
      </c>
      <c r="T2601" t="s">
        <v>2729</v>
      </c>
      <c r="U2601" t="str">
        <f>IF($L2601&gt;0,VLOOKUP($E2601,Valida!$A$1:$G$270,6,FALSE),IF($M2601&gt;=0,VLOOKUP($E2601,Valida!$A$1:$G$270,7,FALSE)))</f>
        <v>(+/-) Ganancia (pérdida)</v>
      </c>
      <c r="V2601" s="190" t="str">
        <f>VLOOKUP(E2601,Valida!$A$2:$K$271,4,FALSE)</f>
        <v>P&amp;L</v>
      </c>
      <c r="W2601" s="185" t="s">
        <v>1914</v>
      </c>
      <c r="X2601" s="185" t="s">
        <v>1915</v>
      </c>
      <c r="Y2601" s="185" t="s">
        <v>1789</v>
      </c>
      <c r="Z2601"/>
    </row>
    <row r="2602" spans="1:26">
      <c r="A2602" s="185" t="s">
        <v>3465</v>
      </c>
      <c r="B2602" s="185" t="s">
        <v>3466</v>
      </c>
      <c r="C2602" s="185" t="s">
        <v>1785</v>
      </c>
      <c r="D2602" s="185" t="s">
        <v>2899</v>
      </c>
      <c r="E2602" s="185">
        <v>237095</v>
      </c>
      <c r="F2602" s="185" t="s">
        <v>150</v>
      </c>
      <c r="G2602" s="185" t="s">
        <v>1986</v>
      </c>
      <c r="H2602" s="185" t="s">
        <v>1628</v>
      </c>
      <c r="I2602" s="258" t="str">
        <f t="shared" si="121"/>
        <v>2</v>
      </c>
      <c r="J2602" s="221">
        <f t="shared" si="122"/>
        <v>-1295300</v>
      </c>
      <c r="K2602" s="258">
        <f t="shared" si="123"/>
        <v>9</v>
      </c>
      <c r="L2602" s="188">
        <v>0</v>
      </c>
      <c r="M2602" s="188">
        <v>1295300</v>
      </c>
      <c r="N2602" s="189">
        <v>860066942</v>
      </c>
      <c r="O2602"/>
      <c r="P2602" s="187">
        <v>45195.5655555556</v>
      </c>
      <c r="Q2602" s="186">
        <v>13770</v>
      </c>
      <c r="R2602" s="185" t="s">
        <v>1814</v>
      </c>
      <c r="S2602" s="185" t="s">
        <v>1574</v>
      </c>
      <c r="T2602"/>
      <c r="U2602" t="str">
        <f>IF($L2602&gt;0,VLOOKUP($E2602,Valida!$A$1:$G$270,6,FALSE),IF($M2602&gt;=0,VLOOKUP($E2602,Valida!$A$1:$G$270,7,FALSE)))</f>
        <v>(+/-) Ajustes por el incremento (disminución) de cuentas por pagar de origen comercial</v>
      </c>
      <c r="V2602" s="190" t="str">
        <f>VLOOKUP(E2602,Valida!$A$2:$K$271,4,FALSE)</f>
        <v>Trade and other payables</v>
      </c>
      <c r="W2602" s="185" t="s">
        <v>1914</v>
      </c>
      <c r="X2602" s="185" t="s">
        <v>1915</v>
      </c>
      <c r="Y2602" s="185" t="s">
        <v>1789</v>
      </c>
      <c r="Z2602"/>
    </row>
    <row r="2603" spans="1:26">
      <c r="A2603" s="185" t="s">
        <v>3465</v>
      </c>
      <c r="B2603" s="185" t="s">
        <v>3466</v>
      </c>
      <c r="C2603" s="185" t="s">
        <v>1785</v>
      </c>
      <c r="D2603" s="185" t="s">
        <v>2899</v>
      </c>
      <c r="E2603" s="185">
        <v>238030</v>
      </c>
      <c r="F2603" s="185" t="s">
        <v>721</v>
      </c>
      <c r="G2603" s="185" t="s">
        <v>1986</v>
      </c>
      <c r="H2603" s="185" t="s">
        <v>1515</v>
      </c>
      <c r="I2603" s="258" t="str">
        <f t="shared" si="121"/>
        <v>2</v>
      </c>
      <c r="J2603" s="221">
        <f t="shared" si="122"/>
        <v>1091049</v>
      </c>
      <c r="K2603" s="258">
        <f t="shared" si="123"/>
        <v>9</v>
      </c>
      <c r="L2603" s="188">
        <v>1091049</v>
      </c>
      <c r="M2603" s="188">
        <v>0</v>
      </c>
      <c r="N2603" s="189">
        <v>800224808</v>
      </c>
      <c r="O2603"/>
      <c r="P2603" s="187">
        <v>45195.5655555556</v>
      </c>
      <c r="Q2603" s="186">
        <v>13771</v>
      </c>
      <c r="R2603" s="185" t="s">
        <v>1827</v>
      </c>
      <c r="S2603" s="185" t="s">
        <v>1662</v>
      </c>
      <c r="T2603"/>
      <c r="U2603" t="str">
        <f>IF($L2603&gt;0,VLOOKUP($E2603,Valida!$A$1:$G$270,6,FALSE),IF($M2603&gt;=0,VLOOKUP($E2603,Valida!$A$1:$G$270,7,FALSE)))</f>
        <v>(+/-) Ajustes por el incremento (disminución) de cuentas por pagar de origen comercial</v>
      </c>
      <c r="V2603" s="190" t="str">
        <f>VLOOKUP(E2603,Valida!$A$2:$K$271,4,FALSE)</f>
        <v>Trade and other payables</v>
      </c>
      <c r="W2603" s="185" t="s">
        <v>1911</v>
      </c>
      <c r="X2603" s="185"/>
      <c r="Y2603" s="185" t="s">
        <v>1789</v>
      </c>
      <c r="Z2603"/>
    </row>
    <row r="2604" spans="1:26">
      <c r="A2604" s="185" t="s">
        <v>3465</v>
      </c>
      <c r="B2604" s="185" t="s">
        <v>3466</v>
      </c>
      <c r="C2604" s="185" t="s">
        <v>1785</v>
      </c>
      <c r="D2604" s="185" t="s">
        <v>2899</v>
      </c>
      <c r="E2604" s="185">
        <v>238030</v>
      </c>
      <c r="F2604" s="185" t="s">
        <v>721</v>
      </c>
      <c r="G2604" s="185" t="s">
        <v>1986</v>
      </c>
      <c r="H2604" s="185" t="s">
        <v>1515</v>
      </c>
      <c r="I2604" s="258" t="str">
        <f t="shared" si="121"/>
        <v>2</v>
      </c>
      <c r="J2604" s="221">
        <f t="shared" si="122"/>
        <v>204160</v>
      </c>
      <c r="K2604" s="258">
        <f t="shared" si="123"/>
        <v>9</v>
      </c>
      <c r="L2604" s="188">
        <v>204160</v>
      </c>
      <c r="M2604" s="188">
        <v>0</v>
      </c>
      <c r="N2604" s="189">
        <v>800227940</v>
      </c>
      <c r="O2604"/>
      <c r="P2604" s="187">
        <v>45195.565567129597</v>
      </c>
      <c r="Q2604" s="186">
        <v>13772</v>
      </c>
      <c r="R2604" s="185"/>
      <c r="S2604" s="185" t="s">
        <v>1664</v>
      </c>
      <c r="T2604"/>
      <c r="U2604" t="str">
        <f>IF($L2604&gt;0,VLOOKUP($E2604,Valida!$A$1:$G$270,6,FALSE),IF($M2604&gt;=0,VLOOKUP($E2604,Valida!$A$1:$G$270,7,FALSE)))</f>
        <v>(+/-) Ajustes por el incremento (disminución) de cuentas por pagar de origen comercial</v>
      </c>
      <c r="V2604" s="190" t="str">
        <f>VLOOKUP(E2604,Valida!$A$2:$K$271,4,FALSE)</f>
        <v>Trade and other payables</v>
      </c>
      <c r="W2604" s="185"/>
      <c r="X2604" s="185"/>
      <c r="Y2604" s="185"/>
      <c r="Z2604"/>
    </row>
    <row r="2605" spans="1:26">
      <c r="A2605" s="185" t="s">
        <v>3465</v>
      </c>
      <c r="B2605" s="185" t="s">
        <v>3466</v>
      </c>
      <c r="C2605" s="185" t="s">
        <v>1785</v>
      </c>
      <c r="D2605" s="185" t="s">
        <v>2899</v>
      </c>
      <c r="E2605" s="185">
        <v>53059510</v>
      </c>
      <c r="F2605" s="185" t="s">
        <v>1065</v>
      </c>
      <c r="G2605" s="185" t="s">
        <v>1986</v>
      </c>
      <c r="H2605" s="185" t="s">
        <v>1515</v>
      </c>
      <c r="I2605" s="258" t="str">
        <f t="shared" si="121"/>
        <v>5</v>
      </c>
      <c r="J2605" s="221">
        <f t="shared" si="122"/>
        <v>91</v>
      </c>
      <c r="K2605" s="258">
        <f t="shared" si="123"/>
        <v>9</v>
      </c>
      <c r="L2605" s="188">
        <v>91</v>
      </c>
      <c r="M2605" s="188">
        <v>0</v>
      </c>
      <c r="N2605" s="189">
        <v>860066942</v>
      </c>
      <c r="O2605"/>
      <c r="P2605" s="187">
        <v>45195.565567129597</v>
      </c>
      <c r="Q2605" s="186">
        <v>13773</v>
      </c>
      <c r="R2605" s="185" t="s">
        <v>1814</v>
      </c>
      <c r="S2605" s="185" t="s">
        <v>1574</v>
      </c>
      <c r="T2605"/>
      <c r="U2605" t="str">
        <f>IF($L2605&gt;0,VLOOKUP($E2605,Valida!$A$1:$G$270,6,FALSE),IF($M2605&gt;=0,VLOOKUP($E2605,Valida!$A$1:$G$270,7,FALSE)))</f>
        <v>(+/-) Ganancia (pérdida)</v>
      </c>
      <c r="V2605" s="190" t="str">
        <f>VLOOKUP(E2605,Valida!$A$2:$K$271,4,FALSE)</f>
        <v>P&amp;L</v>
      </c>
      <c r="W2605" s="185" t="s">
        <v>1914</v>
      </c>
      <c r="X2605" s="185" t="s">
        <v>1915</v>
      </c>
      <c r="Y2605" s="185" t="s">
        <v>1789</v>
      </c>
      <c r="Z2605"/>
    </row>
    <row r="2606" spans="1:26">
      <c r="A2606" s="185" t="s">
        <v>3450</v>
      </c>
      <c r="B2606" s="185" t="s">
        <v>3467</v>
      </c>
      <c r="C2606" s="185" t="s">
        <v>1785</v>
      </c>
      <c r="D2606" s="185" t="s">
        <v>3087</v>
      </c>
      <c r="E2606" s="185">
        <v>237095</v>
      </c>
      <c r="F2606" s="185" t="s">
        <v>150</v>
      </c>
      <c r="G2606" s="185" t="s">
        <v>2207</v>
      </c>
      <c r="H2606" s="185" t="s">
        <v>1628</v>
      </c>
      <c r="I2606" s="258" t="str">
        <f t="shared" si="121"/>
        <v>2</v>
      </c>
      <c r="J2606" s="221">
        <f t="shared" si="122"/>
        <v>-323900</v>
      </c>
      <c r="K2606" s="258">
        <f t="shared" si="123"/>
        <v>9</v>
      </c>
      <c r="L2606" s="188">
        <v>0</v>
      </c>
      <c r="M2606" s="188">
        <v>323900</v>
      </c>
      <c r="N2606" s="189">
        <v>860066942</v>
      </c>
      <c r="O2606"/>
      <c r="P2606" s="187">
        <v>45195.567372685196</v>
      </c>
      <c r="Q2606" s="186">
        <v>13774</v>
      </c>
      <c r="R2606" s="185" t="s">
        <v>1814</v>
      </c>
      <c r="S2606" s="185" t="s">
        <v>1574</v>
      </c>
      <c r="T2606"/>
      <c r="U2606" t="str">
        <f>IF($L2606&gt;0,VLOOKUP($E2606,Valida!$A$1:$G$270,6,FALSE),IF($M2606&gt;=0,VLOOKUP($E2606,Valida!$A$1:$G$270,7,FALSE)))</f>
        <v>(+/-) Ajustes por el incremento (disminución) de cuentas por pagar de origen comercial</v>
      </c>
      <c r="V2606" s="190" t="str">
        <f>VLOOKUP(E2606,Valida!$A$2:$K$271,4,FALSE)</f>
        <v>Trade and other payables</v>
      </c>
      <c r="W2606" s="185" t="s">
        <v>1914</v>
      </c>
      <c r="X2606" s="185" t="s">
        <v>1915</v>
      </c>
      <c r="Y2606" s="185" t="s">
        <v>1789</v>
      </c>
      <c r="Z2606"/>
    </row>
    <row r="2607" spans="1:26">
      <c r="A2607" s="185" t="s">
        <v>3450</v>
      </c>
      <c r="B2607" s="185" t="s">
        <v>3467</v>
      </c>
      <c r="C2607" s="185" t="s">
        <v>1785</v>
      </c>
      <c r="D2607" s="185" t="s">
        <v>3087</v>
      </c>
      <c r="E2607" s="185">
        <v>237005</v>
      </c>
      <c r="F2607" s="185" t="s">
        <v>676</v>
      </c>
      <c r="G2607" s="185" t="s">
        <v>2207</v>
      </c>
      <c r="H2607" s="185" t="s">
        <v>1515</v>
      </c>
      <c r="I2607" s="258" t="str">
        <f t="shared" si="121"/>
        <v>2</v>
      </c>
      <c r="J2607" s="221">
        <f t="shared" si="122"/>
        <v>92800</v>
      </c>
      <c r="K2607" s="258">
        <f t="shared" si="123"/>
        <v>9</v>
      </c>
      <c r="L2607" s="188">
        <v>92800</v>
      </c>
      <c r="M2607" s="188">
        <v>0</v>
      </c>
      <c r="N2607" s="189">
        <v>800251440</v>
      </c>
      <c r="O2607"/>
      <c r="P2607" s="187">
        <v>45195.567384259302</v>
      </c>
      <c r="Q2607" s="186">
        <v>13775</v>
      </c>
      <c r="R2607" s="185" t="s">
        <v>1901</v>
      </c>
      <c r="S2607" s="185" t="s">
        <v>1560</v>
      </c>
      <c r="T2607"/>
      <c r="U2607" t="str">
        <f>IF($L2607&gt;0,VLOOKUP($E2607,Valida!$A$1:$G$270,6,FALSE),IF($M2607&gt;=0,VLOOKUP($E2607,Valida!$A$1:$G$270,7,FALSE)))</f>
        <v>(+/-) Ajustes por el incremento (disminución) de cuentas por pagar de origen comercial</v>
      </c>
      <c r="V2607" s="190" t="str">
        <f>VLOOKUP(E2607,Valida!$A$2:$K$271,4,FALSE)</f>
        <v>Trade and other payables</v>
      </c>
      <c r="W2607" s="185" t="s">
        <v>1902</v>
      </c>
      <c r="X2607" s="185" t="s">
        <v>1903</v>
      </c>
      <c r="Y2607" s="185" t="s">
        <v>1789</v>
      </c>
      <c r="Z2607"/>
    </row>
    <row r="2608" spans="1:26">
      <c r="A2608" s="185" t="s">
        <v>3450</v>
      </c>
      <c r="B2608" s="185" t="s">
        <v>3467</v>
      </c>
      <c r="C2608" s="185" t="s">
        <v>1785</v>
      </c>
      <c r="D2608" s="185" t="s">
        <v>3087</v>
      </c>
      <c r="E2608" s="185">
        <v>237005</v>
      </c>
      <c r="F2608" s="185" t="s">
        <v>676</v>
      </c>
      <c r="G2608" s="185" t="s">
        <v>2207</v>
      </c>
      <c r="H2608" s="185" t="s">
        <v>1515</v>
      </c>
      <c r="I2608" s="258" t="str">
        <f t="shared" si="121"/>
        <v>2</v>
      </c>
      <c r="J2608" s="221">
        <f t="shared" si="122"/>
        <v>51040</v>
      </c>
      <c r="K2608" s="258">
        <f t="shared" si="123"/>
        <v>9</v>
      </c>
      <c r="L2608" s="188">
        <v>51040</v>
      </c>
      <c r="M2608" s="188">
        <v>0</v>
      </c>
      <c r="N2608" s="189">
        <v>830003564</v>
      </c>
      <c r="O2608"/>
      <c r="P2608" s="187">
        <v>45195.567384259302</v>
      </c>
      <c r="Q2608" s="186">
        <v>13776</v>
      </c>
      <c r="R2608" s="185" t="s">
        <v>1814</v>
      </c>
      <c r="S2608" s="185" t="s">
        <v>1652</v>
      </c>
      <c r="T2608"/>
      <c r="U2608" t="str">
        <f>IF($L2608&gt;0,VLOOKUP($E2608,Valida!$A$1:$G$270,6,FALSE),IF($M2608&gt;=0,VLOOKUP($E2608,Valida!$A$1:$G$270,7,FALSE)))</f>
        <v>(+/-) Ajustes por el incremento (disminución) de cuentas por pagar de origen comercial</v>
      </c>
      <c r="V2608" s="190" t="str">
        <f>VLOOKUP(E2608,Valida!$A$2:$K$271,4,FALSE)</f>
        <v>Trade and other payables</v>
      </c>
      <c r="W2608" s="185" t="s">
        <v>1973</v>
      </c>
      <c r="X2608" s="185" t="s">
        <v>1974</v>
      </c>
      <c r="Y2608" s="185" t="s">
        <v>1789</v>
      </c>
      <c r="Z2608"/>
    </row>
    <row r="2609" spans="1:26">
      <c r="A2609" s="185" t="s">
        <v>3450</v>
      </c>
      <c r="B2609" s="185" t="s">
        <v>3467</v>
      </c>
      <c r="C2609" s="185" t="s">
        <v>1785</v>
      </c>
      <c r="D2609" s="185" t="s">
        <v>3087</v>
      </c>
      <c r="E2609" s="185">
        <v>237005</v>
      </c>
      <c r="F2609" s="185" t="s">
        <v>676</v>
      </c>
      <c r="G2609" s="185" t="s">
        <v>2207</v>
      </c>
      <c r="H2609" s="185" t="s">
        <v>1515</v>
      </c>
      <c r="I2609" s="258" t="str">
        <f t="shared" si="121"/>
        <v>2</v>
      </c>
      <c r="J2609" s="221">
        <f t="shared" si="122"/>
        <v>100400</v>
      </c>
      <c r="K2609" s="258">
        <f t="shared" si="123"/>
        <v>9</v>
      </c>
      <c r="L2609" s="188">
        <v>100400</v>
      </c>
      <c r="M2609" s="188">
        <v>0</v>
      </c>
      <c r="N2609" s="189">
        <v>860066942</v>
      </c>
      <c r="O2609"/>
      <c r="P2609" s="187">
        <v>45195.567384259302</v>
      </c>
      <c r="Q2609" s="186">
        <v>13777</v>
      </c>
      <c r="R2609" s="185" t="s">
        <v>1814</v>
      </c>
      <c r="S2609" s="185" t="s">
        <v>1574</v>
      </c>
      <c r="T2609"/>
      <c r="U2609" t="str">
        <f>IF($L2609&gt;0,VLOOKUP($E2609,Valida!$A$1:$G$270,6,FALSE),IF($M2609&gt;=0,VLOOKUP($E2609,Valida!$A$1:$G$270,7,FALSE)))</f>
        <v>(+/-) Ajustes por el incremento (disminución) de cuentas por pagar de origen comercial</v>
      </c>
      <c r="V2609" s="190" t="str">
        <f>VLOOKUP(E2609,Valida!$A$2:$K$271,4,FALSE)</f>
        <v>Trade and other payables</v>
      </c>
      <c r="W2609" s="185" t="s">
        <v>1914</v>
      </c>
      <c r="X2609" s="185" t="s">
        <v>1915</v>
      </c>
      <c r="Y2609" s="185" t="s">
        <v>1789</v>
      </c>
      <c r="Z2609"/>
    </row>
    <row r="2610" spans="1:26">
      <c r="A2610" s="185" t="s">
        <v>3450</v>
      </c>
      <c r="B2610" s="185" t="s">
        <v>3467</v>
      </c>
      <c r="C2610" s="185" t="s">
        <v>1785</v>
      </c>
      <c r="D2610" s="185" t="s">
        <v>3087</v>
      </c>
      <c r="E2610" s="185">
        <v>237005</v>
      </c>
      <c r="F2610" s="185" t="s">
        <v>676</v>
      </c>
      <c r="G2610" s="185" t="s">
        <v>2207</v>
      </c>
      <c r="H2610" s="185" t="s">
        <v>1515</v>
      </c>
      <c r="I2610" s="258" t="str">
        <f t="shared" si="121"/>
        <v>2</v>
      </c>
      <c r="J2610" s="221">
        <f t="shared" si="122"/>
        <v>79562</v>
      </c>
      <c r="K2610" s="258">
        <f t="shared" si="123"/>
        <v>9</v>
      </c>
      <c r="L2610" s="188">
        <v>79562</v>
      </c>
      <c r="M2610" s="188">
        <v>0</v>
      </c>
      <c r="N2610" s="189">
        <v>900156264</v>
      </c>
      <c r="O2610"/>
      <c r="P2610" s="187">
        <v>45195.567384259302</v>
      </c>
      <c r="Q2610" s="186">
        <v>13778</v>
      </c>
      <c r="R2610" s="185" t="s">
        <v>433</v>
      </c>
      <c r="S2610" s="185" t="s">
        <v>1654</v>
      </c>
      <c r="T2610"/>
      <c r="U2610" t="str">
        <f>IF($L2610&gt;0,VLOOKUP($E2610,Valida!$A$1:$G$270,6,FALSE),IF($M2610&gt;=0,VLOOKUP($E2610,Valida!$A$1:$G$270,7,FALSE)))</f>
        <v>(+/-) Ajustes por el incremento (disminución) de cuentas por pagar de origen comercial</v>
      </c>
      <c r="V2610" s="190" t="str">
        <f>VLOOKUP(E2610,Valida!$A$2:$K$271,4,FALSE)</f>
        <v>Trade and other payables</v>
      </c>
      <c r="W2610" s="185" t="s">
        <v>1926</v>
      </c>
      <c r="X2610" s="185" t="s">
        <v>1927</v>
      </c>
      <c r="Y2610" s="185" t="s">
        <v>1789</v>
      </c>
      <c r="Z2610"/>
    </row>
    <row r="2611" spans="1:26">
      <c r="A2611" s="185" t="s">
        <v>3450</v>
      </c>
      <c r="B2611" s="185" t="s">
        <v>3467</v>
      </c>
      <c r="C2611" s="185" t="s">
        <v>1785</v>
      </c>
      <c r="D2611" s="185" t="s">
        <v>3087</v>
      </c>
      <c r="E2611" s="185">
        <v>53059510</v>
      </c>
      <c r="F2611" s="185" t="s">
        <v>1065</v>
      </c>
      <c r="G2611" s="185" t="s">
        <v>2207</v>
      </c>
      <c r="H2611" s="185" t="s">
        <v>1515</v>
      </c>
      <c r="I2611" s="258" t="str">
        <f t="shared" si="121"/>
        <v>5</v>
      </c>
      <c r="J2611" s="221">
        <f t="shared" si="122"/>
        <v>98</v>
      </c>
      <c r="K2611" s="258">
        <f t="shared" si="123"/>
        <v>9</v>
      </c>
      <c r="L2611" s="188">
        <v>98</v>
      </c>
      <c r="M2611" s="188">
        <v>0</v>
      </c>
      <c r="N2611" s="189">
        <v>860066942</v>
      </c>
      <c r="O2611"/>
      <c r="P2611" s="187">
        <v>45195.567384259302</v>
      </c>
      <c r="Q2611" s="186">
        <v>13779</v>
      </c>
      <c r="R2611" s="185" t="s">
        <v>1814</v>
      </c>
      <c r="S2611" s="185" t="s">
        <v>1574</v>
      </c>
      <c r="T2611"/>
      <c r="U2611" t="str">
        <f>IF($L2611&gt;0,VLOOKUP($E2611,Valida!$A$1:$G$270,6,FALSE),IF($M2611&gt;=0,VLOOKUP($E2611,Valida!$A$1:$G$270,7,FALSE)))</f>
        <v>(+/-) Ganancia (pérdida)</v>
      </c>
      <c r="V2611" s="190" t="str">
        <f>VLOOKUP(E2611,Valida!$A$2:$K$271,4,FALSE)</f>
        <v>P&amp;L</v>
      </c>
      <c r="W2611" s="185" t="s">
        <v>1914</v>
      </c>
      <c r="X2611" s="185" t="s">
        <v>1915</v>
      </c>
      <c r="Y2611" s="185" t="s">
        <v>1789</v>
      </c>
      <c r="Z2611"/>
    </row>
    <row r="2612" spans="1:26">
      <c r="A2612" s="185" t="s">
        <v>3450</v>
      </c>
      <c r="B2612" s="185" t="s">
        <v>3468</v>
      </c>
      <c r="C2612" s="185" t="s">
        <v>1785</v>
      </c>
      <c r="D2612" s="185" t="s">
        <v>3469</v>
      </c>
      <c r="E2612" s="185">
        <v>237010</v>
      </c>
      <c r="F2612" s="185" t="s">
        <v>683</v>
      </c>
      <c r="G2612" s="185" t="s">
        <v>1989</v>
      </c>
      <c r="H2612" s="185" t="s">
        <v>1515</v>
      </c>
      <c r="I2612" s="258" t="str">
        <f t="shared" si="121"/>
        <v>2</v>
      </c>
      <c r="J2612" s="221">
        <f t="shared" si="122"/>
        <v>242900</v>
      </c>
      <c r="K2612" s="258">
        <f t="shared" si="123"/>
        <v>9</v>
      </c>
      <c r="L2612" s="188">
        <v>242900</v>
      </c>
      <c r="M2612" s="188">
        <v>0</v>
      </c>
      <c r="N2612" s="189">
        <v>860066942</v>
      </c>
      <c r="O2612"/>
      <c r="P2612" s="187">
        <v>45195.568449074097</v>
      </c>
      <c r="Q2612" s="186">
        <v>13780</v>
      </c>
      <c r="R2612" s="185" t="s">
        <v>1814</v>
      </c>
      <c r="S2612" s="185" t="s">
        <v>1574</v>
      </c>
      <c r="T2612"/>
      <c r="U2612" t="str">
        <f>IF($L2612&gt;0,VLOOKUP($E2612,Valida!$A$1:$G$270,6,FALSE),IF($M2612&gt;=0,VLOOKUP($E2612,Valida!$A$1:$G$270,7,FALSE)))</f>
        <v>(+/-) Ajustes por el incremento (disminución) de cuentas por pagar de origen comercial</v>
      </c>
      <c r="V2612" s="190" t="str">
        <f>VLOOKUP(E2612,Valida!$A$2:$K$271,4,FALSE)</f>
        <v>Trade and other payables</v>
      </c>
      <c r="W2612" s="185" t="s">
        <v>1914</v>
      </c>
      <c r="X2612" s="185" t="s">
        <v>1915</v>
      </c>
      <c r="Y2612" s="185" t="s">
        <v>1789</v>
      </c>
      <c r="Z2612"/>
    </row>
    <row r="2613" spans="1:26">
      <c r="A2613" s="185" t="s">
        <v>3450</v>
      </c>
      <c r="B2613" s="185" t="s">
        <v>3468</v>
      </c>
      <c r="C2613" s="185" t="s">
        <v>1785</v>
      </c>
      <c r="D2613" s="185" t="s">
        <v>3469</v>
      </c>
      <c r="E2613" s="185">
        <v>237006</v>
      </c>
      <c r="F2613" s="185" t="s">
        <v>680</v>
      </c>
      <c r="G2613" s="185" t="s">
        <v>1989</v>
      </c>
      <c r="H2613" s="185" t="s">
        <v>1515</v>
      </c>
      <c r="I2613" s="258" t="str">
        <f t="shared" si="121"/>
        <v>2</v>
      </c>
      <c r="J2613" s="221">
        <f t="shared" si="122"/>
        <v>36201</v>
      </c>
      <c r="K2613" s="258">
        <f t="shared" si="123"/>
        <v>9</v>
      </c>
      <c r="L2613" s="188">
        <v>36201</v>
      </c>
      <c r="M2613" s="188">
        <v>0</v>
      </c>
      <c r="N2613" s="189">
        <v>860002503</v>
      </c>
      <c r="O2613"/>
      <c r="P2613" s="187">
        <v>45195.568449074097</v>
      </c>
      <c r="Q2613" s="186">
        <v>13781</v>
      </c>
      <c r="R2613" s="185" t="s">
        <v>433</v>
      </c>
      <c r="S2613" s="185" t="s">
        <v>1656</v>
      </c>
      <c r="T2613"/>
      <c r="U2613" t="str">
        <f>IF($L2613&gt;0,VLOOKUP($E2613,Valida!$A$1:$G$270,6,FALSE),IF($M2613&gt;=0,VLOOKUP($E2613,Valida!$A$1:$G$270,7,FALSE)))</f>
        <v>(+/-) Ajustes por el incremento (disminución) de cuentas por pagar de origen comercial</v>
      </c>
      <c r="V2613" s="190" t="str">
        <f>VLOOKUP(E2613,Valida!$A$2:$K$271,4,FALSE)</f>
        <v>Trade and other payables</v>
      </c>
      <c r="W2613" s="185" t="s">
        <v>1912</v>
      </c>
      <c r="X2613" s="185" t="s">
        <v>1913</v>
      </c>
      <c r="Y2613" s="185" t="s">
        <v>1789</v>
      </c>
      <c r="Z2613"/>
    </row>
    <row r="2614" spans="1:26">
      <c r="A2614" s="185" t="s">
        <v>3450</v>
      </c>
      <c r="B2614" s="185" t="s">
        <v>3468</v>
      </c>
      <c r="C2614" s="185" t="s">
        <v>1785</v>
      </c>
      <c r="D2614" s="185" t="s">
        <v>3469</v>
      </c>
      <c r="E2614" s="185">
        <v>237095</v>
      </c>
      <c r="F2614" s="185" t="s">
        <v>150</v>
      </c>
      <c r="G2614" s="185" t="s">
        <v>1989</v>
      </c>
      <c r="H2614" s="185" t="s">
        <v>1628</v>
      </c>
      <c r="I2614" s="258" t="str">
        <f t="shared" si="121"/>
        <v>2</v>
      </c>
      <c r="J2614" s="221">
        <f t="shared" si="122"/>
        <v>-244500</v>
      </c>
      <c r="K2614" s="258">
        <f t="shared" si="123"/>
        <v>9</v>
      </c>
      <c r="L2614" s="188">
        <v>0</v>
      </c>
      <c r="M2614" s="188">
        <v>244500</v>
      </c>
      <c r="N2614" s="189">
        <v>860066942</v>
      </c>
      <c r="O2614"/>
      <c r="P2614" s="187">
        <v>45195.568449074097</v>
      </c>
      <c r="Q2614" s="186">
        <v>13782</v>
      </c>
      <c r="R2614" s="185" t="s">
        <v>1814</v>
      </c>
      <c r="S2614" s="185" t="s">
        <v>1574</v>
      </c>
      <c r="T2614"/>
      <c r="U2614" t="str">
        <f>IF($L2614&gt;0,VLOOKUP($E2614,Valida!$A$1:$G$270,6,FALSE),IF($M2614&gt;=0,VLOOKUP($E2614,Valida!$A$1:$G$270,7,FALSE)))</f>
        <v>(+/-) Ajustes por el incremento (disminución) de cuentas por pagar de origen comercial</v>
      </c>
      <c r="V2614" s="190" t="str">
        <f>VLOOKUP(E2614,Valida!$A$2:$K$271,4,FALSE)</f>
        <v>Trade and other payables</v>
      </c>
      <c r="W2614" s="185" t="s">
        <v>1914</v>
      </c>
      <c r="X2614" s="185" t="s">
        <v>1915</v>
      </c>
      <c r="Y2614" s="185" t="s">
        <v>1789</v>
      </c>
      <c r="Z2614"/>
    </row>
    <row r="2615" spans="1:26">
      <c r="A2615" s="185" t="s">
        <v>3450</v>
      </c>
      <c r="B2615" s="185" t="s">
        <v>3468</v>
      </c>
      <c r="C2615" s="185" t="s">
        <v>1785</v>
      </c>
      <c r="D2615" s="185" t="s">
        <v>3469</v>
      </c>
      <c r="E2615" s="185">
        <v>510572</v>
      </c>
      <c r="F2615" s="185" t="s">
        <v>1118</v>
      </c>
      <c r="G2615" s="185" t="s">
        <v>3470</v>
      </c>
      <c r="H2615" s="185" t="s">
        <v>1628</v>
      </c>
      <c r="I2615" s="258" t="str">
        <f t="shared" si="121"/>
        <v>5</v>
      </c>
      <c r="J2615" s="221">
        <f t="shared" si="122"/>
        <v>-34601</v>
      </c>
      <c r="K2615" s="258">
        <f t="shared" si="123"/>
        <v>9</v>
      </c>
      <c r="L2615" s="188">
        <v>0</v>
      </c>
      <c r="M2615" s="188">
        <v>34601</v>
      </c>
      <c r="N2615" s="189">
        <v>860066942</v>
      </c>
      <c r="O2615"/>
      <c r="P2615" s="187">
        <v>45195.568449074097</v>
      </c>
      <c r="Q2615" s="186">
        <v>13783</v>
      </c>
      <c r="R2615" s="185" t="s">
        <v>1814</v>
      </c>
      <c r="S2615" s="185" t="s">
        <v>1574</v>
      </c>
      <c r="T2615"/>
      <c r="U2615" t="str">
        <f>IF($L2615&gt;0,VLOOKUP($E2615,Valida!$A$1:$G$270,6,FALSE),IF($M2615&gt;=0,VLOOKUP($E2615,Valida!$A$1:$G$270,7,FALSE)))</f>
        <v>(+/-) Ganancia (pérdida)</v>
      </c>
      <c r="V2615" s="190" t="str">
        <f>VLOOKUP(E2615,Valida!$A$2:$K$271,4,FALSE)</f>
        <v>P&amp;L</v>
      </c>
      <c r="W2615" s="185" t="s">
        <v>1914</v>
      </c>
      <c r="X2615" s="185" t="s">
        <v>1915</v>
      </c>
      <c r="Y2615" s="185" t="s">
        <v>1789</v>
      </c>
      <c r="Z2615"/>
    </row>
    <row r="2616" spans="1:26">
      <c r="A2616" s="185" t="s">
        <v>3471</v>
      </c>
      <c r="B2616" s="185" t="s">
        <v>3472</v>
      </c>
      <c r="C2616" s="185" t="s">
        <v>1792</v>
      </c>
      <c r="D2616" s="185" t="s">
        <v>2398</v>
      </c>
      <c r="E2616" s="185">
        <v>51952501</v>
      </c>
      <c r="F2616" s="185" t="s">
        <v>1412</v>
      </c>
      <c r="G2616" s="185" t="s">
        <v>1412</v>
      </c>
      <c r="H2616" s="185" t="s">
        <v>1515</v>
      </c>
      <c r="I2616" s="258" t="str">
        <f t="shared" si="121"/>
        <v>5</v>
      </c>
      <c r="J2616" s="221">
        <f t="shared" si="122"/>
        <v>459000</v>
      </c>
      <c r="K2616" s="258">
        <f t="shared" si="123"/>
        <v>9</v>
      </c>
      <c r="L2616" s="188">
        <v>459000</v>
      </c>
      <c r="M2616" s="188">
        <v>0</v>
      </c>
      <c r="N2616" s="189">
        <v>901636211</v>
      </c>
      <c r="O2616" t="s">
        <v>3473</v>
      </c>
      <c r="P2616" s="187">
        <v>45198.507430555597</v>
      </c>
      <c r="Q2616" s="186">
        <v>13784</v>
      </c>
      <c r="R2616" s="185" t="s">
        <v>1901</v>
      </c>
      <c r="S2616" s="185" t="s">
        <v>1612</v>
      </c>
      <c r="T2616"/>
      <c r="U2616" t="str">
        <f>IF($L2616&gt;0,VLOOKUP($E2616,Valida!$A$1:$G$270,6,FALSE),IF($M2616&gt;=0,VLOOKUP($E2616,Valida!$A$1:$G$270,7,FALSE)))</f>
        <v>(+/-) Ganancia (pérdida)</v>
      </c>
      <c r="V2616" s="190" t="str">
        <f>VLOOKUP(E2616,Valida!$A$2:$K$271,4,FALSE)</f>
        <v>P&amp;L</v>
      </c>
      <c r="W2616" s="185" t="s">
        <v>3316</v>
      </c>
      <c r="X2616" s="185"/>
      <c r="Y2616" s="185" t="s">
        <v>1789</v>
      </c>
      <c r="Z2616"/>
    </row>
    <row r="2617" spans="1:26">
      <c r="A2617" s="185" t="s">
        <v>3471</v>
      </c>
      <c r="B2617" s="185" t="s">
        <v>3472</v>
      </c>
      <c r="C2617" s="185" t="s">
        <v>1792</v>
      </c>
      <c r="D2617" s="185" t="s">
        <v>2398</v>
      </c>
      <c r="E2617" s="185">
        <v>24081002</v>
      </c>
      <c r="F2617" s="185" t="s">
        <v>1687</v>
      </c>
      <c r="G2617" s="185" t="s">
        <v>1412</v>
      </c>
      <c r="H2617" s="185" t="s">
        <v>1515</v>
      </c>
      <c r="I2617" s="258" t="str">
        <f t="shared" si="121"/>
        <v>2</v>
      </c>
      <c r="J2617" s="221">
        <f t="shared" si="122"/>
        <v>87210</v>
      </c>
      <c r="K2617" s="258">
        <f t="shared" si="123"/>
        <v>9</v>
      </c>
      <c r="L2617" s="188">
        <v>87210</v>
      </c>
      <c r="M2617" s="188">
        <v>0</v>
      </c>
      <c r="N2617" s="189">
        <v>901636211</v>
      </c>
      <c r="O2617" t="s">
        <v>3473</v>
      </c>
      <c r="P2617" s="187">
        <v>45198.507430555597</v>
      </c>
      <c r="Q2617" s="186">
        <v>13785</v>
      </c>
      <c r="R2617" s="185" t="s">
        <v>1901</v>
      </c>
      <c r="S2617" s="185" t="s">
        <v>1612</v>
      </c>
      <c r="T2617"/>
      <c r="U2617" t="str">
        <f>IF($L2617&gt;0,VLOOKUP($E2617,Valida!$A$1:$G$270,6,FALSE),IF($M2617&gt;=0,VLOOKUP($E2617,Valida!$A$1:$G$270,7,FALSE)))</f>
        <v>(+/-) Ajustes por el incremento (disminución) de cuentas por pagar de origen comercial</v>
      </c>
      <c r="V2617" s="190" t="str">
        <f>VLOOKUP(E2617,Valida!$A$2:$K$271,4,FALSE)</f>
        <v>Trade and other payables</v>
      </c>
      <c r="W2617" s="185" t="s">
        <v>3316</v>
      </c>
      <c r="X2617" s="185"/>
      <c r="Y2617" s="185" t="s">
        <v>1789</v>
      </c>
      <c r="Z2617"/>
    </row>
    <row r="2618" spans="1:26">
      <c r="A2618" s="185" t="s">
        <v>3471</v>
      </c>
      <c r="B2618" s="185" t="s">
        <v>3472</v>
      </c>
      <c r="C2618" s="185" t="s">
        <v>1792</v>
      </c>
      <c r="D2618" s="185" t="s">
        <v>2398</v>
      </c>
      <c r="E2618" s="185">
        <v>23359502</v>
      </c>
      <c r="F2618" s="185" t="s">
        <v>547</v>
      </c>
      <c r="G2618" s="185" t="s">
        <v>547</v>
      </c>
      <c r="H2618" s="185" t="s">
        <v>1628</v>
      </c>
      <c r="I2618" s="258" t="str">
        <f t="shared" si="121"/>
        <v>2</v>
      </c>
      <c r="J2618" s="221">
        <f t="shared" si="122"/>
        <v>-546210</v>
      </c>
      <c r="K2618" s="258">
        <f t="shared" si="123"/>
        <v>9</v>
      </c>
      <c r="L2618" s="188">
        <v>0</v>
      </c>
      <c r="M2618" s="188">
        <v>546210</v>
      </c>
      <c r="N2618" s="189">
        <v>901636211</v>
      </c>
      <c r="O2618" t="s">
        <v>3473</v>
      </c>
      <c r="P2618" s="187">
        <v>45198.507442129601</v>
      </c>
      <c r="Q2618" s="186">
        <v>13786</v>
      </c>
      <c r="R2618" s="185" t="s">
        <v>1901</v>
      </c>
      <c r="S2618" s="185" t="s">
        <v>1612</v>
      </c>
      <c r="T2618"/>
      <c r="U2618" t="str">
        <f>IF($L2618&gt;0,VLOOKUP($E2618,Valida!$A$1:$G$270,6,FALSE),IF($M2618&gt;=0,VLOOKUP($E2618,Valida!$A$1:$G$270,7,FALSE)))</f>
        <v>(+/-) Ajustes por el incremento (disminución) de cuentas por pagar de origen comercial</v>
      </c>
      <c r="V2618" s="190" t="str">
        <f>VLOOKUP(E2618,Valida!$A$2:$K$271,4,FALSE)</f>
        <v>Trade and other payables</v>
      </c>
      <c r="W2618" s="185" t="s">
        <v>3316</v>
      </c>
      <c r="X2618" s="185"/>
      <c r="Y2618" s="185" t="s">
        <v>1789</v>
      </c>
      <c r="Z2618"/>
    </row>
    <row r="2619" spans="1:26">
      <c r="A2619" s="185" t="s">
        <v>3471</v>
      </c>
      <c r="B2619" s="185" t="s">
        <v>3474</v>
      </c>
      <c r="C2619" s="185" t="s">
        <v>1890</v>
      </c>
      <c r="D2619" s="185" t="s">
        <v>3475</v>
      </c>
      <c r="E2619" s="185">
        <v>250505</v>
      </c>
      <c r="F2619" s="185" t="s">
        <v>767</v>
      </c>
      <c r="G2619" s="185" t="s">
        <v>3453</v>
      </c>
      <c r="H2619" s="185" t="s">
        <v>1515</v>
      </c>
      <c r="I2619" s="258" t="str">
        <f t="shared" si="121"/>
        <v>2</v>
      </c>
      <c r="J2619" s="221">
        <f t="shared" si="122"/>
        <v>1067200</v>
      </c>
      <c r="K2619" s="258">
        <f t="shared" si="123"/>
        <v>9</v>
      </c>
      <c r="L2619" s="188">
        <v>1067200</v>
      </c>
      <c r="M2619" s="188">
        <v>0</v>
      </c>
      <c r="N2619" s="189">
        <v>1020842223</v>
      </c>
      <c r="O2619"/>
      <c r="P2619" s="187">
        <v>45198.5091203704</v>
      </c>
      <c r="Q2619" s="186">
        <v>13787</v>
      </c>
      <c r="R2619" s="185"/>
      <c r="S2619" s="185" t="s">
        <v>1532</v>
      </c>
      <c r="T2619"/>
      <c r="U2619" t="str">
        <f>IF($L2619&gt;0,VLOOKUP($E2619,Valida!$A$1:$G$270,6,FALSE),IF($M2619&gt;=0,VLOOKUP($E2619,Valida!$A$1:$G$270,7,FALSE)))</f>
        <v>(+/-) Ajustes por el incremento (disminución) de cuentas por pagar de origen comercial</v>
      </c>
      <c r="V2619" s="190" t="str">
        <f>VLOOKUP(E2619,Valida!$A$2:$K$271,4,FALSE)</f>
        <v>Trade and other payables</v>
      </c>
      <c r="W2619" s="185" t="s">
        <v>1900</v>
      </c>
      <c r="X2619" s="185"/>
      <c r="Y2619" s="185" t="s">
        <v>1789</v>
      </c>
      <c r="Z2619"/>
    </row>
    <row r="2620" spans="1:26">
      <c r="A2620" s="185" t="s">
        <v>3471</v>
      </c>
      <c r="B2620" s="185" t="s">
        <v>3474</v>
      </c>
      <c r="C2620" s="185" t="s">
        <v>1890</v>
      </c>
      <c r="D2620" s="185" t="s">
        <v>3475</v>
      </c>
      <c r="E2620" s="185">
        <v>112005</v>
      </c>
      <c r="F2620" s="185" t="s">
        <v>24</v>
      </c>
      <c r="G2620" s="185" t="s">
        <v>3453</v>
      </c>
      <c r="H2620" s="185" t="s">
        <v>1628</v>
      </c>
      <c r="I2620" s="258" t="str">
        <f t="shared" si="121"/>
        <v>1</v>
      </c>
      <c r="J2620" s="221">
        <f t="shared" si="122"/>
        <v>-1067200</v>
      </c>
      <c r="K2620" s="258">
        <f t="shared" si="123"/>
        <v>9</v>
      </c>
      <c r="L2620" s="188">
        <v>0</v>
      </c>
      <c r="M2620" s="188">
        <v>1067200</v>
      </c>
      <c r="N2620" s="189">
        <v>1020842223</v>
      </c>
      <c r="O2620"/>
      <c r="P2620" s="187">
        <v>45198.5091203704</v>
      </c>
      <c r="Q2620" s="186">
        <v>13788</v>
      </c>
      <c r="R2620" s="185"/>
      <c r="S2620" s="185" t="s">
        <v>1532</v>
      </c>
      <c r="T2620" t="s">
        <v>1894</v>
      </c>
      <c r="U2620" t="str">
        <f>IF($L2620&gt;0,VLOOKUP($E2620,Valida!$A$1:$G$270,6,FALSE),IF($M2620&gt;=0,VLOOKUP($E2620,Valida!$A$1:$G$270,7,FALSE)))</f>
        <v>Disponible</v>
      </c>
      <c r="V2620" s="190" t="str">
        <f>VLOOKUP(E2620,Valida!$A$2:$K$271,4,FALSE)</f>
        <v>Cash and equivalents</v>
      </c>
      <c r="W2620" s="185" t="s">
        <v>1900</v>
      </c>
      <c r="X2620" s="185"/>
      <c r="Y2620" s="185" t="s">
        <v>1789</v>
      </c>
      <c r="Z2620"/>
    </row>
    <row r="2621" spans="1:26">
      <c r="A2621" s="185" t="s">
        <v>3471</v>
      </c>
      <c r="B2621" s="185" t="s">
        <v>3476</v>
      </c>
      <c r="C2621" s="185" t="s">
        <v>1890</v>
      </c>
      <c r="D2621" s="185" t="s">
        <v>3477</v>
      </c>
      <c r="E2621" s="185">
        <v>250505</v>
      </c>
      <c r="F2621" s="185" t="s">
        <v>767</v>
      </c>
      <c r="G2621" s="185" t="s">
        <v>3453</v>
      </c>
      <c r="H2621" s="185" t="s">
        <v>1515</v>
      </c>
      <c r="I2621" s="258" t="str">
        <f t="shared" si="121"/>
        <v>2</v>
      </c>
      <c r="J2621" s="221">
        <f t="shared" si="122"/>
        <v>1207806</v>
      </c>
      <c r="K2621" s="258">
        <f t="shared" si="123"/>
        <v>9</v>
      </c>
      <c r="L2621" s="188">
        <v>1207806</v>
      </c>
      <c r="M2621" s="188">
        <v>0</v>
      </c>
      <c r="N2621" s="189">
        <v>1130744136</v>
      </c>
      <c r="O2621"/>
      <c r="P2621" s="187">
        <v>45198.509456018503</v>
      </c>
      <c r="Q2621" s="186">
        <v>13789</v>
      </c>
      <c r="R2621" s="185"/>
      <c r="S2621" s="185" t="s">
        <v>1538</v>
      </c>
      <c r="T2621"/>
      <c r="U2621" t="str">
        <f>IF($L2621&gt;0,VLOOKUP($E2621,Valida!$A$1:$G$270,6,FALSE),IF($M2621&gt;=0,VLOOKUP($E2621,Valida!$A$1:$G$270,7,FALSE)))</f>
        <v>(+/-) Ajustes por el incremento (disminución) de cuentas por pagar de origen comercial</v>
      </c>
      <c r="V2621" s="190" t="str">
        <f>VLOOKUP(E2621,Valida!$A$2:$K$271,4,FALSE)</f>
        <v>Trade and other payables</v>
      </c>
      <c r="W2621" s="185" t="s">
        <v>1909</v>
      </c>
      <c r="X2621" s="185" t="s">
        <v>1910</v>
      </c>
      <c r="Y2621" s="185" t="s">
        <v>1789</v>
      </c>
      <c r="Z2621"/>
    </row>
    <row r="2622" spans="1:26">
      <c r="A2622" s="185" t="s">
        <v>3471</v>
      </c>
      <c r="B2622" s="185" t="s">
        <v>3476</v>
      </c>
      <c r="C2622" s="185" t="s">
        <v>1890</v>
      </c>
      <c r="D2622" s="185" t="s">
        <v>3477</v>
      </c>
      <c r="E2622" s="185">
        <v>112005</v>
      </c>
      <c r="F2622" s="185" t="s">
        <v>24</v>
      </c>
      <c r="G2622" s="185" t="s">
        <v>3453</v>
      </c>
      <c r="H2622" s="185" t="s">
        <v>1628</v>
      </c>
      <c r="I2622" s="258" t="str">
        <f t="shared" si="121"/>
        <v>1</v>
      </c>
      <c r="J2622" s="221">
        <f t="shared" si="122"/>
        <v>-1207806</v>
      </c>
      <c r="K2622" s="258">
        <f t="shared" si="123"/>
        <v>9</v>
      </c>
      <c r="L2622" s="188">
        <v>0</v>
      </c>
      <c r="M2622" s="188">
        <v>1207806</v>
      </c>
      <c r="N2622" s="189">
        <v>1130744136</v>
      </c>
      <c r="O2622"/>
      <c r="P2622" s="187">
        <v>45198.509456018503</v>
      </c>
      <c r="Q2622" s="186">
        <v>13790</v>
      </c>
      <c r="R2622" s="185"/>
      <c r="S2622" s="185" t="s">
        <v>1538</v>
      </c>
      <c r="T2622" t="s">
        <v>1894</v>
      </c>
      <c r="U2622" t="str">
        <f>IF($L2622&gt;0,VLOOKUP($E2622,Valida!$A$1:$G$270,6,FALSE),IF($M2622&gt;=0,VLOOKUP($E2622,Valida!$A$1:$G$270,7,FALSE)))</f>
        <v>Disponible</v>
      </c>
      <c r="V2622" s="190" t="str">
        <f>VLOOKUP(E2622,Valida!$A$2:$K$271,4,FALSE)</f>
        <v>Cash and equivalents</v>
      </c>
      <c r="W2622" s="185" t="s">
        <v>1909</v>
      </c>
      <c r="X2622" s="185" t="s">
        <v>1910</v>
      </c>
      <c r="Y2622" s="185" t="s">
        <v>1789</v>
      </c>
      <c r="Z2622"/>
    </row>
    <row r="2623" spans="1:26">
      <c r="A2623" s="185" t="s">
        <v>3471</v>
      </c>
      <c r="B2623" s="185" t="s">
        <v>3478</v>
      </c>
      <c r="C2623" s="185" t="s">
        <v>1890</v>
      </c>
      <c r="D2623" s="185" t="s">
        <v>3479</v>
      </c>
      <c r="E2623" s="185">
        <v>250505</v>
      </c>
      <c r="F2623" s="185" t="s">
        <v>767</v>
      </c>
      <c r="G2623" s="185" t="s">
        <v>3453</v>
      </c>
      <c r="H2623" s="185" t="s">
        <v>1515</v>
      </c>
      <c r="I2623" s="258" t="str">
        <f t="shared" si="121"/>
        <v>2</v>
      </c>
      <c r="J2623" s="221">
        <f t="shared" si="122"/>
        <v>1520606</v>
      </c>
      <c r="K2623" s="258">
        <f t="shared" si="123"/>
        <v>9</v>
      </c>
      <c r="L2623" s="188">
        <v>1520606</v>
      </c>
      <c r="M2623" s="188">
        <v>0</v>
      </c>
      <c r="N2623" s="189">
        <v>1010101811</v>
      </c>
      <c r="O2623"/>
      <c r="P2623" s="187">
        <v>45198.509907407402</v>
      </c>
      <c r="Q2623" s="186">
        <v>13791</v>
      </c>
      <c r="R2623" s="185"/>
      <c r="S2623" s="185" t="s">
        <v>1528</v>
      </c>
      <c r="T2623"/>
      <c r="U2623" t="str">
        <f>IF($L2623&gt;0,VLOOKUP($E2623,Valida!$A$1:$G$270,6,FALSE),IF($M2623&gt;=0,VLOOKUP($E2623,Valida!$A$1:$G$270,7,FALSE)))</f>
        <v>(+/-) Ajustes por el incremento (disminución) de cuentas por pagar de origen comercial</v>
      </c>
      <c r="V2623" s="190" t="str">
        <f>VLOOKUP(E2623,Valida!$A$2:$K$271,4,FALSE)</f>
        <v>Trade and other payables</v>
      </c>
      <c r="W2623" s="185" t="s">
        <v>1967</v>
      </c>
      <c r="X2623" s="185"/>
      <c r="Y2623" s="185" t="s">
        <v>1789</v>
      </c>
      <c r="Z2623"/>
    </row>
    <row r="2624" spans="1:26">
      <c r="A2624" s="185" t="s">
        <v>3471</v>
      </c>
      <c r="B2624" s="185" t="s">
        <v>3478</v>
      </c>
      <c r="C2624" s="185" t="s">
        <v>1890</v>
      </c>
      <c r="D2624" s="185" t="s">
        <v>3479</v>
      </c>
      <c r="E2624" s="185">
        <v>112005</v>
      </c>
      <c r="F2624" s="185" t="s">
        <v>24</v>
      </c>
      <c r="G2624" s="185" t="s">
        <v>3453</v>
      </c>
      <c r="H2624" s="185" t="s">
        <v>1628</v>
      </c>
      <c r="I2624" s="258" t="str">
        <f t="shared" si="121"/>
        <v>1</v>
      </c>
      <c r="J2624" s="221">
        <f t="shared" si="122"/>
        <v>-1520606</v>
      </c>
      <c r="K2624" s="258">
        <f t="shared" si="123"/>
        <v>9</v>
      </c>
      <c r="L2624" s="188">
        <v>0</v>
      </c>
      <c r="M2624" s="188">
        <v>1520606</v>
      </c>
      <c r="N2624" s="189">
        <v>1010101811</v>
      </c>
      <c r="O2624"/>
      <c r="P2624" s="187">
        <v>45198.509907407402</v>
      </c>
      <c r="Q2624" s="186">
        <v>13792</v>
      </c>
      <c r="R2624" s="185"/>
      <c r="S2624" s="185" t="s">
        <v>1528</v>
      </c>
      <c r="T2624" t="s">
        <v>1894</v>
      </c>
      <c r="U2624" t="str">
        <f>IF($L2624&gt;0,VLOOKUP($E2624,Valida!$A$1:$G$270,6,FALSE),IF($M2624&gt;=0,VLOOKUP($E2624,Valida!$A$1:$G$270,7,FALSE)))</f>
        <v>Disponible</v>
      </c>
      <c r="V2624" s="190" t="str">
        <f>VLOOKUP(E2624,Valida!$A$2:$K$271,4,FALSE)</f>
        <v>Cash and equivalents</v>
      </c>
      <c r="W2624" s="185" t="s">
        <v>1967</v>
      </c>
      <c r="X2624" s="185"/>
      <c r="Y2624" s="185" t="s">
        <v>1789</v>
      </c>
      <c r="Z2624"/>
    </row>
    <row r="2625" spans="1:26">
      <c r="A2625" s="185" t="s">
        <v>3471</v>
      </c>
      <c r="B2625" s="185" t="s">
        <v>3480</v>
      </c>
      <c r="C2625" s="185" t="s">
        <v>1890</v>
      </c>
      <c r="D2625" s="185" t="s">
        <v>3481</v>
      </c>
      <c r="E2625" s="185">
        <v>250505</v>
      </c>
      <c r="F2625" s="185" t="s">
        <v>767</v>
      </c>
      <c r="G2625" s="185" t="s">
        <v>3453</v>
      </c>
      <c r="H2625" s="185" t="s">
        <v>1515</v>
      </c>
      <c r="I2625" s="258" t="str">
        <f t="shared" si="121"/>
        <v>2</v>
      </c>
      <c r="J2625" s="221">
        <f t="shared" si="122"/>
        <v>1036998</v>
      </c>
      <c r="K2625" s="258">
        <f t="shared" si="123"/>
        <v>9</v>
      </c>
      <c r="L2625" s="188">
        <v>1036998</v>
      </c>
      <c r="M2625" s="188">
        <v>0</v>
      </c>
      <c r="N2625" s="189">
        <v>1001284057</v>
      </c>
      <c r="O2625"/>
      <c r="P2625" s="187">
        <v>45198.510451388902</v>
      </c>
      <c r="Q2625" s="186">
        <v>13793</v>
      </c>
      <c r="R2625" s="185"/>
      <c r="S2625" s="185" t="s">
        <v>1526</v>
      </c>
      <c r="T2625"/>
      <c r="U2625" t="str">
        <f>IF($L2625&gt;0,VLOOKUP($E2625,Valida!$A$1:$G$270,6,FALSE),IF($M2625&gt;=0,VLOOKUP($E2625,Valida!$A$1:$G$270,7,FALSE)))</f>
        <v>(+/-) Ajustes por el incremento (disminución) de cuentas por pagar de origen comercial</v>
      </c>
      <c r="V2625" s="190" t="str">
        <f>VLOOKUP(E2625,Valida!$A$2:$K$271,4,FALSE)</f>
        <v>Trade and other payables</v>
      </c>
      <c r="W2625" s="185" t="s">
        <v>3454</v>
      </c>
      <c r="X2625" s="185" t="s">
        <v>3455</v>
      </c>
      <c r="Y2625" s="185" t="s">
        <v>1789</v>
      </c>
      <c r="Z2625"/>
    </row>
    <row r="2626" spans="1:26">
      <c r="A2626" s="185" t="s">
        <v>3471</v>
      </c>
      <c r="B2626" s="185" t="s">
        <v>3480</v>
      </c>
      <c r="C2626" s="185" t="s">
        <v>1890</v>
      </c>
      <c r="D2626" s="185" t="s">
        <v>3481</v>
      </c>
      <c r="E2626" s="185">
        <v>112005</v>
      </c>
      <c r="F2626" s="185" t="s">
        <v>24</v>
      </c>
      <c r="G2626" s="185" t="s">
        <v>3453</v>
      </c>
      <c r="H2626" s="185" t="s">
        <v>1628</v>
      </c>
      <c r="I2626" s="258" t="str">
        <f t="shared" si="121"/>
        <v>1</v>
      </c>
      <c r="J2626" s="221">
        <f t="shared" si="122"/>
        <v>-1036998</v>
      </c>
      <c r="K2626" s="258">
        <f t="shared" si="123"/>
        <v>9</v>
      </c>
      <c r="L2626" s="188">
        <v>0</v>
      </c>
      <c r="M2626" s="188">
        <v>1036998</v>
      </c>
      <c r="N2626" s="189">
        <v>1001284057</v>
      </c>
      <c r="O2626"/>
      <c r="P2626" s="187">
        <v>45198.510451388902</v>
      </c>
      <c r="Q2626" s="186">
        <v>13794</v>
      </c>
      <c r="R2626" s="185"/>
      <c r="S2626" s="185" t="s">
        <v>1526</v>
      </c>
      <c r="T2626" t="s">
        <v>1894</v>
      </c>
      <c r="U2626" t="str">
        <f>IF($L2626&gt;0,VLOOKUP($E2626,Valida!$A$1:$G$270,6,FALSE),IF($M2626&gt;=0,VLOOKUP($E2626,Valida!$A$1:$G$270,7,FALSE)))</f>
        <v>Disponible</v>
      </c>
      <c r="V2626" s="190" t="str">
        <f>VLOOKUP(E2626,Valida!$A$2:$K$271,4,FALSE)</f>
        <v>Cash and equivalents</v>
      </c>
      <c r="W2626" s="185" t="s">
        <v>3454</v>
      </c>
      <c r="X2626" s="185" t="s">
        <v>3455</v>
      </c>
      <c r="Y2626" s="185" t="s">
        <v>1789</v>
      </c>
      <c r="Z2626"/>
    </row>
    <row r="2627" spans="1:26">
      <c r="A2627" s="185" t="s">
        <v>3482</v>
      </c>
      <c r="B2627" s="185" t="s">
        <v>3483</v>
      </c>
      <c r="C2627" s="185" t="s">
        <v>1890</v>
      </c>
      <c r="D2627" s="185" t="s">
        <v>3484</v>
      </c>
      <c r="E2627" s="185">
        <v>250505</v>
      </c>
      <c r="F2627" s="185" t="s">
        <v>767</v>
      </c>
      <c r="G2627" s="185" t="s">
        <v>3453</v>
      </c>
      <c r="H2627" s="185" t="s">
        <v>1515</v>
      </c>
      <c r="I2627" s="258" t="str">
        <f t="shared" ref="I2627:I2690" si="124">LEFT(E2627,1)</f>
        <v>2</v>
      </c>
      <c r="J2627" s="221">
        <f t="shared" ref="J2627:J2690" si="125">L2627-M2627</f>
        <v>1314526</v>
      </c>
      <c r="K2627" s="258">
        <f t="shared" ref="K2627:K2690" si="126">MONTH(A2627)</f>
        <v>9</v>
      </c>
      <c r="L2627" s="188">
        <v>1314526</v>
      </c>
      <c r="M2627" s="188">
        <v>0</v>
      </c>
      <c r="N2627" s="189">
        <v>1000018061</v>
      </c>
      <c r="O2627"/>
      <c r="P2627" s="187">
        <v>45198.512233796297</v>
      </c>
      <c r="Q2627" s="186">
        <v>13795</v>
      </c>
      <c r="R2627" s="185"/>
      <c r="S2627" s="185" t="s">
        <v>1522</v>
      </c>
      <c r="T2627"/>
      <c r="U2627" t="str">
        <f>IF($L2627&gt;0,VLOOKUP($E2627,Valida!$A$1:$G$270,6,FALSE),IF($M2627&gt;=0,VLOOKUP($E2627,Valida!$A$1:$G$270,7,FALSE)))</f>
        <v>(+/-) Ajustes por el incremento (disminución) de cuentas por pagar de origen comercial</v>
      </c>
      <c r="V2627" s="190" t="str">
        <f>VLOOKUP(E2627,Valida!$A$2:$K$271,4,FALSE)</f>
        <v>Trade and other payables</v>
      </c>
      <c r="W2627" s="185" t="s">
        <v>1978</v>
      </c>
      <c r="X2627" s="185"/>
      <c r="Y2627" s="185" t="s">
        <v>1789</v>
      </c>
      <c r="Z2627"/>
    </row>
    <row r="2628" spans="1:26">
      <c r="A2628" s="185" t="s">
        <v>3482</v>
      </c>
      <c r="B2628" s="185" t="s">
        <v>3483</v>
      </c>
      <c r="C2628" s="185" t="s">
        <v>1890</v>
      </c>
      <c r="D2628" s="185" t="s">
        <v>3484</v>
      </c>
      <c r="E2628" s="185">
        <v>112005</v>
      </c>
      <c r="F2628" s="185" t="s">
        <v>24</v>
      </c>
      <c r="G2628" s="185" t="s">
        <v>3453</v>
      </c>
      <c r="H2628" s="185" t="s">
        <v>1628</v>
      </c>
      <c r="I2628" s="258" t="str">
        <f t="shared" si="124"/>
        <v>1</v>
      </c>
      <c r="J2628" s="221">
        <f t="shared" si="125"/>
        <v>-1314526</v>
      </c>
      <c r="K2628" s="258">
        <f t="shared" si="126"/>
        <v>9</v>
      </c>
      <c r="L2628" s="188">
        <v>0</v>
      </c>
      <c r="M2628" s="188">
        <v>1314526</v>
      </c>
      <c r="N2628" s="189">
        <v>1000018061</v>
      </c>
      <c r="O2628"/>
      <c r="P2628" s="187">
        <v>45198.512233796297</v>
      </c>
      <c r="Q2628" s="186">
        <v>13796</v>
      </c>
      <c r="R2628" s="185"/>
      <c r="S2628" s="185" t="s">
        <v>1522</v>
      </c>
      <c r="T2628" t="s">
        <v>1894</v>
      </c>
      <c r="U2628" t="str">
        <f>IF($L2628&gt;0,VLOOKUP($E2628,Valida!$A$1:$G$270,6,FALSE),IF($M2628&gt;=0,VLOOKUP($E2628,Valida!$A$1:$G$270,7,FALSE)))</f>
        <v>Disponible</v>
      </c>
      <c r="V2628" s="190" t="str">
        <f>VLOOKUP(E2628,Valida!$A$2:$K$271,4,FALSE)</f>
        <v>Cash and equivalents</v>
      </c>
      <c r="W2628" s="185" t="s">
        <v>1978</v>
      </c>
      <c r="X2628" s="185"/>
      <c r="Y2628" s="185" t="s">
        <v>1789</v>
      </c>
      <c r="Z2628"/>
    </row>
    <row r="2629" spans="1:26">
      <c r="A2629" s="185" t="s">
        <v>3482</v>
      </c>
      <c r="B2629" s="185" t="s">
        <v>3485</v>
      </c>
      <c r="C2629" s="185" t="s">
        <v>1890</v>
      </c>
      <c r="D2629" s="185" t="s">
        <v>3486</v>
      </c>
      <c r="E2629" s="185">
        <v>250505</v>
      </c>
      <c r="F2629" s="185" t="s">
        <v>767</v>
      </c>
      <c r="G2629" s="185" t="s">
        <v>3453</v>
      </c>
      <c r="H2629" s="185" t="s">
        <v>1515</v>
      </c>
      <c r="I2629" s="258" t="str">
        <f t="shared" si="124"/>
        <v>2</v>
      </c>
      <c r="J2629" s="221">
        <f t="shared" si="125"/>
        <v>2120544</v>
      </c>
      <c r="K2629" s="258">
        <f t="shared" si="126"/>
        <v>9</v>
      </c>
      <c r="L2629" s="188">
        <v>2120544</v>
      </c>
      <c r="M2629" s="188">
        <v>0</v>
      </c>
      <c r="N2629" s="189">
        <v>1000036375</v>
      </c>
      <c r="O2629"/>
      <c r="P2629" s="187">
        <v>45198.512523148202</v>
      </c>
      <c r="Q2629" s="186">
        <v>13797</v>
      </c>
      <c r="R2629" s="185"/>
      <c r="S2629" s="185" t="s">
        <v>1524</v>
      </c>
      <c r="T2629"/>
      <c r="U2629" t="str">
        <f>IF($L2629&gt;0,VLOOKUP($E2629,Valida!$A$1:$G$270,6,FALSE),IF($M2629&gt;=0,VLOOKUP($E2629,Valida!$A$1:$G$270,7,FALSE)))</f>
        <v>(+/-) Ajustes por el incremento (disminución) de cuentas por pagar de origen comercial</v>
      </c>
      <c r="V2629" s="190" t="str">
        <f>VLOOKUP(E2629,Valida!$A$2:$K$271,4,FALSE)</f>
        <v>Trade and other payables</v>
      </c>
      <c r="W2629" s="185" t="s">
        <v>1983</v>
      </c>
      <c r="X2629" s="185"/>
      <c r="Y2629" s="185" t="s">
        <v>1789</v>
      </c>
      <c r="Z2629"/>
    </row>
    <row r="2630" spans="1:26">
      <c r="A2630" s="185" t="s">
        <v>3482</v>
      </c>
      <c r="B2630" s="185" t="s">
        <v>3485</v>
      </c>
      <c r="C2630" s="185" t="s">
        <v>1890</v>
      </c>
      <c r="D2630" s="185" t="s">
        <v>3486</v>
      </c>
      <c r="E2630" s="185">
        <v>112005</v>
      </c>
      <c r="F2630" s="185" t="s">
        <v>24</v>
      </c>
      <c r="G2630" s="185" t="s">
        <v>3453</v>
      </c>
      <c r="H2630" s="185" t="s">
        <v>1628</v>
      </c>
      <c r="I2630" s="258" t="str">
        <f t="shared" si="124"/>
        <v>1</v>
      </c>
      <c r="J2630" s="221">
        <f t="shared" si="125"/>
        <v>-2120544</v>
      </c>
      <c r="K2630" s="258">
        <f t="shared" si="126"/>
        <v>9</v>
      </c>
      <c r="L2630" s="188">
        <v>0</v>
      </c>
      <c r="M2630" s="188">
        <v>2120544</v>
      </c>
      <c r="N2630" s="189">
        <v>1000036375</v>
      </c>
      <c r="O2630"/>
      <c r="P2630" s="187">
        <v>45198.512523148202</v>
      </c>
      <c r="Q2630" s="186">
        <v>13798</v>
      </c>
      <c r="R2630" s="185"/>
      <c r="S2630" s="185" t="s">
        <v>1524</v>
      </c>
      <c r="T2630" t="s">
        <v>1894</v>
      </c>
      <c r="U2630" t="str">
        <f>IF($L2630&gt;0,VLOOKUP($E2630,Valida!$A$1:$G$270,6,FALSE),IF($M2630&gt;=0,VLOOKUP($E2630,Valida!$A$1:$G$270,7,FALSE)))</f>
        <v>Disponible</v>
      </c>
      <c r="V2630" s="190" t="str">
        <f>VLOOKUP(E2630,Valida!$A$2:$K$271,4,FALSE)</f>
        <v>Cash and equivalents</v>
      </c>
      <c r="W2630" s="185" t="s">
        <v>1983</v>
      </c>
      <c r="X2630" s="185"/>
      <c r="Y2630" s="185" t="s">
        <v>1789</v>
      </c>
      <c r="Z2630"/>
    </row>
    <row r="2631" spans="1:26">
      <c r="A2631" s="185" t="s">
        <v>3482</v>
      </c>
      <c r="B2631" s="185" t="s">
        <v>3487</v>
      </c>
      <c r="C2631" s="185" t="s">
        <v>1890</v>
      </c>
      <c r="D2631" s="185" t="s">
        <v>3488</v>
      </c>
      <c r="E2631" s="185">
        <v>23355004</v>
      </c>
      <c r="F2631" s="185" t="s">
        <v>513</v>
      </c>
      <c r="G2631" s="185" t="s">
        <v>1921</v>
      </c>
      <c r="H2631" s="185" t="s">
        <v>1515</v>
      </c>
      <c r="I2631" s="258" t="str">
        <f t="shared" si="124"/>
        <v>2</v>
      </c>
      <c r="J2631" s="221">
        <f t="shared" si="125"/>
        <v>1439000</v>
      </c>
      <c r="K2631" s="258">
        <f t="shared" si="126"/>
        <v>9</v>
      </c>
      <c r="L2631" s="188">
        <v>1439000</v>
      </c>
      <c r="M2631" s="188">
        <v>0</v>
      </c>
      <c r="N2631" s="189">
        <v>900736537</v>
      </c>
      <c r="O2631"/>
      <c r="P2631" s="187">
        <v>45198.5135069444</v>
      </c>
      <c r="Q2631" s="186">
        <v>13799</v>
      </c>
      <c r="R2631" s="185" t="s">
        <v>1814</v>
      </c>
      <c r="S2631" s="185" t="s">
        <v>1602</v>
      </c>
      <c r="T2631"/>
      <c r="U2631" t="str">
        <f>IF($L2631&gt;0,VLOOKUP($E2631,Valida!$A$1:$G$270,6,FALSE),IF($M2631&gt;=0,VLOOKUP($E2631,Valida!$A$1:$G$270,7,FALSE)))</f>
        <v>(+/-) Ajustes por el incremento (disminución) de cuentas por pagar de origen comercial</v>
      </c>
      <c r="V2631" s="190" t="str">
        <f>VLOOKUP(E2631,Valida!$A$2:$K$271,4,FALSE)</f>
        <v>Trade and other payables</v>
      </c>
      <c r="W2631" s="185" t="s">
        <v>2985</v>
      </c>
      <c r="X2631" s="185" t="s">
        <v>2986</v>
      </c>
      <c r="Y2631" s="185" t="s">
        <v>1789</v>
      </c>
      <c r="Z2631"/>
    </row>
    <row r="2632" spans="1:26">
      <c r="A2632" s="185" t="s">
        <v>3482</v>
      </c>
      <c r="B2632" s="185" t="s">
        <v>3487</v>
      </c>
      <c r="C2632" s="185" t="s">
        <v>1890</v>
      </c>
      <c r="D2632" s="185" t="s">
        <v>3488</v>
      </c>
      <c r="E2632" s="185">
        <v>112005</v>
      </c>
      <c r="F2632" s="185" t="s">
        <v>24</v>
      </c>
      <c r="G2632" s="185" t="s">
        <v>1921</v>
      </c>
      <c r="H2632" s="185" t="s">
        <v>1628</v>
      </c>
      <c r="I2632" s="258" t="str">
        <f t="shared" si="124"/>
        <v>1</v>
      </c>
      <c r="J2632" s="221">
        <f t="shared" si="125"/>
        <v>-1439000</v>
      </c>
      <c r="K2632" s="258">
        <f t="shared" si="126"/>
        <v>9</v>
      </c>
      <c r="L2632" s="188">
        <v>0</v>
      </c>
      <c r="M2632" s="188">
        <v>1439000</v>
      </c>
      <c r="N2632" s="189">
        <v>900736537</v>
      </c>
      <c r="O2632"/>
      <c r="P2632" s="187">
        <v>45198.5135069444</v>
      </c>
      <c r="Q2632" s="186">
        <v>13800</v>
      </c>
      <c r="R2632" s="185" t="s">
        <v>1814</v>
      </c>
      <c r="S2632" s="185" t="s">
        <v>1602</v>
      </c>
      <c r="T2632" t="s">
        <v>1894</v>
      </c>
      <c r="U2632" t="str">
        <f>IF($L2632&gt;0,VLOOKUP($E2632,Valida!$A$1:$G$270,6,FALSE),IF($M2632&gt;=0,VLOOKUP($E2632,Valida!$A$1:$G$270,7,FALSE)))</f>
        <v>Disponible</v>
      </c>
      <c r="V2632" s="190" t="str">
        <f>VLOOKUP(E2632,Valida!$A$2:$K$271,4,FALSE)</f>
        <v>Cash and equivalents</v>
      </c>
      <c r="W2632" s="185" t="s">
        <v>2985</v>
      </c>
      <c r="X2632" s="185" t="s">
        <v>2986</v>
      </c>
      <c r="Y2632" s="185" t="s">
        <v>1789</v>
      </c>
      <c r="Z2632"/>
    </row>
    <row r="2633" spans="1:26">
      <c r="A2633" s="185" t="s">
        <v>3482</v>
      </c>
      <c r="B2633" s="185" t="s">
        <v>3489</v>
      </c>
      <c r="C2633" s="185" t="s">
        <v>1890</v>
      </c>
      <c r="D2633" s="185" t="s">
        <v>3490</v>
      </c>
      <c r="E2633" s="185">
        <v>23355004</v>
      </c>
      <c r="F2633" s="185" t="s">
        <v>513</v>
      </c>
      <c r="G2633" s="185" t="s">
        <v>1921</v>
      </c>
      <c r="H2633" s="185" t="s">
        <v>1515</v>
      </c>
      <c r="I2633" s="258" t="str">
        <f t="shared" si="124"/>
        <v>2</v>
      </c>
      <c r="J2633" s="221">
        <f t="shared" si="125"/>
        <v>2552000</v>
      </c>
      <c r="K2633" s="258">
        <f t="shared" si="126"/>
        <v>9</v>
      </c>
      <c r="L2633" s="188">
        <v>2552000</v>
      </c>
      <c r="M2633" s="188">
        <v>0</v>
      </c>
      <c r="N2633" s="189">
        <v>900994552</v>
      </c>
      <c r="O2633"/>
      <c r="P2633" s="187">
        <v>45198.514259259297</v>
      </c>
      <c r="Q2633" s="186">
        <v>13801</v>
      </c>
      <c r="R2633" s="185" t="s">
        <v>844</v>
      </c>
      <c r="S2633" s="185" t="s">
        <v>1606</v>
      </c>
      <c r="T2633"/>
      <c r="U2633" t="str">
        <f>IF($L2633&gt;0,VLOOKUP($E2633,Valida!$A$1:$G$270,6,FALSE),IF($M2633&gt;=0,VLOOKUP($E2633,Valida!$A$1:$G$270,7,FALSE)))</f>
        <v>(+/-) Ajustes por el incremento (disminución) de cuentas por pagar de origen comercial</v>
      </c>
      <c r="V2633" s="190" t="str">
        <f>VLOOKUP(E2633,Valida!$A$2:$K$271,4,FALSE)</f>
        <v>Trade and other payables</v>
      </c>
      <c r="W2633" s="185" t="s">
        <v>1796</v>
      </c>
      <c r="X2633" s="185" t="s">
        <v>1797</v>
      </c>
      <c r="Y2633" s="185" t="s">
        <v>1789</v>
      </c>
      <c r="Z2633"/>
    </row>
    <row r="2634" spans="1:26">
      <c r="A2634" s="185" t="s">
        <v>3482</v>
      </c>
      <c r="B2634" s="185" t="s">
        <v>3489</v>
      </c>
      <c r="C2634" s="185" t="s">
        <v>1890</v>
      </c>
      <c r="D2634" s="185" t="s">
        <v>3490</v>
      </c>
      <c r="E2634" s="185">
        <v>112005</v>
      </c>
      <c r="F2634" s="185" t="s">
        <v>24</v>
      </c>
      <c r="G2634" s="185" t="s">
        <v>1921</v>
      </c>
      <c r="H2634" s="185" t="s">
        <v>1628</v>
      </c>
      <c r="I2634" s="258" t="str">
        <f t="shared" si="124"/>
        <v>1</v>
      </c>
      <c r="J2634" s="221">
        <f t="shared" si="125"/>
        <v>-2552000</v>
      </c>
      <c r="K2634" s="258">
        <f t="shared" si="126"/>
        <v>9</v>
      </c>
      <c r="L2634" s="188">
        <v>0</v>
      </c>
      <c r="M2634" s="188">
        <v>2552000</v>
      </c>
      <c r="N2634" s="189">
        <v>900994552</v>
      </c>
      <c r="O2634"/>
      <c r="P2634" s="187">
        <v>45198.514259259297</v>
      </c>
      <c r="Q2634" s="186">
        <v>13802</v>
      </c>
      <c r="R2634" s="185" t="s">
        <v>844</v>
      </c>
      <c r="S2634" s="185" t="s">
        <v>1606</v>
      </c>
      <c r="T2634" t="s">
        <v>1894</v>
      </c>
      <c r="U2634" t="str">
        <f>IF($L2634&gt;0,VLOOKUP($E2634,Valida!$A$1:$G$270,6,FALSE),IF($M2634&gt;=0,VLOOKUP($E2634,Valida!$A$1:$G$270,7,FALSE)))</f>
        <v>Disponible</v>
      </c>
      <c r="V2634" s="190" t="str">
        <f>VLOOKUP(E2634,Valida!$A$2:$K$271,4,FALSE)</f>
        <v>Cash and equivalents</v>
      </c>
      <c r="W2634" s="185" t="s">
        <v>1796</v>
      </c>
      <c r="X2634" s="185" t="s">
        <v>1797</v>
      </c>
      <c r="Y2634" s="185" t="s">
        <v>1789</v>
      </c>
      <c r="Z2634"/>
    </row>
    <row r="2635" spans="1:26">
      <c r="A2635" s="185" t="s">
        <v>3482</v>
      </c>
      <c r="B2635" s="185" t="s">
        <v>3491</v>
      </c>
      <c r="C2635" s="185" t="s">
        <v>1890</v>
      </c>
      <c r="D2635" s="185" t="s">
        <v>3492</v>
      </c>
      <c r="E2635" s="185">
        <v>13300502</v>
      </c>
      <c r="F2635" s="185" t="s">
        <v>129</v>
      </c>
      <c r="G2635" s="185" t="s">
        <v>1921</v>
      </c>
      <c r="H2635" s="185" t="s">
        <v>1628</v>
      </c>
      <c r="I2635" s="258" t="str">
        <f t="shared" si="124"/>
        <v>1</v>
      </c>
      <c r="J2635" s="221">
        <f t="shared" si="125"/>
        <v>-76254</v>
      </c>
      <c r="K2635" s="258">
        <f t="shared" si="126"/>
        <v>9</v>
      </c>
      <c r="L2635" s="188">
        <v>0</v>
      </c>
      <c r="M2635" s="188">
        <v>76254</v>
      </c>
      <c r="N2635" s="189">
        <v>901636211</v>
      </c>
      <c r="O2635"/>
      <c r="P2635" s="187">
        <v>45198.518553240698</v>
      </c>
      <c r="Q2635" s="186">
        <v>13803</v>
      </c>
      <c r="R2635" s="185" t="s">
        <v>1901</v>
      </c>
      <c r="S2635" s="185" t="s">
        <v>1612</v>
      </c>
      <c r="T2635"/>
      <c r="U2635" t="str">
        <f>IF($L2635&gt;0,VLOOKUP($E2635,Valida!$A$1:$G$270,6,FALSE),IF($M2635&gt;=0,VLOOKUP($E2635,Valida!$A$1:$G$270,7,FALSE)))</f>
        <v>(+/-) Ajustes por disminuciones (incrementos) en otras cuentas por cobrar derivadas de las actividades de operación</v>
      </c>
      <c r="V2635" s="190" t="str">
        <f>VLOOKUP(E2635,Valida!$A$2:$K$271,4,FALSE)</f>
        <v>Trade and other receivables</v>
      </c>
      <c r="W2635" s="185" t="s">
        <v>3316</v>
      </c>
      <c r="X2635" s="185"/>
      <c r="Y2635" s="185" t="s">
        <v>1789</v>
      </c>
      <c r="Z2635"/>
    </row>
    <row r="2636" spans="1:26">
      <c r="A2636" s="185" t="s">
        <v>3482</v>
      </c>
      <c r="B2636" s="185" t="s">
        <v>3491</v>
      </c>
      <c r="C2636" s="185" t="s">
        <v>1890</v>
      </c>
      <c r="D2636" s="185" t="s">
        <v>3492</v>
      </c>
      <c r="E2636" s="185">
        <v>23359502</v>
      </c>
      <c r="F2636" s="185" t="s">
        <v>547</v>
      </c>
      <c r="G2636" s="185" t="s">
        <v>1921</v>
      </c>
      <c r="H2636" s="185" t="s">
        <v>1515</v>
      </c>
      <c r="I2636" s="258" t="str">
        <f t="shared" si="124"/>
        <v>2</v>
      </c>
      <c r="J2636" s="221">
        <f t="shared" si="125"/>
        <v>546210</v>
      </c>
      <c r="K2636" s="258">
        <f t="shared" si="126"/>
        <v>9</v>
      </c>
      <c r="L2636" s="188">
        <v>546210</v>
      </c>
      <c r="M2636" s="188">
        <v>0</v>
      </c>
      <c r="N2636" s="189">
        <v>901636211</v>
      </c>
      <c r="O2636"/>
      <c r="P2636" s="187">
        <v>45198.518553240698</v>
      </c>
      <c r="Q2636" s="186">
        <v>13804</v>
      </c>
      <c r="R2636" s="185" t="s">
        <v>1901</v>
      </c>
      <c r="S2636" s="185" t="s">
        <v>1612</v>
      </c>
      <c r="T2636"/>
      <c r="U2636" t="str">
        <f>IF($L2636&gt;0,VLOOKUP($E2636,Valida!$A$1:$G$270,6,FALSE),IF($M2636&gt;=0,VLOOKUP($E2636,Valida!$A$1:$G$270,7,FALSE)))</f>
        <v>(+/-) Ajustes por el incremento (disminución) de cuentas por pagar de origen comercial</v>
      </c>
      <c r="V2636" s="190" t="str">
        <f>VLOOKUP(E2636,Valida!$A$2:$K$271,4,FALSE)</f>
        <v>Trade and other payables</v>
      </c>
      <c r="W2636" s="185" t="s">
        <v>3316</v>
      </c>
      <c r="X2636" s="185"/>
      <c r="Y2636" s="185" t="s">
        <v>1789</v>
      </c>
      <c r="Z2636"/>
    </row>
    <row r="2637" spans="1:26">
      <c r="A2637" s="185" t="s">
        <v>3482</v>
      </c>
      <c r="B2637" s="185" t="s">
        <v>3491</v>
      </c>
      <c r="C2637" s="185" t="s">
        <v>1890</v>
      </c>
      <c r="D2637" s="185" t="s">
        <v>3492</v>
      </c>
      <c r="E2637" s="185">
        <v>112005</v>
      </c>
      <c r="F2637" s="185" t="s">
        <v>24</v>
      </c>
      <c r="G2637" s="185" t="s">
        <v>1921</v>
      </c>
      <c r="H2637" s="185" t="s">
        <v>1628</v>
      </c>
      <c r="I2637" s="258" t="str">
        <f t="shared" si="124"/>
        <v>1</v>
      </c>
      <c r="J2637" s="221">
        <f t="shared" si="125"/>
        <v>-469957</v>
      </c>
      <c r="K2637" s="258">
        <f t="shared" si="126"/>
        <v>9</v>
      </c>
      <c r="L2637" s="188">
        <v>0</v>
      </c>
      <c r="M2637" s="188">
        <v>469957</v>
      </c>
      <c r="N2637" s="189">
        <v>901636211</v>
      </c>
      <c r="O2637"/>
      <c r="P2637" s="187">
        <v>45198.518553240698</v>
      </c>
      <c r="Q2637" s="186">
        <v>13805</v>
      </c>
      <c r="R2637" s="185" t="s">
        <v>1901</v>
      </c>
      <c r="S2637" s="185" t="s">
        <v>1612</v>
      </c>
      <c r="T2637" t="s">
        <v>1894</v>
      </c>
      <c r="U2637" t="str">
        <f>IF($L2637&gt;0,VLOOKUP($E2637,Valida!$A$1:$G$270,6,FALSE),IF($M2637&gt;=0,VLOOKUP($E2637,Valida!$A$1:$G$270,7,FALSE)))</f>
        <v>Disponible</v>
      </c>
      <c r="V2637" s="190" t="str">
        <f>VLOOKUP(E2637,Valida!$A$2:$K$271,4,FALSE)</f>
        <v>Cash and equivalents</v>
      </c>
      <c r="W2637" s="185" t="s">
        <v>3316</v>
      </c>
      <c r="X2637" s="185"/>
      <c r="Y2637" s="185" t="s">
        <v>1789</v>
      </c>
      <c r="Z2637"/>
    </row>
    <row r="2638" spans="1:26">
      <c r="A2638" s="185" t="s">
        <v>3482</v>
      </c>
      <c r="B2638" s="185" t="s">
        <v>3491</v>
      </c>
      <c r="C2638" s="185" t="s">
        <v>1890</v>
      </c>
      <c r="D2638" s="185" t="s">
        <v>3492</v>
      </c>
      <c r="E2638" s="185">
        <v>53059510</v>
      </c>
      <c r="F2638" s="185" t="s">
        <v>1065</v>
      </c>
      <c r="G2638" s="185" t="s">
        <v>1921</v>
      </c>
      <c r="H2638" s="185" t="s">
        <v>1515</v>
      </c>
      <c r="I2638" s="258" t="str">
        <f t="shared" si="124"/>
        <v>5</v>
      </c>
      <c r="J2638" s="221">
        <f t="shared" si="125"/>
        <v>1</v>
      </c>
      <c r="K2638" s="258">
        <f t="shared" si="126"/>
        <v>9</v>
      </c>
      <c r="L2638" s="188">
        <v>1</v>
      </c>
      <c r="M2638" s="188">
        <v>0</v>
      </c>
      <c r="N2638" s="189">
        <v>901636211</v>
      </c>
      <c r="O2638"/>
      <c r="P2638" s="187">
        <v>45198.518553240698</v>
      </c>
      <c r="Q2638" s="186">
        <v>13806</v>
      </c>
      <c r="R2638" s="185" t="s">
        <v>1901</v>
      </c>
      <c r="S2638" s="185" t="s">
        <v>1612</v>
      </c>
      <c r="T2638"/>
      <c r="U2638" t="str">
        <f>IF($L2638&gt;0,VLOOKUP($E2638,Valida!$A$1:$G$270,6,FALSE),IF($M2638&gt;=0,VLOOKUP($E2638,Valida!$A$1:$G$270,7,FALSE)))</f>
        <v>(+/-) Ganancia (pérdida)</v>
      </c>
      <c r="V2638" s="190" t="str">
        <f>VLOOKUP(E2638,Valida!$A$2:$K$271,4,FALSE)</f>
        <v>P&amp;L</v>
      </c>
      <c r="W2638" s="185" t="s">
        <v>3316</v>
      </c>
      <c r="X2638" s="185"/>
      <c r="Y2638" s="185" t="s">
        <v>1789</v>
      </c>
      <c r="Z2638"/>
    </row>
    <row r="2639" spans="1:26">
      <c r="A2639" s="185" t="s">
        <v>3413</v>
      </c>
      <c r="B2639" s="185" t="s">
        <v>3414</v>
      </c>
      <c r="C2639" s="185" t="s">
        <v>1890</v>
      </c>
      <c r="D2639" s="185" t="s">
        <v>3415</v>
      </c>
      <c r="E2639" s="185">
        <v>13300502</v>
      </c>
      <c r="F2639" s="185" t="s">
        <v>129</v>
      </c>
      <c r="G2639" s="185" t="s">
        <v>1921</v>
      </c>
      <c r="H2639" s="185" t="s">
        <v>1515</v>
      </c>
      <c r="I2639" s="258" t="str">
        <f t="shared" si="124"/>
        <v>1</v>
      </c>
      <c r="J2639" s="221">
        <f t="shared" si="125"/>
        <v>76254</v>
      </c>
      <c r="K2639" s="258">
        <f t="shared" si="126"/>
        <v>9</v>
      </c>
      <c r="L2639" s="188">
        <v>76254</v>
      </c>
      <c r="M2639" s="188">
        <v>0</v>
      </c>
      <c r="N2639" s="189">
        <v>901636211</v>
      </c>
      <c r="O2639"/>
      <c r="P2639" s="187">
        <v>45198</v>
      </c>
      <c r="Q2639" s="186">
        <v>13808</v>
      </c>
      <c r="R2639" s="185" t="s">
        <v>1901</v>
      </c>
      <c r="S2639" s="185" t="s">
        <v>1612</v>
      </c>
      <c r="T2639"/>
      <c r="U2639" t="str">
        <f>IF($L2639&gt;0,VLOOKUP($E2639,Valida!$A$1:$G$270,6,FALSE),IF($M2639&gt;=0,VLOOKUP($E2639,Valida!$A$1:$G$270,7,FALSE)))</f>
        <v>(+/-) Ajustes por disminuciones (incrementos) en otras cuentas por cobrar derivadas de las actividades de operación</v>
      </c>
      <c r="V2639" s="190" t="str">
        <f>VLOOKUP(E2639,Valida!$A$2:$K$271,4,FALSE)</f>
        <v>Trade and other receivables</v>
      </c>
      <c r="W2639" s="185" t="s">
        <v>3316</v>
      </c>
      <c r="X2639" s="185"/>
      <c r="Y2639" s="185" t="s">
        <v>1789</v>
      </c>
      <c r="Z2639"/>
    </row>
    <row r="2640" spans="1:26">
      <c r="A2640" s="185" t="s">
        <v>3482</v>
      </c>
      <c r="B2640" s="185" t="s">
        <v>3493</v>
      </c>
      <c r="C2640" s="185" t="s">
        <v>1890</v>
      </c>
      <c r="D2640" s="185" t="s">
        <v>3494</v>
      </c>
      <c r="E2640" s="185">
        <v>237095</v>
      </c>
      <c r="F2640" s="185" t="s">
        <v>150</v>
      </c>
      <c r="G2640" s="185" t="s">
        <v>3495</v>
      </c>
      <c r="H2640" s="185" t="s">
        <v>1515</v>
      </c>
      <c r="I2640" s="258" t="str">
        <f t="shared" si="124"/>
        <v>2</v>
      </c>
      <c r="J2640" s="221">
        <f t="shared" si="125"/>
        <v>1863700</v>
      </c>
      <c r="K2640" s="258">
        <f t="shared" si="126"/>
        <v>9</v>
      </c>
      <c r="L2640" s="188">
        <v>1863700</v>
      </c>
      <c r="M2640" s="188">
        <v>0</v>
      </c>
      <c r="N2640" s="189">
        <v>860066942</v>
      </c>
      <c r="O2640"/>
      <c r="P2640" s="187">
        <v>45198.526319444398</v>
      </c>
      <c r="Q2640" s="186">
        <v>13809</v>
      </c>
      <c r="R2640" s="185" t="s">
        <v>1814</v>
      </c>
      <c r="S2640" s="185" t="s">
        <v>1574</v>
      </c>
      <c r="T2640"/>
      <c r="U2640" t="str">
        <f>IF($L2640&gt;0,VLOOKUP($E2640,Valida!$A$1:$G$270,6,FALSE),IF($M2640&gt;=0,VLOOKUP($E2640,Valida!$A$1:$G$270,7,FALSE)))</f>
        <v>(+/-) Ajustes por el incremento (disminución) de cuentas por pagar de origen comercial</v>
      </c>
      <c r="V2640" s="190" t="str">
        <f>VLOOKUP(E2640,Valida!$A$2:$K$271,4,FALSE)</f>
        <v>Trade and other payables</v>
      </c>
      <c r="W2640" s="185" t="s">
        <v>1914</v>
      </c>
      <c r="X2640" s="185" t="s">
        <v>1915</v>
      </c>
      <c r="Y2640" s="185" t="s">
        <v>1789</v>
      </c>
      <c r="Z2640"/>
    </row>
    <row r="2641" spans="1:26">
      <c r="A2641" s="185" t="s">
        <v>3450</v>
      </c>
      <c r="B2641" s="185" t="s">
        <v>3496</v>
      </c>
      <c r="C2641" s="185" t="s">
        <v>2045</v>
      </c>
      <c r="D2641" s="185" t="s">
        <v>3497</v>
      </c>
      <c r="E2641" s="185">
        <v>23355002</v>
      </c>
      <c r="F2641" s="185" t="s">
        <v>506</v>
      </c>
      <c r="G2641" s="185" t="s">
        <v>3498</v>
      </c>
      <c r="H2641" s="185" t="s">
        <v>1628</v>
      </c>
      <c r="I2641" s="258" t="str">
        <f t="shared" si="124"/>
        <v>2</v>
      </c>
      <c r="J2641" s="221">
        <f t="shared" si="125"/>
        <v>-98503.09</v>
      </c>
      <c r="K2641" s="258">
        <f t="shared" si="126"/>
        <v>9</v>
      </c>
      <c r="L2641" s="188">
        <v>0</v>
      </c>
      <c r="M2641" s="188">
        <v>98503.09</v>
      </c>
      <c r="N2641" s="189">
        <v>440493581</v>
      </c>
      <c r="O2641" t="s">
        <v>3499</v>
      </c>
      <c r="P2641" s="187">
        <v>45201.612893518497</v>
      </c>
      <c r="Q2641" s="186">
        <v>13817</v>
      </c>
      <c r="R2641" s="185"/>
      <c r="S2641" s="185" t="s">
        <v>1546</v>
      </c>
      <c r="T2641"/>
      <c r="U2641" t="str">
        <f>IF($L2641&gt;0,VLOOKUP($E2641,Valida!$A$1:$G$270,6,FALSE),IF($M2641&gt;=0,VLOOKUP($E2641,Valida!$A$1:$G$270,7,FALSE)))</f>
        <v>(+/-) Ajustes por el incremento (disminución) de cuentas por pagar de origen comercial</v>
      </c>
      <c r="V2641" s="190" t="str">
        <f>VLOOKUP(E2641,Valida!$A$2:$K$271,4,FALSE)</f>
        <v>Trade and other payables</v>
      </c>
      <c r="W2641" s="185" t="s">
        <v>1808</v>
      </c>
      <c r="X2641" s="185"/>
      <c r="Y2641" s="185"/>
      <c r="Z2641"/>
    </row>
    <row r="2642" spans="1:26">
      <c r="A2642" s="185" t="s">
        <v>3482</v>
      </c>
      <c r="B2642" s="185" t="s">
        <v>3493</v>
      </c>
      <c r="C2642" s="185" t="s">
        <v>1890</v>
      </c>
      <c r="D2642" s="185" t="s">
        <v>3494</v>
      </c>
      <c r="E2642" s="185">
        <v>112005</v>
      </c>
      <c r="F2642" s="185" t="s">
        <v>24</v>
      </c>
      <c r="G2642" s="185" t="s">
        <v>3495</v>
      </c>
      <c r="H2642" s="185" t="s">
        <v>1628</v>
      </c>
      <c r="I2642" s="258" t="str">
        <f t="shared" si="124"/>
        <v>1</v>
      </c>
      <c r="J2642" s="221">
        <f t="shared" si="125"/>
        <v>-1863700</v>
      </c>
      <c r="K2642" s="258">
        <f t="shared" si="126"/>
        <v>9</v>
      </c>
      <c r="L2642" s="188">
        <v>0</v>
      </c>
      <c r="M2642" s="188">
        <v>1863700</v>
      </c>
      <c r="N2642" s="189">
        <v>860066942</v>
      </c>
      <c r="O2642"/>
      <c r="P2642" s="187">
        <v>45198.526319444398</v>
      </c>
      <c r="Q2642" s="186">
        <v>13810</v>
      </c>
      <c r="R2642" s="185" t="s">
        <v>1814</v>
      </c>
      <c r="S2642" s="185" t="s">
        <v>1574</v>
      </c>
      <c r="T2642" t="s">
        <v>1894</v>
      </c>
      <c r="U2642" t="str">
        <f>IF($L2642&gt;0,VLOOKUP($E2642,Valida!$A$1:$G$270,6,FALSE),IF($M2642&gt;=0,VLOOKUP($E2642,Valida!$A$1:$G$270,7,FALSE)))</f>
        <v>Disponible</v>
      </c>
      <c r="V2642" s="190" t="str">
        <f>VLOOKUP(E2642,Valida!$A$2:$K$271,4,FALSE)</f>
        <v>Cash and equivalents</v>
      </c>
      <c r="W2642" s="185" t="s">
        <v>1914</v>
      </c>
      <c r="X2642" s="185" t="s">
        <v>1915</v>
      </c>
      <c r="Y2642" s="185" t="s">
        <v>1789</v>
      </c>
      <c r="Z2642"/>
    </row>
    <row r="2643" spans="1:26">
      <c r="A2643" s="185" t="s">
        <v>3450</v>
      </c>
      <c r="B2643" s="185" t="s">
        <v>3500</v>
      </c>
      <c r="C2643" s="185" t="s">
        <v>1785</v>
      </c>
      <c r="D2643" s="185" t="s">
        <v>3093</v>
      </c>
      <c r="E2643" s="185">
        <v>51602001</v>
      </c>
      <c r="F2643" s="185" t="s">
        <v>416</v>
      </c>
      <c r="G2643" s="185" t="s">
        <v>2232</v>
      </c>
      <c r="H2643" s="185" t="s">
        <v>1515</v>
      </c>
      <c r="I2643" s="258" t="str">
        <f t="shared" si="124"/>
        <v>5</v>
      </c>
      <c r="J2643" s="221">
        <f t="shared" si="125"/>
        <v>1596762</v>
      </c>
      <c r="K2643" s="258">
        <f t="shared" si="126"/>
        <v>9</v>
      </c>
      <c r="L2643" s="188">
        <v>1596762</v>
      </c>
      <c r="M2643" s="188">
        <v>0</v>
      </c>
      <c r="N2643" s="189">
        <v>901513634</v>
      </c>
      <c r="O2643"/>
      <c r="P2643" s="187">
        <v>45198.527499999997</v>
      </c>
      <c r="Q2643" s="186">
        <v>13811</v>
      </c>
      <c r="R2643" s="185" t="s">
        <v>6</v>
      </c>
      <c r="S2643" s="185" t="s">
        <v>1518</v>
      </c>
      <c r="T2643"/>
      <c r="U2643" t="str">
        <f>IF($L2643&gt;0,VLOOKUP($E2643,Valida!$A$1:$G$270,6,FALSE),IF($M2643&gt;=0,VLOOKUP($E2643,Valida!$A$1:$G$270,7,FALSE)))</f>
        <v>(+/-) Ganancia (pérdida)</v>
      </c>
      <c r="V2643" s="190" t="str">
        <f>VLOOKUP(E2643,Valida!$A$2:$K$271,4,FALSE)</f>
        <v>P&amp;L</v>
      </c>
      <c r="W2643" s="185" t="s">
        <v>1787</v>
      </c>
      <c r="X2643" s="185" t="s">
        <v>1788</v>
      </c>
      <c r="Y2643" s="185" t="s">
        <v>1789</v>
      </c>
      <c r="Z2643"/>
    </row>
    <row r="2644" spans="1:26">
      <c r="A2644" s="185" t="s">
        <v>3450</v>
      </c>
      <c r="B2644" s="185" t="s">
        <v>3500</v>
      </c>
      <c r="C2644" s="185" t="s">
        <v>1785</v>
      </c>
      <c r="D2644" s="185" t="s">
        <v>3093</v>
      </c>
      <c r="E2644" s="185">
        <v>15922001</v>
      </c>
      <c r="F2644" s="185" t="s">
        <v>416</v>
      </c>
      <c r="G2644" s="185" t="s">
        <v>2232</v>
      </c>
      <c r="H2644" s="185" t="s">
        <v>1628</v>
      </c>
      <c r="I2644" s="258" t="str">
        <f t="shared" si="124"/>
        <v>1</v>
      </c>
      <c r="J2644" s="221">
        <f t="shared" si="125"/>
        <v>-1596762</v>
      </c>
      <c r="K2644" s="258">
        <f t="shared" si="126"/>
        <v>9</v>
      </c>
      <c r="L2644" s="188">
        <v>0</v>
      </c>
      <c r="M2644" s="188">
        <v>1596762</v>
      </c>
      <c r="N2644" s="189">
        <v>901513634</v>
      </c>
      <c r="O2644"/>
      <c r="P2644" s="187">
        <v>45198.527499999997</v>
      </c>
      <c r="Q2644" s="186">
        <v>13812</v>
      </c>
      <c r="R2644" s="185" t="s">
        <v>6</v>
      </c>
      <c r="S2644" s="185" t="s">
        <v>1518</v>
      </c>
      <c r="T2644"/>
      <c r="U2644" t="str">
        <f>IF($L2644&gt;0,VLOOKUP($E2644,Valida!$A$1:$G$270,6,FALSE),IF($M2644&gt;=0,VLOOKUP($E2644,Valida!$A$1:$G$270,7,FALSE)))</f>
        <v>( + ) Ajustes por gastos de depreciación</v>
      </c>
      <c r="V2644" s="190" t="str">
        <f>VLOOKUP(E2644,Valida!$A$2:$K$271,4,FALSE)</f>
        <v>Depreciation</v>
      </c>
      <c r="W2644" s="185" t="s">
        <v>1787</v>
      </c>
      <c r="X2644" s="185" t="s">
        <v>1788</v>
      </c>
      <c r="Y2644" s="185" t="s">
        <v>1789</v>
      </c>
      <c r="Z2644"/>
    </row>
    <row r="2645" spans="1:26">
      <c r="A2645" s="185" t="s">
        <v>3450</v>
      </c>
      <c r="B2645" s="185" t="s">
        <v>3500</v>
      </c>
      <c r="C2645" s="185" t="s">
        <v>1785</v>
      </c>
      <c r="D2645" s="185" t="s">
        <v>3093</v>
      </c>
      <c r="E2645" s="185">
        <v>51602004</v>
      </c>
      <c r="F2645" s="185" t="s">
        <v>404</v>
      </c>
      <c r="G2645" s="185" t="s">
        <v>2236</v>
      </c>
      <c r="H2645" s="185" t="s">
        <v>1515</v>
      </c>
      <c r="I2645" s="258" t="str">
        <f t="shared" si="124"/>
        <v>5</v>
      </c>
      <c r="J2645" s="221">
        <f t="shared" si="125"/>
        <v>163793</v>
      </c>
      <c r="K2645" s="258">
        <f t="shared" si="126"/>
        <v>9</v>
      </c>
      <c r="L2645" s="188">
        <v>163793</v>
      </c>
      <c r="M2645" s="188">
        <v>0</v>
      </c>
      <c r="N2645" s="189">
        <v>901513634</v>
      </c>
      <c r="O2645"/>
      <c r="P2645" s="187">
        <v>45198.527499999997</v>
      </c>
      <c r="Q2645" s="186">
        <v>13813</v>
      </c>
      <c r="R2645" s="185" t="s">
        <v>6</v>
      </c>
      <c r="S2645" s="185" t="s">
        <v>1518</v>
      </c>
      <c r="T2645"/>
      <c r="U2645" t="str">
        <f>IF($L2645&gt;0,VLOOKUP($E2645,Valida!$A$1:$G$270,6,FALSE),IF($M2645&gt;=0,VLOOKUP($E2645,Valida!$A$1:$G$270,7,FALSE)))</f>
        <v>(+/-) Ganancia (pérdida)</v>
      </c>
      <c r="V2645" s="190" t="str">
        <f>VLOOKUP(E2645,Valida!$A$2:$K$271,4,FALSE)</f>
        <v>P&amp;L</v>
      </c>
      <c r="W2645" s="185" t="s">
        <v>1787</v>
      </c>
      <c r="X2645" s="185" t="s">
        <v>1788</v>
      </c>
      <c r="Y2645" s="185" t="s">
        <v>1789</v>
      </c>
      <c r="Z2645"/>
    </row>
    <row r="2646" spans="1:26">
      <c r="A2646" s="185" t="s">
        <v>3450</v>
      </c>
      <c r="B2646" s="185" t="s">
        <v>3500</v>
      </c>
      <c r="C2646" s="185" t="s">
        <v>1785</v>
      </c>
      <c r="D2646" s="185" t="s">
        <v>3093</v>
      </c>
      <c r="E2646" s="185">
        <v>15922004</v>
      </c>
      <c r="F2646" s="185" t="s">
        <v>404</v>
      </c>
      <c r="G2646" s="185" t="s">
        <v>2236</v>
      </c>
      <c r="H2646" s="185" t="s">
        <v>1628</v>
      </c>
      <c r="I2646" s="258" t="str">
        <f t="shared" si="124"/>
        <v>1</v>
      </c>
      <c r="J2646" s="221">
        <f t="shared" si="125"/>
        <v>-163793</v>
      </c>
      <c r="K2646" s="258">
        <f t="shared" si="126"/>
        <v>9</v>
      </c>
      <c r="L2646" s="188">
        <v>0</v>
      </c>
      <c r="M2646" s="188">
        <v>163793</v>
      </c>
      <c r="N2646" s="189">
        <v>901513634</v>
      </c>
      <c r="O2646"/>
      <c r="P2646" s="187">
        <v>45198.527511574102</v>
      </c>
      <c r="Q2646" s="186">
        <v>13814</v>
      </c>
      <c r="R2646" s="185" t="s">
        <v>6</v>
      </c>
      <c r="S2646" s="185" t="s">
        <v>1518</v>
      </c>
      <c r="T2646"/>
      <c r="U2646" t="str">
        <f>IF($L2646&gt;0,VLOOKUP($E2646,Valida!$A$1:$G$270,6,FALSE),IF($M2646&gt;=0,VLOOKUP($E2646,Valida!$A$1:$G$270,7,FALSE)))</f>
        <v>( + ) Ajustes por gastos de depreciación</v>
      </c>
      <c r="V2646" s="190" t="str">
        <f>VLOOKUP(E2646,Valida!$A$2:$K$271,4,FALSE)</f>
        <v>Depreciation</v>
      </c>
      <c r="W2646" s="185" t="s">
        <v>1787</v>
      </c>
      <c r="X2646" s="185" t="s">
        <v>1788</v>
      </c>
      <c r="Y2646" s="185" t="s">
        <v>1789</v>
      </c>
      <c r="Z2646"/>
    </row>
    <row r="2647" spans="1:26">
      <c r="A2647" s="185" t="s">
        <v>3450</v>
      </c>
      <c r="B2647" s="185" t="s">
        <v>3501</v>
      </c>
      <c r="C2647" s="185" t="s">
        <v>1801</v>
      </c>
      <c r="D2647" s="185" t="s">
        <v>435</v>
      </c>
      <c r="E2647" s="185">
        <v>130510</v>
      </c>
      <c r="F2647" s="185" t="s">
        <v>64</v>
      </c>
      <c r="G2647" s="185" t="s">
        <v>3502</v>
      </c>
      <c r="H2647" s="185" t="s">
        <v>1515</v>
      </c>
      <c r="I2647" s="258" t="str">
        <f t="shared" si="124"/>
        <v>1</v>
      </c>
      <c r="J2647" s="221">
        <f t="shared" si="125"/>
        <v>75126480</v>
      </c>
      <c r="K2647" s="258">
        <f t="shared" si="126"/>
        <v>9</v>
      </c>
      <c r="L2647" s="188">
        <v>75126480</v>
      </c>
      <c r="M2647" s="188">
        <v>0</v>
      </c>
      <c r="N2647" s="189">
        <v>374795</v>
      </c>
      <c r="O2647"/>
      <c r="P2647" s="187">
        <v>45201.430972222202</v>
      </c>
      <c r="Q2647" s="186">
        <v>13815</v>
      </c>
      <c r="R2647" s="185"/>
      <c r="S2647" s="185" t="s">
        <v>1544</v>
      </c>
      <c r="T2647"/>
      <c r="U2647" t="str">
        <f>IF($L2647&gt;0,VLOOKUP($E2647,Valida!$A$1:$G$270,6,FALSE),IF($M2647&gt;=0,VLOOKUP($E2647,Valida!$A$1:$G$270,7,FALSE)))</f>
        <v>(+/-) Ajustes por la disminución (incremento) de cuentas por cobrar de origen comercial</v>
      </c>
      <c r="V2647" s="190" t="str">
        <f>VLOOKUP(E2647,Valida!$A$2:$K$271,4,FALSE)</f>
        <v>Trade and other receivables</v>
      </c>
      <c r="W2647" s="185" t="s">
        <v>1803</v>
      </c>
      <c r="X2647" s="185"/>
      <c r="Y2647" s="185"/>
      <c r="Z2647"/>
    </row>
    <row r="2648" spans="1:26">
      <c r="A2648" s="185" t="s">
        <v>3450</v>
      </c>
      <c r="B2648" s="185" t="s">
        <v>3501</v>
      </c>
      <c r="C2648" s="185" t="s">
        <v>1801</v>
      </c>
      <c r="D2648" s="185" t="s">
        <v>435</v>
      </c>
      <c r="E2648" s="185">
        <v>41559505</v>
      </c>
      <c r="F2648" s="185" t="s">
        <v>1708</v>
      </c>
      <c r="G2648" s="185" t="s">
        <v>3503</v>
      </c>
      <c r="H2648" s="185" t="s">
        <v>1628</v>
      </c>
      <c r="I2648" s="258" t="str">
        <f t="shared" si="124"/>
        <v>4</v>
      </c>
      <c r="J2648" s="221">
        <f t="shared" si="125"/>
        <v>-75126480</v>
      </c>
      <c r="K2648" s="258">
        <f t="shared" si="126"/>
        <v>9</v>
      </c>
      <c r="L2648" s="188">
        <v>0</v>
      </c>
      <c r="M2648" s="188">
        <v>75126480</v>
      </c>
      <c r="N2648" s="189">
        <v>374795</v>
      </c>
      <c r="O2648"/>
      <c r="P2648" s="187">
        <v>45201.430972222202</v>
      </c>
      <c r="Q2648" s="186">
        <v>13816</v>
      </c>
      <c r="R2648" s="185"/>
      <c r="S2648" s="185" t="s">
        <v>1544</v>
      </c>
      <c r="T2648"/>
      <c r="U2648" t="str">
        <f>IF($L2648&gt;0,VLOOKUP($E2648,Valida!$A$1:$G$270,6,FALSE),IF($M2648&gt;=0,VLOOKUP($E2648,Valida!$A$1:$G$270,7,FALSE)))</f>
        <v>(+/-) Ganancia (pérdida)</v>
      </c>
      <c r="V2648" s="190" t="str">
        <f>VLOOKUP(E2648,Valida!$A$2:$K$271,4,FALSE)</f>
        <v>P&amp;L</v>
      </c>
      <c r="W2648" s="185" t="s">
        <v>1803</v>
      </c>
      <c r="X2648" s="185"/>
      <c r="Y2648" s="185"/>
      <c r="Z2648"/>
    </row>
    <row r="2649" spans="1:26">
      <c r="A2649" s="185" t="s">
        <v>3450</v>
      </c>
      <c r="B2649" s="185" t="s">
        <v>3496</v>
      </c>
      <c r="C2649" s="185" t="s">
        <v>2045</v>
      </c>
      <c r="D2649" s="185" t="s">
        <v>3497</v>
      </c>
      <c r="E2649" s="185">
        <v>51352001</v>
      </c>
      <c r="F2649" s="185" t="s">
        <v>1267</v>
      </c>
      <c r="G2649" s="185" t="s">
        <v>3504</v>
      </c>
      <c r="H2649" s="185" t="s">
        <v>1515</v>
      </c>
      <c r="I2649" s="258" t="str">
        <f t="shared" si="124"/>
        <v>5</v>
      </c>
      <c r="J2649" s="221">
        <f t="shared" si="125"/>
        <v>98503.09</v>
      </c>
      <c r="K2649" s="258">
        <f t="shared" si="126"/>
        <v>9</v>
      </c>
      <c r="L2649" s="188">
        <v>98503.09</v>
      </c>
      <c r="M2649" s="188">
        <v>0</v>
      </c>
      <c r="N2649" s="189">
        <v>440493581</v>
      </c>
      <c r="O2649" t="s">
        <v>3499</v>
      </c>
      <c r="P2649" s="187">
        <v>45201.612893518497</v>
      </c>
      <c r="Q2649" s="186">
        <v>13818</v>
      </c>
      <c r="R2649" s="185"/>
      <c r="S2649" s="185" t="s">
        <v>1546</v>
      </c>
      <c r="T2649"/>
      <c r="U2649" t="str">
        <f>IF($L2649&gt;0,VLOOKUP($E2649,Valida!$A$1:$G$270,6,FALSE),IF($M2649&gt;=0,VLOOKUP($E2649,Valida!$A$1:$G$270,7,FALSE)))</f>
        <v>(+/-) Ganancia (pérdida)</v>
      </c>
      <c r="V2649" s="190" t="str">
        <f>VLOOKUP(E2649,Valida!$A$2:$K$271,4,FALSE)</f>
        <v>P&amp;L</v>
      </c>
      <c r="W2649" s="185" t="s">
        <v>1808</v>
      </c>
      <c r="X2649" s="185"/>
      <c r="Y2649" s="185"/>
      <c r="Z2649"/>
    </row>
    <row r="2650" spans="1:26">
      <c r="A2650" s="185" t="s">
        <v>1799</v>
      </c>
      <c r="B2650" s="185" t="s">
        <v>1987</v>
      </c>
      <c r="C2650" s="185" t="s">
        <v>1785</v>
      </c>
      <c r="D2650" s="185" t="s">
        <v>1988</v>
      </c>
      <c r="E2650" s="185">
        <v>219505</v>
      </c>
      <c r="F2650" s="185" t="s">
        <v>1630</v>
      </c>
      <c r="G2650" s="185" t="s">
        <v>3505</v>
      </c>
      <c r="H2650" s="185" t="s">
        <v>1515</v>
      </c>
      <c r="I2650" s="258" t="str">
        <f t="shared" si="124"/>
        <v>2</v>
      </c>
      <c r="J2650" s="221">
        <f t="shared" si="125"/>
        <v>20400000</v>
      </c>
      <c r="K2650" s="258">
        <f t="shared" si="126"/>
        <v>1</v>
      </c>
      <c r="L2650" s="188">
        <v>20400000</v>
      </c>
      <c r="M2650" s="188">
        <v>0</v>
      </c>
      <c r="N2650" s="189">
        <v>1130744136</v>
      </c>
      <c r="O2650" t="s">
        <v>1987</v>
      </c>
      <c r="P2650" s="187">
        <v>45201</v>
      </c>
      <c r="Q2650" s="186">
        <v>13819</v>
      </c>
      <c r="R2650" s="185"/>
      <c r="S2650" s="185" t="s">
        <v>1538</v>
      </c>
      <c r="T2650"/>
      <c r="U2650" t="str">
        <f>IF($L2650&gt;0,VLOOKUP($E2650,Valida!$A$1:$G$270,6,FALSE),IF($M2650&gt;=0,VLOOKUP($E2650,Valida!$A$1:$G$270,7,FALSE)))</f>
        <v>(-) Reembolsos de préstamos</v>
      </c>
      <c r="V2650" s="190" t="str">
        <f>VLOOKUP(E2650,Valida!$A$2:$K$271,4,FALSE)</f>
        <v>short-term borrowings</v>
      </c>
      <c r="W2650" s="185" t="s">
        <v>1909</v>
      </c>
      <c r="X2650" s="185" t="s">
        <v>1910</v>
      </c>
      <c r="Y2650" s="185" t="s">
        <v>1789</v>
      </c>
      <c r="Z2650"/>
    </row>
    <row r="2651" spans="1:26">
      <c r="A2651" s="185" t="s">
        <v>1799</v>
      </c>
      <c r="B2651" s="185" t="s">
        <v>1987</v>
      </c>
      <c r="C2651" s="185" t="s">
        <v>1785</v>
      </c>
      <c r="D2651" s="185" t="s">
        <v>1988</v>
      </c>
      <c r="E2651" s="185">
        <v>132510</v>
      </c>
      <c r="F2651" s="185" t="s">
        <v>116</v>
      </c>
      <c r="G2651" s="185" t="s">
        <v>3505</v>
      </c>
      <c r="H2651" s="185" t="s">
        <v>1628</v>
      </c>
      <c r="I2651" s="258" t="str">
        <f t="shared" si="124"/>
        <v>1</v>
      </c>
      <c r="J2651" s="221">
        <f t="shared" si="125"/>
        <v>-400000</v>
      </c>
      <c r="K2651" s="258">
        <f t="shared" si="126"/>
        <v>1</v>
      </c>
      <c r="L2651" s="188">
        <v>0</v>
      </c>
      <c r="M2651" s="188">
        <v>400000</v>
      </c>
      <c r="N2651" s="189">
        <v>1130744136</v>
      </c>
      <c r="O2651" t="s">
        <v>1987</v>
      </c>
      <c r="P2651" s="187">
        <v>45201</v>
      </c>
      <c r="Q2651" s="186">
        <v>13820</v>
      </c>
      <c r="R2651" s="185"/>
      <c r="S2651" s="185" t="s">
        <v>1538</v>
      </c>
      <c r="T2651"/>
      <c r="U2651" t="str">
        <f>IF($L2651&gt;0,VLOOKUP($E2651,Valida!$A$1:$G$270,6,FALSE),IF($M2651&gt;=0,VLOOKUP($E2651,Valida!$A$1:$G$270,7,FALSE)))</f>
        <v>(+/-) Ajustes por disminuciones (incrementos) en otras cuentas por cobrar derivadas de las actividades de operación</v>
      </c>
      <c r="V2651" s="190" t="str">
        <f>VLOOKUP(E2651,Valida!$A$2:$K$271,4,FALSE)</f>
        <v>Trade and other receivables</v>
      </c>
      <c r="W2651" s="185" t="s">
        <v>1909</v>
      </c>
      <c r="X2651" s="185" t="s">
        <v>1910</v>
      </c>
      <c r="Y2651" s="185" t="s">
        <v>1789</v>
      </c>
      <c r="Z2651"/>
    </row>
    <row r="2652" spans="1:26">
      <c r="A2652" s="185" t="s">
        <v>1799</v>
      </c>
      <c r="B2652" s="185" t="s">
        <v>1987</v>
      </c>
      <c r="C2652" s="185" t="s">
        <v>1785</v>
      </c>
      <c r="D2652" s="185" t="s">
        <v>1988</v>
      </c>
      <c r="E2652" s="185">
        <v>137010</v>
      </c>
      <c r="F2652" s="185" t="s">
        <v>324</v>
      </c>
      <c r="G2652" s="185" t="s">
        <v>3505</v>
      </c>
      <c r="H2652" s="185" t="s">
        <v>1628</v>
      </c>
      <c r="I2652" s="258" t="str">
        <f t="shared" si="124"/>
        <v>1</v>
      </c>
      <c r="J2652" s="221">
        <f t="shared" si="125"/>
        <v>-20000000</v>
      </c>
      <c r="K2652" s="258">
        <f t="shared" si="126"/>
        <v>1</v>
      </c>
      <c r="L2652" s="188">
        <v>0</v>
      </c>
      <c r="M2652" s="188">
        <v>20000000</v>
      </c>
      <c r="N2652" s="189">
        <v>1130744136</v>
      </c>
      <c r="O2652" t="s">
        <v>1987</v>
      </c>
      <c r="P2652" s="187">
        <v>45201</v>
      </c>
      <c r="Q2652" s="186">
        <v>13821</v>
      </c>
      <c r="R2652" s="185"/>
      <c r="S2652" s="185" t="s">
        <v>1538</v>
      </c>
      <c r="T2652"/>
      <c r="U2652" t="str">
        <f>IF($L2652&gt;0,VLOOKUP($E2652,Valida!$A$1:$G$270,6,FALSE),IF($M2652&gt;=0,VLOOKUP($E2652,Valida!$A$1:$G$270,7,FALSE)))</f>
        <v>(+/-) Ajustes por disminuciones (incrementos) en otras cuentas por cobrar derivadas de las actividades de operación</v>
      </c>
      <c r="V2652" s="190" t="str">
        <f>VLOOKUP(E2652,Valida!$A$2:$K$271,4,FALSE)</f>
        <v>Trade and other receivables</v>
      </c>
      <c r="W2652" s="185" t="s">
        <v>1909</v>
      </c>
      <c r="X2652" s="185" t="s">
        <v>1910</v>
      </c>
      <c r="Y2652" s="185" t="s">
        <v>1789</v>
      </c>
      <c r="Z2652"/>
    </row>
    <row r="2653" spans="1:26">
      <c r="A2653" s="185" t="s">
        <v>3471</v>
      </c>
      <c r="B2653" s="185" t="s">
        <v>3506</v>
      </c>
      <c r="C2653" s="185" t="s">
        <v>1949</v>
      </c>
      <c r="D2653" s="185" t="s">
        <v>2607</v>
      </c>
      <c r="E2653" s="185">
        <v>112005</v>
      </c>
      <c r="F2653" s="185" t="s">
        <v>24</v>
      </c>
      <c r="G2653" s="185" t="s">
        <v>3507</v>
      </c>
      <c r="H2653" s="185" t="s">
        <v>1515</v>
      </c>
      <c r="I2653" s="258" t="str">
        <f t="shared" si="124"/>
        <v>1</v>
      </c>
      <c r="J2653" s="221">
        <f t="shared" si="125"/>
        <v>1817333</v>
      </c>
      <c r="K2653" s="258">
        <f t="shared" si="126"/>
        <v>9</v>
      </c>
      <c r="L2653" s="188">
        <v>1817333</v>
      </c>
      <c r="M2653" s="188">
        <v>0</v>
      </c>
      <c r="N2653" s="189">
        <v>800251440</v>
      </c>
      <c r="O2653"/>
      <c r="P2653" s="187">
        <v>45202.427766203698</v>
      </c>
      <c r="Q2653" s="186">
        <v>13822</v>
      </c>
      <c r="R2653" s="185" t="s">
        <v>1901</v>
      </c>
      <c r="S2653" s="185" t="s">
        <v>1560</v>
      </c>
      <c r="T2653" t="s">
        <v>1894</v>
      </c>
      <c r="U2653" t="str">
        <f>IF($L2653&gt;0,VLOOKUP($E2653,Valida!$A$1:$G$270,6,FALSE),IF($M2653&gt;=0,VLOOKUP($E2653,Valida!$A$1:$G$270,7,FALSE)))</f>
        <v>Disponible</v>
      </c>
      <c r="V2653" s="190" t="str">
        <f>VLOOKUP(E2653,Valida!$A$2:$K$271,4,FALSE)</f>
        <v>Cash and equivalents</v>
      </c>
      <c r="W2653" s="185" t="s">
        <v>1902</v>
      </c>
      <c r="X2653" s="185" t="s">
        <v>1903</v>
      </c>
      <c r="Y2653" s="185" t="s">
        <v>1789</v>
      </c>
      <c r="Z2653"/>
    </row>
    <row r="2654" spans="1:26">
      <c r="A2654" s="185" t="s">
        <v>3471</v>
      </c>
      <c r="B2654" s="185" t="s">
        <v>3506</v>
      </c>
      <c r="C2654" s="185" t="s">
        <v>1949</v>
      </c>
      <c r="D2654" s="185" t="s">
        <v>2607</v>
      </c>
      <c r="E2654" s="185">
        <v>510506</v>
      </c>
      <c r="F2654" s="185" t="s">
        <v>1076</v>
      </c>
      <c r="G2654" s="185" t="s">
        <v>3507</v>
      </c>
      <c r="H2654" s="185" t="s">
        <v>1628</v>
      </c>
      <c r="I2654" s="258" t="str">
        <f t="shared" si="124"/>
        <v>5</v>
      </c>
      <c r="J2654" s="221">
        <f t="shared" si="125"/>
        <v>-1817333</v>
      </c>
      <c r="K2654" s="258">
        <f t="shared" si="126"/>
        <v>9</v>
      </c>
      <c r="L2654" s="188">
        <v>0</v>
      </c>
      <c r="M2654" s="188">
        <v>1817333</v>
      </c>
      <c r="N2654" s="189">
        <v>800251440</v>
      </c>
      <c r="O2654"/>
      <c r="P2654" s="187">
        <v>45202.427766203698</v>
      </c>
      <c r="Q2654" s="186">
        <v>13823</v>
      </c>
      <c r="R2654" s="185" t="s">
        <v>1901</v>
      </c>
      <c r="S2654" s="185" t="s">
        <v>1560</v>
      </c>
      <c r="T2654"/>
      <c r="U2654" t="str">
        <f>IF($L2654&gt;0,VLOOKUP($E2654,Valida!$A$1:$G$270,6,FALSE),IF($M2654&gt;=0,VLOOKUP($E2654,Valida!$A$1:$G$270,7,FALSE)))</f>
        <v>(+/-) Ganancia (pérdida)</v>
      </c>
      <c r="V2654" s="190" t="str">
        <f>VLOOKUP(E2654,Valida!$A$2:$K$271,4,FALSE)</f>
        <v>P&amp;L</v>
      </c>
      <c r="W2654" s="185" t="s">
        <v>1902</v>
      </c>
      <c r="X2654" s="185" t="s">
        <v>1903</v>
      </c>
      <c r="Y2654" s="185" t="s">
        <v>1789</v>
      </c>
      <c r="Z2654"/>
    </row>
    <row r="2655" spans="1:26">
      <c r="A2655" s="185" t="s">
        <v>3450</v>
      </c>
      <c r="B2655" s="185" t="s">
        <v>3508</v>
      </c>
      <c r="C2655" s="185" t="s">
        <v>1960</v>
      </c>
      <c r="D2655" s="185" t="s">
        <v>3509</v>
      </c>
      <c r="E2655" s="185">
        <v>112005</v>
      </c>
      <c r="F2655" s="185" t="s">
        <v>24</v>
      </c>
      <c r="G2655" s="185" t="s">
        <v>1961</v>
      </c>
      <c r="H2655" s="185" t="s">
        <v>1515</v>
      </c>
      <c r="I2655" s="258" t="str">
        <f t="shared" si="124"/>
        <v>1</v>
      </c>
      <c r="J2655" s="221">
        <f t="shared" si="125"/>
        <v>24295.96</v>
      </c>
      <c r="K2655" s="258">
        <f t="shared" si="126"/>
        <v>9</v>
      </c>
      <c r="L2655" s="188">
        <v>24295.96</v>
      </c>
      <c r="M2655" s="188">
        <v>0</v>
      </c>
      <c r="N2655" s="189">
        <v>890903938</v>
      </c>
      <c r="O2655"/>
      <c r="P2655" s="187">
        <v>45202.428657407399</v>
      </c>
      <c r="Q2655" s="186">
        <v>13824</v>
      </c>
      <c r="R2655" s="185" t="s">
        <v>1827</v>
      </c>
      <c r="S2655" s="185" t="s">
        <v>1580</v>
      </c>
      <c r="T2655" t="s">
        <v>1894</v>
      </c>
      <c r="U2655" t="str">
        <f>IF($L2655&gt;0,VLOOKUP($E2655,Valida!$A$1:$G$270,6,FALSE),IF($M2655&gt;=0,VLOOKUP($E2655,Valida!$A$1:$G$270,7,FALSE)))</f>
        <v>Disponible</v>
      </c>
      <c r="V2655" s="190" t="str">
        <f>VLOOKUP(E2655,Valida!$A$2:$K$271,4,FALSE)</f>
        <v>Cash and equivalents</v>
      </c>
      <c r="W2655" s="185" t="s">
        <v>1955</v>
      </c>
      <c r="X2655" s="185"/>
      <c r="Y2655" s="185" t="s">
        <v>1844</v>
      </c>
      <c r="Z2655"/>
    </row>
    <row r="2656" spans="1:26">
      <c r="A2656" s="185" t="s">
        <v>3450</v>
      </c>
      <c r="B2656" s="185" t="s">
        <v>3508</v>
      </c>
      <c r="C2656" s="185" t="s">
        <v>1960</v>
      </c>
      <c r="D2656" s="185" t="s">
        <v>3509</v>
      </c>
      <c r="E2656" s="185">
        <v>42100501</v>
      </c>
      <c r="F2656" s="185" t="s">
        <v>1039</v>
      </c>
      <c r="G2656" s="185" t="s">
        <v>1961</v>
      </c>
      <c r="H2656" s="185" t="s">
        <v>1628</v>
      </c>
      <c r="I2656" s="258" t="str">
        <f t="shared" si="124"/>
        <v>4</v>
      </c>
      <c r="J2656" s="221">
        <f t="shared" si="125"/>
        <v>-24295.96</v>
      </c>
      <c r="K2656" s="258">
        <f t="shared" si="126"/>
        <v>9</v>
      </c>
      <c r="L2656" s="188">
        <v>0</v>
      </c>
      <c r="M2656" s="188">
        <v>24295.96</v>
      </c>
      <c r="N2656" s="189">
        <v>890903938</v>
      </c>
      <c r="O2656"/>
      <c r="P2656" s="187">
        <v>45202.428657407399</v>
      </c>
      <c r="Q2656" s="186">
        <v>13825</v>
      </c>
      <c r="R2656" s="185" t="s">
        <v>1827</v>
      </c>
      <c r="S2656" s="185" t="s">
        <v>1580</v>
      </c>
      <c r="T2656"/>
      <c r="U2656" t="str">
        <f>IF($L2656&gt;0,VLOOKUP($E2656,Valida!$A$1:$G$270,6,FALSE),IF($M2656&gt;=0,VLOOKUP($E2656,Valida!$A$1:$G$270,7,FALSE)))</f>
        <v>(+/-) Ganancia (pérdida)</v>
      </c>
      <c r="V2656" s="190" t="str">
        <f>VLOOKUP(E2656,Valida!$A$2:$K$271,4,FALSE)</f>
        <v>P&amp;L</v>
      </c>
      <c r="W2656" s="185" t="s">
        <v>1955</v>
      </c>
      <c r="X2656" s="185"/>
      <c r="Y2656" s="185" t="s">
        <v>1844</v>
      </c>
      <c r="Z2656"/>
    </row>
    <row r="2657" spans="1:26">
      <c r="A2657" s="185" t="s">
        <v>3450</v>
      </c>
      <c r="B2657" s="185" t="s">
        <v>3510</v>
      </c>
      <c r="C2657" s="185" t="s">
        <v>1952</v>
      </c>
      <c r="D2657" s="185" t="s">
        <v>3061</v>
      </c>
      <c r="E2657" s="185">
        <v>53050501</v>
      </c>
      <c r="F2657" s="185" t="s">
        <v>1462</v>
      </c>
      <c r="G2657" s="185" t="s">
        <v>1954</v>
      </c>
      <c r="H2657" s="185" t="s">
        <v>1515</v>
      </c>
      <c r="I2657" s="258" t="str">
        <f t="shared" si="124"/>
        <v>5</v>
      </c>
      <c r="J2657" s="221">
        <f t="shared" si="125"/>
        <v>69200</v>
      </c>
      <c r="K2657" s="258">
        <f t="shared" si="126"/>
        <v>9</v>
      </c>
      <c r="L2657" s="188">
        <v>69200</v>
      </c>
      <c r="M2657" s="188">
        <v>0</v>
      </c>
      <c r="N2657" s="189">
        <v>890903938</v>
      </c>
      <c r="O2657"/>
      <c r="P2657" s="187">
        <v>45202.431250000001</v>
      </c>
      <c r="Q2657" s="186">
        <v>13826</v>
      </c>
      <c r="R2657" s="185" t="s">
        <v>1827</v>
      </c>
      <c r="S2657" s="185" t="s">
        <v>1580</v>
      </c>
      <c r="T2657"/>
      <c r="U2657" t="str">
        <f>IF($L2657&gt;0,VLOOKUP($E2657,Valida!$A$1:$G$270,6,FALSE),IF($M2657&gt;=0,VLOOKUP($E2657,Valida!$A$1:$G$270,7,FALSE)))</f>
        <v>(+/-) Ganancia (pérdida)</v>
      </c>
      <c r="V2657" s="190" t="str">
        <f>VLOOKUP(E2657,Valida!$A$2:$K$271,4,FALSE)</f>
        <v>P&amp;L</v>
      </c>
      <c r="W2657" s="185" t="s">
        <v>1955</v>
      </c>
      <c r="X2657" s="185"/>
      <c r="Y2657" s="185" t="s">
        <v>1844</v>
      </c>
      <c r="Z2657"/>
    </row>
    <row r="2658" spans="1:26">
      <c r="A2658" s="185" t="s">
        <v>3450</v>
      </c>
      <c r="B2658" s="185" t="s">
        <v>3510</v>
      </c>
      <c r="C2658" s="185" t="s">
        <v>1952</v>
      </c>
      <c r="D2658" s="185" t="s">
        <v>3061</v>
      </c>
      <c r="E2658" s="185">
        <v>24081002</v>
      </c>
      <c r="F2658" s="185" t="s">
        <v>1687</v>
      </c>
      <c r="G2658" s="185" t="s">
        <v>1954</v>
      </c>
      <c r="H2658" s="185" t="s">
        <v>1515</v>
      </c>
      <c r="I2658" s="258" t="str">
        <f t="shared" si="124"/>
        <v>2</v>
      </c>
      <c r="J2658" s="221">
        <f t="shared" si="125"/>
        <v>13148</v>
      </c>
      <c r="K2658" s="258">
        <f t="shared" si="126"/>
        <v>9</v>
      </c>
      <c r="L2658" s="188">
        <v>13148</v>
      </c>
      <c r="M2658" s="188">
        <v>0</v>
      </c>
      <c r="N2658" s="189">
        <v>890903938</v>
      </c>
      <c r="O2658"/>
      <c r="P2658" s="187">
        <v>45202.431250000001</v>
      </c>
      <c r="Q2658" s="186">
        <v>13827</v>
      </c>
      <c r="R2658" s="185" t="s">
        <v>1827</v>
      </c>
      <c r="S2658" s="185" t="s">
        <v>1580</v>
      </c>
      <c r="T2658"/>
      <c r="U2658" t="str">
        <f>IF($L2658&gt;0,VLOOKUP($E2658,Valida!$A$1:$G$270,6,FALSE),IF($M2658&gt;=0,VLOOKUP($E2658,Valida!$A$1:$G$270,7,FALSE)))</f>
        <v>(+/-) Ajustes por el incremento (disminución) de cuentas por pagar de origen comercial</v>
      </c>
      <c r="V2658" s="190" t="str">
        <f>VLOOKUP(E2658,Valida!$A$2:$K$271,4,FALSE)</f>
        <v>Trade and other payables</v>
      </c>
      <c r="W2658" s="185" t="s">
        <v>1955</v>
      </c>
      <c r="X2658" s="185"/>
      <c r="Y2658" s="185" t="s">
        <v>1844</v>
      </c>
      <c r="Z2658"/>
    </row>
    <row r="2659" spans="1:26">
      <c r="A2659" s="185" t="s">
        <v>3450</v>
      </c>
      <c r="B2659" s="185" t="s">
        <v>3510</v>
      </c>
      <c r="C2659" s="185" t="s">
        <v>1952</v>
      </c>
      <c r="D2659" s="185" t="s">
        <v>3061</v>
      </c>
      <c r="E2659" s="185">
        <v>112005</v>
      </c>
      <c r="F2659" s="185" t="s">
        <v>24</v>
      </c>
      <c r="G2659" s="185" t="s">
        <v>1954</v>
      </c>
      <c r="H2659" s="185" t="s">
        <v>1628</v>
      </c>
      <c r="I2659" s="258" t="str">
        <f t="shared" si="124"/>
        <v>1</v>
      </c>
      <c r="J2659" s="221">
        <f t="shared" si="125"/>
        <v>-82348</v>
      </c>
      <c r="K2659" s="258">
        <f t="shared" si="126"/>
        <v>9</v>
      </c>
      <c r="L2659" s="188">
        <v>0</v>
      </c>
      <c r="M2659" s="188">
        <v>82348</v>
      </c>
      <c r="N2659" s="189">
        <v>890903938</v>
      </c>
      <c r="O2659"/>
      <c r="P2659" s="187">
        <v>45202.431250000001</v>
      </c>
      <c r="Q2659" s="186">
        <v>13828</v>
      </c>
      <c r="R2659" s="185" t="s">
        <v>1827</v>
      </c>
      <c r="S2659" s="185" t="s">
        <v>1580</v>
      </c>
      <c r="T2659" t="s">
        <v>1894</v>
      </c>
      <c r="U2659" t="str">
        <f>IF($L2659&gt;0,VLOOKUP($E2659,Valida!$A$1:$G$270,6,FALSE),IF($M2659&gt;=0,VLOOKUP($E2659,Valida!$A$1:$G$270,7,FALSE)))</f>
        <v>Disponible</v>
      </c>
      <c r="V2659" s="190" t="str">
        <f>VLOOKUP(E2659,Valida!$A$2:$K$271,4,FALSE)</f>
        <v>Cash and equivalents</v>
      </c>
      <c r="W2659" s="185" t="s">
        <v>1955</v>
      </c>
      <c r="X2659" s="185"/>
      <c r="Y2659" s="185" t="s">
        <v>1844</v>
      </c>
      <c r="Z2659"/>
    </row>
    <row r="2660" spans="1:26">
      <c r="A2660" s="185" t="s">
        <v>3450</v>
      </c>
      <c r="B2660" s="185" t="s">
        <v>3510</v>
      </c>
      <c r="C2660" s="185" t="s">
        <v>1952</v>
      </c>
      <c r="D2660" s="185" t="s">
        <v>3061</v>
      </c>
      <c r="E2660" s="185">
        <v>53050503</v>
      </c>
      <c r="F2660" s="185" t="s">
        <v>1468</v>
      </c>
      <c r="G2660" s="185" t="s">
        <v>1957</v>
      </c>
      <c r="H2660" s="185" t="s">
        <v>1515</v>
      </c>
      <c r="I2660" s="258" t="str">
        <f t="shared" si="124"/>
        <v>5</v>
      </c>
      <c r="J2660" s="221">
        <f t="shared" si="125"/>
        <v>98820</v>
      </c>
      <c r="K2660" s="258">
        <f t="shared" si="126"/>
        <v>9</v>
      </c>
      <c r="L2660" s="188">
        <v>98820</v>
      </c>
      <c r="M2660" s="188">
        <v>0</v>
      </c>
      <c r="N2660" s="189">
        <v>890903938</v>
      </c>
      <c r="O2660"/>
      <c r="P2660" s="187">
        <v>45202.431250000001</v>
      </c>
      <c r="Q2660" s="186">
        <v>13829</v>
      </c>
      <c r="R2660" s="185" t="s">
        <v>1827</v>
      </c>
      <c r="S2660" s="185" t="s">
        <v>1580</v>
      </c>
      <c r="T2660"/>
      <c r="U2660" t="str">
        <f>IF($L2660&gt;0,VLOOKUP($E2660,Valida!$A$1:$G$270,6,FALSE),IF($M2660&gt;=0,VLOOKUP($E2660,Valida!$A$1:$G$270,7,FALSE)))</f>
        <v>(+/-) Ganancia (pérdida)</v>
      </c>
      <c r="V2660" s="190" t="str">
        <f>VLOOKUP(E2660,Valida!$A$2:$K$271,4,FALSE)</f>
        <v>P&amp;L</v>
      </c>
      <c r="W2660" s="185" t="s">
        <v>1955</v>
      </c>
      <c r="X2660" s="185"/>
      <c r="Y2660" s="185" t="s">
        <v>1844</v>
      </c>
      <c r="Z2660"/>
    </row>
    <row r="2661" spans="1:26">
      <c r="A2661" s="185" t="s">
        <v>3450</v>
      </c>
      <c r="B2661" s="185" t="s">
        <v>3510</v>
      </c>
      <c r="C2661" s="185" t="s">
        <v>1952</v>
      </c>
      <c r="D2661" s="185" t="s">
        <v>3061</v>
      </c>
      <c r="E2661" s="185">
        <v>24081002</v>
      </c>
      <c r="F2661" s="185" t="s">
        <v>1687</v>
      </c>
      <c r="G2661" s="185" t="s">
        <v>1957</v>
      </c>
      <c r="H2661" s="185" t="s">
        <v>1515</v>
      </c>
      <c r="I2661" s="258" t="str">
        <f t="shared" si="124"/>
        <v>2</v>
      </c>
      <c r="J2661" s="221">
        <f t="shared" si="125"/>
        <v>18775.8</v>
      </c>
      <c r="K2661" s="258">
        <f t="shared" si="126"/>
        <v>9</v>
      </c>
      <c r="L2661" s="188">
        <v>18775.8</v>
      </c>
      <c r="M2661" s="188">
        <v>0</v>
      </c>
      <c r="N2661" s="189">
        <v>890903938</v>
      </c>
      <c r="O2661"/>
      <c r="P2661" s="187">
        <v>45202.431250000001</v>
      </c>
      <c r="Q2661" s="186">
        <v>13830</v>
      </c>
      <c r="R2661" s="185" t="s">
        <v>1827</v>
      </c>
      <c r="S2661" s="185" t="s">
        <v>1580</v>
      </c>
      <c r="T2661"/>
      <c r="U2661" t="str">
        <f>IF($L2661&gt;0,VLOOKUP($E2661,Valida!$A$1:$G$270,6,FALSE),IF($M2661&gt;=0,VLOOKUP($E2661,Valida!$A$1:$G$270,7,FALSE)))</f>
        <v>(+/-) Ajustes por el incremento (disminución) de cuentas por pagar de origen comercial</v>
      </c>
      <c r="V2661" s="190" t="str">
        <f>VLOOKUP(E2661,Valida!$A$2:$K$271,4,FALSE)</f>
        <v>Trade and other payables</v>
      </c>
      <c r="W2661" s="185" t="s">
        <v>1955</v>
      </c>
      <c r="X2661" s="185"/>
      <c r="Y2661" s="185" t="s">
        <v>1844</v>
      </c>
      <c r="Z2661"/>
    </row>
    <row r="2662" spans="1:26">
      <c r="A2662" s="185" t="s">
        <v>3450</v>
      </c>
      <c r="B2662" s="185" t="s">
        <v>3510</v>
      </c>
      <c r="C2662" s="185" t="s">
        <v>1952</v>
      </c>
      <c r="D2662" s="185" t="s">
        <v>3061</v>
      </c>
      <c r="E2662" s="185">
        <v>112005</v>
      </c>
      <c r="F2662" s="185" t="s">
        <v>24</v>
      </c>
      <c r="G2662" s="185" t="s">
        <v>1957</v>
      </c>
      <c r="H2662" s="185" t="s">
        <v>1628</v>
      </c>
      <c r="I2662" s="258" t="str">
        <f t="shared" si="124"/>
        <v>1</v>
      </c>
      <c r="J2662" s="221">
        <f t="shared" si="125"/>
        <v>-117595.8</v>
      </c>
      <c r="K2662" s="258">
        <f t="shared" si="126"/>
        <v>9</v>
      </c>
      <c r="L2662" s="188">
        <v>0</v>
      </c>
      <c r="M2662" s="188">
        <v>117595.8</v>
      </c>
      <c r="N2662" s="189">
        <v>890903938</v>
      </c>
      <c r="O2662"/>
      <c r="P2662" s="187">
        <v>45202.431250000001</v>
      </c>
      <c r="Q2662" s="186">
        <v>13831</v>
      </c>
      <c r="R2662" s="185" t="s">
        <v>1827</v>
      </c>
      <c r="S2662" s="185" t="s">
        <v>1580</v>
      </c>
      <c r="T2662" t="s">
        <v>1894</v>
      </c>
      <c r="U2662" t="str">
        <f>IF($L2662&gt;0,VLOOKUP($E2662,Valida!$A$1:$G$270,6,FALSE),IF($M2662&gt;=0,VLOOKUP($E2662,Valida!$A$1:$G$270,7,FALSE)))</f>
        <v>Disponible</v>
      </c>
      <c r="V2662" s="190" t="str">
        <f>VLOOKUP(E2662,Valida!$A$2:$K$271,4,FALSE)</f>
        <v>Cash and equivalents</v>
      </c>
      <c r="W2662" s="185" t="s">
        <v>1955</v>
      </c>
      <c r="X2662" s="185"/>
      <c r="Y2662" s="185" t="s">
        <v>1844</v>
      </c>
      <c r="Z2662"/>
    </row>
    <row r="2663" spans="1:26">
      <c r="A2663" s="185" t="s">
        <v>3450</v>
      </c>
      <c r="B2663" s="185" t="s">
        <v>3510</v>
      </c>
      <c r="C2663" s="185" t="s">
        <v>1952</v>
      </c>
      <c r="D2663" s="185" t="s">
        <v>3061</v>
      </c>
      <c r="E2663" s="185">
        <v>53050502</v>
      </c>
      <c r="F2663" s="185" t="s">
        <v>1465</v>
      </c>
      <c r="G2663" s="185" t="s">
        <v>1466</v>
      </c>
      <c r="H2663" s="185" t="s">
        <v>1515</v>
      </c>
      <c r="I2663" s="258" t="str">
        <f t="shared" si="124"/>
        <v>5</v>
      </c>
      <c r="J2663" s="221">
        <f t="shared" si="125"/>
        <v>12990</v>
      </c>
      <c r="K2663" s="258">
        <f t="shared" si="126"/>
        <v>9</v>
      </c>
      <c r="L2663" s="188">
        <v>12990</v>
      </c>
      <c r="M2663" s="188">
        <v>0</v>
      </c>
      <c r="N2663" s="189">
        <v>890903938</v>
      </c>
      <c r="O2663"/>
      <c r="P2663" s="187">
        <v>45202.431250000001</v>
      </c>
      <c r="Q2663" s="186">
        <v>13832</v>
      </c>
      <c r="R2663" s="185" t="s">
        <v>1827</v>
      </c>
      <c r="S2663" s="185" t="s">
        <v>1580</v>
      </c>
      <c r="T2663"/>
      <c r="U2663" t="str">
        <f>IF($L2663&gt;0,VLOOKUP($E2663,Valida!$A$1:$G$270,6,FALSE),IF($M2663&gt;=0,VLOOKUP($E2663,Valida!$A$1:$G$270,7,FALSE)))</f>
        <v>(+/-) Ganancia (pérdida)</v>
      </c>
      <c r="V2663" s="190" t="str">
        <f>VLOOKUP(E2663,Valida!$A$2:$K$271,4,FALSE)</f>
        <v>P&amp;L</v>
      </c>
      <c r="W2663" s="185" t="s">
        <v>1955</v>
      </c>
      <c r="X2663" s="185"/>
      <c r="Y2663" s="185" t="s">
        <v>1844</v>
      </c>
      <c r="Z2663"/>
    </row>
    <row r="2664" spans="1:26">
      <c r="A2664" s="185" t="s">
        <v>3450</v>
      </c>
      <c r="B2664" s="185" t="s">
        <v>3510</v>
      </c>
      <c r="C2664" s="185" t="s">
        <v>1952</v>
      </c>
      <c r="D2664" s="185" t="s">
        <v>3061</v>
      </c>
      <c r="E2664" s="185">
        <v>112005</v>
      </c>
      <c r="F2664" s="185" t="s">
        <v>24</v>
      </c>
      <c r="G2664" s="185" t="s">
        <v>1466</v>
      </c>
      <c r="H2664" s="185" t="s">
        <v>1628</v>
      </c>
      <c r="I2664" s="258" t="str">
        <f t="shared" si="124"/>
        <v>1</v>
      </c>
      <c r="J2664" s="221">
        <f t="shared" si="125"/>
        <v>-12990</v>
      </c>
      <c r="K2664" s="258">
        <f t="shared" si="126"/>
        <v>9</v>
      </c>
      <c r="L2664" s="188">
        <v>0</v>
      </c>
      <c r="M2664" s="188">
        <v>12990</v>
      </c>
      <c r="N2664" s="189">
        <v>890903938</v>
      </c>
      <c r="O2664"/>
      <c r="P2664" s="187">
        <v>45202.431250000001</v>
      </c>
      <c r="Q2664" s="186">
        <v>13833</v>
      </c>
      <c r="R2664" s="185" t="s">
        <v>1827</v>
      </c>
      <c r="S2664" s="185" t="s">
        <v>1580</v>
      </c>
      <c r="T2664" t="s">
        <v>1894</v>
      </c>
      <c r="U2664" t="str">
        <f>IF($L2664&gt;0,VLOOKUP($E2664,Valida!$A$1:$G$270,6,FALSE),IF($M2664&gt;=0,VLOOKUP($E2664,Valida!$A$1:$G$270,7,FALSE)))</f>
        <v>Disponible</v>
      </c>
      <c r="V2664" s="190" t="str">
        <f>VLOOKUP(E2664,Valida!$A$2:$K$271,4,FALSE)</f>
        <v>Cash and equivalents</v>
      </c>
      <c r="W2664" s="185" t="s">
        <v>1955</v>
      </c>
      <c r="X2664" s="185"/>
      <c r="Y2664" s="185" t="s">
        <v>1844</v>
      </c>
      <c r="Z2664"/>
    </row>
    <row r="2665" spans="1:26">
      <c r="A2665" s="185" t="s">
        <v>3450</v>
      </c>
      <c r="B2665" s="185" t="s">
        <v>3510</v>
      </c>
      <c r="C2665" s="185" t="s">
        <v>1952</v>
      </c>
      <c r="D2665" s="185" t="s">
        <v>3061</v>
      </c>
      <c r="E2665" s="185">
        <v>51159501</v>
      </c>
      <c r="F2665" s="185" t="s">
        <v>1181</v>
      </c>
      <c r="G2665" s="185" t="s">
        <v>1958</v>
      </c>
      <c r="H2665" s="185" t="s">
        <v>1515</v>
      </c>
      <c r="I2665" s="258" t="str">
        <f t="shared" si="124"/>
        <v>5</v>
      </c>
      <c r="J2665" s="221">
        <f t="shared" si="125"/>
        <v>226565.65</v>
      </c>
      <c r="K2665" s="258">
        <f t="shared" si="126"/>
        <v>9</v>
      </c>
      <c r="L2665" s="188">
        <v>226565.65</v>
      </c>
      <c r="M2665" s="188">
        <v>0</v>
      </c>
      <c r="N2665" s="189">
        <v>890903938</v>
      </c>
      <c r="O2665"/>
      <c r="P2665" s="187">
        <v>45202.431250000001</v>
      </c>
      <c r="Q2665" s="186">
        <v>13834</v>
      </c>
      <c r="R2665" s="185" t="s">
        <v>1827</v>
      </c>
      <c r="S2665" s="185" t="s">
        <v>1580</v>
      </c>
      <c r="T2665"/>
      <c r="U2665" t="str">
        <f>IF($L2665&gt;0,VLOOKUP($E2665,Valida!$A$1:$G$270,6,FALSE),IF($M2665&gt;=0,VLOOKUP($E2665,Valida!$A$1:$G$270,7,FALSE)))</f>
        <v>(+/-) Ganancia (pérdida)</v>
      </c>
      <c r="V2665" s="190" t="str">
        <f>VLOOKUP(E2665,Valida!$A$2:$K$271,4,FALSE)</f>
        <v>P&amp;L</v>
      </c>
      <c r="W2665" s="185" t="s">
        <v>1955</v>
      </c>
      <c r="X2665" s="185"/>
      <c r="Y2665" s="185" t="s">
        <v>1844</v>
      </c>
      <c r="Z2665"/>
    </row>
    <row r="2666" spans="1:26">
      <c r="A2666" s="185" t="s">
        <v>3450</v>
      </c>
      <c r="B2666" s="185" t="s">
        <v>3510</v>
      </c>
      <c r="C2666" s="185" t="s">
        <v>1952</v>
      </c>
      <c r="D2666" s="185" t="s">
        <v>3061</v>
      </c>
      <c r="E2666" s="185">
        <v>112005</v>
      </c>
      <c r="F2666" s="185" t="s">
        <v>24</v>
      </c>
      <c r="G2666" s="185" t="s">
        <v>1958</v>
      </c>
      <c r="H2666" s="185" t="s">
        <v>1628</v>
      </c>
      <c r="I2666" s="258" t="str">
        <f t="shared" si="124"/>
        <v>1</v>
      </c>
      <c r="J2666" s="221">
        <f t="shared" si="125"/>
        <v>-226565.65</v>
      </c>
      <c r="K2666" s="258">
        <f t="shared" si="126"/>
        <v>9</v>
      </c>
      <c r="L2666" s="188">
        <v>0</v>
      </c>
      <c r="M2666" s="188">
        <v>226565.65</v>
      </c>
      <c r="N2666" s="189">
        <v>890903938</v>
      </c>
      <c r="O2666"/>
      <c r="P2666" s="187">
        <v>45202.431250000001</v>
      </c>
      <c r="Q2666" s="186">
        <v>13835</v>
      </c>
      <c r="R2666" s="185" t="s">
        <v>1827</v>
      </c>
      <c r="S2666" s="185" t="s">
        <v>1580</v>
      </c>
      <c r="T2666" t="s">
        <v>1894</v>
      </c>
      <c r="U2666" t="str">
        <f>IF($L2666&gt;0,VLOOKUP($E2666,Valida!$A$1:$G$270,6,FALSE),IF($M2666&gt;=0,VLOOKUP($E2666,Valida!$A$1:$G$270,7,FALSE)))</f>
        <v>Disponible</v>
      </c>
      <c r="V2666" s="190" t="str">
        <f>VLOOKUP(E2666,Valida!$A$2:$K$271,4,FALSE)</f>
        <v>Cash and equivalents</v>
      </c>
      <c r="W2666" s="185" t="s">
        <v>1955</v>
      </c>
      <c r="X2666" s="185"/>
      <c r="Y2666" s="185" t="s">
        <v>1844</v>
      </c>
      <c r="Z2666"/>
    </row>
    <row r="2667" spans="1:26">
      <c r="A2667" s="185" t="s">
        <v>2879</v>
      </c>
      <c r="B2667" s="185" t="s">
        <v>2921</v>
      </c>
      <c r="C2667" s="185" t="s">
        <v>1991</v>
      </c>
      <c r="D2667" s="185" t="s">
        <v>2922</v>
      </c>
      <c r="E2667" s="185">
        <v>54050501</v>
      </c>
      <c r="F2667" s="185" t="s">
        <v>1760</v>
      </c>
      <c r="G2667" s="185" t="s">
        <v>3511</v>
      </c>
      <c r="H2667" s="185" t="s">
        <v>1515</v>
      </c>
      <c r="I2667" s="258" t="str">
        <f t="shared" si="124"/>
        <v>5</v>
      </c>
      <c r="J2667" s="221">
        <f t="shared" si="125"/>
        <v>5410000</v>
      </c>
      <c r="K2667" s="258">
        <f t="shared" si="126"/>
        <v>6</v>
      </c>
      <c r="L2667" s="188">
        <v>5410000</v>
      </c>
      <c r="M2667" s="188">
        <v>0</v>
      </c>
      <c r="N2667" s="189">
        <v>800197268</v>
      </c>
      <c r="O2667" t="s">
        <v>2921</v>
      </c>
      <c r="P2667" s="187">
        <v>45203</v>
      </c>
      <c r="Q2667" s="186">
        <v>13836</v>
      </c>
      <c r="R2667" s="185" t="s">
        <v>983</v>
      </c>
      <c r="S2667" s="185" t="s">
        <v>1558</v>
      </c>
      <c r="T2667"/>
      <c r="U2667" t="str">
        <f>IF($L2667&gt;0,VLOOKUP($E2667,Valida!$A$1:$G$270,6,FALSE),IF($M2667&gt;=0,VLOOKUP($E2667,Valida!$A$1:$G$270,7,FALSE)))</f>
        <v>(+/-) Ganancia (pérdida)</v>
      </c>
      <c r="V2667" s="190" t="str">
        <f>VLOOKUP(E2667,Valida!$A$2:$K$271,4,FALSE)</f>
        <v>P&amp;L</v>
      </c>
      <c r="W2667" s="185" t="s">
        <v>1944</v>
      </c>
      <c r="X2667" s="185"/>
      <c r="Y2667" s="185" t="s">
        <v>1789</v>
      </c>
      <c r="Z2667"/>
    </row>
    <row r="2668" spans="1:26">
      <c r="A2668" s="185" t="s">
        <v>2879</v>
      </c>
      <c r="B2668" s="185" t="s">
        <v>2921</v>
      </c>
      <c r="C2668" s="185" t="s">
        <v>1991</v>
      </c>
      <c r="D2668" s="185" t="s">
        <v>2922</v>
      </c>
      <c r="E2668" s="185">
        <v>240405</v>
      </c>
      <c r="F2668" s="185" t="s">
        <v>732</v>
      </c>
      <c r="G2668" s="185" t="s">
        <v>3511</v>
      </c>
      <c r="H2668" s="185" t="s">
        <v>1628</v>
      </c>
      <c r="I2668" s="258" t="str">
        <f t="shared" si="124"/>
        <v>2</v>
      </c>
      <c r="J2668" s="221">
        <f t="shared" si="125"/>
        <v>-5410000</v>
      </c>
      <c r="K2668" s="258">
        <f t="shared" si="126"/>
        <v>6</v>
      </c>
      <c r="L2668" s="188">
        <v>0</v>
      </c>
      <c r="M2668" s="188">
        <v>5410000</v>
      </c>
      <c r="N2668" s="189">
        <v>800197268</v>
      </c>
      <c r="O2668" t="s">
        <v>2921</v>
      </c>
      <c r="P2668" s="187">
        <v>45203</v>
      </c>
      <c r="Q2668" s="186">
        <v>13837</v>
      </c>
      <c r="R2668" s="185" t="s">
        <v>983</v>
      </c>
      <c r="S2668" s="185" t="s">
        <v>1558</v>
      </c>
      <c r="T2668"/>
      <c r="U2668" t="str">
        <f>IF($L2668&gt;0,VLOOKUP($E2668,Valida!$A$1:$G$270,6,FALSE),IF($M2668&gt;=0,VLOOKUP($E2668,Valida!$A$1:$G$270,7,FALSE)))</f>
        <v>(+/-) Ajustes por el incremento (disminución) de cuentas por pagar de origen comercial</v>
      </c>
      <c r="V2668" s="190" t="str">
        <f>VLOOKUP(E2668,Valida!$A$2:$K$271,4,FALSE)</f>
        <v>Trade and other payables</v>
      </c>
      <c r="W2668" s="185" t="s">
        <v>1944</v>
      </c>
      <c r="X2668" s="185"/>
      <c r="Y2668" s="185" t="s">
        <v>1789</v>
      </c>
      <c r="Z2668"/>
    </row>
    <row r="2669" spans="1:26">
      <c r="A2669" s="185" t="s">
        <v>3042</v>
      </c>
      <c r="B2669" s="185" t="s">
        <v>3079</v>
      </c>
      <c r="C2669" s="185" t="s">
        <v>1991</v>
      </c>
      <c r="D2669" s="185" t="s">
        <v>3080</v>
      </c>
      <c r="E2669" s="185">
        <v>54050501</v>
      </c>
      <c r="F2669" s="185" t="s">
        <v>1760</v>
      </c>
      <c r="G2669" s="185" t="s">
        <v>3511</v>
      </c>
      <c r="H2669" s="185" t="s">
        <v>1515</v>
      </c>
      <c r="I2669" s="258" t="str">
        <f t="shared" si="124"/>
        <v>5</v>
      </c>
      <c r="J2669" s="221">
        <f t="shared" si="125"/>
        <v>13750000</v>
      </c>
      <c r="K2669" s="258">
        <f t="shared" si="126"/>
        <v>7</v>
      </c>
      <c r="L2669" s="188">
        <v>13750000</v>
      </c>
      <c r="M2669" s="188">
        <v>0</v>
      </c>
      <c r="N2669" s="189">
        <v>800197268</v>
      </c>
      <c r="O2669"/>
      <c r="P2669" s="187">
        <v>45203</v>
      </c>
      <c r="Q2669" s="186">
        <v>13838</v>
      </c>
      <c r="R2669" s="185" t="s">
        <v>983</v>
      </c>
      <c r="S2669" s="185" t="s">
        <v>1558</v>
      </c>
      <c r="T2669"/>
      <c r="U2669" t="str">
        <f>IF($L2669&gt;0,VLOOKUP($E2669,Valida!$A$1:$G$270,6,FALSE),IF($M2669&gt;=0,VLOOKUP($E2669,Valida!$A$1:$G$270,7,FALSE)))</f>
        <v>(+/-) Ganancia (pérdida)</v>
      </c>
      <c r="V2669" s="190" t="str">
        <f>VLOOKUP(E2669,Valida!$A$2:$K$271,4,FALSE)</f>
        <v>P&amp;L</v>
      </c>
      <c r="W2669" s="185" t="s">
        <v>1944</v>
      </c>
      <c r="X2669" s="185"/>
      <c r="Y2669" s="185" t="s">
        <v>1789</v>
      </c>
      <c r="Z2669"/>
    </row>
    <row r="2670" spans="1:26">
      <c r="A2670" s="185" t="s">
        <v>3042</v>
      </c>
      <c r="B2670" s="185" t="s">
        <v>3079</v>
      </c>
      <c r="C2670" s="185" t="s">
        <v>1991</v>
      </c>
      <c r="D2670" s="185" t="s">
        <v>3080</v>
      </c>
      <c r="E2670" s="185">
        <v>240405</v>
      </c>
      <c r="F2670" s="185" t="s">
        <v>732</v>
      </c>
      <c r="G2670" s="185" t="s">
        <v>3511</v>
      </c>
      <c r="H2670" s="185" t="s">
        <v>1628</v>
      </c>
      <c r="I2670" s="258" t="str">
        <f t="shared" si="124"/>
        <v>2</v>
      </c>
      <c r="J2670" s="221">
        <f t="shared" si="125"/>
        <v>-13750000</v>
      </c>
      <c r="K2670" s="258">
        <f t="shared" si="126"/>
        <v>7</v>
      </c>
      <c r="L2670" s="188">
        <v>0</v>
      </c>
      <c r="M2670" s="188">
        <v>13750000</v>
      </c>
      <c r="N2670" s="189">
        <v>800197268</v>
      </c>
      <c r="O2670"/>
      <c r="P2670" s="187">
        <v>45203</v>
      </c>
      <c r="Q2670" s="186">
        <v>13839</v>
      </c>
      <c r="R2670" s="185" t="s">
        <v>983</v>
      </c>
      <c r="S2670" s="185" t="s">
        <v>1558</v>
      </c>
      <c r="T2670"/>
      <c r="U2670" t="str">
        <f>IF($L2670&gt;0,VLOOKUP($E2670,Valida!$A$1:$G$270,6,FALSE),IF($M2670&gt;=0,VLOOKUP($E2670,Valida!$A$1:$G$270,7,FALSE)))</f>
        <v>(+/-) Ajustes por el incremento (disminución) de cuentas por pagar de origen comercial</v>
      </c>
      <c r="V2670" s="190" t="str">
        <f>VLOOKUP(E2670,Valida!$A$2:$K$271,4,FALSE)</f>
        <v>Trade and other payables</v>
      </c>
      <c r="W2670" s="185" t="s">
        <v>1944</v>
      </c>
      <c r="X2670" s="185"/>
      <c r="Y2670" s="185" t="s">
        <v>1789</v>
      </c>
      <c r="Z2670"/>
    </row>
    <row r="2671" spans="1:26">
      <c r="A2671" s="185" t="s">
        <v>3264</v>
      </c>
      <c r="B2671" s="185" t="s">
        <v>3321</v>
      </c>
      <c r="C2671" s="185" t="s">
        <v>1991</v>
      </c>
      <c r="D2671" s="185" t="s">
        <v>3322</v>
      </c>
      <c r="E2671" s="185">
        <v>54050501</v>
      </c>
      <c r="F2671" s="185" t="s">
        <v>1760</v>
      </c>
      <c r="G2671" s="185" t="s">
        <v>3511</v>
      </c>
      <c r="H2671" s="185" t="s">
        <v>1515</v>
      </c>
      <c r="I2671" s="258" t="str">
        <f t="shared" si="124"/>
        <v>5</v>
      </c>
      <c r="J2671" s="221">
        <f t="shared" si="125"/>
        <v>25507000</v>
      </c>
      <c r="K2671" s="258">
        <f t="shared" si="126"/>
        <v>8</v>
      </c>
      <c r="L2671" s="188">
        <v>25507000</v>
      </c>
      <c r="M2671" s="188">
        <v>0</v>
      </c>
      <c r="N2671" s="189">
        <v>800197268</v>
      </c>
      <c r="O2671"/>
      <c r="P2671" s="187">
        <v>45203</v>
      </c>
      <c r="Q2671" s="186">
        <v>13840</v>
      </c>
      <c r="R2671" s="185" t="s">
        <v>983</v>
      </c>
      <c r="S2671" s="185" t="s">
        <v>1558</v>
      </c>
      <c r="T2671"/>
      <c r="U2671" t="str">
        <f>IF($L2671&gt;0,VLOOKUP($E2671,Valida!$A$1:$G$270,6,FALSE),IF($M2671&gt;=0,VLOOKUP($E2671,Valida!$A$1:$G$270,7,FALSE)))</f>
        <v>(+/-) Ganancia (pérdida)</v>
      </c>
      <c r="V2671" s="190" t="str">
        <f>VLOOKUP(E2671,Valida!$A$2:$K$271,4,FALSE)</f>
        <v>P&amp;L</v>
      </c>
      <c r="W2671" s="185" t="s">
        <v>1944</v>
      </c>
      <c r="X2671" s="185"/>
      <c r="Y2671" s="185" t="s">
        <v>1789</v>
      </c>
      <c r="Z2671"/>
    </row>
    <row r="2672" spans="1:26">
      <c r="A2672" s="185" t="s">
        <v>3264</v>
      </c>
      <c r="B2672" s="185" t="s">
        <v>3321</v>
      </c>
      <c r="C2672" s="185" t="s">
        <v>1991</v>
      </c>
      <c r="D2672" s="185" t="s">
        <v>3322</v>
      </c>
      <c r="E2672" s="185">
        <v>240405</v>
      </c>
      <c r="F2672" s="185" t="s">
        <v>732</v>
      </c>
      <c r="G2672" s="185" t="s">
        <v>3511</v>
      </c>
      <c r="H2672" s="185" t="s">
        <v>1628</v>
      </c>
      <c r="I2672" s="258" t="str">
        <f t="shared" si="124"/>
        <v>2</v>
      </c>
      <c r="J2672" s="221">
        <f t="shared" si="125"/>
        <v>-25507000</v>
      </c>
      <c r="K2672" s="258">
        <f t="shared" si="126"/>
        <v>8</v>
      </c>
      <c r="L2672" s="188">
        <v>0</v>
      </c>
      <c r="M2672" s="188">
        <v>25507000</v>
      </c>
      <c r="N2672" s="189">
        <v>800197268</v>
      </c>
      <c r="O2672"/>
      <c r="P2672" s="187">
        <v>45203</v>
      </c>
      <c r="Q2672" s="186">
        <v>13841</v>
      </c>
      <c r="R2672" s="185" t="s">
        <v>983</v>
      </c>
      <c r="S2672" s="185" t="s">
        <v>1558</v>
      </c>
      <c r="T2672"/>
      <c r="U2672" t="str">
        <f>IF($L2672&gt;0,VLOOKUP($E2672,Valida!$A$1:$G$270,6,FALSE),IF($M2672&gt;=0,VLOOKUP($E2672,Valida!$A$1:$G$270,7,FALSE)))</f>
        <v>(+/-) Ajustes por el incremento (disminución) de cuentas por pagar de origen comercial</v>
      </c>
      <c r="V2672" s="190" t="str">
        <f>VLOOKUP(E2672,Valida!$A$2:$K$271,4,FALSE)</f>
        <v>Trade and other payables</v>
      </c>
      <c r="W2672" s="185" t="s">
        <v>1944</v>
      </c>
      <c r="X2672" s="185"/>
      <c r="Y2672" s="185" t="s">
        <v>1789</v>
      </c>
      <c r="Z2672"/>
    </row>
    <row r="2673" spans="1:26">
      <c r="A2673" s="185" t="s">
        <v>3450</v>
      </c>
      <c r="B2673" s="185" t="s">
        <v>3512</v>
      </c>
      <c r="C2673" s="185" t="s">
        <v>1991</v>
      </c>
      <c r="D2673" s="185" t="s">
        <v>3513</v>
      </c>
      <c r="E2673" s="185">
        <v>54050501</v>
      </c>
      <c r="F2673" s="185" t="s">
        <v>1760</v>
      </c>
      <c r="G2673" s="185" t="s">
        <v>3511</v>
      </c>
      <c r="H2673" s="185" t="s">
        <v>1515</v>
      </c>
      <c r="I2673" s="258" t="str">
        <f t="shared" si="124"/>
        <v>5</v>
      </c>
      <c r="J2673" s="221">
        <f t="shared" si="125"/>
        <v>6094000</v>
      </c>
      <c r="K2673" s="258">
        <f t="shared" si="126"/>
        <v>9</v>
      </c>
      <c r="L2673" s="188">
        <v>6094000</v>
      </c>
      <c r="M2673" s="188">
        <v>0</v>
      </c>
      <c r="N2673" s="189">
        <v>800197268</v>
      </c>
      <c r="O2673"/>
      <c r="P2673" s="187">
        <v>45203.359768518501</v>
      </c>
      <c r="Q2673" s="186">
        <v>13842</v>
      </c>
      <c r="R2673" s="185" t="s">
        <v>983</v>
      </c>
      <c r="S2673" s="185" t="s">
        <v>1558</v>
      </c>
      <c r="T2673"/>
      <c r="U2673" t="str">
        <f>IF($L2673&gt;0,VLOOKUP($E2673,Valida!$A$1:$G$270,6,FALSE),IF($M2673&gt;=0,VLOOKUP($E2673,Valida!$A$1:$G$270,7,FALSE)))</f>
        <v>(+/-) Ganancia (pérdida)</v>
      </c>
      <c r="V2673" s="190" t="str">
        <f>VLOOKUP(E2673,Valida!$A$2:$K$271,4,FALSE)</f>
        <v>P&amp;L</v>
      </c>
      <c r="W2673" s="185" t="s">
        <v>1944</v>
      </c>
      <c r="X2673" s="185"/>
      <c r="Y2673" s="185" t="s">
        <v>1789</v>
      </c>
      <c r="Z2673"/>
    </row>
    <row r="2674" spans="1:26">
      <c r="A2674" s="185" t="s">
        <v>3450</v>
      </c>
      <c r="B2674" s="185" t="s">
        <v>3512</v>
      </c>
      <c r="C2674" s="185" t="s">
        <v>1991</v>
      </c>
      <c r="D2674" s="185" t="s">
        <v>3513</v>
      </c>
      <c r="E2674" s="185">
        <v>240405</v>
      </c>
      <c r="F2674" s="185" t="s">
        <v>732</v>
      </c>
      <c r="G2674" s="185" t="s">
        <v>3511</v>
      </c>
      <c r="H2674" s="185" t="s">
        <v>1628</v>
      </c>
      <c r="I2674" s="258" t="str">
        <f t="shared" si="124"/>
        <v>2</v>
      </c>
      <c r="J2674" s="221">
        <f t="shared" si="125"/>
        <v>-6094000</v>
      </c>
      <c r="K2674" s="258">
        <f t="shared" si="126"/>
        <v>9</v>
      </c>
      <c r="L2674" s="188">
        <v>0</v>
      </c>
      <c r="M2674" s="188">
        <v>6094000</v>
      </c>
      <c r="N2674" s="189">
        <v>800197268</v>
      </c>
      <c r="O2674"/>
      <c r="P2674" s="187">
        <v>45203.359768518501</v>
      </c>
      <c r="Q2674" s="186">
        <v>13843</v>
      </c>
      <c r="R2674" s="185" t="s">
        <v>983</v>
      </c>
      <c r="S2674" s="185" t="s">
        <v>1558</v>
      </c>
      <c r="T2674"/>
      <c r="U2674" t="str">
        <f>IF($L2674&gt;0,VLOOKUP($E2674,Valida!$A$1:$G$270,6,FALSE),IF($M2674&gt;=0,VLOOKUP($E2674,Valida!$A$1:$G$270,7,FALSE)))</f>
        <v>(+/-) Ajustes por el incremento (disminución) de cuentas por pagar de origen comercial</v>
      </c>
      <c r="V2674" s="190" t="str">
        <f>VLOOKUP(E2674,Valida!$A$2:$K$271,4,FALSE)</f>
        <v>Trade and other payables</v>
      </c>
      <c r="W2674" s="185" t="s">
        <v>1944</v>
      </c>
      <c r="X2674" s="185"/>
      <c r="Y2674" s="185" t="s">
        <v>1789</v>
      </c>
      <c r="Z2674"/>
    </row>
    <row r="2675" spans="1:26">
      <c r="A2675" s="185" t="s">
        <v>3450</v>
      </c>
      <c r="B2675" s="185" t="s">
        <v>3514</v>
      </c>
      <c r="C2675" s="185" t="s">
        <v>1991</v>
      </c>
      <c r="D2675" s="185" t="s">
        <v>3515</v>
      </c>
      <c r="E2675" s="185">
        <v>23657502</v>
      </c>
      <c r="F2675" s="185" t="s">
        <v>1646</v>
      </c>
      <c r="G2675" s="185" t="s">
        <v>3516</v>
      </c>
      <c r="H2675" s="185" t="s">
        <v>1628</v>
      </c>
      <c r="I2675" s="258" t="str">
        <f t="shared" si="124"/>
        <v>2</v>
      </c>
      <c r="J2675" s="221">
        <f t="shared" si="125"/>
        <v>-826670</v>
      </c>
      <c r="K2675" s="258">
        <f t="shared" si="126"/>
        <v>9</v>
      </c>
      <c r="L2675" s="188">
        <v>0</v>
      </c>
      <c r="M2675" s="188">
        <v>826670</v>
      </c>
      <c r="N2675" s="189">
        <v>800197268</v>
      </c>
      <c r="O2675"/>
      <c r="P2675" s="187">
        <v>45203.394282407397</v>
      </c>
      <c r="Q2675" s="186">
        <v>13844</v>
      </c>
      <c r="R2675" s="185" t="s">
        <v>983</v>
      </c>
      <c r="S2675" s="185" t="s">
        <v>1558</v>
      </c>
      <c r="T2675"/>
      <c r="U2675" t="str">
        <f>IF($L2675&gt;0,VLOOKUP($E2675,Valida!$A$1:$G$270,6,FALSE),IF($M2675&gt;=0,VLOOKUP($E2675,Valida!$A$1:$G$270,7,FALSE)))</f>
        <v>(+/-) Ajustes por el incremento (disminución) de cuentas por pagar de origen comercial</v>
      </c>
      <c r="V2675" s="190" t="str">
        <f>VLOOKUP(E2675,Valida!$A$2:$K$271,4,FALSE)</f>
        <v>Trade and other payables</v>
      </c>
      <c r="W2675" s="185" t="s">
        <v>1944</v>
      </c>
      <c r="X2675" s="185"/>
      <c r="Y2675" s="185" t="s">
        <v>1789</v>
      </c>
      <c r="Z2675"/>
    </row>
    <row r="2676" spans="1:26">
      <c r="A2676" s="185" t="s">
        <v>3450</v>
      </c>
      <c r="B2676" s="185" t="s">
        <v>3514</v>
      </c>
      <c r="C2676" s="185" t="s">
        <v>1991</v>
      </c>
      <c r="D2676" s="185" t="s">
        <v>3515</v>
      </c>
      <c r="E2676" s="185">
        <v>13551902</v>
      </c>
      <c r="F2676" s="185" t="s">
        <v>1614</v>
      </c>
      <c r="G2676" s="185" t="s">
        <v>3323</v>
      </c>
      <c r="H2676" s="185" t="s">
        <v>1515</v>
      </c>
      <c r="I2676" s="258" t="str">
        <f t="shared" si="124"/>
        <v>1</v>
      </c>
      <c r="J2676" s="221">
        <f t="shared" si="125"/>
        <v>826670</v>
      </c>
      <c r="K2676" s="258">
        <f t="shared" si="126"/>
        <v>9</v>
      </c>
      <c r="L2676" s="188">
        <v>826670</v>
      </c>
      <c r="M2676" s="188">
        <v>0</v>
      </c>
      <c r="N2676" s="189">
        <v>800197268</v>
      </c>
      <c r="O2676"/>
      <c r="P2676" s="187">
        <v>45203.394282407397</v>
      </c>
      <c r="Q2676" s="186">
        <v>13845</v>
      </c>
      <c r="R2676" s="185" t="s">
        <v>983</v>
      </c>
      <c r="S2676" s="185" t="s">
        <v>1558</v>
      </c>
      <c r="T2676"/>
      <c r="U2676" t="str">
        <f>IF($L2676&gt;0,VLOOKUP($E2676,Valida!$A$1:$G$270,6,FALSE),IF($M2676&gt;=0,VLOOKUP($E2676,Valida!$A$1:$G$270,7,FALSE)))</f>
        <v>(+/-) Ajustes por disminuciones (incrementos) en otras cuentas por cobrar derivadas de las actividades de operación</v>
      </c>
      <c r="V2676" s="190" t="str">
        <f>VLOOKUP(E2676,Valida!$A$2:$K$271,4,FALSE)</f>
        <v>Prepayments: Taxes</v>
      </c>
      <c r="W2676" s="185" t="s">
        <v>1944</v>
      </c>
      <c r="X2676" s="185"/>
      <c r="Y2676" s="185" t="s">
        <v>1789</v>
      </c>
      <c r="Z2676"/>
    </row>
    <row r="2677" spans="1:26">
      <c r="A2677" s="185" t="s">
        <v>3450</v>
      </c>
      <c r="B2677" s="185" t="s">
        <v>3517</v>
      </c>
      <c r="C2677" s="185" t="s">
        <v>1991</v>
      </c>
      <c r="D2677" s="185" t="s">
        <v>3518</v>
      </c>
      <c r="E2677" s="185">
        <v>23651502</v>
      </c>
      <c r="F2677" s="185" t="s">
        <v>244</v>
      </c>
      <c r="G2677" s="185" t="s">
        <v>3519</v>
      </c>
      <c r="H2677" s="185" t="s">
        <v>1515</v>
      </c>
      <c r="I2677" s="258" t="str">
        <f t="shared" si="124"/>
        <v>2</v>
      </c>
      <c r="J2677" s="221">
        <f t="shared" si="125"/>
        <v>29260</v>
      </c>
      <c r="K2677" s="258">
        <f t="shared" si="126"/>
        <v>9</v>
      </c>
      <c r="L2677" s="188">
        <v>29260</v>
      </c>
      <c r="M2677" s="188">
        <v>0</v>
      </c>
      <c r="N2677" s="189">
        <v>800197268</v>
      </c>
      <c r="O2677"/>
      <c r="P2677" s="187">
        <v>45203.3983449074</v>
      </c>
      <c r="Q2677" s="186">
        <v>13846</v>
      </c>
      <c r="R2677" s="185" t="s">
        <v>983</v>
      </c>
      <c r="S2677" s="185" t="s">
        <v>1558</v>
      </c>
      <c r="T2677"/>
      <c r="U2677" t="str">
        <f>IF($L2677&gt;0,VLOOKUP($E2677,Valida!$A$1:$G$270,6,FALSE),IF($M2677&gt;=0,VLOOKUP($E2677,Valida!$A$1:$G$270,7,FALSE)))</f>
        <v>(+/-) Ajustes por el incremento (disminución) de cuentas por pagar de origen comercial</v>
      </c>
      <c r="V2677" s="190" t="str">
        <f>VLOOKUP(E2677,Valida!$A$2:$K$271,4,FALSE)</f>
        <v>Trade and other payables</v>
      </c>
      <c r="W2677" s="185" t="s">
        <v>1944</v>
      </c>
      <c r="X2677" s="185"/>
      <c r="Y2677" s="185" t="s">
        <v>1789</v>
      </c>
      <c r="Z2677"/>
    </row>
    <row r="2678" spans="1:26">
      <c r="A2678" s="185" t="s">
        <v>3450</v>
      </c>
      <c r="B2678" s="185" t="s">
        <v>3517</v>
      </c>
      <c r="C2678" s="185" t="s">
        <v>1991</v>
      </c>
      <c r="D2678" s="185" t="s">
        <v>3518</v>
      </c>
      <c r="E2678" s="185">
        <v>23653001</v>
      </c>
      <c r="F2678" s="185" t="s">
        <v>611</v>
      </c>
      <c r="G2678" s="185" t="s">
        <v>3519</v>
      </c>
      <c r="H2678" s="185" t="s">
        <v>1515</v>
      </c>
      <c r="I2678" s="258" t="str">
        <f t="shared" si="124"/>
        <v>2</v>
      </c>
      <c r="J2678" s="221">
        <f t="shared" si="125"/>
        <v>446250</v>
      </c>
      <c r="K2678" s="258">
        <f t="shared" si="126"/>
        <v>9</v>
      </c>
      <c r="L2678" s="188">
        <v>446250</v>
      </c>
      <c r="M2678" s="188">
        <v>0</v>
      </c>
      <c r="N2678" s="189">
        <v>800197268</v>
      </c>
      <c r="O2678"/>
      <c r="P2678" s="187">
        <v>45203.3983449074</v>
      </c>
      <c r="Q2678" s="186">
        <v>13847</v>
      </c>
      <c r="R2678" s="185" t="s">
        <v>983</v>
      </c>
      <c r="S2678" s="185" t="s">
        <v>1558</v>
      </c>
      <c r="T2678"/>
      <c r="U2678" t="str">
        <f>IF($L2678&gt;0,VLOOKUP($E2678,Valida!$A$1:$G$270,6,FALSE),IF($M2678&gt;=0,VLOOKUP($E2678,Valida!$A$1:$G$270,7,FALSE)))</f>
        <v>(+/-) Ajustes por el incremento (disminución) de cuentas por pagar de origen comercial</v>
      </c>
      <c r="V2678" s="190" t="str">
        <f>VLOOKUP(E2678,Valida!$A$2:$K$271,4,FALSE)</f>
        <v>Trade and other payables</v>
      </c>
      <c r="W2678" s="185" t="s">
        <v>1944</v>
      </c>
      <c r="X2678" s="185"/>
      <c r="Y2678" s="185" t="s">
        <v>1789</v>
      </c>
      <c r="Z2678"/>
    </row>
    <row r="2679" spans="1:26">
      <c r="A2679" s="185" t="s">
        <v>3450</v>
      </c>
      <c r="B2679" s="185" t="s">
        <v>3517</v>
      </c>
      <c r="C2679" s="185" t="s">
        <v>1991</v>
      </c>
      <c r="D2679" s="185" t="s">
        <v>3518</v>
      </c>
      <c r="E2679" s="185">
        <v>23653002</v>
      </c>
      <c r="F2679" s="185" t="s">
        <v>241</v>
      </c>
      <c r="G2679" s="185" t="s">
        <v>3519</v>
      </c>
      <c r="H2679" s="185" t="s">
        <v>1515</v>
      </c>
      <c r="I2679" s="258" t="str">
        <f t="shared" si="124"/>
        <v>2</v>
      </c>
      <c r="J2679" s="221">
        <f t="shared" si="125"/>
        <v>4280</v>
      </c>
      <c r="K2679" s="258">
        <f t="shared" si="126"/>
        <v>9</v>
      </c>
      <c r="L2679" s="188">
        <v>4280</v>
      </c>
      <c r="M2679" s="188">
        <v>0</v>
      </c>
      <c r="N2679" s="189">
        <v>800197268</v>
      </c>
      <c r="O2679"/>
      <c r="P2679" s="187">
        <v>45203.3983449074</v>
      </c>
      <c r="Q2679" s="186">
        <v>13848</v>
      </c>
      <c r="R2679" s="185" t="s">
        <v>983</v>
      </c>
      <c r="S2679" s="185" t="s">
        <v>1558</v>
      </c>
      <c r="T2679"/>
      <c r="U2679" t="str">
        <f>IF($L2679&gt;0,VLOOKUP($E2679,Valida!$A$1:$G$270,6,FALSE),IF($M2679&gt;=0,VLOOKUP($E2679,Valida!$A$1:$G$270,7,FALSE)))</f>
        <v>(+/-) Ajustes por el incremento (disminución) de cuentas por pagar de origen comercial</v>
      </c>
      <c r="V2679" s="190" t="str">
        <f>VLOOKUP(E2679,Valida!$A$2:$K$271,4,FALSE)</f>
        <v>Trade and other payables</v>
      </c>
      <c r="W2679" s="185" t="s">
        <v>1944</v>
      </c>
      <c r="X2679" s="185"/>
      <c r="Y2679" s="185" t="s">
        <v>1789</v>
      </c>
      <c r="Z2679"/>
    </row>
    <row r="2680" spans="1:26">
      <c r="A2680" s="185" t="s">
        <v>3450</v>
      </c>
      <c r="B2680" s="185" t="s">
        <v>3517</v>
      </c>
      <c r="C2680" s="185" t="s">
        <v>1991</v>
      </c>
      <c r="D2680" s="185" t="s">
        <v>3518</v>
      </c>
      <c r="E2680" s="185">
        <v>23654001</v>
      </c>
      <c r="F2680" s="185" t="s">
        <v>622</v>
      </c>
      <c r="G2680" s="185" t="s">
        <v>3519</v>
      </c>
      <c r="H2680" s="185" t="s">
        <v>1515</v>
      </c>
      <c r="I2680" s="258" t="str">
        <f t="shared" si="124"/>
        <v>2</v>
      </c>
      <c r="J2680" s="221">
        <f t="shared" si="125"/>
        <v>147497</v>
      </c>
      <c r="K2680" s="258">
        <f t="shared" si="126"/>
        <v>9</v>
      </c>
      <c r="L2680" s="188">
        <v>147497</v>
      </c>
      <c r="M2680" s="188">
        <v>0</v>
      </c>
      <c r="N2680" s="189">
        <v>800197268</v>
      </c>
      <c r="O2680"/>
      <c r="P2680" s="187">
        <v>45203.3983449074</v>
      </c>
      <c r="Q2680" s="186">
        <v>13849</v>
      </c>
      <c r="R2680" s="185" t="s">
        <v>983</v>
      </c>
      <c r="S2680" s="185" t="s">
        <v>1558</v>
      </c>
      <c r="T2680"/>
      <c r="U2680" t="str">
        <f>IF($L2680&gt;0,VLOOKUP($E2680,Valida!$A$1:$G$270,6,FALSE),IF($M2680&gt;=0,VLOOKUP($E2680,Valida!$A$1:$G$270,7,FALSE)))</f>
        <v>(+/-) Ajustes por el incremento (disminución) de cuentas por pagar de origen comercial</v>
      </c>
      <c r="V2680" s="190" t="str">
        <f>VLOOKUP(E2680,Valida!$A$2:$K$271,4,FALSE)</f>
        <v>Trade and other payables</v>
      </c>
      <c r="W2680" s="185" t="s">
        <v>1944</v>
      </c>
      <c r="X2680" s="185"/>
      <c r="Y2680" s="185" t="s">
        <v>1789</v>
      </c>
      <c r="Z2680"/>
    </row>
    <row r="2681" spans="1:26">
      <c r="A2681" s="185" t="s">
        <v>3450</v>
      </c>
      <c r="B2681" s="185" t="s">
        <v>3517</v>
      </c>
      <c r="C2681" s="185" t="s">
        <v>1991</v>
      </c>
      <c r="D2681" s="185" t="s">
        <v>3518</v>
      </c>
      <c r="E2681" s="185">
        <v>23657502</v>
      </c>
      <c r="F2681" s="185" t="s">
        <v>1646</v>
      </c>
      <c r="G2681" s="185" t="s">
        <v>3519</v>
      </c>
      <c r="H2681" s="185" t="s">
        <v>1515</v>
      </c>
      <c r="I2681" s="258" t="str">
        <f t="shared" si="124"/>
        <v>2</v>
      </c>
      <c r="J2681" s="221">
        <f t="shared" si="125"/>
        <v>826670</v>
      </c>
      <c r="K2681" s="258">
        <f t="shared" si="126"/>
        <v>9</v>
      </c>
      <c r="L2681" s="188">
        <v>826670</v>
      </c>
      <c r="M2681" s="188">
        <v>0</v>
      </c>
      <c r="N2681" s="189">
        <v>800197268</v>
      </c>
      <c r="O2681"/>
      <c r="P2681" s="187">
        <v>45203.3983449074</v>
      </c>
      <c r="Q2681" s="186">
        <v>13850</v>
      </c>
      <c r="R2681" s="185" t="s">
        <v>983</v>
      </c>
      <c r="S2681" s="185" t="s">
        <v>1558</v>
      </c>
      <c r="T2681"/>
      <c r="U2681" t="str">
        <f>IF($L2681&gt;0,VLOOKUP($E2681,Valida!$A$1:$G$270,6,FALSE),IF($M2681&gt;=0,VLOOKUP($E2681,Valida!$A$1:$G$270,7,FALSE)))</f>
        <v>(+/-) Ajustes por el incremento (disminución) de cuentas por pagar de origen comercial</v>
      </c>
      <c r="V2681" s="190" t="str">
        <f>VLOOKUP(E2681,Valida!$A$2:$K$271,4,FALSE)</f>
        <v>Trade and other payables</v>
      </c>
      <c r="W2681" s="185" t="s">
        <v>1944</v>
      </c>
      <c r="X2681" s="185"/>
      <c r="Y2681" s="185" t="s">
        <v>1789</v>
      </c>
      <c r="Z2681"/>
    </row>
    <row r="2682" spans="1:26">
      <c r="A2682" s="185" t="s">
        <v>3450</v>
      </c>
      <c r="B2682" s="185" t="s">
        <v>3517</v>
      </c>
      <c r="C2682" s="185" t="s">
        <v>1991</v>
      </c>
      <c r="D2682" s="185" t="s">
        <v>3518</v>
      </c>
      <c r="E2682" s="185">
        <v>236595</v>
      </c>
      <c r="F2682" s="185" t="s">
        <v>648</v>
      </c>
      <c r="G2682" s="185" t="s">
        <v>3519</v>
      </c>
      <c r="H2682" s="185" t="s">
        <v>1628</v>
      </c>
      <c r="I2682" s="258" t="str">
        <f t="shared" si="124"/>
        <v>2</v>
      </c>
      <c r="J2682" s="221">
        <f t="shared" si="125"/>
        <v>-1454000</v>
      </c>
      <c r="K2682" s="258">
        <f t="shared" si="126"/>
        <v>9</v>
      </c>
      <c r="L2682" s="188">
        <v>0</v>
      </c>
      <c r="M2682" s="188">
        <v>1454000</v>
      </c>
      <c r="N2682" s="189">
        <v>800197268</v>
      </c>
      <c r="O2682"/>
      <c r="P2682" s="187">
        <v>45203.3983449074</v>
      </c>
      <c r="Q2682" s="186">
        <v>13851</v>
      </c>
      <c r="R2682" s="185" t="s">
        <v>983</v>
      </c>
      <c r="S2682" s="185" t="s">
        <v>1558</v>
      </c>
      <c r="T2682"/>
      <c r="U2682" t="str">
        <f>IF($L2682&gt;0,VLOOKUP($E2682,Valida!$A$1:$G$270,6,FALSE),IF($M2682&gt;=0,VLOOKUP($E2682,Valida!$A$1:$G$270,7,FALSE)))</f>
        <v>(+/-) Ajustes por el incremento (disminución) de cuentas por pagar de origen comercial</v>
      </c>
      <c r="V2682" s="190" t="str">
        <f>VLOOKUP(E2682,Valida!$A$2:$K$271,4,FALSE)</f>
        <v>Trade and other payables</v>
      </c>
      <c r="W2682" s="185" t="s">
        <v>1944</v>
      </c>
      <c r="X2682" s="185"/>
      <c r="Y2682" s="185" t="s">
        <v>1789</v>
      </c>
      <c r="Z2682"/>
    </row>
    <row r="2683" spans="1:26">
      <c r="A2683" s="185" t="s">
        <v>3450</v>
      </c>
      <c r="B2683" s="185" t="s">
        <v>3517</v>
      </c>
      <c r="C2683" s="185" t="s">
        <v>1991</v>
      </c>
      <c r="D2683" s="185" t="s">
        <v>3518</v>
      </c>
      <c r="E2683" s="185">
        <v>53059510</v>
      </c>
      <c r="F2683" s="185" t="s">
        <v>1065</v>
      </c>
      <c r="G2683" s="185" t="s">
        <v>3519</v>
      </c>
      <c r="H2683" s="185" t="s">
        <v>1515</v>
      </c>
      <c r="I2683" s="258" t="str">
        <f t="shared" si="124"/>
        <v>5</v>
      </c>
      <c r="J2683" s="221">
        <f t="shared" si="125"/>
        <v>43</v>
      </c>
      <c r="K2683" s="258">
        <f t="shared" si="126"/>
        <v>9</v>
      </c>
      <c r="L2683" s="188">
        <v>43</v>
      </c>
      <c r="M2683" s="188">
        <v>0</v>
      </c>
      <c r="N2683" s="189">
        <v>800197268</v>
      </c>
      <c r="O2683"/>
      <c r="P2683" s="187">
        <v>45203.3983449074</v>
      </c>
      <c r="Q2683" s="186">
        <v>13852</v>
      </c>
      <c r="R2683" s="185" t="s">
        <v>983</v>
      </c>
      <c r="S2683" s="185" t="s">
        <v>1558</v>
      </c>
      <c r="T2683"/>
      <c r="U2683" t="str">
        <f>IF($L2683&gt;0,VLOOKUP($E2683,Valida!$A$1:$G$270,6,FALSE),IF($M2683&gt;=0,VLOOKUP($E2683,Valida!$A$1:$G$270,7,FALSE)))</f>
        <v>(+/-) Ganancia (pérdida)</v>
      </c>
      <c r="V2683" s="190" t="str">
        <f>VLOOKUP(E2683,Valida!$A$2:$K$271,4,FALSE)</f>
        <v>P&amp;L</v>
      </c>
      <c r="W2683" s="185" t="s">
        <v>1944</v>
      </c>
      <c r="X2683" s="185"/>
      <c r="Y2683" s="185" t="s">
        <v>1789</v>
      </c>
      <c r="Z2683"/>
    </row>
    <row r="2684" spans="1:26">
      <c r="A2684" s="185" t="s">
        <v>3520</v>
      </c>
      <c r="B2684" s="185" t="s">
        <v>3521</v>
      </c>
      <c r="C2684" s="185" t="s">
        <v>2045</v>
      </c>
      <c r="D2684" s="185" t="s">
        <v>985</v>
      </c>
      <c r="E2684" s="185">
        <v>23354001</v>
      </c>
      <c r="F2684" s="185" t="s">
        <v>484</v>
      </c>
      <c r="G2684" s="185" t="s">
        <v>3522</v>
      </c>
      <c r="H2684" s="185" t="s">
        <v>1628</v>
      </c>
      <c r="I2684" s="258" t="str">
        <f t="shared" si="124"/>
        <v>2</v>
      </c>
      <c r="J2684" s="221">
        <f t="shared" si="125"/>
        <v>-3955088</v>
      </c>
      <c r="K2684" s="258">
        <f t="shared" si="126"/>
        <v>10</v>
      </c>
      <c r="L2684" s="188">
        <v>0</v>
      </c>
      <c r="M2684" s="188">
        <v>3955088</v>
      </c>
      <c r="N2684" s="189">
        <v>860044821</v>
      </c>
      <c r="O2684" t="s">
        <v>3523</v>
      </c>
      <c r="P2684" s="187">
        <v>45216.410833333299</v>
      </c>
      <c r="Q2684" s="186">
        <v>13853</v>
      </c>
      <c r="R2684" s="185" t="s">
        <v>6</v>
      </c>
      <c r="S2684" s="185" t="s">
        <v>1570</v>
      </c>
      <c r="T2684"/>
      <c r="U2684" t="str">
        <f>IF($L2684&gt;0,VLOOKUP($E2684,Valida!$A$1:$G$270,6,FALSE),IF($M2684&gt;=0,VLOOKUP($E2684,Valida!$A$1:$G$270,7,FALSE)))</f>
        <v>(+/-) Ajustes por el incremento (disminución) de cuentas por pagar de origen comercial</v>
      </c>
      <c r="V2684" s="190" t="str">
        <f>VLOOKUP(E2684,Valida!$A$2:$K$271,4,FALSE)</f>
        <v>Trade and other payables</v>
      </c>
      <c r="W2684" s="185" t="s">
        <v>2048</v>
      </c>
      <c r="X2684" s="185"/>
      <c r="Y2684" s="185" t="s">
        <v>1789</v>
      </c>
      <c r="Z2684"/>
    </row>
    <row r="2685" spans="1:26">
      <c r="A2685" s="185" t="s">
        <v>3520</v>
      </c>
      <c r="B2685" s="185" t="s">
        <v>3521</v>
      </c>
      <c r="C2685" s="185" t="s">
        <v>2045</v>
      </c>
      <c r="D2685" s="185" t="s">
        <v>985</v>
      </c>
      <c r="E2685" s="185">
        <v>51359501</v>
      </c>
      <c r="F2685" s="185" t="s">
        <v>1290</v>
      </c>
      <c r="G2685" s="185" t="s">
        <v>3524</v>
      </c>
      <c r="H2685" s="185" t="s">
        <v>1515</v>
      </c>
      <c r="I2685" s="258" t="str">
        <f t="shared" si="124"/>
        <v>5</v>
      </c>
      <c r="J2685" s="221">
        <f t="shared" si="125"/>
        <v>3955088</v>
      </c>
      <c r="K2685" s="258">
        <f t="shared" si="126"/>
        <v>10</v>
      </c>
      <c r="L2685" s="188">
        <v>3955088</v>
      </c>
      <c r="M2685" s="188">
        <v>0</v>
      </c>
      <c r="N2685" s="189">
        <v>860044821</v>
      </c>
      <c r="O2685" t="s">
        <v>3523</v>
      </c>
      <c r="P2685" s="187">
        <v>45216.410833333299</v>
      </c>
      <c r="Q2685" s="186">
        <v>13854</v>
      </c>
      <c r="R2685" s="185" t="s">
        <v>6</v>
      </c>
      <c r="S2685" s="185" t="s">
        <v>1570</v>
      </c>
      <c r="T2685"/>
      <c r="U2685" t="str">
        <f>IF($L2685&gt;0,VLOOKUP($E2685,Valida!$A$1:$G$270,6,FALSE),IF($M2685&gt;=0,VLOOKUP($E2685,Valida!$A$1:$G$270,7,FALSE)))</f>
        <v>(+/-) Ganancia (pérdida)</v>
      </c>
      <c r="V2685" s="190" t="str">
        <f>VLOOKUP(E2685,Valida!$A$2:$K$271,4,FALSE)</f>
        <v>P&amp;L</v>
      </c>
      <c r="W2685" s="185" t="s">
        <v>2048</v>
      </c>
      <c r="X2685" s="185"/>
      <c r="Y2685" s="185" t="s">
        <v>1789</v>
      </c>
      <c r="Z2685"/>
    </row>
    <row r="2686" spans="1:26">
      <c r="A2686" s="185" t="s">
        <v>3525</v>
      </c>
      <c r="B2686" s="185" t="s">
        <v>3526</v>
      </c>
      <c r="C2686" s="185" t="s">
        <v>2045</v>
      </c>
      <c r="D2686" s="185" t="s">
        <v>1033</v>
      </c>
      <c r="E2686" s="185">
        <v>23355007</v>
      </c>
      <c r="F2686" s="185" t="s">
        <v>1638</v>
      </c>
      <c r="G2686" s="185" t="s">
        <v>3527</v>
      </c>
      <c r="H2686" s="185" t="s">
        <v>1628</v>
      </c>
      <c r="I2686" s="258" t="str">
        <f t="shared" si="124"/>
        <v>2</v>
      </c>
      <c r="J2686" s="221">
        <f t="shared" si="125"/>
        <v>-149754.1</v>
      </c>
      <c r="K2686" s="258">
        <f t="shared" si="126"/>
        <v>10</v>
      </c>
      <c r="L2686" s="188">
        <v>0</v>
      </c>
      <c r="M2686" s="188">
        <v>149754.1</v>
      </c>
      <c r="N2686" s="189">
        <v>444444001</v>
      </c>
      <c r="O2686" t="s">
        <v>3528</v>
      </c>
      <c r="P2686" s="187">
        <v>45216.412025463003</v>
      </c>
      <c r="Q2686" s="186">
        <v>13855</v>
      </c>
      <c r="R2686" s="185"/>
      <c r="S2686" s="185" t="s">
        <v>1548</v>
      </c>
      <c r="T2686"/>
      <c r="U2686" t="str">
        <f>IF($L2686&gt;0,VLOOKUP($E2686,Valida!$A$1:$G$270,6,FALSE),IF($M2686&gt;=0,VLOOKUP($E2686,Valida!$A$1:$G$270,7,FALSE)))</f>
        <v>(+/-) Ajustes por el incremento (disminución) de cuentas por pagar de origen comercial</v>
      </c>
      <c r="V2686" s="190" t="str">
        <f>VLOOKUP(E2686,Valida!$A$2:$K$271,4,FALSE)</f>
        <v>Trade and other payables</v>
      </c>
      <c r="W2686" s="185"/>
      <c r="X2686" s="185"/>
      <c r="Y2686" s="185"/>
      <c r="Z2686"/>
    </row>
    <row r="2687" spans="1:26">
      <c r="A2687" s="185" t="s">
        <v>3525</v>
      </c>
      <c r="B2687" s="185" t="s">
        <v>3526</v>
      </c>
      <c r="C2687" s="185" t="s">
        <v>2045</v>
      </c>
      <c r="D2687" s="185" t="s">
        <v>1033</v>
      </c>
      <c r="E2687" s="185">
        <v>51350504</v>
      </c>
      <c r="F2687" s="185" t="s">
        <v>1638</v>
      </c>
      <c r="G2687" s="185" t="s">
        <v>3529</v>
      </c>
      <c r="H2687" s="185" t="s">
        <v>1515</v>
      </c>
      <c r="I2687" s="258" t="str">
        <f t="shared" si="124"/>
        <v>5</v>
      </c>
      <c r="J2687" s="221">
        <f t="shared" si="125"/>
        <v>149754.1</v>
      </c>
      <c r="K2687" s="258">
        <f t="shared" si="126"/>
        <v>10</v>
      </c>
      <c r="L2687" s="188">
        <v>149754.1</v>
      </c>
      <c r="M2687" s="188">
        <v>0</v>
      </c>
      <c r="N2687" s="189">
        <v>444444001</v>
      </c>
      <c r="O2687" t="s">
        <v>3528</v>
      </c>
      <c r="P2687" s="187">
        <v>45216.412025463003</v>
      </c>
      <c r="Q2687" s="186">
        <v>13856</v>
      </c>
      <c r="R2687" s="185"/>
      <c r="S2687" s="185" t="s">
        <v>1548</v>
      </c>
      <c r="T2687"/>
      <c r="U2687" t="str">
        <f>IF($L2687&gt;0,VLOOKUP($E2687,Valida!$A$1:$G$270,6,FALSE),IF($M2687&gt;=0,VLOOKUP($E2687,Valida!$A$1:$G$270,7,FALSE)))</f>
        <v>(+/-) Ganancia (pérdida)</v>
      </c>
      <c r="V2687" s="190" t="str">
        <f>VLOOKUP(E2687,Valida!$A$2:$K$271,4,FALSE)</f>
        <v>P&amp;L</v>
      </c>
      <c r="W2687" s="185"/>
      <c r="X2687" s="185"/>
      <c r="Y2687" s="185"/>
      <c r="Z2687"/>
    </row>
    <row r="2688" spans="1:26">
      <c r="A2688" s="185" t="s">
        <v>3530</v>
      </c>
      <c r="B2688" s="185" t="s">
        <v>3531</v>
      </c>
      <c r="C2688" s="185" t="s">
        <v>1792</v>
      </c>
      <c r="D2688" s="185" t="s">
        <v>2425</v>
      </c>
      <c r="E2688" s="185">
        <v>510551</v>
      </c>
      <c r="F2688" s="185" t="s">
        <v>799</v>
      </c>
      <c r="G2688" s="185" t="s">
        <v>3532</v>
      </c>
      <c r="H2688" s="185" t="s">
        <v>1515</v>
      </c>
      <c r="I2688" s="258" t="str">
        <f t="shared" si="124"/>
        <v>5</v>
      </c>
      <c r="J2688" s="221">
        <f t="shared" si="125"/>
        <v>40000</v>
      </c>
      <c r="K2688" s="258">
        <f t="shared" si="126"/>
        <v>10</v>
      </c>
      <c r="L2688" s="188">
        <v>40000</v>
      </c>
      <c r="M2688" s="188">
        <v>0</v>
      </c>
      <c r="N2688" s="189">
        <v>222222222</v>
      </c>
      <c r="O2688"/>
      <c r="P2688" s="187">
        <v>45216.674085648097</v>
      </c>
      <c r="Q2688" s="186">
        <v>13857</v>
      </c>
      <c r="R2688" s="185"/>
      <c r="S2688" s="185" t="s">
        <v>1542</v>
      </c>
      <c r="T2688"/>
      <c r="U2688" t="str">
        <f>IF($L2688&gt;0,VLOOKUP($E2688,Valida!$A$1:$G$270,6,FALSE),IF($M2688&gt;=0,VLOOKUP($E2688,Valida!$A$1:$G$270,7,FALSE)))</f>
        <v>(+/-) Ganancia (pérdida)</v>
      </c>
      <c r="V2688" s="190" t="str">
        <f>VLOOKUP(E2688,Valida!$A$2:$K$271,4,FALSE)</f>
        <v>P&amp;L</v>
      </c>
      <c r="W2688" s="185" t="s">
        <v>1909</v>
      </c>
      <c r="X2688" s="185" t="s">
        <v>1910</v>
      </c>
      <c r="Y2688" s="185" t="s">
        <v>1789</v>
      </c>
      <c r="Z2688"/>
    </row>
    <row r="2689" spans="1:26">
      <c r="A2689" s="185" t="s">
        <v>3530</v>
      </c>
      <c r="B2689" s="185" t="s">
        <v>3531</v>
      </c>
      <c r="C2689" s="185" t="s">
        <v>1792</v>
      </c>
      <c r="D2689" s="185" t="s">
        <v>2425</v>
      </c>
      <c r="E2689" s="185">
        <v>133015</v>
      </c>
      <c r="F2689" s="185" t="s">
        <v>138</v>
      </c>
      <c r="G2689" s="185" t="s">
        <v>3532</v>
      </c>
      <c r="H2689" s="185" t="s">
        <v>1628</v>
      </c>
      <c r="I2689" s="258" t="str">
        <f t="shared" si="124"/>
        <v>1</v>
      </c>
      <c r="J2689" s="221">
        <f t="shared" si="125"/>
        <v>-40000</v>
      </c>
      <c r="K2689" s="258">
        <f t="shared" si="126"/>
        <v>10</v>
      </c>
      <c r="L2689" s="188">
        <v>0</v>
      </c>
      <c r="M2689" s="188">
        <v>40000</v>
      </c>
      <c r="N2689" s="189">
        <v>1010101811</v>
      </c>
      <c r="O2689"/>
      <c r="P2689" s="187">
        <v>45216.674085648097</v>
      </c>
      <c r="Q2689" s="186">
        <v>13858</v>
      </c>
      <c r="R2689" s="185"/>
      <c r="S2689" s="185" t="s">
        <v>1528</v>
      </c>
      <c r="T2689"/>
      <c r="U2689" t="str">
        <f>IF($L2689&gt;0,VLOOKUP($E2689,Valida!$A$1:$G$270,6,FALSE),IF($M2689&gt;=0,VLOOKUP($E2689,Valida!$A$1:$G$270,7,FALSE)))</f>
        <v>(+/-) Ajustes por disminuciones (incrementos) en otras cuentas por cobrar derivadas de las actividades de operación</v>
      </c>
      <c r="V2689" s="190" t="str">
        <f>VLOOKUP(E2689,Valida!$A$2:$K$271,4,FALSE)</f>
        <v>Trade and other receivables</v>
      </c>
      <c r="W2689" s="185" t="s">
        <v>1967</v>
      </c>
      <c r="X2689" s="185"/>
      <c r="Y2689" s="185" t="s">
        <v>1789</v>
      </c>
      <c r="Z2689"/>
    </row>
    <row r="2690" spans="1:26">
      <c r="A2690" s="185" t="s">
        <v>3533</v>
      </c>
      <c r="B2690" s="185" t="s">
        <v>3534</v>
      </c>
      <c r="C2690" s="185" t="s">
        <v>1792</v>
      </c>
      <c r="D2690" s="185" t="s">
        <v>2428</v>
      </c>
      <c r="E2690" s="185">
        <v>51401002</v>
      </c>
      <c r="F2690" s="185" t="s">
        <v>1303</v>
      </c>
      <c r="G2690" s="185" t="s">
        <v>2487</v>
      </c>
      <c r="H2690" s="185" t="s">
        <v>1515</v>
      </c>
      <c r="I2690" s="258" t="str">
        <f t="shared" si="124"/>
        <v>5</v>
      </c>
      <c r="J2690" s="221">
        <f t="shared" si="125"/>
        <v>7200</v>
      </c>
      <c r="K2690" s="258">
        <f t="shared" si="126"/>
        <v>10</v>
      </c>
      <c r="L2690" s="188">
        <v>7200</v>
      </c>
      <c r="M2690" s="188">
        <v>0</v>
      </c>
      <c r="N2690" s="189">
        <v>860007322</v>
      </c>
      <c r="O2690" t="s">
        <v>3535</v>
      </c>
      <c r="P2690" s="187">
        <v>45216.694212962997</v>
      </c>
      <c r="Q2690" s="186">
        <v>13859</v>
      </c>
      <c r="R2690" s="185" t="s">
        <v>1841</v>
      </c>
      <c r="S2690" s="185" t="s">
        <v>1566</v>
      </c>
      <c r="T2690"/>
      <c r="U2690" t="str">
        <f>IF($L2690&gt;0,VLOOKUP($E2690,Valida!$A$1:$G$270,6,FALSE),IF($M2690&gt;=0,VLOOKUP($E2690,Valida!$A$1:$G$270,7,FALSE)))</f>
        <v>(+/-) Ganancia (pérdida)</v>
      </c>
      <c r="V2690" s="190" t="str">
        <f>VLOOKUP(E2690,Valida!$A$2:$K$271,4,FALSE)</f>
        <v>P&amp;L</v>
      </c>
      <c r="W2690" s="185" t="s">
        <v>2306</v>
      </c>
      <c r="X2690" s="185"/>
      <c r="Y2690" s="185" t="s">
        <v>1789</v>
      </c>
      <c r="Z2690"/>
    </row>
    <row r="2691" spans="1:26">
      <c r="A2691" s="185" t="s">
        <v>3533</v>
      </c>
      <c r="B2691" s="185" t="s">
        <v>3534</v>
      </c>
      <c r="C2691" s="185" t="s">
        <v>1792</v>
      </c>
      <c r="D2691" s="185" t="s">
        <v>2428</v>
      </c>
      <c r="E2691" s="185">
        <v>23351001</v>
      </c>
      <c r="F2691" s="185" t="s">
        <v>453</v>
      </c>
      <c r="G2691" s="185" t="s">
        <v>2487</v>
      </c>
      <c r="H2691" s="185" t="s">
        <v>1628</v>
      </c>
      <c r="I2691" s="258" t="str">
        <f t="shared" ref="I2691:I2754" si="127">LEFT(E2691,1)</f>
        <v>2</v>
      </c>
      <c r="J2691" s="221">
        <f t="shared" ref="J2691:J2754" si="128">L2691-M2691</f>
        <v>-7200</v>
      </c>
      <c r="K2691" s="258">
        <f t="shared" ref="K2691:K2754" si="129">MONTH(A2691)</f>
        <v>10</v>
      </c>
      <c r="L2691" s="188">
        <v>0</v>
      </c>
      <c r="M2691" s="188">
        <v>7200</v>
      </c>
      <c r="N2691" s="189">
        <v>860007322</v>
      </c>
      <c r="O2691" t="s">
        <v>3535</v>
      </c>
      <c r="P2691" s="187">
        <v>45216.694212962997</v>
      </c>
      <c r="Q2691" s="186">
        <v>13860</v>
      </c>
      <c r="R2691" s="185" t="s">
        <v>1841</v>
      </c>
      <c r="S2691" s="185" t="s">
        <v>1566</v>
      </c>
      <c r="T2691"/>
      <c r="U2691" t="str">
        <f>IF($L2691&gt;0,VLOOKUP($E2691,Valida!$A$1:$G$270,6,FALSE),IF($M2691&gt;=0,VLOOKUP($E2691,Valida!$A$1:$G$270,7,FALSE)))</f>
        <v>(+/-) Ajustes por el incremento (disminución) de cuentas por pagar de origen comercial</v>
      </c>
      <c r="V2691" s="190" t="str">
        <f>VLOOKUP(E2691,Valida!$A$2:$K$271,4,FALSE)</f>
        <v>Trade and other payables</v>
      </c>
      <c r="W2691" s="185" t="s">
        <v>2306</v>
      </c>
      <c r="X2691" s="185"/>
      <c r="Y2691" s="185" t="s">
        <v>1789</v>
      </c>
      <c r="Z2691"/>
    </row>
    <row r="2692" spans="1:26">
      <c r="A2692" s="185" t="s">
        <v>3533</v>
      </c>
      <c r="B2692" s="185" t="s">
        <v>3536</v>
      </c>
      <c r="C2692" s="185" t="s">
        <v>1792</v>
      </c>
      <c r="D2692" s="185" t="s">
        <v>2431</v>
      </c>
      <c r="E2692" s="185">
        <v>13300502</v>
      </c>
      <c r="F2692" s="185" t="s">
        <v>129</v>
      </c>
      <c r="G2692" s="185" t="s">
        <v>3261</v>
      </c>
      <c r="H2692" s="185" t="s">
        <v>1515</v>
      </c>
      <c r="I2692" s="258" t="str">
        <f t="shared" si="127"/>
        <v>1</v>
      </c>
      <c r="J2692" s="221">
        <f t="shared" si="128"/>
        <v>4881427</v>
      </c>
      <c r="K2692" s="258">
        <f t="shared" si="129"/>
        <v>10</v>
      </c>
      <c r="L2692" s="188">
        <v>4881427</v>
      </c>
      <c r="M2692" s="188">
        <v>0</v>
      </c>
      <c r="N2692" s="189">
        <v>830062853</v>
      </c>
      <c r="O2692" t="s">
        <v>3537</v>
      </c>
      <c r="P2692" s="187">
        <v>45216.696469907401</v>
      </c>
      <c r="Q2692" s="186">
        <v>13861</v>
      </c>
      <c r="R2692" s="185" t="s">
        <v>433</v>
      </c>
      <c r="S2692" s="185" t="s">
        <v>1564</v>
      </c>
      <c r="T2692"/>
      <c r="U2692" t="str">
        <f>IF($L2692&gt;0,VLOOKUP($E2692,Valida!$A$1:$G$270,6,FALSE),IF($M2692&gt;=0,VLOOKUP($E2692,Valida!$A$1:$G$270,7,FALSE)))</f>
        <v>(+/-) Ajustes por disminuciones (incrementos) en otras cuentas por cobrar derivadas de las actividades de operación</v>
      </c>
      <c r="V2692" s="190" t="str">
        <f>VLOOKUP(E2692,Valida!$A$2:$K$271,4,FALSE)</f>
        <v>Trade and other receivables</v>
      </c>
      <c r="W2692" s="185" t="s">
        <v>2024</v>
      </c>
      <c r="X2692" s="185" t="s">
        <v>2025</v>
      </c>
      <c r="Y2692" s="185" t="s">
        <v>1789</v>
      </c>
      <c r="Z2692"/>
    </row>
    <row r="2693" spans="1:26">
      <c r="A2693" s="185" t="s">
        <v>3533</v>
      </c>
      <c r="B2693" s="185" t="s">
        <v>3536</v>
      </c>
      <c r="C2693" s="185" t="s">
        <v>1792</v>
      </c>
      <c r="D2693" s="185" t="s">
        <v>2431</v>
      </c>
      <c r="E2693" s="185">
        <v>23359502</v>
      </c>
      <c r="F2693" s="185" t="s">
        <v>547</v>
      </c>
      <c r="G2693" s="185" t="s">
        <v>3261</v>
      </c>
      <c r="H2693" s="185" t="s">
        <v>1628</v>
      </c>
      <c r="I2693" s="258" t="str">
        <f t="shared" si="127"/>
        <v>2</v>
      </c>
      <c r="J2693" s="221">
        <f t="shared" si="128"/>
        <v>-4881427</v>
      </c>
      <c r="K2693" s="258">
        <f t="shared" si="129"/>
        <v>10</v>
      </c>
      <c r="L2693" s="188">
        <v>0</v>
      </c>
      <c r="M2693" s="188">
        <v>4881427</v>
      </c>
      <c r="N2693" s="189">
        <v>830062853</v>
      </c>
      <c r="O2693" t="s">
        <v>3537</v>
      </c>
      <c r="P2693" s="187">
        <v>45216.696469907401</v>
      </c>
      <c r="Q2693" s="186">
        <v>13862</v>
      </c>
      <c r="R2693" s="185" t="s">
        <v>433</v>
      </c>
      <c r="S2693" s="185" t="s">
        <v>1564</v>
      </c>
      <c r="T2693"/>
      <c r="U2693" t="str">
        <f>IF($L2693&gt;0,VLOOKUP($E2693,Valida!$A$1:$G$270,6,FALSE),IF($M2693&gt;=0,VLOOKUP($E2693,Valida!$A$1:$G$270,7,FALSE)))</f>
        <v>(+/-) Ajustes por el incremento (disminución) de cuentas por pagar de origen comercial</v>
      </c>
      <c r="V2693" s="190" t="str">
        <f>VLOOKUP(E2693,Valida!$A$2:$K$271,4,FALSE)</f>
        <v>Trade and other payables</v>
      </c>
      <c r="W2693" s="185" t="s">
        <v>2024</v>
      </c>
      <c r="X2693" s="185" t="s">
        <v>2025</v>
      </c>
      <c r="Y2693" s="185" t="s">
        <v>1789</v>
      </c>
      <c r="Z2693"/>
    </row>
    <row r="2694" spans="1:26">
      <c r="A2694" s="185" t="s">
        <v>3538</v>
      </c>
      <c r="B2694" s="185" t="s">
        <v>3539</v>
      </c>
      <c r="C2694" s="185" t="s">
        <v>1792</v>
      </c>
      <c r="D2694" s="185" t="s">
        <v>2502</v>
      </c>
      <c r="E2694" s="185">
        <v>51700503</v>
      </c>
      <c r="F2694" s="185" t="s">
        <v>1397</v>
      </c>
      <c r="G2694" s="185" t="s">
        <v>1818</v>
      </c>
      <c r="H2694" s="185" t="s">
        <v>1515</v>
      </c>
      <c r="I2694" s="258" t="str">
        <f t="shared" si="127"/>
        <v>5</v>
      </c>
      <c r="J2694" s="221">
        <f t="shared" si="128"/>
        <v>330000</v>
      </c>
      <c r="K2694" s="258">
        <f t="shared" si="129"/>
        <v>10</v>
      </c>
      <c r="L2694" s="188">
        <v>330000</v>
      </c>
      <c r="M2694" s="188">
        <v>0</v>
      </c>
      <c r="N2694" s="189">
        <v>800042928</v>
      </c>
      <c r="O2694" t="s">
        <v>3540</v>
      </c>
      <c r="P2694" s="187">
        <v>45216.6971990741</v>
      </c>
      <c r="Q2694" s="186">
        <v>13863</v>
      </c>
      <c r="R2694" s="185" t="s">
        <v>6</v>
      </c>
      <c r="S2694" s="185" t="s">
        <v>1554</v>
      </c>
      <c r="T2694"/>
      <c r="U2694" t="str">
        <f>IF($L2694&gt;0,VLOOKUP($E2694,Valida!$A$1:$G$270,6,FALSE),IF($M2694&gt;=0,VLOOKUP($E2694,Valida!$A$1:$G$270,7,FALSE)))</f>
        <v>(+/-) Ganancia (pérdida)</v>
      </c>
      <c r="V2694" s="190" t="str">
        <f>VLOOKUP(E2694,Valida!$A$2:$K$271,4,FALSE)</f>
        <v>P&amp;L</v>
      </c>
      <c r="W2694" s="185" t="s">
        <v>1820</v>
      </c>
      <c r="X2694" s="185" t="s">
        <v>1821</v>
      </c>
      <c r="Y2694" s="185" t="s">
        <v>1789</v>
      </c>
      <c r="Z2694"/>
    </row>
    <row r="2695" spans="1:26">
      <c r="A2695" s="185" t="s">
        <v>3538</v>
      </c>
      <c r="B2695" s="185" t="s">
        <v>3539</v>
      </c>
      <c r="C2695" s="185" t="s">
        <v>1792</v>
      </c>
      <c r="D2695" s="185" t="s">
        <v>2502</v>
      </c>
      <c r="E2695" s="185">
        <v>23359504</v>
      </c>
      <c r="F2695" s="185" t="s">
        <v>553</v>
      </c>
      <c r="G2695" s="185" t="s">
        <v>1818</v>
      </c>
      <c r="H2695" s="185" t="s">
        <v>1628</v>
      </c>
      <c r="I2695" s="258" t="str">
        <f t="shared" si="127"/>
        <v>2</v>
      </c>
      <c r="J2695" s="221">
        <f t="shared" si="128"/>
        <v>-330000</v>
      </c>
      <c r="K2695" s="258">
        <f t="shared" si="129"/>
        <v>10</v>
      </c>
      <c r="L2695" s="188">
        <v>0</v>
      </c>
      <c r="M2695" s="188">
        <v>330000</v>
      </c>
      <c r="N2695" s="189">
        <v>800042928</v>
      </c>
      <c r="O2695" t="s">
        <v>3540</v>
      </c>
      <c r="P2695" s="187">
        <v>45216.6971990741</v>
      </c>
      <c r="Q2695" s="186">
        <v>13864</v>
      </c>
      <c r="R2695" s="185" t="s">
        <v>6</v>
      </c>
      <c r="S2695" s="185" t="s">
        <v>1554</v>
      </c>
      <c r="T2695"/>
      <c r="U2695" t="str">
        <f>IF($L2695&gt;0,VLOOKUP($E2695,Valida!$A$1:$G$270,6,FALSE),IF($M2695&gt;=0,VLOOKUP($E2695,Valida!$A$1:$G$270,7,FALSE)))</f>
        <v>(+/-) Ajustes por el incremento (disminución) de cuentas por pagar de origen comercial</v>
      </c>
      <c r="V2695" s="190" t="str">
        <f>VLOOKUP(E2695,Valida!$A$2:$K$271,4,FALSE)</f>
        <v>Trade and other payables</v>
      </c>
      <c r="W2695" s="185" t="s">
        <v>1820</v>
      </c>
      <c r="X2695" s="185" t="s">
        <v>1821</v>
      </c>
      <c r="Y2695" s="185" t="s">
        <v>1789</v>
      </c>
      <c r="Z2695"/>
    </row>
    <row r="2696" spans="1:26">
      <c r="A2696" s="185" t="s">
        <v>3538</v>
      </c>
      <c r="B2696" s="185" t="s">
        <v>3541</v>
      </c>
      <c r="C2696" s="185" t="s">
        <v>1792</v>
      </c>
      <c r="D2696" s="185" t="s">
        <v>2506</v>
      </c>
      <c r="E2696" s="185">
        <v>51353001</v>
      </c>
      <c r="F2696" s="185" t="s">
        <v>516</v>
      </c>
      <c r="G2696" s="185" t="s">
        <v>1833</v>
      </c>
      <c r="H2696" s="185" t="s">
        <v>1515</v>
      </c>
      <c r="I2696" s="258" t="str">
        <f t="shared" si="127"/>
        <v>5</v>
      </c>
      <c r="J2696" s="221">
        <f t="shared" si="128"/>
        <v>6921780</v>
      </c>
      <c r="K2696" s="258">
        <f t="shared" si="129"/>
        <v>10</v>
      </c>
      <c r="L2696" s="188">
        <v>6921780</v>
      </c>
      <c r="M2696" s="188">
        <v>0</v>
      </c>
      <c r="N2696" s="189">
        <v>860063875</v>
      </c>
      <c r="O2696" t="s">
        <v>3542</v>
      </c>
      <c r="P2696" s="187">
        <v>45216.698993055601</v>
      </c>
      <c r="Q2696" s="186">
        <v>13865</v>
      </c>
      <c r="R2696" s="185" t="s">
        <v>1827</v>
      </c>
      <c r="S2696" s="185" t="s">
        <v>1572</v>
      </c>
      <c r="T2696"/>
      <c r="U2696" t="str">
        <f>IF($L2696&gt;0,VLOOKUP($E2696,Valida!$A$1:$G$270,6,FALSE),IF($M2696&gt;=0,VLOOKUP($E2696,Valida!$A$1:$G$270,7,FALSE)))</f>
        <v>(+/-) Ganancia (pérdida)</v>
      </c>
      <c r="V2696" s="190" t="str">
        <f>VLOOKUP(E2696,Valida!$A$2:$K$271,4,FALSE)</f>
        <v>P&amp;L</v>
      </c>
      <c r="W2696" s="185" t="s">
        <v>1835</v>
      </c>
      <c r="X2696" s="185"/>
      <c r="Y2696" s="185" t="s">
        <v>1789</v>
      </c>
      <c r="Z2696"/>
    </row>
    <row r="2697" spans="1:26">
      <c r="A2697" s="185" t="s">
        <v>3538</v>
      </c>
      <c r="B2697" s="185" t="s">
        <v>3541</v>
      </c>
      <c r="C2697" s="185" t="s">
        <v>1792</v>
      </c>
      <c r="D2697" s="185" t="s">
        <v>2506</v>
      </c>
      <c r="E2697" s="185">
        <v>51350502</v>
      </c>
      <c r="F2697" s="185" t="s">
        <v>1738</v>
      </c>
      <c r="G2697" s="185" t="s">
        <v>1833</v>
      </c>
      <c r="H2697" s="185" t="s">
        <v>1515</v>
      </c>
      <c r="I2697" s="258" t="str">
        <f t="shared" si="127"/>
        <v>5</v>
      </c>
      <c r="J2697" s="221">
        <f t="shared" si="128"/>
        <v>49180</v>
      </c>
      <c r="K2697" s="258">
        <f t="shared" si="129"/>
        <v>10</v>
      </c>
      <c r="L2697" s="188">
        <v>49180</v>
      </c>
      <c r="M2697" s="188">
        <v>0</v>
      </c>
      <c r="N2697" s="189">
        <v>901145808</v>
      </c>
      <c r="O2697" t="s">
        <v>3542</v>
      </c>
      <c r="P2697" s="187">
        <v>45216.698993055601</v>
      </c>
      <c r="Q2697" s="186">
        <v>13866</v>
      </c>
      <c r="R2697" s="185" t="s">
        <v>1067</v>
      </c>
      <c r="S2697" s="185" t="s">
        <v>1740</v>
      </c>
      <c r="T2697"/>
      <c r="U2697" t="str">
        <f>IF($L2697&gt;0,VLOOKUP($E2697,Valida!$A$1:$G$270,6,FALSE),IF($M2697&gt;=0,VLOOKUP($E2697,Valida!$A$1:$G$270,7,FALSE)))</f>
        <v>(+/-) Ganancia (pérdida)</v>
      </c>
      <c r="V2697" s="190" t="str">
        <f>VLOOKUP(E2697,Valida!$A$2:$K$271,4,FALSE)</f>
        <v>P&amp;L</v>
      </c>
      <c r="W2697" s="185" t="s">
        <v>1836</v>
      </c>
      <c r="X2697" s="185" t="s">
        <v>1837</v>
      </c>
      <c r="Y2697" s="185" t="s">
        <v>1789</v>
      </c>
      <c r="Z2697"/>
    </row>
    <row r="2698" spans="1:26">
      <c r="A2698" s="185" t="s">
        <v>3538</v>
      </c>
      <c r="B2698" s="185" t="s">
        <v>3541</v>
      </c>
      <c r="C2698" s="185" t="s">
        <v>1792</v>
      </c>
      <c r="D2698" s="185" t="s">
        <v>2506</v>
      </c>
      <c r="E2698" s="185">
        <v>23355005</v>
      </c>
      <c r="F2698" s="185" t="s">
        <v>516</v>
      </c>
      <c r="G2698" s="185" t="s">
        <v>1833</v>
      </c>
      <c r="H2698" s="185" t="s">
        <v>1628</v>
      </c>
      <c r="I2698" s="258" t="str">
        <f t="shared" si="127"/>
        <v>2</v>
      </c>
      <c r="J2698" s="221">
        <f t="shared" si="128"/>
        <v>-6970960</v>
      </c>
      <c r="K2698" s="258">
        <f t="shared" si="129"/>
        <v>10</v>
      </c>
      <c r="L2698" s="188">
        <v>0</v>
      </c>
      <c r="M2698" s="188">
        <v>6970960</v>
      </c>
      <c r="N2698" s="189">
        <v>860063875</v>
      </c>
      <c r="O2698" t="s">
        <v>3542</v>
      </c>
      <c r="P2698" s="187">
        <v>45216.698993055601</v>
      </c>
      <c r="Q2698" s="186">
        <v>13867</v>
      </c>
      <c r="R2698" s="185" t="s">
        <v>1827</v>
      </c>
      <c r="S2698" s="185" t="s">
        <v>1572</v>
      </c>
      <c r="T2698"/>
      <c r="U2698" t="str">
        <f>IF($L2698&gt;0,VLOOKUP($E2698,Valida!$A$1:$G$270,6,FALSE),IF($M2698&gt;=0,VLOOKUP($E2698,Valida!$A$1:$G$270,7,FALSE)))</f>
        <v>(+/-) Ajustes por el incremento (disminución) de cuentas por pagar de origen comercial</v>
      </c>
      <c r="V2698" s="190" t="str">
        <f>VLOOKUP(E2698,Valida!$A$2:$K$271,4,FALSE)</f>
        <v>Trade and other payables</v>
      </c>
      <c r="W2698" s="185" t="s">
        <v>1835</v>
      </c>
      <c r="X2698" s="185"/>
      <c r="Y2698" s="185" t="s">
        <v>1789</v>
      </c>
      <c r="Z2698"/>
    </row>
    <row r="2699" spans="1:26">
      <c r="A2699" s="185" t="s">
        <v>3543</v>
      </c>
      <c r="B2699" s="185" t="s">
        <v>3544</v>
      </c>
      <c r="C2699" s="185" t="s">
        <v>1792</v>
      </c>
      <c r="D2699" s="185" t="s">
        <v>2509</v>
      </c>
      <c r="E2699" s="185">
        <v>51350501</v>
      </c>
      <c r="F2699" s="185" t="s">
        <v>1256</v>
      </c>
      <c r="G2699" s="185" t="s">
        <v>1794</v>
      </c>
      <c r="H2699" s="185" t="s">
        <v>1515</v>
      </c>
      <c r="I2699" s="258" t="str">
        <f t="shared" si="127"/>
        <v>5</v>
      </c>
      <c r="J2699" s="221">
        <f t="shared" si="128"/>
        <v>1285970</v>
      </c>
      <c r="K2699" s="258">
        <f t="shared" si="129"/>
        <v>10</v>
      </c>
      <c r="L2699" s="188">
        <v>1285970</v>
      </c>
      <c r="M2699" s="188">
        <v>0</v>
      </c>
      <c r="N2699" s="189">
        <v>900736537</v>
      </c>
      <c r="O2699" t="s">
        <v>3545</v>
      </c>
      <c r="P2699" s="187">
        <v>45216.699768518498</v>
      </c>
      <c r="Q2699" s="186">
        <v>13868</v>
      </c>
      <c r="R2699" s="185" t="s">
        <v>1814</v>
      </c>
      <c r="S2699" s="185" t="s">
        <v>1602</v>
      </c>
      <c r="T2699"/>
      <c r="U2699" t="str">
        <f>IF($L2699&gt;0,VLOOKUP($E2699,Valida!$A$1:$G$270,6,FALSE),IF($M2699&gt;=0,VLOOKUP($E2699,Valida!$A$1:$G$270,7,FALSE)))</f>
        <v>(+/-) Ganancia (pérdida)</v>
      </c>
      <c r="V2699" s="190" t="str">
        <f>VLOOKUP(E2699,Valida!$A$2:$K$271,4,FALSE)</f>
        <v>P&amp;L</v>
      </c>
      <c r="W2699" s="185" t="s">
        <v>2985</v>
      </c>
      <c r="X2699" s="185" t="s">
        <v>2986</v>
      </c>
      <c r="Y2699" s="185" t="s">
        <v>1789</v>
      </c>
      <c r="Z2699"/>
    </row>
    <row r="2700" spans="1:26">
      <c r="A2700" s="185" t="s">
        <v>3543</v>
      </c>
      <c r="B2700" s="185" t="s">
        <v>3544</v>
      </c>
      <c r="C2700" s="185" t="s">
        <v>1792</v>
      </c>
      <c r="D2700" s="185" t="s">
        <v>2509</v>
      </c>
      <c r="E2700" s="185">
        <v>51350501</v>
      </c>
      <c r="F2700" s="185" t="s">
        <v>1256</v>
      </c>
      <c r="G2700" s="185" t="s">
        <v>1794</v>
      </c>
      <c r="H2700" s="185" t="s">
        <v>1515</v>
      </c>
      <c r="I2700" s="258" t="str">
        <f t="shared" si="127"/>
        <v>5</v>
      </c>
      <c r="J2700" s="221">
        <f t="shared" si="128"/>
        <v>128597</v>
      </c>
      <c r="K2700" s="258">
        <f t="shared" si="129"/>
        <v>10</v>
      </c>
      <c r="L2700" s="188">
        <v>128597</v>
      </c>
      <c r="M2700" s="188">
        <v>0</v>
      </c>
      <c r="N2700" s="189">
        <v>900736537</v>
      </c>
      <c r="O2700" t="s">
        <v>3545</v>
      </c>
      <c r="P2700" s="187">
        <v>45216.699768518498</v>
      </c>
      <c r="Q2700" s="186">
        <v>13869</v>
      </c>
      <c r="R2700" s="185" t="s">
        <v>1814</v>
      </c>
      <c r="S2700" s="185" t="s">
        <v>1602</v>
      </c>
      <c r="T2700"/>
      <c r="U2700" t="str">
        <f>IF($L2700&gt;0,VLOOKUP($E2700,Valida!$A$1:$G$270,6,FALSE),IF($M2700&gt;=0,VLOOKUP($E2700,Valida!$A$1:$G$270,7,FALSE)))</f>
        <v>(+/-) Ganancia (pérdida)</v>
      </c>
      <c r="V2700" s="190" t="str">
        <f>VLOOKUP(E2700,Valida!$A$2:$K$271,4,FALSE)</f>
        <v>P&amp;L</v>
      </c>
      <c r="W2700" s="185" t="s">
        <v>2985</v>
      </c>
      <c r="X2700" s="185" t="s">
        <v>2986</v>
      </c>
      <c r="Y2700" s="185" t="s">
        <v>1789</v>
      </c>
      <c r="Z2700"/>
    </row>
    <row r="2701" spans="1:26">
      <c r="A2701" s="185" t="s">
        <v>3543</v>
      </c>
      <c r="B2701" s="185" t="s">
        <v>3544</v>
      </c>
      <c r="C2701" s="185" t="s">
        <v>1792</v>
      </c>
      <c r="D2701" s="185" t="s">
        <v>2509</v>
      </c>
      <c r="E2701" s="185">
        <v>24081002</v>
      </c>
      <c r="F2701" s="185" t="s">
        <v>1687</v>
      </c>
      <c r="G2701" s="185" t="s">
        <v>1794</v>
      </c>
      <c r="H2701" s="185" t="s">
        <v>1515</v>
      </c>
      <c r="I2701" s="258" t="str">
        <f t="shared" si="127"/>
        <v>2</v>
      </c>
      <c r="J2701" s="221">
        <f t="shared" si="128"/>
        <v>24433</v>
      </c>
      <c r="K2701" s="258">
        <f t="shared" si="129"/>
        <v>10</v>
      </c>
      <c r="L2701" s="188">
        <v>24433</v>
      </c>
      <c r="M2701" s="188">
        <v>0</v>
      </c>
      <c r="N2701" s="189">
        <v>900736537</v>
      </c>
      <c r="O2701" t="s">
        <v>3545</v>
      </c>
      <c r="P2701" s="187">
        <v>45216.699768518498</v>
      </c>
      <c r="Q2701" s="186">
        <v>13870</v>
      </c>
      <c r="R2701" s="185" t="s">
        <v>1814</v>
      </c>
      <c r="S2701" s="185" t="s">
        <v>1602</v>
      </c>
      <c r="T2701"/>
      <c r="U2701" t="str">
        <f>IF($L2701&gt;0,VLOOKUP($E2701,Valida!$A$1:$G$270,6,FALSE),IF($M2701&gt;=0,VLOOKUP($E2701,Valida!$A$1:$G$270,7,FALSE)))</f>
        <v>(+/-) Ajustes por el incremento (disminución) de cuentas por pagar de origen comercial</v>
      </c>
      <c r="V2701" s="190" t="str">
        <f>VLOOKUP(E2701,Valida!$A$2:$K$271,4,FALSE)</f>
        <v>Trade and other payables</v>
      </c>
      <c r="W2701" s="185" t="s">
        <v>2985</v>
      </c>
      <c r="X2701" s="185" t="s">
        <v>2986</v>
      </c>
      <c r="Y2701" s="185" t="s">
        <v>1789</v>
      </c>
      <c r="Z2701"/>
    </row>
    <row r="2702" spans="1:26">
      <c r="A2702" s="185" t="s">
        <v>3543</v>
      </c>
      <c r="B2702" s="185" t="s">
        <v>3544</v>
      </c>
      <c r="C2702" s="185" t="s">
        <v>1792</v>
      </c>
      <c r="D2702" s="185" t="s">
        <v>2509</v>
      </c>
      <c r="E2702" s="185">
        <v>23355004</v>
      </c>
      <c r="F2702" s="185" t="s">
        <v>513</v>
      </c>
      <c r="G2702" s="185" t="s">
        <v>1794</v>
      </c>
      <c r="H2702" s="185" t="s">
        <v>1628</v>
      </c>
      <c r="I2702" s="258" t="str">
        <f t="shared" si="127"/>
        <v>2</v>
      </c>
      <c r="J2702" s="221">
        <f t="shared" si="128"/>
        <v>-1439000</v>
      </c>
      <c r="K2702" s="258">
        <f t="shared" si="129"/>
        <v>10</v>
      </c>
      <c r="L2702" s="188">
        <v>0</v>
      </c>
      <c r="M2702" s="188">
        <v>1439000</v>
      </c>
      <c r="N2702" s="189">
        <v>900736537</v>
      </c>
      <c r="O2702" t="s">
        <v>3545</v>
      </c>
      <c r="P2702" s="187">
        <v>45216.699768518498</v>
      </c>
      <c r="Q2702" s="186">
        <v>13871</v>
      </c>
      <c r="R2702" s="185" t="s">
        <v>1814</v>
      </c>
      <c r="S2702" s="185" t="s">
        <v>1602</v>
      </c>
      <c r="T2702"/>
      <c r="U2702" t="str">
        <f>IF($L2702&gt;0,VLOOKUP($E2702,Valida!$A$1:$G$270,6,FALSE),IF($M2702&gt;=0,VLOOKUP($E2702,Valida!$A$1:$G$270,7,FALSE)))</f>
        <v>(+/-) Ajustes por el incremento (disminución) de cuentas por pagar de origen comercial</v>
      </c>
      <c r="V2702" s="190" t="str">
        <f>VLOOKUP(E2702,Valida!$A$2:$K$271,4,FALSE)</f>
        <v>Trade and other payables</v>
      </c>
      <c r="W2702" s="185" t="s">
        <v>2985</v>
      </c>
      <c r="X2702" s="185" t="s">
        <v>2986</v>
      </c>
      <c r="Y2702" s="185" t="s">
        <v>1789</v>
      </c>
      <c r="Z2702"/>
    </row>
    <row r="2703" spans="1:26">
      <c r="A2703" s="185" t="s">
        <v>3546</v>
      </c>
      <c r="B2703" s="185" t="s">
        <v>3547</v>
      </c>
      <c r="C2703" s="185" t="s">
        <v>1792</v>
      </c>
      <c r="D2703" s="185" t="s">
        <v>2511</v>
      </c>
      <c r="E2703" s="185">
        <v>51352002</v>
      </c>
      <c r="F2703" s="185" t="s">
        <v>1270</v>
      </c>
      <c r="G2703" s="185" t="s">
        <v>1825</v>
      </c>
      <c r="H2703" s="185" t="s">
        <v>1515</v>
      </c>
      <c r="I2703" s="258" t="str">
        <f t="shared" si="127"/>
        <v>5</v>
      </c>
      <c r="J2703" s="221">
        <f t="shared" si="128"/>
        <v>2500000</v>
      </c>
      <c r="K2703" s="258">
        <f t="shared" si="129"/>
        <v>10</v>
      </c>
      <c r="L2703" s="188">
        <v>2500000</v>
      </c>
      <c r="M2703" s="188">
        <v>0</v>
      </c>
      <c r="N2703" s="189">
        <v>800153993</v>
      </c>
      <c r="O2703"/>
      <c r="P2703" s="187">
        <v>45216.701273148101</v>
      </c>
      <c r="Q2703" s="186">
        <v>13872</v>
      </c>
      <c r="R2703" s="185" t="s">
        <v>1814</v>
      </c>
      <c r="S2703" s="185" t="s">
        <v>1556</v>
      </c>
      <c r="T2703"/>
      <c r="U2703" t="str">
        <f>IF($L2703&gt;0,VLOOKUP($E2703,Valida!$A$1:$G$270,6,FALSE),IF($M2703&gt;=0,VLOOKUP($E2703,Valida!$A$1:$G$270,7,FALSE)))</f>
        <v>(+/-) Ganancia (pérdida)</v>
      </c>
      <c r="V2703" s="190" t="str">
        <f>VLOOKUP(E2703,Valida!$A$2:$K$271,4,FALSE)</f>
        <v>P&amp;L</v>
      </c>
      <c r="W2703" s="185" t="s">
        <v>1815</v>
      </c>
      <c r="X2703" s="185"/>
      <c r="Y2703" s="185" t="s">
        <v>1789</v>
      </c>
      <c r="Z2703"/>
    </row>
    <row r="2704" spans="1:26">
      <c r="A2704" s="185" t="s">
        <v>3546</v>
      </c>
      <c r="B2704" s="185" t="s">
        <v>3547</v>
      </c>
      <c r="C2704" s="185" t="s">
        <v>1792</v>
      </c>
      <c r="D2704" s="185" t="s">
        <v>2511</v>
      </c>
      <c r="E2704" s="185">
        <v>24081002</v>
      </c>
      <c r="F2704" s="185" t="s">
        <v>1687</v>
      </c>
      <c r="G2704" s="185" t="s">
        <v>1830</v>
      </c>
      <c r="H2704" s="185" t="s">
        <v>1515</v>
      </c>
      <c r="I2704" s="258" t="str">
        <f t="shared" si="127"/>
        <v>2</v>
      </c>
      <c r="J2704" s="221">
        <f t="shared" si="128"/>
        <v>475000</v>
      </c>
      <c r="K2704" s="258">
        <f t="shared" si="129"/>
        <v>10</v>
      </c>
      <c r="L2704" s="188">
        <v>475000</v>
      </c>
      <c r="M2704" s="188">
        <v>0</v>
      </c>
      <c r="N2704" s="189">
        <v>800153993</v>
      </c>
      <c r="O2704"/>
      <c r="P2704" s="187">
        <v>45216.701273148101</v>
      </c>
      <c r="Q2704" s="186">
        <v>13873</v>
      </c>
      <c r="R2704" s="185" t="s">
        <v>1814</v>
      </c>
      <c r="S2704" s="185" t="s">
        <v>1556</v>
      </c>
      <c r="T2704"/>
      <c r="U2704" t="str">
        <f>IF($L2704&gt;0,VLOOKUP($E2704,Valida!$A$1:$G$270,6,FALSE),IF($M2704&gt;=0,VLOOKUP($E2704,Valida!$A$1:$G$270,7,FALSE)))</f>
        <v>(+/-) Ajustes por el incremento (disminución) de cuentas por pagar de origen comercial</v>
      </c>
      <c r="V2704" s="190" t="str">
        <f>VLOOKUP(E2704,Valida!$A$2:$K$271,4,FALSE)</f>
        <v>Trade and other payables</v>
      </c>
      <c r="W2704" s="185" t="s">
        <v>1815</v>
      </c>
      <c r="X2704" s="185"/>
      <c r="Y2704" s="185" t="s">
        <v>1789</v>
      </c>
      <c r="Z2704"/>
    </row>
    <row r="2705" spans="1:26">
      <c r="A2705" s="185" t="s">
        <v>3546</v>
      </c>
      <c r="B2705" s="185" t="s">
        <v>3547</v>
      </c>
      <c r="C2705" s="185" t="s">
        <v>1792</v>
      </c>
      <c r="D2705" s="185" t="s">
        <v>2511</v>
      </c>
      <c r="E2705" s="185">
        <v>23355006</v>
      </c>
      <c r="F2705" s="185" t="s">
        <v>519</v>
      </c>
      <c r="G2705" s="185" t="s">
        <v>1825</v>
      </c>
      <c r="H2705" s="185" t="s">
        <v>1628</v>
      </c>
      <c r="I2705" s="258" t="str">
        <f t="shared" si="127"/>
        <v>2</v>
      </c>
      <c r="J2705" s="221">
        <f t="shared" si="128"/>
        <v>-2975000</v>
      </c>
      <c r="K2705" s="258">
        <f t="shared" si="129"/>
        <v>10</v>
      </c>
      <c r="L2705" s="188">
        <v>0</v>
      </c>
      <c r="M2705" s="188">
        <v>2975000</v>
      </c>
      <c r="N2705" s="189">
        <v>800153993</v>
      </c>
      <c r="O2705"/>
      <c r="P2705" s="187">
        <v>45216.701273148101</v>
      </c>
      <c r="Q2705" s="186">
        <v>13874</v>
      </c>
      <c r="R2705" s="185" t="s">
        <v>1814</v>
      </c>
      <c r="S2705" s="185" t="s">
        <v>1556</v>
      </c>
      <c r="T2705"/>
      <c r="U2705" t="str">
        <f>IF($L2705&gt;0,VLOOKUP($E2705,Valida!$A$1:$G$270,6,FALSE),IF($M2705&gt;=0,VLOOKUP($E2705,Valida!$A$1:$G$270,7,FALSE)))</f>
        <v>(+/-) Ajustes por el incremento (disminución) de cuentas por pagar de origen comercial</v>
      </c>
      <c r="V2705" s="190" t="str">
        <f>VLOOKUP(E2705,Valida!$A$2:$K$271,4,FALSE)</f>
        <v>Trade and other payables</v>
      </c>
      <c r="W2705" s="185" t="s">
        <v>1815</v>
      </c>
      <c r="X2705" s="185"/>
      <c r="Y2705" s="185" t="s">
        <v>1789</v>
      </c>
      <c r="Z2705"/>
    </row>
    <row r="2706" spans="1:26">
      <c r="A2706" s="185" t="s">
        <v>3546</v>
      </c>
      <c r="B2706" s="185" t="s">
        <v>3548</v>
      </c>
      <c r="C2706" s="185" t="s">
        <v>1792</v>
      </c>
      <c r="D2706" s="185" t="s">
        <v>2514</v>
      </c>
      <c r="E2706" s="185">
        <v>51952501</v>
      </c>
      <c r="F2706" s="185" t="s">
        <v>1412</v>
      </c>
      <c r="G2706" s="185" t="s">
        <v>1412</v>
      </c>
      <c r="H2706" s="185" t="s">
        <v>1515</v>
      </c>
      <c r="I2706" s="258" t="str">
        <f t="shared" si="127"/>
        <v>5</v>
      </c>
      <c r="J2706" s="221">
        <f t="shared" si="128"/>
        <v>1577460</v>
      </c>
      <c r="K2706" s="258">
        <f t="shared" si="129"/>
        <v>10</v>
      </c>
      <c r="L2706" s="188">
        <v>1577460</v>
      </c>
      <c r="M2706" s="188">
        <v>0</v>
      </c>
      <c r="N2706" s="189">
        <v>830062853</v>
      </c>
      <c r="O2706" t="s">
        <v>3549</v>
      </c>
      <c r="P2706" s="187">
        <v>45216.710254629601</v>
      </c>
      <c r="Q2706" s="186">
        <v>13875</v>
      </c>
      <c r="R2706" s="185" t="s">
        <v>433</v>
      </c>
      <c r="S2706" s="185" t="s">
        <v>1564</v>
      </c>
      <c r="T2706"/>
      <c r="U2706" t="str">
        <f>IF($L2706&gt;0,VLOOKUP($E2706,Valida!$A$1:$G$270,6,FALSE),IF($M2706&gt;=0,VLOOKUP($E2706,Valida!$A$1:$G$270,7,FALSE)))</f>
        <v>(+/-) Ganancia (pérdida)</v>
      </c>
      <c r="V2706" s="190" t="str">
        <f>VLOOKUP(E2706,Valida!$A$2:$K$271,4,FALSE)</f>
        <v>P&amp;L</v>
      </c>
      <c r="W2706" s="185" t="s">
        <v>2024</v>
      </c>
      <c r="X2706" s="185" t="s">
        <v>2025</v>
      </c>
      <c r="Y2706" s="185" t="s">
        <v>1789</v>
      </c>
      <c r="Z2706"/>
    </row>
    <row r="2707" spans="1:26">
      <c r="A2707" s="185" t="s">
        <v>3546</v>
      </c>
      <c r="B2707" s="185" t="s">
        <v>3548</v>
      </c>
      <c r="C2707" s="185" t="s">
        <v>1792</v>
      </c>
      <c r="D2707" s="185" t="s">
        <v>2514</v>
      </c>
      <c r="E2707" s="185">
        <v>24081002</v>
      </c>
      <c r="F2707" s="185" t="s">
        <v>1687</v>
      </c>
      <c r="G2707" s="185" t="s">
        <v>1412</v>
      </c>
      <c r="H2707" s="185" t="s">
        <v>1515</v>
      </c>
      <c r="I2707" s="258" t="str">
        <f t="shared" si="127"/>
        <v>2</v>
      </c>
      <c r="J2707" s="221">
        <f t="shared" si="128"/>
        <v>299717</v>
      </c>
      <c r="K2707" s="258">
        <f t="shared" si="129"/>
        <v>10</v>
      </c>
      <c r="L2707" s="188">
        <v>299717</v>
      </c>
      <c r="M2707" s="188">
        <v>0</v>
      </c>
      <c r="N2707" s="189">
        <v>830062853</v>
      </c>
      <c r="O2707" t="s">
        <v>3549</v>
      </c>
      <c r="P2707" s="187">
        <v>45216.710254629601</v>
      </c>
      <c r="Q2707" s="186">
        <v>13876</v>
      </c>
      <c r="R2707" s="185" t="s">
        <v>433</v>
      </c>
      <c r="S2707" s="185" t="s">
        <v>1564</v>
      </c>
      <c r="T2707"/>
      <c r="U2707" t="str">
        <f>IF($L2707&gt;0,VLOOKUP($E2707,Valida!$A$1:$G$270,6,FALSE),IF($M2707&gt;=0,VLOOKUP($E2707,Valida!$A$1:$G$270,7,FALSE)))</f>
        <v>(+/-) Ajustes por el incremento (disminución) de cuentas por pagar de origen comercial</v>
      </c>
      <c r="V2707" s="190" t="str">
        <f>VLOOKUP(E2707,Valida!$A$2:$K$271,4,FALSE)</f>
        <v>Trade and other payables</v>
      </c>
      <c r="W2707" s="185" t="s">
        <v>2024</v>
      </c>
      <c r="X2707" s="185" t="s">
        <v>2025</v>
      </c>
      <c r="Y2707" s="185" t="s">
        <v>1789</v>
      </c>
      <c r="Z2707"/>
    </row>
    <row r="2708" spans="1:26">
      <c r="A2708" s="185" t="s">
        <v>3546</v>
      </c>
      <c r="B2708" s="185" t="s">
        <v>3548</v>
      </c>
      <c r="C2708" s="185" t="s">
        <v>1792</v>
      </c>
      <c r="D2708" s="185" t="s">
        <v>2514</v>
      </c>
      <c r="E2708" s="185">
        <v>51952502</v>
      </c>
      <c r="F2708" s="185" t="s">
        <v>1414</v>
      </c>
      <c r="G2708" s="185" t="s">
        <v>1414</v>
      </c>
      <c r="H2708" s="185" t="s">
        <v>1515</v>
      </c>
      <c r="I2708" s="258" t="str">
        <f t="shared" si="127"/>
        <v>5</v>
      </c>
      <c r="J2708" s="221">
        <f t="shared" si="128"/>
        <v>2612995</v>
      </c>
      <c r="K2708" s="258">
        <f t="shared" si="129"/>
        <v>10</v>
      </c>
      <c r="L2708" s="188">
        <v>2612995</v>
      </c>
      <c r="M2708" s="188">
        <v>0</v>
      </c>
      <c r="N2708" s="189">
        <v>830062853</v>
      </c>
      <c r="O2708" t="s">
        <v>3549</v>
      </c>
      <c r="P2708" s="187">
        <v>45216.710254629601</v>
      </c>
      <c r="Q2708" s="186">
        <v>13877</v>
      </c>
      <c r="R2708" s="185" t="s">
        <v>433</v>
      </c>
      <c r="S2708" s="185" t="s">
        <v>1564</v>
      </c>
      <c r="T2708"/>
      <c r="U2708" t="str">
        <f>IF($L2708&gt;0,VLOOKUP($E2708,Valida!$A$1:$G$270,6,FALSE),IF($M2708&gt;=0,VLOOKUP($E2708,Valida!$A$1:$G$270,7,FALSE)))</f>
        <v>(+/-) Ganancia (pérdida)</v>
      </c>
      <c r="V2708" s="190" t="str">
        <f>VLOOKUP(E2708,Valida!$A$2:$K$271,4,FALSE)</f>
        <v>P&amp;L</v>
      </c>
      <c r="W2708" s="185" t="s">
        <v>2024</v>
      </c>
      <c r="X2708" s="185" t="s">
        <v>2025</v>
      </c>
      <c r="Y2708" s="185" t="s">
        <v>1789</v>
      </c>
      <c r="Z2708"/>
    </row>
    <row r="2709" spans="1:26">
      <c r="A2709" s="185" t="s">
        <v>3546</v>
      </c>
      <c r="B2709" s="185" t="s">
        <v>3548</v>
      </c>
      <c r="C2709" s="185" t="s">
        <v>1792</v>
      </c>
      <c r="D2709" s="185" t="s">
        <v>2514</v>
      </c>
      <c r="E2709" s="185">
        <v>24081005</v>
      </c>
      <c r="F2709" s="185" t="s">
        <v>1688</v>
      </c>
      <c r="G2709" s="185" t="s">
        <v>1414</v>
      </c>
      <c r="H2709" s="185" t="s">
        <v>1515</v>
      </c>
      <c r="I2709" s="258" t="str">
        <f t="shared" si="127"/>
        <v>2</v>
      </c>
      <c r="J2709" s="221">
        <f t="shared" si="128"/>
        <v>130650</v>
      </c>
      <c r="K2709" s="258">
        <f t="shared" si="129"/>
        <v>10</v>
      </c>
      <c r="L2709" s="188">
        <v>130650</v>
      </c>
      <c r="M2709" s="188">
        <v>0</v>
      </c>
      <c r="N2709" s="189">
        <v>830062853</v>
      </c>
      <c r="O2709" t="s">
        <v>3549</v>
      </c>
      <c r="P2709" s="187">
        <v>45216.710254629601</v>
      </c>
      <c r="Q2709" s="186">
        <v>13878</v>
      </c>
      <c r="R2709" s="185" t="s">
        <v>433</v>
      </c>
      <c r="S2709" s="185" t="s">
        <v>1564</v>
      </c>
      <c r="T2709"/>
      <c r="U2709" t="str">
        <f>IF($L2709&gt;0,VLOOKUP($E2709,Valida!$A$1:$G$270,6,FALSE),IF($M2709&gt;=0,VLOOKUP($E2709,Valida!$A$1:$G$270,7,FALSE)))</f>
        <v>(+/-) Ajustes por el incremento (disminución) de cuentas por pagar de origen comercial</v>
      </c>
      <c r="V2709" s="190" t="str">
        <f>VLOOKUP(E2709,Valida!$A$2:$K$271,4,FALSE)</f>
        <v>Trade and other payables</v>
      </c>
      <c r="W2709" s="185" t="s">
        <v>2024</v>
      </c>
      <c r="X2709" s="185" t="s">
        <v>2025</v>
      </c>
      <c r="Y2709" s="185" t="s">
        <v>1789</v>
      </c>
      <c r="Z2709"/>
    </row>
    <row r="2710" spans="1:26">
      <c r="A2710" s="185" t="s">
        <v>3546</v>
      </c>
      <c r="B2710" s="185" t="s">
        <v>3548</v>
      </c>
      <c r="C2710" s="185" t="s">
        <v>1792</v>
      </c>
      <c r="D2710" s="185" t="s">
        <v>2514</v>
      </c>
      <c r="E2710" s="185">
        <v>51952502</v>
      </c>
      <c r="F2710" s="185" t="s">
        <v>1414</v>
      </c>
      <c r="G2710" s="185" t="s">
        <v>1414</v>
      </c>
      <c r="H2710" s="185" t="s">
        <v>1515</v>
      </c>
      <c r="I2710" s="258" t="str">
        <f t="shared" si="127"/>
        <v>5</v>
      </c>
      <c r="J2710" s="221">
        <f t="shared" si="128"/>
        <v>356710</v>
      </c>
      <c r="K2710" s="258">
        <f t="shared" si="129"/>
        <v>10</v>
      </c>
      <c r="L2710" s="188">
        <v>356710</v>
      </c>
      <c r="M2710" s="188">
        <v>0</v>
      </c>
      <c r="N2710" s="189">
        <v>830062853</v>
      </c>
      <c r="O2710" t="s">
        <v>3549</v>
      </c>
      <c r="P2710" s="187">
        <v>45216.710254629601</v>
      </c>
      <c r="Q2710" s="186">
        <v>13879</v>
      </c>
      <c r="R2710" s="185" t="s">
        <v>433</v>
      </c>
      <c r="S2710" s="185" t="s">
        <v>1564</v>
      </c>
      <c r="T2710"/>
      <c r="U2710" t="str">
        <f>IF($L2710&gt;0,VLOOKUP($E2710,Valida!$A$1:$G$270,6,FALSE),IF($M2710&gt;=0,VLOOKUP($E2710,Valida!$A$1:$G$270,7,FALSE)))</f>
        <v>(+/-) Ganancia (pérdida)</v>
      </c>
      <c r="V2710" s="190" t="str">
        <f>VLOOKUP(E2710,Valida!$A$2:$K$271,4,FALSE)</f>
        <v>P&amp;L</v>
      </c>
      <c r="W2710" s="185" t="s">
        <v>2024</v>
      </c>
      <c r="X2710" s="185" t="s">
        <v>2025</v>
      </c>
      <c r="Y2710" s="185" t="s">
        <v>1789</v>
      </c>
      <c r="Z2710"/>
    </row>
    <row r="2711" spans="1:26">
      <c r="A2711" s="185" t="s">
        <v>3546</v>
      </c>
      <c r="B2711" s="185" t="s">
        <v>3548</v>
      </c>
      <c r="C2711" s="185" t="s">
        <v>1792</v>
      </c>
      <c r="D2711" s="185" t="s">
        <v>2514</v>
      </c>
      <c r="E2711" s="185">
        <v>24081002</v>
      </c>
      <c r="F2711" s="185" t="s">
        <v>1687</v>
      </c>
      <c r="G2711" s="185" t="s">
        <v>1414</v>
      </c>
      <c r="H2711" s="185" t="s">
        <v>1515</v>
      </c>
      <c r="I2711" s="258" t="str">
        <f t="shared" si="127"/>
        <v>2</v>
      </c>
      <c r="J2711" s="221">
        <f t="shared" si="128"/>
        <v>67775</v>
      </c>
      <c r="K2711" s="258">
        <f t="shared" si="129"/>
        <v>10</v>
      </c>
      <c r="L2711" s="188">
        <v>67775</v>
      </c>
      <c r="M2711" s="188">
        <v>0</v>
      </c>
      <c r="N2711" s="189">
        <v>830062853</v>
      </c>
      <c r="O2711" t="s">
        <v>3549</v>
      </c>
      <c r="P2711" s="187">
        <v>45216.710254629601</v>
      </c>
      <c r="Q2711" s="186">
        <v>13880</v>
      </c>
      <c r="R2711" s="185" t="s">
        <v>433</v>
      </c>
      <c r="S2711" s="185" t="s">
        <v>1564</v>
      </c>
      <c r="T2711"/>
      <c r="U2711" t="str">
        <f>IF($L2711&gt;0,VLOOKUP($E2711,Valida!$A$1:$G$270,6,FALSE),IF($M2711&gt;=0,VLOOKUP($E2711,Valida!$A$1:$G$270,7,FALSE)))</f>
        <v>(+/-) Ajustes por el incremento (disminución) de cuentas por pagar de origen comercial</v>
      </c>
      <c r="V2711" s="190" t="str">
        <f>VLOOKUP(E2711,Valida!$A$2:$K$271,4,FALSE)</f>
        <v>Trade and other payables</v>
      </c>
      <c r="W2711" s="185" t="s">
        <v>2024</v>
      </c>
      <c r="X2711" s="185" t="s">
        <v>2025</v>
      </c>
      <c r="Y2711" s="185" t="s">
        <v>1789</v>
      </c>
      <c r="Z2711"/>
    </row>
    <row r="2712" spans="1:26">
      <c r="A2712" s="185" t="s">
        <v>3546</v>
      </c>
      <c r="B2712" s="185" t="s">
        <v>3548</v>
      </c>
      <c r="C2712" s="185" t="s">
        <v>1792</v>
      </c>
      <c r="D2712" s="185" t="s">
        <v>2514</v>
      </c>
      <c r="E2712" s="185">
        <v>23654001</v>
      </c>
      <c r="F2712" s="185" t="s">
        <v>622</v>
      </c>
      <c r="G2712" s="185" t="s">
        <v>547</v>
      </c>
      <c r="H2712" s="185" t="s">
        <v>1628</v>
      </c>
      <c r="I2712" s="258" t="str">
        <f t="shared" si="127"/>
        <v>2</v>
      </c>
      <c r="J2712" s="221">
        <f t="shared" si="128"/>
        <v>-113679</v>
      </c>
      <c r="K2712" s="258">
        <f t="shared" si="129"/>
        <v>10</v>
      </c>
      <c r="L2712" s="188">
        <v>0</v>
      </c>
      <c r="M2712" s="188">
        <v>113679</v>
      </c>
      <c r="N2712" s="189">
        <v>830062853</v>
      </c>
      <c r="O2712" t="s">
        <v>3549</v>
      </c>
      <c r="P2712" s="187">
        <v>45216.710254629601</v>
      </c>
      <c r="Q2712" s="186">
        <v>13881</v>
      </c>
      <c r="R2712" s="185" t="s">
        <v>433</v>
      </c>
      <c r="S2712" s="185" t="s">
        <v>1564</v>
      </c>
      <c r="T2712"/>
      <c r="U2712" t="str">
        <f>IF($L2712&gt;0,VLOOKUP($E2712,Valida!$A$1:$G$270,6,FALSE),IF($M2712&gt;=0,VLOOKUP($E2712,Valida!$A$1:$G$270,7,FALSE)))</f>
        <v>(+/-) Ajustes por el incremento (disminución) de cuentas por pagar de origen comercial</v>
      </c>
      <c r="V2712" s="190" t="str">
        <f>VLOOKUP(E2712,Valida!$A$2:$K$271,4,FALSE)</f>
        <v>Trade and other payables</v>
      </c>
      <c r="W2712" s="185" t="s">
        <v>2024</v>
      </c>
      <c r="X2712" s="185" t="s">
        <v>2025</v>
      </c>
      <c r="Y2712" s="185" t="s">
        <v>1789</v>
      </c>
      <c r="Z2712"/>
    </row>
    <row r="2713" spans="1:26">
      <c r="A2713" s="185" t="s">
        <v>3546</v>
      </c>
      <c r="B2713" s="185" t="s">
        <v>3548</v>
      </c>
      <c r="C2713" s="185" t="s">
        <v>1792</v>
      </c>
      <c r="D2713" s="185" t="s">
        <v>2514</v>
      </c>
      <c r="E2713" s="185">
        <v>23680504</v>
      </c>
      <c r="F2713" s="185" t="s">
        <v>668</v>
      </c>
      <c r="G2713" s="185" t="s">
        <v>547</v>
      </c>
      <c r="H2713" s="185" t="s">
        <v>1628</v>
      </c>
      <c r="I2713" s="258" t="str">
        <f t="shared" si="127"/>
        <v>2</v>
      </c>
      <c r="J2713" s="221">
        <f t="shared" si="128"/>
        <v>-50201</v>
      </c>
      <c r="K2713" s="258">
        <f t="shared" si="129"/>
        <v>10</v>
      </c>
      <c r="L2713" s="188">
        <v>0</v>
      </c>
      <c r="M2713" s="188">
        <v>50201</v>
      </c>
      <c r="N2713" s="189">
        <v>830062853</v>
      </c>
      <c r="O2713" t="s">
        <v>3549</v>
      </c>
      <c r="P2713" s="187">
        <v>45216.710254629601</v>
      </c>
      <c r="Q2713" s="186">
        <v>13882</v>
      </c>
      <c r="R2713" s="185" t="s">
        <v>433</v>
      </c>
      <c r="S2713" s="185" t="s">
        <v>1564</v>
      </c>
      <c r="T2713"/>
      <c r="U2713" t="str">
        <f>IF($L2713&gt;0,VLOOKUP($E2713,Valida!$A$1:$G$270,6,FALSE),IF($M2713&gt;=0,VLOOKUP($E2713,Valida!$A$1:$G$270,7,FALSE)))</f>
        <v>(+/-) Ajustes por el incremento (disminución) de cuentas por pagar de origen comercial</v>
      </c>
      <c r="V2713" s="190" t="str">
        <f>VLOOKUP(E2713,Valida!$A$2:$K$271,4,FALSE)</f>
        <v>Trade and other payables</v>
      </c>
      <c r="W2713" s="185" t="s">
        <v>2024</v>
      </c>
      <c r="X2713" s="185" t="s">
        <v>2025</v>
      </c>
      <c r="Y2713" s="185" t="s">
        <v>1789</v>
      </c>
      <c r="Z2713"/>
    </row>
    <row r="2714" spans="1:26">
      <c r="A2714" s="185" t="s">
        <v>3546</v>
      </c>
      <c r="B2714" s="185" t="s">
        <v>3548</v>
      </c>
      <c r="C2714" s="185" t="s">
        <v>1792</v>
      </c>
      <c r="D2714" s="185" t="s">
        <v>2514</v>
      </c>
      <c r="E2714" s="185">
        <v>13300502</v>
      </c>
      <c r="F2714" s="185" t="s">
        <v>129</v>
      </c>
      <c r="G2714" s="185" t="s">
        <v>547</v>
      </c>
      <c r="H2714" s="185" t="s">
        <v>1628</v>
      </c>
      <c r="I2714" s="258" t="str">
        <f t="shared" si="127"/>
        <v>1</v>
      </c>
      <c r="J2714" s="221">
        <f t="shared" si="128"/>
        <v>-4881427</v>
      </c>
      <c r="K2714" s="258">
        <f t="shared" si="129"/>
        <v>10</v>
      </c>
      <c r="L2714" s="188">
        <v>0</v>
      </c>
      <c r="M2714" s="188">
        <v>4881427</v>
      </c>
      <c r="N2714" s="189">
        <v>830062853</v>
      </c>
      <c r="O2714" t="s">
        <v>3549</v>
      </c>
      <c r="P2714" s="187">
        <v>45216.710254629601</v>
      </c>
      <c r="Q2714" s="186">
        <v>13883</v>
      </c>
      <c r="R2714" s="185" t="s">
        <v>433</v>
      </c>
      <c r="S2714" s="185" t="s">
        <v>1564</v>
      </c>
      <c r="T2714"/>
      <c r="U2714" t="str">
        <f>IF($L2714&gt;0,VLOOKUP($E2714,Valida!$A$1:$G$270,6,FALSE),IF($M2714&gt;=0,VLOOKUP($E2714,Valida!$A$1:$G$270,7,FALSE)))</f>
        <v>(+/-) Ajustes por disminuciones (incrementos) en otras cuentas por cobrar derivadas de las actividades de operación</v>
      </c>
      <c r="V2714" s="190" t="str">
        <f>VLOOKUP(E2714,Valida!$A$2:$K$271,4,FALSE)</f>
        <v>Trade and other receivables</v>
      </c>
      <c r="W2714" s="185" t="s">
        <v>2024</v>
      </c>
      <c r="X2714" s="185" t="s">
        <v>2025</v>
      </c>
      <c r="Y2714" s="185" t="s">
        <v>1789</v>
      </c>
      <c r="Z2714"/>
    </row>
    <row r="2715" spans="1:26">
      <c r="A2715" s="185" t="s">
        <v>3550</v>
      </c>
      <c r="B2715" s="185" t="s">
        <v>3551</v>
      </c>
      <c r="C2715" s="185" t="s">
        <v>1792</v>
      </c>
      <c r="D2715" s="185" t="s">
        <v>2516</v>
      </c>
      <c r="E2715" s="185">
        <v>51952502</v>
      </c>
      <c r="F2715" s="185" t="s">
        <v>1414</v>
      </c>
      <c r="G2715" s="185" t="s">
        <v>1862</v>
      </c>
      <c r="H2715" s="185" t="s">
        <v>1515</v>
      </c>
      <c r="I2715" s="258" t="str">
        <f t="shared" si="127"/>
        <v>5</v>
      </c>
      <c r="J2715" s="221">
        <f t="shared" si="128"/>
        <v>107000</v>
      </c>
      <c r="K2715" s="258">
        <f t="shared" si="129"/>
        <v>10</v>
      </c>
      <c r="L2715" s="188">
        <v>107000</v>
      </c>
      <c r="M2715" s="188">
        <v>0</v>
      </c>
      <c r="N2715" s="189">
        <v>900424409</v>
      </c>
      <c r="O2715" t="s">
        <v>3552</v>
      </c>
      <c r="P2715" s="187">
        <v>45216.710902777799</v>
      </c>
      <c r="Q2715" s="186">
        <v>13884</v>
      </c>
      <c r="R2715" s="185" t="s">
        <v>844</v>
      </c>
      <c r="S2715" s="185" t="s">
        <v>1598</v>
      </c>
      <c r="T2715"/>
      <c r="U2715" t="str">
        <f>IF($L2715&gt;0,VLOOKUP($E2715,Valida!$A$1:$G$270,6,FALSE),IF($M2715&gt;=0,VLOOKUP($E2715,Valida!$A$1:$G$270,7,FALSE)))</f>
        <v>(+/-) Ganancia (pérdida)</v>
      </c>
      <c r="V2715" s="190" t="str">
        <f>VLOOKUP(E2715,Valida!$A$2:$K$271,4,FALSE)</f>
        <v>P&amp;L</v>
      </c>
      <c r="W2715" s="185" t="s">
        <v>1864</v>
      </c>
      <c r="X2715" s="185" t="s">
        <v>1865</v>
      </c>
      <c r="Y2715" s="185" t="s">
        <v>1789</v>
      </c>
      <c r="Z2715"/>
    </row>
    <row r="2716" spans="1:26">
      <c r="A2716" s="185" t="s">
        <v>3550</v>
      </c>
      <c r="B2716" s="185" t="s">
        <v>3551</v>
      </c>
      <c r="C2716" s="185" t="s">
        <v>1792</v>
      </c>
      <c r="D2716" s="185" t="s">
        <v>2516</v>
      </c>
      <c r="E2716" s="185">
        <v>24081002</v>
      </c>
      <c r="F2716" s="185" t="s">
        <v>1687</v>
      </c>
      <c r="G2716" s="185" t="s">
        <v>1866</v>
      </c>
      <c r="H2716" s="185" t="s">
        <v>1515</v>
      </c>
      <c r="I2716" s="258" t="str">
        <f t="shared" si="127"/>
        <v>2</v>
      </c>
      <c r="J2716" s="221">
        <f t="shared" si="128"/>
        <v>20330</v>
      </c>
      <c r="K2716" s="258">
        <f t="shared" si="129"/>
        <v>10</v>
      </c>
      <c r="L2716" s="188">
        <v>20330</v>
      </c>
      <c r="M2716" s="188">
        <v>0</v>
      </c>
      <c r="N2716" s="189">
        <v>900424409</v>
      </c>
      <c r="O2716" t="s">
        <v>3552</v>
      </c>
      <c r="P2716" s="187">
        <v>45216.710902777799</v>
      </c>
      <c r="Q2716" s="186">
        <v>13885</v>
      </c>
      <c r="R2716" s="185" t="s">
        <v>844</v>
      </c>
      <c r="S2716" s="185" t="s">
        <v>1598</v>
      </c>
      <c r="T2716"/>
      <c r="U2716" t="str">
        <f>IF($L2716&gt;0,VLOOKUP($E2716,Valida!$A$1:$G$270,6,FALSE),IF($M2716&gt;=0,VLOOKUP($E2716,Valida!$A$1:$G$270,7,FALSE)))</f>
        <v>(+/-) Ajustes por el incremento (disminución) de cuentas por pagar de origen comercial</v>
      </c>
      <c r="V2716" s="190" t="str">
        <f>VLOOKUP(E2716,Valida!$A$2:$K$271,4,FALSE)</f>
        <v>Trade and other payables</v>
      </c>
      <c r="W2716" s="185" t="s">
        <v>1864</v>
      </c>
      <c r="X2716" s="185" t="s">
        <v>1865</v>
      </c>
      <c r="Y2716" s="185" t="s">
        <v>1789</v>
      </c>
      <c r="Z2716"/>
    </row>
    <row r="2717" spans="1:26">
      <c r="A2717" s="185" t="s">
        <v>3550</v>
      </c>
      <c r="B2717" s="185" t="s">
        <v>3551</v>
      </c>
      <c r="C2717" s="185" t="s">
        <v>1792</v>
      </c>
      <c r="D2717" s="185" t="s">
        <v>2516</v>
      </c>
      <c r="E2717" s="185">
        <v>23359502</v>
      </c>
      <c r="F2717" s="185" t="s">
        <v>547</v>
      </c>
      <c r="G2717" s="185" t="s">
        <v>1862</v>
      </c>
      <c r="H2717" s="185" t="s">
        <v>1628</v>
      </c>
      <c r="I2717" s="258" t="str">
        <f t="shared" si="127"/>
        <v>2</v>
      </c>
      <c r="J2717" s="221">
        <f t="shared" si="128"/>
        <v>-122016</v>
      </c>
      <c r="K2717" s="258">
        <f t="shared" si="129"/>
        <v>10</v>
      </c>
      <c r="L2717" s="188">
        <v>0</v>
      </c>
      <c r="M2717" s="188">
        <v>122016</v>
      </c>
      <c r="N2717" s="189">
        <v>900424409</v>
      </c>
      <c r="O2717" t="s">
        <v>3552</v>
      </c>
      <c r="P2717" s="187">
        <v>45216.710902777799</v>
      </c>
      <c r="Q2717" s="186">
        <v>13886</v>
      </c>
      <c r="R2717" s="185" t="s">
        <v>844</v>
      </c>
      <c r="S2717" s="185" t="s">
        <v>1598</v>
      </c>
      <c r="T2717"/>
      <c r="U2717" t="str">
        <f>IF($L2717&gt;0,VLOOKUP($E2717,Valida!$A$1:$G$270,6,FALSE),IF($M2717&gt;=0,VLOOKUP($E2717,Valida!$A$1:$G$270,7,FALSE)))</f>
        <v>(+/-) Ajustes por el incremento (disminución) de cuentas por pagar de origen comercial</v>
      </c>
      <c r="V2717" s="190" t="str">
        <f>VLOOKUP(E2717,Valida!$A$2:$K$271,4,FALSE)</f>
        <v>Trade and other payables</v>
      </c>
      <c r="W2717" s="185" t="s">
        <v>1864</v>
      </c>
      <c r="X2717" s="185" t="s">
        <v>1865</v>
      </c>
      <c r="Y2717" s="185" t="s">
        <v>1789</v>
      </c>
      <c r="Z2717"/>
    </row>
    <row r="2718" spans="1:26">
      <c r="A2718" s="185" t="s">
        <v>3550</v>
      </c>
      <c r="B2718" s="185" t="s">
        <v>3551</v>
      </c>
      <c r="C2718" s="185" t="s">
        <v>1792</v>
      </c>
      <c r="D2718" s="185" t="s">
        <v>2516</v>
      </c>
      <c r="E2718" s="185">
        <v>23653002</v>
      </c>
      <c r="F2718" s="185" t="s">
        <v>241</v>
      </c>
      <c r="G2718" s="185" t="s">
        <v>1867</v>
      </c>
      <c r="H2718" s="185" t="s">
        <v>1628</v>
      </c>
      <c r="I2718" s="258" t="str">
        <f t="shared" si="127"/>
        <v>2</v>
      </c>
      <c r="J2718" s="221">
        <f t="shared" si="128"/>
        <v>-4280</v>
      </c>
      <c r="K2718" s="258">
        <f t="shared" si="129"/>
        <v>10</v>
      </c>
      <c r="L2718" s="188">
        <v>0</v>
      </c>
      <c r="M2718" s="188">
        <v>4280</v>
      </c>
      <c r="N2718" s="189">
        <v>900424409</v>
      </c>
      <c r="O2718" t="s">
        <v>3552</v>
      </c>
      <c r="P2718" s="187">
        <v>45216.710902777799</v>
      </c>
      <c r="Q2718" s="186">
        <v>13887</v>
      </c>
      <c r="R2718" s="185" t="s">
        <v>844</v>
      </c>
      <c r="S2718" s="185" t="s">
        <v>1598</v>
      </c>
      <c r="T2718"/>
      <c r="U2718" t="str">
        <f>IF($L2718&gt;0,VLOOKUP($E2718,Valida!$A$1:$G$270,6,FALSE),IF($M2718&gt;=0,VLOOKUP($E2718,Valida!$A$1:$G$270,7,FALSE)))</f>
        <v>(+/-) Ajustes por el incremento (disminución) de cuentas por pagar de origen comercial</v>
      </c>
      <c r="V2718" s="190" t="str">
        <f>VLOOKUP(E2718,Valida!$A$2:$K$271,4,FALSE)</f>
        <v>Trade and other payables</v>
      </c>
      <c r="W2718" s="185" t="s">
        <v>1864</v>
      </c>
      <c r="X2718" s="185" t="s">
        <v>1865</v>
      </c>
      <c r="Y2718" s="185" t="s">
        <v>1789</v>
      </c>
      <c r="Z2718"/>
    </row>
    <row r="2719" spans="1:26">
      <c r="A2719" s="185" t="s">
        <v>3550</v>
      </c>
      <c r="B2719" s="185" t="s">
        <v>3551</v>
      </c>
      <c r="C2719" s="185" t="s">
        <v>1792</v>
      </c>
      <c r="D2719" s="185" t="s">
        <v>2516</v>
      </c>
      <c r="E2719" s="185">
        <v>23680503</v>
      </c>
      <c r="F2719" s="185" t="s">
        <v>665</v>
      </c>
      <c r="G2719" s="185" t="s">
        <v>1868</v>
      </c>
      <c r="H2719" s="185" t="s">
        <v>1628</v>
      </c>
      <c r="I2719" s="258" t="str">
        <f t="shared" si="127"/>
        <v>2</v>
      </c>
      <c r="J2719" s="221">
        <f t="shared" si="128"/>
        <v>-1034</v>
      </c>
      <c r="K2719" s="258">
        <f t="shared" si="129"/>
        <v>10</v>
      </c>
      <c r="L2719" s="188">
        <v>0</v>
      </c>
      <c r="M2719" s="188">
        <v>1034</v>
      </c>
      <c r="N2719" s="189">
        <v>900424409</v>
      </c>
      <c r="O2719" t="s">
        <v>3552</v>
      </c>
      <c r="P2719" s="187">
        <v>45216.710902777799</v>
      </c>
      <c r="Q2719" s="186">
        <v>13888</v>
      </c>
      <c r="R2719" s="185" t="s">
        <v>844</v>
      </c>
      <c r="S2719" s="185" t="s">
        <v>1598</v>
      </c>
      <c r="T2719"/>
      <c r="U2719" t="str">
        <f>IF($L2719&gt;0,VLOOKUP($E2719,Valida!$A$1:$G$270,6,FALSE),IF($M2719&gt;=0,VLOOKUP($E2719,Valida!$A$1:$G$270,7,FALSE)))</f>
        <v>(+/-) Ajustes por el incremento (disminución) de cuentas por pagar de origen comercial</v>
      </c>
      <c r="V2719" s="190" t="str">
        <f>VLOOKUP(E2719,Valida!$A$2:$K$271,4,FALSE)</f>
        <v>Trade and other payables</v>
      </c>
      <c r="W2719" s="185" t="s">
        <v>1864</v>
      </c>
      <c r="X2719" s="185" t="s">
        <v>1865</v>
      </c>
      <c r="Y2719" s="185" t="s">
        <v>1789</v>
      </c>
      <c r="Z2719"/>
    </row>
    <row r="2720" spans="1:26">
      <c r="A2720" s="185" t="s">
        <v>3550</v>
      </c>
      <c r="B2720" s="185" t="s">
        <v>3553</v>
      </c>
      <c r="C2720" s="185" t="s">
        <v>1792</v>
      </c>
      <c r="D2720" s="185" t="s">
        <v>2519</v>
      </c>
      <c r="E2720" s="185">
        <v>51201001</v>
      </c>
      <c r="F2720" s="185" t="s">
        <v>1189</v>
      </c>
      <c r="G2720" s="185" t="s">
        <v>2796</v>
      </c>
      <c r="H2720" s="185" t="s">
        <v>1515</v>
      </c>
      <c r="I2720" s="258" t="str">
        <f t="shared" si="127"/>
        <v>5</v>
      </c>
      <c r="J2720" s="221">
        <f t="shared" si="128"/>
        <v>12750000</v>
      </c>
      <c r="K2720" s="258">
        <f t="shared" si="129"/>
        <v>10</v>
      </c>
      <c r="L2720" s="188">
        <v>12750000</v>
      </c>
      <c r="M2720" s="188">
        <v>0</v>
      </c>
      <c r="N2720" s="189">
        <v>900471482</v>
      </c>
      <c r="O2720" t="s">
        <v>3554</v>
      </c>
      <c r="P2720" s="187">
        <v>45216.711759259299</v>
      </c>
      <c r="Q2720" s="186">
        <v>13889</v>
      </c>
      <c r="R2720" s="185" t="s">
        <v>6</v>
      </c>
      <c r="S2720" s="185" t="s">
        <v>1600</v>
      </c>
      <c r="T2720"/>
      <c r="U2720" t="str">
        <f>IF($L2720&gt;0,VLOOKUP($E2720,Valida!$A$1:$G$270,6,FALSE),IF($M2720&gt;=0,VLOOKUP($E2720,Valida!$A$1:$G$270,7,FALSE)))</f>
        <v>(+/-) Ganancia (pérdida)</v>
      </c>
      <c r="V2720" s="190" t="str">
        <f>VLOOKUP(E2720,Valida!$A$2:$K$271,4,FALSE)</f>
        <v>P&amp;L</v>
      </c>
      <c r="W2720" s="185" t="s">
        <v>1853</v>
      </c>
      <c r="X2720" s="185" t="s">
        <v>1854</v>
      </c>
      <c r="Y2720" s="185" t="s">
        <v>1789</v>
      </c>
      <c r="Z2720"/>
    </row>
    <row r="2721" spans="1:26">
      <c r="A2721" s="185" t="s">
        <v>3550</v>
      </c>
      <c r="B2721" s="185" t="s">
        <v>3553</v>
      </c>
      <c r="C2721" s="185" t="s">
        <v>1792</v>
      </c>
      <c r="D2721" s="185" t="s">
        <v>2519</v>
      </c>
      <c r="E2721" s="185">
        <v>24081002</v>
      </c>
      <c r="F2721" s="185" t="s">
        <v>1687</v>
      </c>
      <c r="G2721" s="185" t="s">
        <v>2796</v>
      </c>
      <c r="H2721" s="185" t="s">
        <v>1515</v>
      </c>
      <c r="I2721" s="258" t="str">
        <f t="shared" si="127"/>
        <v>2</v>
      </c>
      <c r="J2721" s="221">
        <f t="shared" si="128"/>
        <v>2422500</v>
      </c>
      <c r="K2721" s="258">
        <f t="shared" si="129"/>
        <v>10</v>
      </c>
      <c r="L2721" s="188">
        <v>2422500</v>
      </c>
      <c r="M2721" s="188">
        <v>0</v>
      </c>
      <c r="N2721" s="189">
        <v>900471482</v>
      </c>
      <c r="O2721" t="s">
        <v>3554</v>
      </c>
      <c r="P2721" s="187">
        <v>45216.711759259299</v>
      </c>
      <c r="Q2721" s="186">
        <v>13890</v>
      </c>
      <c r="R2721" s="185" t="s">
        <v>6</v>
      </c>
      <c r="S2721" s="185" t="s">
        <v>1600</v>
      </c>
      <c r="T2721"/>
      <c r="U2721" t="str">
        <f>IF($L2721&gt;0,VLOOKUP($E2721,Valida!$A$1:$G$270,6,FALSE),IF($M2721&gt;=0,VLOOKUP($E2721,Valida!$A$1:$G$270,7,FALSE)))</f>
        <v>(+/-) Ajustes por el incremento (disminución) de cuentas por pagar de origen comercial</v>
      </c>
      <c r="V2721" s="190" t="str">
        <f>VLOOKUP(E2721,Valida!$A$2:$K$271,4,FALSE)</f>
        <v>Trade and other payables</v>
      </c>
      <c r="W2721" s="185" t="s">
        <v>1853</v>
      </c>
      <c r="X2721" s="185" t="s">
        <v>1854</v>
      </c>
      <c r="Y2721" s="185" t="s">
        <v>1789</v>
      </c>
      <c r="Z2721"/>
    </row>
    <row r="2722" spans="1:26">
      <c r="A2722" s="185" t="s">
        <v>3550</v>
      </c>
      <c r="B2722" s="185" t="s">
        <v>3553</v>
      </c>
      <c r="C2722" s="185" t="s">
        <v>1792</v>
      </c>
      <c r="D2722" s="185" t="s">
        <v>2519</v>
      </c>
      <c r="E2722" s="185">
        <v>23653001</v>
      </c>
      <c r="F2722" s="185" t="s">
        <v>611</v>
      </c>
      <c r="G2722" s="185" t="s">
        <v>2796</v>
      </c>
      <c r="H2722" s="185" t="s">
        <v>1628</v>
      </c>
      <c r="I2722" s="258" t="str">
        <f t="shared" si="127"/>
        <v>2</v>
      </c>
      <c r="J2722" s="221">
        <f t="shared" si="128"/>
        <v>-446250</v>
      </c>
      <c r="K2722" s="258">
        <f t="shared" si="129"/>
        <v>10</v>
      </c>
      <c r="L2722" s="188">
        <v>0</v>
      </c>
      <c r="M2722" s="188">
        <v>446250</v>
      </c>
      <c r="N2722" s="189">
        <v>900471482</v>
      </c>
      <c r="O2722" t="s">
        <v>3554</v>
      </c>
      <c r="P2722" s="187">
        <v>45216.711759259299</v>
      </c>
      <c r="Q2722" s="186">
        <v>13891</v>
      </c>
      <c r="R2722" s="185" t="s">
        <v>6</v>
      </c>
      <c r="S2722" s="185" t="s">
        <v>1600</v>
      </c>
      <c r="T2722"/>
      <c r="U2722" t="str">
        <f>IF($L2722&gt;0,VLOOKUP($E2722,Valida!$A$1:$G$270,6,FALSE),IF($M2722&gt;=0,VLOOKUP($E2722,Valida!$A$1:$G$270,7,FALSE)))</f>
        <v>(+/-) Ajustes por el incremento (disminución) de cuentas por pagar de origen comercial</v>
      </c>
      <c r="V2722" s="190" t="str">
        <f>VLOOKUP(E2722,Valida!$A$2:$K$271,4,FALSE)</f>
        <v>Trade and other payables</v>
      </c>
      <c r="W2722" s="185" t="s">
        <v>1853</v>
      </c>
      <c r="X2722" s="185" t="s">
        <v>1854</v>
      </c>
      <c r="Y2722" s="185" t="s">
        <v>1789</v>
      </c>
      <c r="Z2722"/>
    </row>
    <row r="2723" spans="1:26">
      <c r="A2723" s="185" t="s">
        <v>3550</v>
      </c>
      <c r="B2723" s="185" t="s">
        <v>3553</v>
      </c>
      <c r="C2723" s="185" t="s">
        <v>1792</v>
      </c>
      <c r="D2723" s="185" t="s">
        <v>2519</v>
      </c>
      <c r="E2723" s="185">
        <v>23680503</v>
      </c>
      <c r="F2723" s="185" t="s">
        <v>665</v>
      </c>
      <c r="G2723" s="185" t="s">
        <v>2796</v>
      </c>
      <c r="H2723" s="185" t="s">
        <v>1628</v>
      </c>
      <c r="I2723" s="258" t="str">
        <f t="shared" si="127"/>
        <v>2</v>
      </c>
      <c r="J2723" s="221">
        <f t="shared" si="128"/>
        <v>-123165</v>
      </c>
      <c r="K2723" s="258">
        <f t="shared" si="129"/>
        <v>10</v>
      </c>
      <c r="L2723" s="188">
        <v>0</v>
      </c>
      <c r="M2723" s="188">
        <v>123165</v>
      </c>
      <c r="N2723" s="189">
        <v>900471482</v>
      </c>
      <c r="O2723" t="s">
        <v>3554</v>
      </c>
      <c r="P2723" s="187">
        <v>45216.711759259299</v>
      </c>
      <c r="Q2723" s="186">
        <v>13892</v>
      </c>
      <c r="R2723" s="185" t="s">
        <v>6</v>
      </c>
      <c r="S2723" s="185" t="s">
        <v>1600</v>
      </c>
      <c r="T2723"/>
      <c r="U2723" t="str">
        <f>IF($L2723&gt;0,VLOOKUP($E2723,Valida!$A$1:$G$270,6,FALSE),IF($M2723&gt;=0,VLOOKUP($E2723,Valida!$A$1:$G$270,7,FALSE)))</f>
        <v>(+/-) Ajustes por el incremento (disminución) de cuentas por pagar de origen comercial</v>
      </c>
      <c r="V2723" s="190" t="str">
        <f>VLOOKUP(E2723,Valida!$A$2:$K$271,4,FALSE)</f>
        <v>Trade and other payables</v>
      </c>
      <c r="W2723" s="185" t="s">
        <v>1853</v>
      </c>
      <c r="X2723" s="185" t="s">
        <v>1854</v>
      </c>
      <c r="Y2723" s="185" t="s">
        <v>1789</v>
      </c>
      <c r="Z2723"/>
    </row>
    <row r="2724" spans="1:26">
      <c r="A2724" s="185" t="s">
        <v>3550</v>
      </c>
      <c r="B2724" s="185" t="s">
        <v>3553</v>
      </c>
      <c r="C2724" s="185" t="s">
        <v>1792</v>
      </c>
      <c r="D2724" s="185" t="s">
        <v>2519</v>
      </c>
      <c r="E2724" s="185">
        <v>23354001</v>
      </c>
      <c r="F2724" s="185" t="s">
        <v>484</v>
      </c>
      <c r="G2724" s="185" t="s">
        <v>2796</v>
      </c>
      <c r="H2724" s="185" t="s">
        <v>1628</v>
      </c>
      <c r="I2724" s="258" t="str">
        <f t="shared" si="127"/>
        <v>2</v>
      </c>
      <c r="J2724" s="221">
        <f t="shared" si="128"/>
        <v>-14603085</v>
      </c>
      <c r="K2724" s="258">
        <f t="shared" si="129"/>
        <v>10</v>
      </c>
      <c r="L2724" s="188">
        <v>0</v>
      </c>
      <c r="M2724" s="188">
        <v>14603085</v>
      </c>
      <c r="N2724" s="189">
        <v>900471482</v>
      </c>
      <c r="O2724" t="s">
        <v>3554</v>
      </c>
      <c r="P2724" s="187">
        <v>45216.711759259299</v>
      </c>
      <c r="Q2724" s="186">
        <v>13893</v>
      </c>
      <c r="R2724" s="185" t="s">
        <v>6</v>
      </c>
      <c r="S2724" s="185" t="s">
        <v>1600</v>
      </c>
      <c r="T2724"/>
      <c r="U2724" t="str">
        <f>IF($L2724&gt;0,VLOOKUP($E2724,Valida!$A$1:$G$270,6,FALSE),IF($M2724&gt;=0,VLOOKUP($E2724,Valida!$A$1:$G$270,7,FALSE)))</f>
        <v>(+/-) Ajustes por el incremento (disminución) de cuentas por pagar de origen comercial</v>
      </c>
      <c r="V2724" s="190" t="str">
        <f>VLOOKUP(E2724,Valida!$A$2:$K$271,4,FALSE)</f>
        <v>Trade and other payables</v>
      </c>
      <c r="W2724" s="185" t="s">
        <v>1853</v>
      </c>
      <c r="X2724" s="185" t="s">
        <v>1854</v>
      </c>
      <c r="Y2724" s="185" t="s">
        <v>1789</v>
      </c>
      <c r="Z2724"/>
    </row>
    <row r="2725" spans="1:26">
      <c r="A2725" s="185" t="s">
        <v>3555</v>
      </c>
      <c r="B2725" s="185" t="s">
        <v>3556</v>
      </c>
      <c r="C2725" s="185" t="s">
        <v>1792</v>
      </c>
      <c r="D2725" s="185" t="s">
        <v>2521</v>
      </c>
      <c r="E2725" s="185">
        <v>51401002</v>
      </c>
      <c r="F2725" s="185" t="s">
        <v>1303</v>
      </c>
      <c r="G2725" s="185" t="s">
        <v>3557</v>
      </c>
      <c r="H2725" s="185" t="s">
        <v>1515</v>
      </c>
      <c r="I2725" s="258" t="str">
        <f t="shared" si="127"/>
        <v>5</v>
      </c>
      <c r="J2725" s="221">
        <f t="shared" si="128"/>
        <v>572000</v>
      </c>
      <c r="K2725" s="258">
        <f t="shared" si="129"/>
        <v>10</v>
      </c>
      <c r="L2725" s="188">
        <v>572000</v>
      </c>
      <c r="M2725" s="188">
        <v>0</v>
      </c>
      <c r="N2725" s="189">
        <v>860007322</v>
      </c>
      <c r="O2725" t="s">
        <v>3558</v>
      </c>
      <c r="P2725" s="187">
        <v>45216.713090277801</v>
      </c>
      <c r="Q2725" s="186">
        <v>13894</v>
      </c>
      <c r="R2725" s="185" t="s">
        <v>1841</v>
      </c>
      <c r="S2725" s="185" t="s">
        <v>1566</v>
      </c>
      <c r="T2725"/>
      <c r="U2725" t="str">
        <f>IF($L2725&gt;0,VLOOKUP($E2725,Valida!$A$1:$G$270,6,FALSE),IF($M2725&gt;=0,VLOOKUP($E2725,Valida!$A$1:$G$270,7,FALSE)))</f>
        <v>(+/-) Ganancia (pérdida)</v>
      </c>
      <c r="V2725" s="190" t="str">
        <f>VLOOKUP(E2725,Valida!$A$2:$K$271,4,FALSE)</f>
        <v>P&amp;L</v>
      </c>
      <c r="W2725" s="185" t="s">
        <v>2306</v>
      </c>
      <c r="X2725" s="185"/>
      <c r="Y2725" s="185" t="s">
        <v>1789</v>
      </c>
      <c r="Z2725"/>
    </row>
    <row r="2726" spans="1:26">
      <c r="A2726" s="185" t="s">
        <v>3555</v>
      </c>
      <c r="B2726" s="185" t="s">
        <v>3556</v>
      </c>
      <c r="C2726" s="185" t="s">
        <v>1792</v>
      </c>
      <c r="D2726" s="185" t="s">
        <v>2521</v>
      </c>
      <c r="E2726" s="185">
        <v>23351001</v>
      </c>
      <c r="F2726" s="185" t="s">
        <v>453</v>
      </c>
      <c r="G2726" s="185" t="s">
        <v>3557</v>
      </c>
      <c r="H2726" s="185" t="s">
        <v>1628</v>
      </c>
      <c r="I2726" s="258" t="str">
        <f t="shared" si="127"/>
        <v>2</v>
      </c>
      <c r="J2726" s="221">
        <f t="shared" si="128"/>
        <v>-572000</v>
      </c>
      <c r="K2726" s="258">
        <f t="shared" si="129"/>
        <v>10</v>
      </c>
      <c r="L2726" s="188">
        <v>0</v>
      </c>
      <c r="M2726" s="188">
        <v>572000</v>
      </c>
      <c r="N2726" s="189">
        <v>860007322</v>
      </c>
      <c r="O2726" t="s">
        <v>3558</v>
      </c>
      <c r="P2726" s="187">
        <v>45216.713090277801</v>
      </c>
      <c r="Q2726" s="186">
        <v>13895</v>
      </c>
      <c r="R2726" s="185" t="s">
        <v>1841</v>
      </c>
      <c r="S2726" s="185" t="s">
        <v>1566</v>
      </c>
      <c r="T2726"/>
      <c r="U2726" t="str">
        <f>IF($L2726&gt;0,VLOOKUP($E2726,Valida!$A$1:$G$270,6,FALSE),IF($M2726&gt;=0,VLOOKUP($E2726,Valida!$A$1:$G$270,7,FALSE)))</f>
        <v>(+/-) Ajustes por el incremento (disminución) de cuentas por pagar de origen comercial</v>
      </c>
      <c r="V2726" s="190" t="str">
        <f>VLOOKUP(E2726,Valida!$A$2:$K$271,4,FALSE)</f>
        <v>Trade and other payables</v>
      </c>
      <c r="W2726" s="185" t="s">
        <v>2306</v>
      </c>
      <c r="X2726" s="185"/>
      <c r="Y2726" s="185" t="s">
        <v>1789</v>
      </c>
      <c r="Z2726"/>
    </row>
    <row r="2727" spans="1:26">
      <c r="A2727" s="185" t="s">
        <v>3559</v>
      </c>
      <c r="B2727" s="185" t="s">
        <v>3560</v>
      </c>
      <c r="C2727" s="185" t="s">
        <v>1792</v>
      </c>
      <c r="D2727" s="185" t="s">
        <v>2523</v>
      </c>
      <c r="E2727" s="185">
        <v>51352002</v>
      </c>
      <c r="F2727" s="185" t="s">
        <v>1270</v>
      </c>
      <c r="G2727" s="185" t="s">
        <v>1825</v>
      </c>
      <c r="H2727" s="185" t="s">
        <v>1515</v>
      </c>
      <c r="I2727" s="258" t="str">
        <f t="shared" si="127"/>
        <v>5</v>
      </c>
      <c r="J2727" s="221">
        <f t="shared" si="128"/>
        <v>1224400</v>
      </c>
      <c r="K2727" s="258">
        <f t="shared" si="129"/>
        <v>10</v>
      </c>
      <c r="L2727" s="188">
        <v>1224400</v>
      </c>
      <c r="M2727" s="188">
        <v>0</v>
      </c>
      <c r="N2727" s="189">
        <v>899999115</v>
      </c>
      <c r="O2727" t="s">
        <v>3561</v>
      </c>
      <c r="P2727" s="187">
        <v>45225.531030092599</v>
      </c>
      <c r="Q2727" s="186">
        <v>13896</v>
      </c>
      <c r="R2727" s="185" t="s">
        <v>1827</v>
      </c>
      <c r="S2727" s="185" t="s">
        <v>1586</v>
      </c>
      <c r="T2727"/>
      <c r="U2727" t="str">
        <f>IF($L2727&gt;0,VLOOKUP($E2727,Valida!$A$1:$G$270,6,FALSE),IF($M2727&gt;=0,VLOOKUP($E2727,Valida!$A$1:$G$270,7,FALSE)))</f>
        <v>(+/-) Ganancia (pérdida)</v>
      </c>
      <c r="V2727" s="190" t="str">
        <f>VLOOKUP(E2727,Valida!$A$2:$K$271,4,FALSE)</f>
        <v>P&amp;L</v>
      </c>
      <c r="W2727" s="185" t="s">
        <v>1828</v>
      </c>
      <c r="X2727" s="185" t="s">
        <v>1829</v>
      </c>
      <c r="Y2727" s="185" t="s">
        <v>1789</v>
      </c>
      <c r="Z2727"/>
    </row>
    <row r="2728" spans="1:26">
      <c r="A2728" s="185" t="s">
        <v>3559</v>
      </c>
      <c r="B2728" s="185" t="s">
        <v>3560</v>
      </c>
      <c r="C2728" s="185" t="s">
        <v>1792</v>
      </c>
      <c r="D2728" s="185" t="s">
        <v>2523</v>
      </c>
      <c r="E2728" s="185">
        <v>24081002</v>
      </c>
      <c r="F2728" s="185" t="s">
        <v>1687</v>
      </c>
      <c r="G2728" s="185" t="s">
        <v>1830</v>
      </c>
      <c r="H2728" s="185" t="s">
        <v>1515</v>
      </c>
      <c r="I2728" s="258" t="str">
        <f t="shared" si="127"/>
        <v>2</v>
      </c>
      <c r="J2728" s="221">
        <f t="shared" si="128"/>
        <v>232636</v>
      </c>
      <c r="K2728" s="258">
        <f t="shared" si="129"/>
        <v>10</v>
      </c>
      <c r="L2728" s="188">
        <v>232636</v>
      </c>
      <c r="M2728" s="188">
        <v>0</v>
      </c>
      <c r="N2728" s="189">
        <v>899999115</v>
      </c>
      <c r="O2728" t="s">
        <v>3561</v>
      </c>
      <c r="P2728" s="187">
        <v>45225.531030092599</v>
      </c>
      <c r="Q2728" s="186">
        <v>13897</v>
      </c>
      <c r="R2728" s="185" t="s">
        <v>1827</v>
      </c>
      <c r="S2728" s="185" t="s">
        <v>1586</v>
      </c>
      <c r="T2728"/>
      <c r="U2728" t="str">
        <f>IF($L2728&gt;0,VLOOKUP($E2728,Valida!$A$1:$G$270,6,FALSE),IF($M2728&gt;=0,VLOOKUP($E2728,Valida!$A$1:$G$270,7,FALSE)))</f>
        <v>(+/-) Ajustes por el incremento (disminución) de cuentas por pagar de origen comercial</v>
      </c>
      <c r="V2728" s="190" t="str">
        <f>VLOOKUP(E2728,Valida!$A$2:$K$271,4,FALSE)</f>
        <v>Trade and other payables</v>
      </c>
      <c r="W2728" s="185" t="s">
        <v>1828</v>
      </c>
      <c r="X2728" s="185" t="s">
        <v>1829</v>
      </c>
      <c r="Y2728" s="185" t="s">
        <v>1789</v>
      </c>
      <c r="Z2728"/>
    </row>
    <row r="2729" spans="1:26">
      <c r="A2729" s="185" t="s">
        <v>3559</v>
      </c>
      <c r="B2729" s="185" t="s">
        <v>3560</v>
      </c>
      <c r="C2729" s="185" t="s">
        <v>1792</v>
      </c>
      <c r="D2729" s="185" t="s">
        <v>2523</v>
      </c>
      <c r="E2729" s="185">
        <v>23355006</v>
      </c>
      <c r="F2729" s="185" t="s">
        <v>519</v>
      </c>
      <c r="G2729" s="185" t="s">
        <v>1825</v>
      </c>
      <c r="H2729" s="185" t="s">
        <v>1628</v>
      </c>
      <c r="I2729" s="258" t="str">
        <f t="shared" si="127"/>
        <v>2</v>
      </c>
      <c r="J2729" s="221">
        <f t="shared" si="128"/>
        <v>-1457040</v>
      </c>
      <c r="K2729" s="258">
        <f t="shared" si="129"/>
        <v>10</v>
      </c>
      <c r="L2729" s="188">
        <v>0</v>
      </c>
      <c r="M2729" s="188">
        <v>1457040</v>
      </c>
      <c r="N2729" s="189">
        <v>899999115</v>
      </c>
      <c r="O2729" t="s">
        <v>3561</v>
      </c>
      <c r="P2729" s="187">
        <v>45225.531030092599</v>
      </c>
      <c r="Q2729" s="186">
        <v>13898</v>
      </c>
      <c r="R2729" s="185" t="s">
        <v>1827</v>
      </c>
      <c r="S2729" s="185" t="s">
        <v>1586</v>
      </c>
      <c r="T2729"/>
      <c r="U2729" t="str">
        <f>IF($L2729&gt;0,VLOOKUP($E2729,Valida!$A$1:$G$270,6,FALSE),IF($M2729&gt;=0,VLOOKUP($E2729,Valida!$A$1:$G$270,7,FALSE)))</f>
        <v>(+/-) Ajustes por el incremento (disminución) de cuentas por pagar de origen comercial</v>
      </c>
      <c r="V2729" s="190" t="str">
        <f>VLOOKUP(E2729,Valida!$A$2:$K$271,4,FALSE)</f>
        <v>Trade and other payables</v>
      </c>
      <c r="W2729" s="185" t="s">
        <v>1828</v>
      </c>
      <c r="X2729" s="185" t="s">
        <v>1829</v>
      </c>
      <c r="Y2729" s="185" t="s">
        <v>1789</v>
      </c>
      <c r="Z2729"/>
    </row>
    <row r="2730" spans="1:26">
      <c r="A2730" s="185" t="s">
        <v>3559</v>
      </c>
      <c r="B2730" s="185" t="s">
        <v>3560</v>
      </c>
      <c r="C2730" s="185" t="s">
        <v>1792</v>
      </c>
      <c r="D2730" s="185" t="s">
        <v>2523</v>
      </c>
      <c r="E2730" s="185">
        <v>53059510</v>
      </c>
      <c r="F2730" s="185" t="s">
        <v>1065</v>
      </c>
      <c r="G2730" s="185" t="s">
        <v>1825</v>
      </c>
      <c r="H2730" s="185" t="s">
        <v>1515</v>
      </c>
      <c r="I2730" s="258" t="str">
        <f t="shared" si="127"/>
        <v>5</v>
      </c>
      <c r="J2730" s="221">
        <f t="shared" si="128"/>
        <v>4</v>
      </c>
      <c r="K2730" s="258">
        <f t="shared" si="129"/>
        <v>10</v>
      </c>
      <c r="L2730" s="188">
        <v>4</v>
      </c>
      <c r="M2730" s="188">
        <v>0</v>
      </c>
      <c r="N2730" s="189">
        <v>899999115</v>
      </c>
      <c r="O2730" t="s">
        <v>3561</v>
      </c>
      <c r="P2730" s="187">
        <v>45225.531030092599</v>
      </c>
      <c r="Q2730" s="186">
        <v>13899</v>
      </c>
      <c r="R2730" s="185" t="s">
        <v>1827</v>
      </c>
      <c r="S2730" s="185" t="s">
        <v>1586</v>
      </c>
      <c r="T2730"/>
      <c r="U2730" t="str">
        <f>IF($L2730&gt;0,VLOOKUP($E2730,Valida!$A$1:$G$270,6,FALSE),IF($M2730&gt;=0,VLOOKUP($E2730,Valida!$A$1:$G$270,7,FALSE)))</f>
        <v>(+/-) Ganancia (pérdida)</v>
      </c>
      <c r="V2730" s="190" t="str">
        <f>VLOOKUP(E2730,Valida!$A$2:$K$271,4,FALSE)</f>
        <v>P&amp;L</v>
      </c>
      <c r="W2730" s="185" t="s">
        <v>1828</v>
      </c>
      <c r="X2730" s="185" t="s">
        <v>1829</v>
      </c>
      <c r="Y2730" s="185" t="s">
        <v>1789</v>
      </c>
      <c r="Z2730"/>
    </row>
    <row r="2731" spans="1:26">
      <c r="A2731" s="185" t="s">
        <v>3562</v>
      </c>
      <c r="B2731" s="185" t="s">
        <v>3563</v>
      </c>
      <c r="C2731" s="185" t="s">
        <v>1792</v>
      </c>
      <c r="D2731" s="185" t="s">
        <v>2525</v>
      </c>
      <c r="E2731" s="185">
        <v>51350501</v>
      </c>
      <c r="F2731" s="185" t="s">
        <v>1256</v>
      </c>
      <c r="G2731" s="185" t="s">
        <v>1794</v>
      </c>
      <c r="H2731" s="185" t="s">
        <v>1515</v>
      </c>
      <c r="I2731" s="258" t="str">
        <f t="shared" si="127"/>
        <v>5</v>
      </c>
      <c r="J2731" s="221">
        <f t="shared" si="128"/>
        <v>2356629</v>
      </c>
      <c r="K2731" s="258">
        <f t="shared" si="129"/>
        <v>10</v>
      </c>
      <c r="L2731" s="188">
        <v>2356629</v>
      </c>
      <c r="M2731" s="188">
        <v>0</v>
      </c>
      <c r="N2731" s="189">
        <v>900994552</v>
      </c>
      <c r="O2731" t="s">
        <v>3564</v>
      </c>
      <c r="P2731" s="187">
        <v>45225.5366319444</v>
      </c>
      <c r="Q2731" s="186">
        <v>13900</v>
      </c>
      <c r="R2731" s="185" t="s">
        <v>844</v>
      </c>
      <c r="S2731" s="185" t="s">
        <v>1606</v>
      </c>
      <c r="T2731"/>
      <c r="U2731" t="str">
        <f>IF($L2731&gt;0,VLOOKUP($E2731,Valida!$A$1:$G$270,6,FALSE),IF($M2731&gt;=0,VLOOKUP($E2731,Valida!$A$1:$G$270,7,FALSE)))</f>
        <v>(+/-) Ganancia (pérdida)</v>
      </c>
      <c r="V2731" s="190" t="str">
        <f>VLOOKUP(E2731,Valida!$A$2:$K$271,4,FALSE)</f>
        <v>P&amp;L</v>
      </c>
      <c r="W2731" s="185" t="s">
        <v>1796</v>
      </c>
      <c r="X2731" s="185" t="s">
        <v>1797</v>
      </c>
      <c r="Y2731" s="185" t="s">
        <v>1789</v>
      </c>
      <c r="Z2731"/>
    </row>
    <row r="2732" spans="1:26">
      <c r="A2732" s="185" t="s">
        <v>3562</v>
      </c>
      <c r="B2732" s="185" t="s">
        <v>3563</v>
      </c>
      <c r="C2732" s="185" t="s">
        <v>1792</v>
      </c>
      <c r="D2732" s="185" t="s">
        <v>2525</v>
      </c>
      <c r="E2732" s="185">
        <v>51350501</v>
      </c>
      <c r="F2732" s="185" t="s">
        <v>1256</v>
      </c>
      <c r="G2732" s="185" t="s">
        <v>1794</v>
      </c>
      <c r="H2732" s="185" t="s">
        <v>1515</v>
      </c>
      <c r="I2732" s="258" t="str">
        <f t="shared" si="127"/>
        <v>5</v>
      </c>
      <c r="J2732" s="221">
        <f t="shared" si="128"/>
        <v>235663</v>
      </c>
      <c r="K2732" s="258">
        <f t="shared" si="129"/>
        <v>10</v>
      </c>
      <c r="L2732" s="188">
        <v>235663</v>
      </c>
      <c r="M2732" s="188">
        <v>0</v>
      </c>
      <c r="N2732" s="189">
        <v>900994552</v>
      </c>
      <c r="O2732" t="s">
        <v>3564</v>
      </c>
      <c r="P2732" s="187">
        <v>45225.5366319444</v>
      </c>
      <c r="Q2732" s="186">
        <v>13901</v>
      </c>
      <c r="R2732" s="185" t="s">
        <v>844</v>
      </c>
      <c r="S2732" s="185" t="s">
        <v>1606</v>
      </c>
      <c r="T2732"/>
      <c r="U2732" t="str">
        <f>IF($L2732&gt;0,VLOOKUP($E2732,Valida!$A$1:$G$270,6,FALSE),IF($M2732&gt;=0,VLOOKUP($E2732,Valida!$A$1:$G$270,7,FALSE)))</f>
        <v>(+/-) Ganancia (pérdida)</v>
      </c>
      <c r="V2732" s="190" t="str">
        <f>VLOOKUP(E2732,Valida!$A$2:$K$271,4,FALSE)</f>
        <v>P&amp;L</v>
      </c>
      <c r="W2732" s="185" t="s">
        <v>1796</v>
      </c>
      <c r="X2732" s="185" t="s">
        <v>1797</v>
      </c>
      <c r="Y2732" s="185" t="s">
        <v>1789</v>
      </c>
      <c r="Z2732"/>
    </row>
    <row r="2733" spans="1:26">
      <c r="A2733" s="185" t="s">
        <v>3562</v>
      </c>
      <c r="B2733" s="185" t="s">
        <v>3563</v>
      </c>
      <c r="C2733" s="185" t="s">
        <v>1792</v>
      </c>
      <c r="D2733" s="185" t="s">
        <v>2525</v>
      </c>
      <c r="E2733" s="185">
        <v>24081002</v>
      </c>
      <c r="F2733" s="185" t="s">
        <v>1687</v>
      </c>
      <c r="G2733" s="185" t="s">
        <v>1794</v>
      </c>
      <c r="H2733" s="185" t="s">
        <v>1515</v>
      </c>
      <c r="I2733" s="258" t="str">
        <f t="shared" si="127"/>
        <v>2</v>
      </c>
      <c r="J2733" s="221">
        <f t="shared" si="128"/>
        <v>44776</v>
      </c>
      <c r="K2733" s="258">
        <f t="shared" si="129"/>
        <v>10</v>
      </c>
      <c r="L2733" s="188">
        <v>44776</v>
      </c>
      <c r="M2733" s="188">
        <v>0</v>
      </c>
      <c r="N2733" s="189">
        <v>900994552</v>
      </c>
      <c r="O2733" t="s">
        <v>3564</v>
      </c>
      <c r="P2733" s="187">
        <v>45225.5366319444</v>
      </c>
      <c r="Q2733" s="186">
        <v>13902</v>
      </c>
      <c r="R2733" s="185" t="s">
        <v>844</v>
      </c>
      <c r="S2733" s="185" t="s">
        <v>1606</v>
      </c>
      <c r="T2733"/>
      <c r="U2733" t="str">
        <f>IF($L2733&gt;0,VLOOKUP($E2733,Valida!$A$1:$G$270,6,FALSE),IF($M2733&gt;=0,VLOOKUP($E2733,Valida!$A$1:$G$270,7,FALSE)))</f>
        <v>(+/-) Ajustes por el incremento (disminución) de cuentas por pagar de origen comercial</v>
      </c>
      <c r="V2733" s="190" t="str">
        <f>VLOOKUP(E2733,Valida!$A$2:$K$271,4,FALSE)</f>
        <v>Trade and other payables</v>
      </c>
      <c r="W2733" s="185" t="s">
        <v>1796</v>
      </c>
      <c r="X2733" s="185" t="s">
        <v>1797</v>
      </c>
      <c r="Y2733" s="185" t="s">
        <v>1789</v>
      </c>
      <c r="Z2733"/>
    </row>
    <row r="2734" spans="1:26">
      <c r="A2734" s="185" t="s">
        <v>3562</v>
      </c>
      <c r="B2734" s="185" t="s">
        <v>3563</v>
      </c>
      <c r="C2734" s="185" t="s">
        <v>1792</v>
      </c>
      <c r="D2734" s="185" t="s">
        <v>2525</v>
      </c>
      <c r="E2734" s="185">
        <v>23355004</v>
      </c>
      <c r="F2734" s="185" t="s">
        <v>513</v>
      </c>
      <c r="G2734" s="185" t="s">
        <v>1794</v>
      </c>
      <c r="H2734" s="185" t="s">
        <v>1628</v>
      </c>
      <c r="I2734" s="258" t="str">
        <f t="shared" si="127"/>
        <v>2</v>
      </c>
      <c r="J2734" s="221">
        <f t="shared" si="128"/>
        <v>-2637068</v>
      </c>
      <c r="K2734" s="258">
        <f t="shared" si="129"/>
        <v>10</v>
      </c>
      <c r="L2734" s="188">
        <v>0</v>
      </c>
      <c r="M2734" s="188">
        <v>2637068</v>
      </c>
      <c r="N2734" s="189">
        <v>900994552</v>
      </c>
      <c r="O2734" t="s">
        <v>3564</v>
      </c>
      <c r="P2734" s="187">
        <v>45225.5366319444</v>
      </c>
      <c r="Q2734" s="186">
        <v>13903</v>
      </c>
      <c r="R2734" s="185" t="s">
        <v>844</v>
      </c>
      <c r="S2734" s="185" t="s">
        <v>1606</v>
      </c>
      <c r="T2734"/>
      <c r="U2734" t="str">
        <f>IF($L2734&gt;0,VLOOKUP($E2734,Valida!$A$1:$G$270,6,FALSE),IF($M2734&gt;=0,VLOOKUP($E2734,Valida!$A$1:$G$270,7,FALSE)))</f>
        <v>(+/-) Ajustes por el incremento (disminución) de cuentas por pagar de origen comercial</v>
      </c>
      <c r="V2734" s="190" t="str">
        <f>VLOOKUP(E2734,Valida!$A$2:$K$271,4,FALSE)</f>
        <v>Trade and other payables</v>
      </c>
      <c r="W2734" s="185" t="s">
        <v>1796</v>
      </c>
      <c r="X2734" s="185" t="s">
        <v>1797</v>
      </c>
      <c r="Y2734" s="185" t="s">
        <v>1789</v>
      </c>
      <c r="Z2734"/>
    </row>
    <row r="2735" spans="1:26">
      <c r="A2735" s="185" t="s">
        <v>3565</v>
      </c>
      <c r="B2735" s="185" t="s">
        <v>3566</v>
      </c>
      <c r="C2735" s="185" t="s">
        <v>1792</v>
      </c>
      <c r="D2735" s="185" t="s">
        <v>2527</v>
      </c>
      <c r="E2735" s="185">
        <v>51953001</v>
      </c>
      <c r="F2735" s="185" t="s">
        <v>1418</v>
      </c>
      <c r="G2735" s="185" t="s">
        <v>2052</v>
      </c>
      <c r="H2735" s="185" t="s">
        <v>1515</v>
      </c>
      <c r="I2735" s="258" t="str">
        <f t="shared" si="127"/>
        <v>5</v>
      </c>
      <c r="J2735" s="221">
        <f t="shared" si="128"/>
        <v>429100</v>
      </c>
      <c r="K2735" s="258">
        <f t="shared" si="129"/>
        <v>10</v>
      </c>
      <c r="L2735" s="188">
        <v>429100</v>
      </c>
      <c r="M2735" s="188">
        <v>0</v>
      </c>
      <c r="N2735" s="189">
        <v>901051438</v>
      </c>
      <c r="O2735" t="s">
        <v>3567</v>
      </c>
      <c r="P2735" s="187">
        <v>45225.5383912037</v>
      </c>
      <c r="Q2735" s="186">
        <v>13904</v>
      </c>
      <c r="R2735" s="185" t="s">
        <v>1841</v>
      </c>
      <c r="S2735" s="185" t="s">
        <v>1608</v>
      </c>
      <c r="T2735"/>
      <c r="U2735" t="str">
        <f>IF($L2735&gt;0,VLOOKUP($E2735,Valida!$A$1:$G$270,6,FALSE),IF($M2735&gt;=0,VLOOKUP($E2735,Valida!$A$1:$G$270,7,FALSE)))</f>
        <v>(+/-) Ganancia (pérdida)</v>
      </c>
      <c r="V2735" s="190" t="str">
        <f>VLOOKUP(E2735,Valida!$A$2:$K$271,4,FALSE)</f>
        <v>P&amp;L</v>
      </c>
      <c r="W2735" s="185" t="s">
        <v>1878</v>
      </c>
      <c r="X2735" s="185" t="s">
        <v>1879</v>
      </c>
      <c r="Y2735" s="185" t="s">
        <v>1789</v>
      </c>
      <c r="Z2735"/>
    </row>
    <row r="2736" spans="1:26">
      <c r="A2736" s="185" t="s">
        <v>3565</v>
      </c>
      <c r="B2736" s="185" t="s">
        <v>3566</v>
      </c>
      <c r="C2736" s="185" t="s">
        <v>1792</v>
      </c>
      <c r="D2736" s="185" t="s">
        <v>2527</v>
      </c>
      <c r="E2736" s="185">
        <v>23359505</v>
      </c>
      <c r="F2736" s="185" t="s">
        <v>557</v>
      </c>
      <c r="G2736" s="185" t="s">
        <v>2052</v>
      </c>
      <c r="H2736" s="185" t="s">
        <v>1628</v>
      </c>
      <c r="I2736" s="258" t="str">
        <f t="shared" si="127"/>
        <v>2</v>
      </c>
      <c r="J2736" s="221">
        <f t="shared" si="128"/>
        <v>-510629</v>
      </c>
      <c r="K2736" s="258">
        <f t="shared" si="129"/>
        <v>10</v>
      </c>
      <c r="L2736" s="188">
        <v>0</v>
      </c>
      <c r="M2736" s="188">
        <v>510629</v>
      </c>
      <c r="N2736" s="189">
        <v>901051438</v>
      </c>
      <c r="O2736" t="s">
        <v>3567</v>
      </c>
      <c r="P2736" s="187">
        <v>45225.5383912037</v>
      </c>
      <c r="Q2736" s="186">
        <v>13905</v>
      </c>
      <c r="R2736" s="185" t="s">
        <v>1841</v>
      </c>
      <c r="S2736" s="185" t="s">
        <v>1608</v>
      </c>
      <c r="T2736"/>
      <c r="U2736" t="str">
        <f>IF($L2736&gt;0,VLOOKUP($E2736,Valida!$A$1:$G$270,6,FALSE),IF($M2736&gt;=0,VLOOKUP($E2736,Valida!$A$1:$G$270,7,FALSE)))</f>
        <v>(+/-) Ajustes por el incremento (disminución) de cuentas por pagar de origen comercial</v>
      </c>
      <c r="V2736" s="190" t="str">
        <f>VLOOKUP(E2736,Valida!$A$2:$K$271,4,FALSE)</f>
        <v>Trade and other payables</v>
      </c>
      <c r="W2736" s="185" t="s">
        <v>1878</v>
      </c>
      <c r="X2736" s="185" t="s">
        <v>1879</v>
      </c>
      <c r="Y2736" s="185" t="s">
        <v>1789</v>
      </c>
      <c r="Z2736"/>
    </row>
    <row r="2737" spans="1:26">
      <c r="A2737" s="185" t="s">
        <v>3565</v>
      </c>
      <c r="B2737" s="185" t="s">
        <v>3566</v>
      </c>
      <c r="C2737" s="185" t="s">
        <v>1792</v>
      </c>
      <c r="D2737" s="185" t="s">
        <v>2527</v>
      </c>
      <c r="E2737" s="185">
        <v>24081001</v>
      </c>
      <c r="F2737" s="185" t="s">
        <v>1670</v>
      </c>
      <c r="G2737" s="185" t="s">
        <v>2052</v>
      </c>
      <c r="H2737" s="185" t="s">
        <v>1515</v>
      </c>
      <c r="I2737" s="258" t="str">
        <f t="shared" si="127"/>
        <v>2</v>
      </c>
      <c r="J2737" s="221">
        <f t="shared" si="128"/>
        <v>81529</v>
      </c>
      <c r="K2737" s="258">
        <f t="shared" si="129"/>
        <v>10</v>
      </c>
      <c r="L2737" s="188">
        <v>81529</v>
      </c>
      <c r="M2737" s="188">
        <v>0</v>
      </c>
      <c r="N2737" s="189">
        <v>901051438</v>
      </c>
      <c r="O2737" t="s">
        <v>3567</v>
      </c>
      <c r="P2737" s="187">
        <v>45225.5383912037</v>
      </c>
      <c r="Q2737" s="186">
        <v>13906</v>
      </c>
      <c r="R2737" s="185" t="s">
        <v>1841</v>
      </c>
      <c r="S2737" s="185" t="s">
        <v>1608</v>
      </c>
      <c r="T2737"/>
      <c r="U2737" t="str">
        <f>IF($L2737&gt;0,VLOOKUP($E2737,Valida!$A$1:$G$270,6,FALSE),IF($M2737&gt;=0,VLOOKUP($E2737,Valida!$A$1:$G$270,7,FALSE)))</f>
        <v>(+/-) Ajustes por el incremento (disminución) de cuentas por pagar de origen comercial</v>
      </c>
      <c r="V2737" s="190" t="str">
        <f>VLOOKUP(E2737,Valida!$A$2:$K$271,4,FALSE)</f>
        <v>Trade and other payables</v>
      </c>
      <c r="W2737" s="185" t="s">
        <v>1878</v>
      </c>
      <c r="X2737" s="185" t="s">
        <v>1879</v>
      </c>
      <c r="Y2737" s="185" t="s">
        <v>1789</v>
      </c>
      <c r="Z2737"/>
    </row>
    <row r="2738" spans="1:26">
      <c r="A2738" s="185" t="s">
        <v>3568</v>
      </c>
      <c r="B2738" s="185" t="s">
        <v>3569</v>
      </c>
      <c r="C2738" s="185" t="s">
        <v>2045</v>
      </c>
      <c r="D2738" s="185" t="s">
        <v>3570</v>
      </c>
      <c r="E2738" s="185">
        <v>23352502</v>
      </c>
      <c r="F2738" s="185" t="s">
        <v>466</v>
      </c>
      <c r="G2738" s="185" t="s">
        <v>3571</v>
      </c>
      <c r="H2738" s="185" t="s">
        <v>1628</v>
      </c>
      <c r="I2738" s="258" t="str">
        <f t="shared" si="127"/>
        <v>2</v>
      </c>
      <c r="J2738" s="221">
        <f t="shared" si="128"/>
        <v>-72000</v>
      </c>
      <c r="K2738" s="258">
        <f t="shared" si="129"/>
        <v>10</v>
      </c>
      <c r="L2738" s="188">
        <v>0</v>
      </c>
      <c r="M2738" s="188">
        <v>72000</v>
      </c>
      <c r="N2738" s="189">
        <v>1012448875</v>
      </c>
      <c r="O2738" t="s">
        <v>3572</v>
      </c>
      <c r="P2738" s="187">
        <v>45225.552361111098</v>
      </c>
      <c r="Q2738" s="186">
        <v>13909</v>
      </c>
      <c r="R2738" s="185"/>
      <c r="S2738" s="185" t="s">
        <v>1530</v>
      </c>
      <c r="T2738"/>
      <c r="U2738" t="str">
        <f>IF($L2738&gt;0,VLOOKUP($E2738,Valida!$A$1:$G$270,6,FALSE),IF($M2738&gt;=0,VLOOKUP($E2738,Valida!$A$1:$G$270,7,FALSE)))</f>
        <v>(+/-) Ajustes por el incremento (disminución) de cuentas por pagar de origen comercial</v>
      </c>
      <c r="V2738" s="190" t="str">
        <f>VLOOKUP(E2738,Valida!$A$2:$K$271,4,FALSE)</f>
        <v>Trade and other payables</v>
      </c>
      <c r="W2738" s="185" t="s">
        <v>3573</v>
      </c>
      <c r="X2738" s="185"/>
      <c r="Y2738" s="185" t="s">
        <v>1789</v>
      </c>
      <c r="Z2738"/>
    </row>
    <row r="2739" spans="1:26">
      <c r="A2739" s="185" t="s">
        <v>3568</v>
      </c>
      <c r="B2739" s="185" t="s">
        <v>3569</v>
      </c>
      <c r="C2739" s="185" t="s">
        <v>2045</v>
      </c>
      <c r="D2739" s="185" t="s">
        <v>3570</v>
      </c>
      <c r="E2739" s="185">
        <v>51109501</v>
      </c>
      <c r="F2739" s="185" t="s">
        <v>468</v>
      </c>
      <c r="G2739" s="185" t="s">
        <v>3574</v>
      </c>
      <c r="H2739" s="185" t="s">
        <v>1515</v>
      </c>
      <c r="I2739" s="258" t="str">
        <f t="shared" si="127"/>
        <v>5</v>
      </c>
      <c r="J2739" s="221">
        <f t="shared" si="128"/>
        <v>72000</v>
      </c>
      <c r="K2739" s="258">
        <f t="shared" si="129"/>
        <v>10</v>
      </c>
      <c r="L2739" s="188">
        <v>72000</v>
      </c>
      <c r="M2739" s="188">
        <v>0</v>
      </c>
      <c r="N2739" s="189">
        <v>1012448875</v>
      </c>
      <c r="O2739" t="s">
        <v>3572</v>
      </c>
      <c r="P2739" s="187">
        <v>45225.552361111098</v>
      </c>
      <c r="Q2739" s="186">
        <v>13910</v>
      </c>
      <c r="R2739" s="185"/>
      <c r="S2739" s="185" t="s">
        <v>1530</v>
      </c>
      <c r="T2739"/>
      <c r="U2739" t="str">
        <f>IF($L2739&gt;0,VLOOKUP($E2739,Valida!$A$1:$G$270,6,FALSE),IF($M2739&gt;=0,VLOOKUP($E2739,Valida!$A$1:$G$270,7,FALSE)))</f>
        <v>(+/-) Ganancia (pérdida)</v>
      </c>
      <c r="V2739" s="190" t="str">
        <f>VLOOKUP(E2739,Valida!$A$2:$K$271,4,FALSE)</f>
        <v>P&amp;L</v>
      </c>
      <c r="W2739" s="185" t="s">
        <v>3573</v>
      </c>
      <c r="X2739" s="185"/>
      <c r="Y2739" s="185" t="s">
        <v>1789</v>
      </c>
      <c r="Z2739"/>
    </row>
    <row r="2740" spans="1:26">
      <c r="A2740" s="185" t="s">
        <v>3530</v>
      </c>
      <c r="B2740" s="185" t="s">
        <v>3575</v>
      </c>
      <c r="C2740" s="185" t="s">
        <v>1890</v>
      </c>
      <c r="D2740" s="185" t="s">
        <v>3576</v>
      </c>
      <c r="E2740" s="185">
        <v>23355002</v>
      </c>
      <c r="F2740" s="185" t="s">
        <v>506</v>
      </c>
      <c r="G2740" s="185" t="s">
        <v>2061</v>
      </c>
      <c r="H2740" s="185" t="s">
        <v>1515</v>
      </c>
      <c r="I2740" s="258" t="str">
        <f t="shared" si="127"/>
        <v>2</v>
      </c>
      <c r="J2740" s="221">
        <f t="shared" si="128"/>
        <v>98503.09</v>
      </c>
      <c r="K2740" s="258">
        <f t="shared" si="129"/>
        <v>10</v>
      </c>
      <c r="L2740" s="188">
        <v>98503.09</v>
      </c>
      <c r="M2740" s="188">
        <v>0</v>
      </c>
      <c r="N2740" s="189">
        <v>440493581</v>
      </c>
      <c r="O2740"/>
      <c r="P2740" s="187">
        <v>45225.5544212963</v>
      </c>
      <c r="Q2740" s="186">
        <v>13911</v>
      </c>
      <c r="R2740" s="185"/>
      <c r="S2740" s="185" t="s">
        <v>1546</v>
      </c>
      <c r="T2740"/>
      <c r="U2740" t="str">
        <f>IF($L2740&gt;0,VLOOKUP($E2740,Valida!$A$1:$G$270,6,FALSE),IF($M2740&gt;=0,VLOOKUP($E2740,Valida!$A$1:$G$270,7,FALSE)))</f>
        <v>(+/-) Ajustes por el incremento (disminución) de cuentas por pagar de origen comercial</v>
      </c>
      <c r="V2740" s="190" t="str">
        <f>VLOOKUP(E2740,Valida!$A$2:$K$271,4,FALSE)</f>
        <v>Trade and other payables</v>
      </c>
      <c r="W2740" s="185" t="s">
        <v>1808</v>
      </c>
      <c r="X2740" s="185"/>
      <c r="Y2740" s="185"/>
      <c r="Z2740"/>
    </row>
    <row r="2741" spans="1:26">
      <c r="A2741" s="185" t="s">
        <v>3530</v>
      </c>
      <c r="B2741" s="185" t="s">
        <v>3575</v>
      </c>
      <c r="C2741" s="185" t="s">
        <v>1890</v>
      </c>
      <c r="D2741" s="185" t="s">
        <v>3576</v>
      </c>
      <c r="E2741" s="185">
        <v>112005</v>
      </c>
      <c r="F2741" s="185" t="s">
        <v>24</v>
      </c>
      <c r="G2741" s="185" t="s">
        <v>2061</v>
      </c>
      <c r="H2741" s="185" t="s">
        <v>1628</v>
      </c>
      <c r="I2741" s="258" t="str">
        <f t="shared" si="127"/>
        <v>1</v>
      </c>
      <c r="J2741" s="221">
        <f t="shared" si="128"/>
        <v>-98503.09</v>
      </c>
      <c r="K2741" s="258">
        <f t="shared" si="129"/>
        <v>10</v>
      </c>
      <c r="L2741" s="188">
        <v>0</v>
      </c>
      <c r="M2741" s="188">
        <v>98503.09</v>
      </c>
      <c r="N2741" s="189">
        <v>440493581</v>
      </c>
      <c r="O2741"/>
      <c r="P2741" s="187">
        <v>45225.5544212963</v>
      </c>
      <c r="Q2741" s="186">
        <v>13912</v>
      </c>
      <c r="R2741" s="185"/>
      <c r="S2741" s="185" t="s">
        <v>1546</v>
      </c>
      <c r="T2741" t="s">
        <v>1894</v>
      </c>
      <c r="U2741" t="str">
        <f>IF($L2741&gt;0,VLOOKUP($E2741,Valida!$A$1:$G$270,6,FALSE),IF($M2741&gt;=0,VLOOKUP($E2741,Valida!$A$1:$G$270,7,FALSE)))</f>
        <v>Disponible</v>
      </c>
      <c r="V2741" s="190" t="str">
        <f>VLOOKUP(E2741,Valida!$A$2:$K$271,4,FALSE)</f>
        <v>Cash and equivalents</v>
      </c>
      <c r="W2741" s="185" t="s">
        <v>1808</v>
      </c>
      <c r="X2741" s="185"/>
      <c r="Y2741" s="185"/>
      <c r="Z2741"/>
    </row>
    <row r="2742" spans="1:26">
      <c r="A2742" s="185" t="s">
        <v>3525</v>
      </c>
      <c r="B2742" s="185" t="s">
        <v>3577</v>
      </c>
      <c r="C2742" s="185" t="s">
        <v>1890</v>
      </c>
      <c r="D2742" s="185" t="s">
        <v>3578</v>
      </c>
      <c r="E2742" s="185">
        <v>23355007</v>
      </c>
      <c r="F2742" s="185" t="s">
        <v>1638</v>
      </c>
      <c r="G2742" s="185" t="s">
        <v>2061</v>
      </c>
      <c r="H2742" s="185" t="s">
        <v>1515</v>
      </c>
      <c r="I2742" s="258" t="str">
        <f t="shared" si="127"/>
        <v>2</v>
      </c>
      <c r="J2742" s="221">
        <f t="shared" si="128"/>
        <v>149754.1</v>
      </c>
      <c r="K2742" s="258">
        <f t="shared" si="129"/>
        <v>10</v>
      </c>
      <c r="L2742" s="188">
        <v>149754.1</v>
      </c>
      <c r="M2742" s="188">
        <v>0</v>
      </c>
      <c r="N2742" s="189">
        <v>444444001</v>
      </c>
      <c r="O2742"/>
      <c r="P2742" s="187">
        <v>45225.554791666698</v>
      </c>
      <c r="Q2742" s="186">
        <v>13913</v>
      </c>
      <c r="R2742" s="185"/>
      <c r="S2742" s="185" t="s">
        <v>1548</v>
      </c>
      <c r="T2742"/>
      <c r="U2742" t="str">
        <f>IF($L2742&gt;0,VLOOKUP($E2742,Valida!$A$1:$G$270,6,FALSE),IF($M2742&gt;=0,VLOOKUP($E2742,Valida!$A$1:$G$270,7,FALSE)))</f>
        <v>(+/-) Ajustes por el incremento (disminución) de cuentas por pagar de origen comercial</v>
      </c>
      <c r="V2742" s="190" t="str">
        <f>VLOOKUP(E2742,Valida!$A$2:$K$271,4,FALSE)</f>
        <v>Trade and other payables</v>
      </c>
      <c r="W2742" s="185"/>
      <c r="X2742" s="185"/>
      <c r="Y2742" s="185"/>
      <c r="Z2742"/>
    </row>
    <row r="2743" spans="1:26">
      <c r="A2743" s="185" t="s">
        <v>3525</v>
      </c>
      <c r="B2743" s="185" t="s">
        <v>3577</v>
      </c>
      <c r="C2743" s="185" t="s">
        <v>1890</v>
      </c>
      <c r="D2743" s="185" t="s">
        <v>3578</v>
      </c>
      <c r="E2743" s="185">
        <v>112005</v>
      </c>
      <c r="F2743" s="185" t="s">
        <v>24</v>
      </c>
      <c r="G2743" s="185" t="s">
        <v>2061</v>
      </c>
      <c r="H2743" s="185" t="s">
        <v>1628</v>
      </c>
      <c r="I2743" s="258" t="str">
        <f t="shared" si="127"/>
        <v>1</v>
      </c>
      <c r="J2743" s="221">
        <f t="shared" si="128"/>
        <v>-149754.1</v>
      </c>
      <c r="K2743" s="258">
        <f t="shared" si="129"/>
        <v>10</v>
      </c>
      <c r="L2743" s="188">
        <v>0</v>
      </c>
      <c r="M2743" s="188">
        <v>149754.1</v>
      </c>
      <c r="N2743" s="189">
        <v>0</v>
      </c>
      <c r="O2743"/>
      <c r="P2743" s="187">
        <v>45225.554791666698</v>
      </c>
      <c r="Q2743" s="186">
        <v>13914</v>
      </c>
      <c r="R2743" s="185"/>
      <c r="S2743" s="185" t="s">
        <v>1520</v>
      </c>
      <c r="T2743" t="s">
        <v>1894</v>
      </c>
      <c r="U2743" t="str">
        <f>IF($L2743&gt;0,VLOOKUP($E2743,Valida!$A$1:$G$270,6,FALSE),IF($M2743&gt;=0,VLOOKUP($E2743,Valida!$A$1:$G$270,7,FALSE)))</f>
        <v>Disponible</v>
      </c>
      <c r="V2743" s="190" t="str">
        <f>VLOOKUP(E2743,Valida!$A$2:$K$271,4,FALSE)</f>
        <v>Cash and equivalents</v>
      </c>
      <c r="W2743" s="185"/>
      <c r="X2743" s="185"/>
      <c r="Y2743" s="185"/>
      <c r="Z2743"/>
    </row>
    <row r="2744" spans="1:26">
      <c r="A2744" s="185" t="s">
        <v>3533</v>
      </c>
      <c r="B2744" s="185" t="s">
        <v>3579</v>
      </c>
      <c r="C2744" s="185" t="s">
        <v>1890</v>
      </c>
      <c r="D2744" s="185" t="s">
        <v>3580</v>
      </c>
      <c r="E2744" s="185">
        <v>23351001</v>
      </c>
      <c r="F2744" s="185" t="s">
        <v>453</v>
      </c>
      <c r="G2744" s="185" t="s">
        <v>2061</v>
      </c>
      <c r="H2744" s="185" t="s">
        <v>1515</v>
      </c>
      <c r="I2744" s="258" t="str">
        <f t="shared" si="127"/>
        <v>2</v>
      </c>
      <c r="J2744" s="221">
        <f t="shared" si="128"/>
        <v>7200</v>
      </c>
      <c r="K2744" s="258">
        <f t="shared" si="129"/>
        <v>10</v>
      </c>
      <c r="L2744" s="188">
        <v>7200</v>
      </c>
      <c r="M2744" s="188">
        <v>0</v>
      </c>
      <c r="N2744" s="189">
        <v>860007322</v>
      </c>
      <c r="O2744"/>
      <c r="P2744" s="187">
        <v>45225.555277777799</v>
      </c>
      <c r="Q2744" s="186">
        <v>13915</v>
      </c>
      <c r="R2744" s="185" t="s">
        <v>1841</v>
      </c>
      <c r="S2744" s="185" t="s">
        <v>1566</v>
      </c>
      <c r="T2744"/>
      <c r="U2744" t="str">
        <f>IF($L2744&gt;0,VLOOKUP($E2744,Valida!$A$1:$G$270,6,FALSE),IF($M2744&gt;=0,VLOOKUP($E2744,Valida!$A$1:$G$270,7,FALSE)))</f>
        <v>(+/-) Ajustes por el incremento (disminución) de cuentas por pagar de origen comercial</v>
      </c>
      <c r="V2744" s="190" t="str">
        <f>VLOOKUP(E2744,Valida!$A$2:$K$271,4,FALSE)</f>
        <v>Trade and other payables</v>
      </c>
      <c r="W2744" s="185" t="s">
        <v>2306</v>
      </c>
      <c r="X2744" s="185"/>
      <c r="Y2744" s="185" t="s">
        <v>1789</v>
      </c>
      <c r="Z2744"/>
    </row>
    <row r="2745" spans="1:26">
      <c r="A2745" s="185" t="s">
        <v>3533</v>
      </c>
      <c r="B2745" s="185" t="s">
        <v>3579</v>
      </c>
      <c r="C2745" s="185" t="s">
        <v>1890</v>
      </c>
      <c r="D2745" s="185" t="s">
        <v>3580</v>
      </c>
      <c r="E2745" s="185">
        <v>112005</v>
      </c>
      <c r="F2745" s="185" t="s">
        <v>24</v>
      </c>
      <c r="G2745" s="185" t="s">
        <v>2061</v>
      </c>
      <c r="H2745" s="185" t="s">
        <v>1628</v>
      </c>
      <c r="I2745" s="258" t="str">
        <f t="shared" si="127"/>
        <v>1</v>
      </c>
      <c r="J2745" s="221">
        <f t="shared" si="128"/>
        <v>-7200</v>
      </c>
      <c r="K2745" s="258">
        <f t="shared" si="129"/>
        <v>10</v>
      </c>
      <c r="L2745" s="188">
        <v>0</v>
      </c>
      <c r="M2745" s="188">
        <v>7200</v>
      </c>
      <c r="N2745" s="189">
        <v>860007322</v>
      </c>
      <c r="O2745"/>
      <c r="P2745" s="187">
        <v>45225.555277777799</v>
      </c>
      <c r="Q2745" s="186">
        <v>13916</v>
      </c>
      <c r="R2745" s="185" t="s">
        <v>1841</v>
      </c>
      <c r="S2745" s="185" t="s">
        <v>1566</v>
      </c>
      <c r="T2745" t="s">
        <v>1894</v>
      </c>
      <c r="U2745" t="str">
        <f>IF($L2745&gt;0,VLOOKUP($E2745,Valida!$A$1:$G$270,6,FALSE),IF($M2745&gt;=0,VLOOKUP($E2745,Valida!$A$1:$G$270,7,FALSE)))</f>
        <v>Disponible</v>
      </c>
      <c r="V2745" s="190" t="str">
        <f>VLOOKUP(E2745,Valida!$A$2:$K$271,4,FALSE)</f>
        <v>Cash and equivalents</v>
      </c>
      <c r="W2745" s="185" t="s">
        <v>2306</v>
      </c>
      <c r="X2745" s="185"/>
      <c r="Y2745" s="185" t="s">
        <v>1789</v>
      </c>
      <c r="Z2745"/>
    </row>
    <row r="2746" spans="1:26">
      <c r="A2746" s="185" t="s">
        <v>3581</v>
      </c>
      <c r="B2746" s="185" t="s">
        <v>3582</v>
      </c>
      <c r="C2746" s="185" t="s">
        <v>1890</v>
      </c>
      <c r="D2746" s="185" t="s">
        <v>3583</v>
      </c>
      <c r="E2746" s="185">
        <v>23359502</v>
      </c>
      <c r="F2746" s="185" t="s">
        <v>547</v>
      </c>
      <c r="G2746" s="185" t="s">
        <v>2061</v>
      </c>
      <c r="H2746" s="185" t="s">
        <v>1515</v>
      </c>
      <c r="I2746" s="258" t="str">
        <f t="shared" si="127"/>
        <v>2</v>
      </c>
      <c r="J2746" s="221">
        <f t="shared" si="128"/>
        <v>4881427</v>
      </c>
      <c r="K2746" s="258">
        <f t="shared" si="129"/>
        <v>10</v>
      </c>
      <c r="L2746" s="188">
        <v>4881427</v>
      </c>
      <c r="M2746" s="188">
        <v>0</v>
      </c>
      <c r="N2746" s="189">
        <v>830062853</v>
      </c>
      <c r="O2746"/>
      <c r="P2746" s="187">
        <v>45225.5558101852</v>
      </c>
      <c r="Q2746" s="186">
        <v>13917</v>
      </c>
      <c r="R2746" s="185" t="s">
        <v>433</v>
      </c>
      <c r="S2746" s="185" t="s">
        <v>1564</v>
      </c>
      <c r="T2746"/>
      <c r="U2746" t="str">
        <f>IF($L2746&gt;0,VLOOKUP($E2746,Valida!$A$1:$G$270,6,FALSE),IF($M2746&gt;=0,VLOOKUP($E2746,Valida!$A$1:$G$270,7,FALSE)))</f>
        <v>(+/-) Ajustes por el incremento (disminución) de cuentas por pagar de origen comercial</v>
      </c>
      <c r="V2746" s="190" t="str">
        <f>VLOOKUP(E2746,Valida!$A$2:$K$271,4,FALSE)</f>
        <v>Trade and other payables</v>
      </c>
      <c r="W2746" s="185" t="s">
        <v>2024</v>
      </c>
      <c r="X2746" s="185" t="s">
        <v>2025</v>
      </c>
      <c r="Y2746" s="185" t="s">
        <v>1789</v>
      </c>
      <c r="Z2746"/>
    </row>
    <row r="2747" spans="1:26">
      <c r="A2747" s="185" t="s">
        <v>3581</v>
      </c>
      <c r="B2747" s="185" t="s">
        <v>3582</v>
      </c>
      <c r="C2747" s="185" t="s">
        <v>1890</v>
      </c>
      <c r="D2747" s="185" t="s">
        <v>3583</v>
      </c>
      <c r="E2747" s="185">
        <v>112005</v>
      </c>
      <c r="F2747" s="185" t="s">
        <v>24</v>
      </c>
      <c r="G2747" s="185" t="s">
        <v>2061</v>
      </c>
      <c r="H2747" s="185" t="s">
        <v>1628</v>
      </c>
      <c r="I2747" s="258" t="str">
        <f t="shared" si="127"/>
        <v>1</v>
      </c>
      <c r="J2747" s="221">
        <f t="shared" si="128"/>
        <v>-4881427</v>
      </c>
      <c r="K2747" s="258">
        <f t="shared" si="129"/>
        <v>10</v>
      </c>
      <c r="L2747" s="188">
        <v>0</v>
      </c>
      <c r="M2747" s="188">
        <v>4881427</v>
      </c>
      <c r="N2747" s="189">
        <v>830062853</v>
      </c>
      <c r="O2747"/>
      <c r="P2747" s="187">
        <v>45225.5558101852</v>
      </c>
      <c r="Q2747" s="186">
        <v>13918</v>
      </c>
      <c r="R2747" s="185" t="s">
        <v>433</v>
      </c>
      <c r="S2747" s="185" t="s">
        <v>1564</v>
      </c>
      <c r="T2747" t="s">
        <v>1894</v>
      </c>
      <c r="U2747" t="str">
        <f>IF($L2747&gt;0,VLOOKUP($E2747,Valida!$A$1:$G$270,6,FALSE),IF($M2747&gt;=0,VLOOKUP($E2747,Valida!$A$1:$G$270,7,FALSE)))</f>
        <v>Disponible</v>
      </c>
      <c r="V2747" s="190" t="str">
        <f>VLOOKUP(E2747,Valida!$A$2:$K$271,4,FALSE)</f>
        <v>Cash and equivalents</v>
      </c>
      <c r="W2747" s="185" t="s">
        <v>2024</v>
      </c>
      <c r="X2747" s="185" t="s">
        <v>2025</v>
      </c>
      <c r="Y2747" s="185" t="s">
        <v>1789</v>
      </c>
      <c r="Z2747"/>
    </row>
    <row r="2748" spans="1:26">
      <c r="A2748" s="185" t="s">
        <v>3550</v>
      </c>
      <c r="B2748" s="185" t="s">
        <v>3584</v>
      </c>
      <c r="C2748" s="185" t="s">
        <v>1890</v>
      </c>
      <c r="D2748" s="185" t="s">
        <v>3585</v>
      </c>
      <c r="E2748" s="185">
        <v>236595</v>
      </c>
      <c r="F2748" s="185" t="s">
        <v>648</v>
      </c>
      <c r="G2748" s="185" t="s">
        <v>3586</v>
      </c>
      <c r="H2748" s="185" t="s">
        <v>1515</v>
      </c>
      <c r="I2748" s="258" t="str">
        <f t="shared" si="127"/>
        <v>2</v>
      </c>
      <c r="J2748" s="221">
        <f t="shared" si="128"/>
        <v>1454000</v>
      </c>
      <c r="K2748" s="258">
        <f t="shared" si="129"/>
        <v>10</v>
      </c>
      <c r="L2748" s="188">
        <v>1454000</v>
      </c>
      <c r="M2748" s="188">
        <v>0</v>
      </c>
      <c r="N2748" s="189">
        <v>800197268</v>
      </c>
      <c r="O2748"/>
      <c r="P2748" s="187">
        <v>45225.5562615741</v>
      </c>
      <c r="Q2748" s="186">
        <v>13919</v>
      </c>
      <c r="R2748" s="185" t="s">
        <v>983</v>
      </c>
      <c r="S2748" s="185" t="s">
        <v>1558</v>
      </c>
      <c r="T2748"/>
      <c r="U2748" t="str">
        <f>IF($L2748&gt;0,VLOOKUP($E2748,Valida!$A$1:$G$270,6,FALSE),IF($M2748&gt;=0,VLOOKUP($E2748,Valida!$A$1:$G$270,7,FALSE)))</f>
        <v>(+/-) Ajustes por el incremento (disminución) de cuentas por pagar de origen comercial</v>
      </c>
      <c r="V2748" s="190" t="str">
        <f>VLOOKUP(E2748,Valida!$A$2:$K$271,4,FALSE)</f>
        <v>Trade and other payables</v>
      </c>
      <c r="W2748" s="185" t="s">
        <v>1944</v>
      </c>
      <c r="X2748" s="185"/>
      <c r="Y2748" s="185" t="s">
        <v>1789</v>
      </c>
      <c r="Z2748"/>
    </row>
    <row r="2749" spans="1:26">
      <c r="A2749" s="185" t="s">
        <v>3550</v>
      </c>
      <c r="B2749" s="185" t="s">
        <v>3584</v>
      </c>
      <c r="C2749" s="185" t="s">
        <v>1890</v>
      </c>
      <c r="D2749" s="185" t="s">
        <v>3585</v>
      </c>
      <c r="E2749" s="185">
        <v>112005</v>
      </c>
      <c r="F2749" s="185" t="s">
        <v>24</v>
      </c>
      <c r="G2749" s="185" t="s">
        <v>3586</v>
      </c>
      <c r="H2749" s="185" t="s">
        <v>1628</v>
      </c>
      <c r="I2749" s="258" t="str">
        <f t="shared" si="127"/>
        <v>1</v>
      </c>
      <c r="J2749" s="221">
        <f t="shared" si="128"/>
        <v>-1454000</v>
      </c>
      <c r="K2749" s="258">
        <f t="shared" si="129"/>
        <v>10</v>
      </c>
      <c r="L2749" s="188">
        <v>0</v>
      </c>
      <c r="M2749" s="188">
        <v>1454000</v>
      </c>
      <c r="N2749" s="189">
        <v>800197268</v>
      </c>
      <c r="O2749"/>
      <c r="P2749" s="187">
        <v>45225.5562615741</v>
      </c>
      <c r="Q2749" s="186">
        <v>13920</v>
      </c>
      <c r="R2749" s="185" t="s">
        <v>983</v>
      </c>
      <c r="S2749" s="185" t="s">
        <v>1558</v>
      </c>
      <c r="T2749" t="s">
        <v>1894</v>
      </c>
      <c r="U2749" t="str">
        <f>IF($L2749&gt;0,VLOOKUP($E2749,Valida!$A$1:$G$270,6,FALSE),IF($M2749&gt;=0,VLOOKUP($E2749,Valida!$A$1:$G$270,7,FALSE)))</f>
        <v>Disponible</v>
      </c>
      <c r="V2749" s="190" t="str">
        <f>VLOOKUP(E2749,Valida!$A$2:$K$271,4,FALSE)</f>
        <v>Cash and equivalents</v>
      </c>
      <c r="W2749" s="185" t="s">
        <v>1944</v>
      </c>
      <c r="X2749" s="185"/>
      <c r="Y2749" s="185" t="s">
        <v>1789</v>
      </c>
      <c r="Z2749"/>
    </row>
    <row r="2750" spans="1:26">
      <c r="A2750" s="185" t="s">
        <v>3555</v>
      </c>
      <c r="B2750" s="185" t="s">
        <v>3587</v>
      </c>
      <c r="C2750" s="185" t="s">
        <v>1890</v>
      </c>
      <c r="D2750" s="185" t="s">
        <v>3588</v>
      </c>
      <c r="E2750" s="185">
        <v>23351001</v>
      </c>
      <c r="F2750" s="185" t="s">
        <v>453</v>
      </c>
      <c r="G2750" s="185" t="s">
        <v>2426</v>
      </c>
      <c r="H2750" s="185" t="s">
        <v>1515</v>
      </c>
      <c r="I2750" s="258" t="str">
        <f t="shared" si="127"/>
        <v>2</v>
      </c>
      <c r="J2750" s="221">
        <f t="shared" si="128"/>
        <v>572000</v>
      </c>
      <c r="K2750" s="258">
        <f t="shared" si="129"/>
        <v>10</v>
      </c>
      <c r="L2750" s="188">
        <v>572000</v>
      </c>
      <c r="M2750" s="188">
        <v>0</v>
      </c>
      <c r="N2750" s="189">
        <v>860007322</v>
      </c>
      <c r="O2750"/>
      <c r="P2750" s="187">
        <v>45225.557083333297</v>
      </c>
      <c r="Q2750" s="186">
        <v>13921</v>
      </c>
      <c r="R2750" s="185" t="s">
        <v>1841</v>
      </c>
      <c r="S2750" s="185" t="s">
        <v>1566</v>
      </c>
      <c r="T2750"/>
      <c r="U2750" t="str">
        <f>IF($L2750&gt;0,VLOOKUP($E2750,Valida!$A$1:$G$270,6,FALSE),IF($M2750&gt;=0,VLOOKUP($E2750,Valida!$A$1:$G$270,7,FALSE)))</f>
        <v>(+/-) Ajustes por el incremento (disminución) de cuentas por pagar de origen comercial</v>
      </c>
      <c r="V2750" s="190" t="str">
        <f>VLOOKUP(E2750,Valida!$A$2:$K$271,4,FALSE)</f>
        <v>Trade and other payables</v>
      </c>
      <c r="W2750" s="185" t="s">
        <v>2306</v>
      </c>
      <c r="X2750" s="185"/>
      <c r="Y2750" s="185" t="s">
        <v>1789</v>
      </c>
      <c r="Z2750"/>
    </row>
    <row r="2751" spans="1:26">
      <c r="A2751" s="185" t="s">
        <v>3555</v>
      </c>
      <c r="B2751" s="185" t="s">
        <v>3587</v>
      </c>
      <c r="C2751" s="185" t="s">
        <v>1890</v>
      </c>
      <c r="D2751" s="185" t="s">
        <v>3588</v>
      </c>
      <c r="E2751" s="185">
        <v>112005</v>
      </c>
      <c r="F2751" s="185" t="s">
        <v>24</v>
      </c>
      <c r="G2751" s="185" t="s">
        <v>2426</v>
      </c>
      <c r="H2751" s="185" t="s">
        <v>1628</v>
      </c>
      <c r="I2751" s="258" t="str">
        <f t="shared" si="127"/>
        <v>1</v>
      </c>
      <c r="J2751" s="221">
        <f t="shared" si="128"/>
        <v>-572000</v>
      </c>
      <c r="K2751" s="258">
        <f t="shared" si="129"/>
        <v>10</v>
      </c>
      <c r="L2751" s="188">
        <v>0</v>
      </c>
      <c r="M2751" s="188">
        <v>572000</v>
      </c>
      <c r="N2751" s="189">
        <v>860007322</v>
      </c>
      <c r="O2751"/>
      <c r="P2751" s="187">
        <v>45225.557083333297</v>
      </c>
      <c r="Q2751" s="186">
        <v>13922</v>
      </c>
      <c r="R2751" s="185" t="s">
        <v>1841</v>
      </c>
      <c r="S2751" s="185" t="s">
        <v>1566</v>
      </c>
      <c r="T2751" t="s">
        <v>1894</v>
      </c>
      <c r="U2751" t="str">
        <f>IF($L2751&gt;0,VLOOKUP($E2751,Valida!$A$1:$G$270,6,FALSE),IF($M2751&gt;=0,VLOOKUP($E2751,Valida!$A$1:$G$270,7,FALSE)))</f>
        <v>Disponible</v>
      </c>
      <c r="V2751" s="190" t="str">
        <f>VLOOKUP(E2751,Valida!$A$2:$K$271,4,FALSE)</f>
        <v>Cash and equivalents</v>
      </c>
      <c r="W2751" s="185" t="s">
        <v>2306</v>
      </c>
      <c r="X2751" s="185"/>
      <c r="Y2751" s="185" t="s">
        <v>1789</v>
      </c>
      <c r="Z2751"/>
    </row>
    <row r="2752" spans="1:26">
      <c r="A2752" s="185" t="s">
        <v>3555</v>
      </c>
      <c r="B2752" s="185" t="s">
        <v>3589</v>
      </c>
      <c r="C2752" s="185" t="s">
        <v>1890</v>
      </c>
      <c r="D2752" s="185" t="s">
        <v>3590</v>
      </c>
      <c r="E2752" s="185">
        <v>23359502</v>
      </c>
      <c r="F2752" s="185" t="s">
        <v>547</v>
      </c>
      <c r="G2752" s="185" t="s">
        <v>2426</v>
      </c>
      <c r="H2752" s="185" t="s">
        <v>1515</v>
      </c>
      <c r="I2752" s="258" t="str">
        <f t="shared" si="127"/>
        <v>2</v>
      </c>
      <c r="J2752" s="221">
        <f t="shared" si="128"/>
        <v>122016</v>
      </c>
      <c r="K2752" s="258">
        <f t="shared" si="129"/>
        <v>10</v>
      </c>
      <c r="L2752" s="188">
        <v>122016</v>
      </c>
      <c r="M2752" s="188">
        <v>0</v>
      </c>
      <c r="N2752" s="189">
        <v>900424409</v>
      </c>
      <c r="O2752"/>
      <c r="P2752" s="187">
        <v>45225.557511574101</v>
      </c>
      <c r="Q2752" s="186">
        <v>13923</v>
      </c>
      <c r="R2752" s="185" t="s">
        <v>844</v>
      </c>
      <c r="S2752" s="185" t="s">
        <v>1598</v>
      </c>
      <c r="T2752"/>
      <c r="U2752" t="str">
        <f>IF($L2752&gt;0,VLOOKUP($E2752,Valida!$A$1:$G$270,6,FALSE),IF($M2752&gt;=0,VLOOKUP($E2752,Valida!$A$1:$G$270,7,FALSE)))</f>
        <v>(+/-) Ajustes por el incremento (disminución) de cuentas por pagar de origen comercial</v>
      </c>
      <c r="V2752" s="190" t="str">
        <f>VLOOKUP(E2752,Valida!$A$2:$K$271,4,FALSE)</f>
        <v>Trade and other payables</v>
      </c>
      <c r="W2752" s="185" t="s">
        <v>1864</v>
      </c>
      <c r="X2752" s="185" t="s">
        <v>1865</v>
      </c>
      <c r="Y2752" s="185" t="s">
        <v>1789</v>
      </c>
      <c r="Z2752"/>
    </row>
    <row r="2753" spans="1:26">
      <c r="A2753" s="185" t="s">
        <v>3555</v>
      </c>
      <c r="B2753" s="185" t="s">
        <v>3589</v>
      </c>
      <c r="C2753" s="185" t="s">
        <v>1890</v>
      </c>
      <c r="D2753" s="185" t="s">
        <v>3590</v>
      </c>
      <c r="E2753" s="185">
        <v>112005</v>
      </c>
      <c r="F2753" s="185" t="s">
        <v>24</v>
      </c>
      <c r="G2753" s="185" t="s">
        <v>2426</v>
      </c>
      <c r="H2753" s="185" t="s">
        <v>1628</v>
      </c>
      <c r="I2753" s="258" t="str">
        <f t="shared" si="127"/>
        <v>1</v>
      </c>
      <c r="J2753" s="221">
        <f t="shared" si="128"/>
        <v>-122016</v>
      </c>
      <c r="K2753" s="258">
        <f t="shared" si="129"/>
        <v>10</v>
      </c>
      <c r="L2753" s="188">
        <v>0</v>
      </c>
      <c r="M2753" s="188">
        <v>122016</v>
      </c>
      <c r="N2753" s="189">
        <v>900424409</v>
      </c>
      <c r="O2753"/>
      <c r="P2753" s="187">
        <v>45225.557511574101</v>
      </c>
      <c r="Q2753" s="186">
        <v>13924</v>
      </c>
      <c r="R2753" s="185" t="s">
        <v>844</v>
      </c>
      <c r="S2753" s="185" t="s">
        <v>1598</v>
      </c>
      <c r="T2753" t="s">
        <v>1894</v>
      </c>
      <c r="U2753" t="str">
        <f>IF($L2753&gt;0,VLOOKUP($E2753,Valida!$A$1:$G$270,6,FALSE),IF($M2753&gt;=0,VLOOKUP($E2753,Valida!$A$1:$G$270,7,FALSE)))</f>
        <v>Disponible</v>
      </c>
      <c r="V2753" s="190" t="str">
        <f>VLOOKUP(E2753,Valida!$A$2:$K$271,4,FALSE)</f>
        <v>Cash and equivalents</v>
      </c>
      <c r="W2753" s="185" t="s">
        <v>1864</v>
      </c>
      <c r="X2753" s="185" t="s">
        <v>1865</v>
      </c>
      <c r="Y2753" s="185" t="s">
        <v>1789</v>
      </c>
      <c r="Z2753"/>
    </row>
    <row r="2754" spans="1:26">
      <c r="A2754" s="185" t="s">
        <v>3555</v>
      </c>
      <c r="B2754" s="185" t="s">
        <v>3591</v>
      </c>
      <c r="C2754" s="185" t="s">
        <v>1890</v>
      </c>
      <c r="D2754" s="185" t="s">
        <v>3592</v>
      </c>
      <c r="E2754" s="185">
        <v>23359504</v>
      </c>
      <c r="F2754" s="185" t="s">
        <v>553</v>
      </c>
      <c r="G2754" s="185" t="s">
        <v>2426</v>
      </c>
      <c r="H2754" s="185" t="s">
        <v>1515</v>
      </c>
      <c r="I2754" s="258" t="str">
        <f t="shared" si="127"/>
        <v>2</v>
      </c>
      <c r="J2754" s="221">
        <f t="shared" si="128"/>
        <v>330000</v>
      </c>
      <c r="K2754" s="258">
        <f t="shared" si="129"/>
        <v>10</v>
      </c>
      <c r="L2754" s="188">
        <v>330000</v>
      </c>
      <c r="M2754" s="188">
        <v>0</v>
      </c>
      <c r="N2754" s="189">
        <v>800042928</v>
      </c>
      <c r="O2754"/>
      <c r="P2754" s="187">
        <v>45225.557928240698</v>
      </c>
      <c r="Q2754" s="186">
        <v>13925</v>
      </c>
      <c r="R2754" s="185" t="s">
        <v>6</v>
      </c>
      <c r="S2754" s="185" t="s">
        <v>1554</v>
      </c>
      <c r="T2754"/>
      <c r="U2754" t="str">
        <f>IF($L2754&gt;0,VLOOKUP($E2754,Valida!$A$1:$G$270,6,FALSE),IF($M2754&gt;=0,VLOOKUP($E2754,Valida!$A$1:$G$270,7,FALSE)))</f>
        <v>(+/-) Ajustes por el incremento (disminución) de cuentas por pagar de origen comercial</v>
      </c>
      <c r="V2754" s="190" t="str">
        <f>VLOOKUP(E2754,Valida!$A$2:$K$271,4,FALSE)</f>
        <v>Trade and other payables</v>
      </c>
      <c r="W2754" s="185" t="s">
        <v>1820</v>
      </c>
      <c r="X2754" s="185" t="s">
        <v>1821</v>
      </c>
      <c r="Y2754" s="185" t="s">
        <v>1789</v>
      </c>
      <c r="Z2754"/>
    </row>
    <row r="2755" spans="1:26">
      <c r="A2755" s="185" t="s">
        <v>3555</v>
      </c>
      <c r="B2755" s="185" t="s">
        <v>3591</v>
      </c>
      <c r="C2755" s="185" t="s">
        <v>1890</v>
      </c>
      <c r="D2755" s="185" t="s">
        <v>3592</v>
      </c>
      <c r="E2755" s="185">
        <v>112005</v>
      </c>
      <c r="F2755" s="185" t="s">
        <v>24</v>
      </c>
      <c r="G2755" s="185" t="s">
        <v>2426</v>
      </c>
      <c r="H2755" s="185" t="s">
        <v>1628</v>
      </c>
      <c r="I2755" s="258" t="str">
        <f t="shared" ref="I2755:I2818" si="130">LEFT(E2755,1)</f>
        <v>1</v>
      </c>
      <c r="J2755" s="221">
        <f t="shared" ref="J2755:J2818" si="131">L2755-M2755</f>
        <v>-330000</v>
      </c>
      <c r="K2755" s="258">
        <f t="shared" ref="K2755:K2818" si="132">MONTH(A2755)</f>
        <v>10</v>
      </c>
      <c r="L2755" s="188">
        <v>0</v>
      </c>
      <c r="M2755" s="188">
        <v>330000</v>
      </c>
      <c r="N2755" s="189">
        <v>800042928</v>
      </c>
      <c r="O2755"/>
      <c r="P2755" s="187">
        <v>45225.557928240698</v>
      </c>
      <c r="Q2755" s="186">
        <v>13926</v>
      </c>
      <c r="R2755" s="185" t="s">
        <v>6</v>
      </c>
      <c r="S2755" s="185" t="s">
        <v>1554</v>
      </c>
      <c r="T2755" t="s">
        <v>1894</v>
      </c>
      <c r="U2755" t="str">
        <f>IF($L2755&gt;0,VLOOKUP($E2755,Valida!$A$1:$G$270,6,FALSE),IF($M2755&gt;=0,VLOOKUP($E2755,Valida!$A$1:$G$270,7,FALSE)))</f>
        <v>Disponible</v>
      </c>
      <c r="V2755" s="190" t="str">
        <f>VLOOKUP(E2755,Valida!$A$2:$K$271,4,FALSE)</f>
        <v>Cash and equivalents</v>
      </c>
      <c r="W2755" s="185" t="s">
        <v>1820</v>
      </c>
      <c r="X2755" s="185" t="s">
        <v>1821</v>
      </c>
      <c r="Y2755" s="185" t="s">
        <v>1789</v>
      </c>
      <c r="Z2755"/>
    </row>
    <row r="2756" spans="1:26">
      <c r="A2756" s="185" t="s">
        <v>3559</v>
      </c>
      <c r="B2756" s="185" t="s">
        <v>3593</v>
      </c>
      <c r="C2756" s="185" t="s">
        <v>1890</v>
      </c>
      <c r="D2756" s="185" t="s">
        <v>3594</v>
      </c>
      <c r="E2756" s="185">
        <v>23354001</v>
      </c>
      <c r="F2756" s="185" t="s">
        <v>484</v>
      </c>
      <c r="G2756" s="185" t="s">
        <v>2426</v>
      </c>
      <c r="H2756" s="185" t="s">
        <v>1515</v>
      </c>
      <c r="I2756" s="258" t="str">
        <f t="shared" si="130"/>
        <v>2</v>
      </c>
      <c r="J2756" s="221">
        <f t="shared" si="131"/>
        <v>14603085</v>
      </c>
      <c r="K2756" s="258">
        <f t="shared" si="132"/>
        <v>10</v>
      </c>
      <c r="L2756" s="188">
        <v>14603085</v>
      </c>
      <c r="M2756" s="188">
        <v>0</v>
      </c>
      <c r="N2756" s="189">
        <v>900471482</v>
      </c>
      <c r="O2756"/>
      <c r="P2756" s="187">
        <v>45225.558645833298</v>
      </c>
      <c r="Q2756" s="186">
        <v>13927</v>
      </c>
      <c r="R2756" s="185" t="s">
        <v>6</v>
      </c>
      <c r="S2756" s="185" t="s">
        <v>1600</v>
      </c>
      <c r="T2756"/>
      <c r="U2756" t="str">
        <f>IF($L2756&gt;0,VLOOKUP($E2756,Valida!$A$1:$G$270,6,FALSE),IF($M2756&gt;=0,VLOOKUP($E2756,Valida!$A$1:$G$270,7,FALSE)))</f>
        <v>(+/-) Ajustes por el incremento (disminución) de cuentas por pagar de origen comercial</v>
      </c>
      <c r="V2756" s="190" t="str">
        <f>VLOOKUP(E2756,Valida!$A$2:$K$271,4,FALSE)</f>
        <v>Trade and other payables</v>
      </c>
      <c r="W2756" s="185" t="s">
        <v>1853</v>
      </c>
      <c r="X2756" s="185" t="s">
        <v>1854</v>
      </c>
      <c r="Y2756" s="185" t="s">
        <v>1789</v>
      </c>
      <c r="Z2756"/>
    </row>
    <row r="2757" spans="1:26">
      <c r="A2757" s="185" t="s">
        <v>3559</v>
      </c>
      <c r="B2757" s="185" t="s">
        <v>3593</v>
      </c>
      <c r="C2757" s="185" t="s">
        <v>1890</v>
      </c>
      <c r="D2757" s="185" t="s">
        <v>3594</v>
      </c>
      <c r="E2757" s="185">
        <v>112005</v>
      </c>
      <c r="F2757" s="185" t="s">
        <v>24</v>
      </c>
      <c r="G2757" s="185" t="s">
        <v>2426</v>
      </c>
      <c r="H2757" s="185" t="s">
        <v>1628</v>
      </c>
      <c r="I2757" s="258" t="str">
        <f t="shared" si="130"/>
        <v>1</v>
      </c>
      <c r="J2757" s="221">
        <f t="shared" si="131"/>
        <v>-14603085</v>
      </c>
      <c r="K2757" s="258">
        <f t="shared" si="132"/>
        <v>10</v>
      </c>
      <c r="L2757" s="188">
        <v>0</v>
      </c>
      <c r="M2757" s="188">
        <v>14603085</v>
      </c>
      <c r="N2757" s="189">
        <v>900471482</v>
      </c>
      <c r="O2757"/>
      <c r="P2757" s="187">
        <v>45225.558645833298</v>
      </c>
      <c r="Q2757" s="186">
        <v>13928</v>
      </c>
      <c r="R2757" s="185" t="s">
        <v>6</v>
      </c>
      <c r="S2757" s="185" t="s">
        <v>1600</v>
      </c>
      <c r="T2757" t="s">
        <v>1894</v>
      </c>
      <c r="U2757" t="str">
        <f>IF($L2757&gt;0,VLOOKUP($E2757,Valida!$A$1:$G$270,6,FALSE),IF($M2757&gt;=0,VLOOKUP($E2757,Valida!$A$1:$G$270,7,FALSE)))</f>
        <v>Disponible</v>
      </c>
      <c r="V2757" s="190" t="str">
        <f>VLOOKUP(E2757,Valida!$A$2:$K$271,4,FALSE)</f>
        <v>Cash and equivalents</v>
      </c>
      <c r="W2757" s="185" t="s">
        <v>1853</v>
      </c>
      <c r="X2757" s="185" t="s">
        <v>1854</v>
      </c>
      <c r="Y2757" s="185" t="s">
        <v>1789</v>
      </c>
      <c r="Z2757"/>
    </row>
    <row r="2758" spans="1:26">
      <c r="A2758" s="185" t="s">
        <v>3559</v>
      </c>
      <c r="B2758" s="185" t="s">
        <v>3595</v>
      </c>
      <c r="C2758" s="185" t="s">
        <v>1890</v>
      </c>
      <c r="D2758" s="185" t="s">
        <v>3596</v>
      </c>
      <c r="E2758" s="185">
        <v>23354001</v>
      </c>
      <c r="F2758" s="185" t="s">
        <v>484</v>
      </c>
      <c r="G2758" s="185" t="s">
        <v>2426</v>
      </c>
      <c r="H2758" s="185" t="s">
        <v>1515</v>
      </c>
      <c r="I2758" s="258" t="str">
        <f t="shared" si="130"/>
        <v>2</v>
      </c>
      <c r="J2758" s="221">
        <f t="shared" si="131"/>
        <v>3955088</v>
      </c>
      <c r="K2758" s="258">
        <f t="shared" si="132"/>
        <v>10</v>
      </c>
      <c r="L2758" s="188">
        <v>3955088</v>
      </c>
      <c r="M2758" s="188">
        <v>0</v>
      </c>
      <c r="N2758" s="189">
        <v>860044821</v>
      </c>
      <c r="O2758"/>
      <c r="P2758" s="187">
        <v>45225.559085648201</v>
      </c>
      <c r="Q2758" s="186">
        <v>13929</v>
      </c>
      <c r="R2758" s="185" t="s">
        <v>6</v>
      </c>
      <c r="S2758" s="185" t="s">
        <v>1570</v>
      </c>
      <c r="T2758"/>
      <c r="U2758" t="str">
        <f>IF($L2758&gt;0,VLOOKUP($E2758,Valida!$A$1:$G$270,6,FALSE),IF($M2758&gt;=0,VLOOKUP($E2758,Valida!$A$1:$G$270,7,FALSE)))</f>
        <v>(+/-) Ajustes por el incremento (disminución) de cuentas por pagar de origen comercial</v>
      </c>
      <c r="V2758" s="190" t="str">
        <f>VLOOKUP(E2758,Valida!$A$2:$K$271,4,FALSE)</f>
        <v>Trade and other payables</v>
      </c>
      <c r="W2758" s="185" t="s">
        <v>2048</v>
      </c>
      <c r="X2758" s="185"/>
      <c r="Y2758" s="185" t="s">
        <v>1789</v>
      </c>
      <c r="Z2758"/>
    </row>
    <row r="2759" spans="1:26">
      <c r="A2759" s="185" t="s">
        <v>3559</v>
      </c>
      <c r="B2759" s="185" t="s">
        <v>3595</v>
      </c>
      <c r="C2759" s="185" t="s">
        <v>1890</v>
      </c>
      <c r="D2759" s="185" t="s">
        <v>3596</v>
      </c>
      <c r="E2759" s="185">
        <v>112005</v>
      </c>
      <c r="F2759" s="185" t="s">
        <v>24</v>
      </c>
      <c r="G2759" s="185" t="s">
        <v>2426</v>
      </c>
      <c r="H2759" s="185" t="s">
        <v>1628</v>
      </c>
      <c r="I2759" s="258" t="str">
        <f t="shared" si="130"/>
        <v>1</v>
      </c>
      <c r="J2759" s="221">
        <f t="shared" si="131"/>
        <v>-3955088</v>
      </c>
      <c r="K2759" s="258">
        <f t="shared" si="132"/>
        <v>10</v>
      </c>
      <c r="L2759" s="188">
        <v>0</v>
      </c>
      <c r="M2759" s="188">
        <v>3955088</v>
      </c>
      <c r="N2759" s="189">
        <v>860044821</v>
      </c>
      <c r="O2759"/>
      <c r="P2759" s="187">
        <v>45225.559085648201</v>
      </c>
      <c r="Q2759" s="186">
        <v>13930</v>
      </c>
      <c r="R2759" s="185" t="s">
        <v>6</v>
      </c>
      <c r="S2759" s="185" t="s">
        <v>1570</v>
      </c>
      <c r="T2759" t="s">
        <v>1894</v>
      </c>
      <c r="U2759" t="str">
        <f>IF($L2759&gt;0,VLOOKUP($E2759,Valida!$A$1:$G$270,6,FALSE),IF($M2759&gt;=0,VLOOKUP($E2759,Valida!$A$1:$G$270,7,FALSE)))</f>
        <v>Disponible</v>
      </c>
      <c r="V2759" s="190" t="str">
        <f>VLOOKUP(E2759,Valida!$A$2:$K$271,4,FALSE)</f>
        <v>Cash and equivalents</v>
      </c>
      <c r="W2759" s="185" t="s">
        <v>2048</v>
      </c>
      <c r="X2759" s="185"/>
      <c r="Y2759" s="185" t="s">
        <v>1789</v>
      </c>
      <c r="Z2759"/>
    </row>
    <row r="2760" spans="1:26">
      <c r="A2760" s="185" t="s">
        <v>3559</v>
      </c>
      <c r="B2760" s="185" t="s">
        <v>3597</v>
      </c>
      <c r="C2760" s="185" t="s">
        <v>1890</v>
      </c>
      <c r="D2760" s="185" t="s">
        <v>3598</v>
      </c>
      <c r="E2760" s="185">
        <v>23355006</v>
      </c>
      <c r="F2760" s="185" t="s">
        <v>519</v>
      </c>
      <c r="G2760" s="185" t="s">
        <v>2426</v>
      </c>
      <c r="H2760" s="185" t="s">
        <v>1515</v>
      </c>
      <c r="I2760" s="258" t="str">
        <f t="shared" si="130"/>
        <v>2</v>
      </c>
      <c r="J2760" s="221">
        <f t="shared" si="131"/>
        <v>2975000</v>
      </c>
      <c r="K2760" s="258">
        <f t="shared" si="132"/>
        <v>10</v>
      </c>
      <c r="L2760" s="188">
        <v>2975000</v>
      </c>
      <c r="M2760" s="188">
        <v>0</v>
      </c>
      <c r="N2760" s="189">
        <v>800153993</v>
      </c>
      <c r="O2760"/>
      <c r="P2760" s="187">
        <v>45225.559652777803</v>
      </c>
      <c r="Q2760" s="186">
        <v>13931</v>
      </c>
      <c r="R2760" s="185" t="s">
        <v>1814</v>
      </c>
      <c r="S2760" s="185" t="s">
        <v>1556</v>
      </c>
      <c r="T2760"/>
      <c r="U2760" t="str">
        <f>IF($L2760&gt;0,VLOOKUP($E2760,Valida!$A$1:$G$270,6,FALSE),IF($M2760&gt;=0,VLOOKUP($E2760,Valida!$A$1:$G$270,7,FALSE)))</f>
        <v>(+/-) Ajustes por el incremento (disminución) de cuentas por pagar de origen comercial</v>
      </c>
      <c r="V2760" s="190" t="str">
        <f>VLOOKUP(E2760,Valida!$A$2:$K$271,4,FALSE)</f>
        <v>Trade and other payables</v>
      </c>
      <c r="W2760" s="185" t="s">
        <v>1815</v>
      </c>
      <c r="X2760" s="185"/>
      <c r="Y2760" s="185" t="s">
        <v>1789</v>
      </c>
      <c r="Z2760"/>
    </row>
    <row r="2761" spans="1:26">
      <c r="A2761" s="185" t="s">
        <v>3559</v>
      </c>
      <c r="B2761" s="185" t="s">
        <v>3597</v>
      </c>
      <c r="C2761" s="185" t="s">
        <v>1890</v>
      </c>
      <c r="D2761" s="185" t="s">
        <v>3598</v>
      </c>
      <c r="E2761" s="185">
        <v>112005</v>
      </c>
      <c r="F2761" s="185" t="s">
        <v>24</v>
      </c>
      <c r="G2761" s="185" t="s">
        <v>2426</v>
      </c>
      <c r="H2761" s="185" t="s">
        <v>1628</v>
      </c>
      <c r="I2761" s="258" t="str">
        <f t="shared" si="130"/>
        <v>1</v>
      </c>
      <c r="J2761" s="221">
        <f t="shared" si="131"/>
        <v>-2975000</v>
      </c>
      <c r="K2761" s="258">
        <f t="shared" si="132"/>
        <v>10</v>
      </c>
      <c r="L2761" s="188">
        <v>0</v>
      </c>
      <c r="M2761" s="188">
        <v>2975000</v>
      </c>
      <c r="N2761" s="189">
        <v>800153993</v>
      </c>
      <c r="O2761"/>
      <c r="P2761" s="187">
        <v>45225.559652777803</v>
      </c>
      <c r="Q2761" s="186">
        <v>13932</v>
      </c>
      <c r="R2761" s="185" t="s">
        <v>1814</v>
      </c>
      <c r="S2761" s="185" t="s">
        <v>1556</v>
      </c>
      <c r="T2761" t="s">
        <v>1894</v>
      </c>
      <c r="U2761" t="str">
        <f>IF($L2761&gt;0,VLOOKUP($E2761,Valida!$A$1:$G$270,6,FALSE),IF($M2761&gt;=0,VLOOKUP($E2761,Valida!$A$1:$G$270,7,FALSE)))</f>
        <v>Disponible</v>
      </c>
      <c r="V2761" s="190" t="str">
        <f>VLOOKUP(E2761,Valida!$A$2:$K$271,4,FALSE)</f>
        <v>Cash and equivalents</v>
      </c>
      <c r="W2761" s="185" t="s">
        <v>1815</v>
      </c>
      <c r="X2761" s="185"/>
      <c r="Y2761" s="185" t="s">
        <v>1789</v>
      </c>
      <c r="Z2761"/>
    </row>
    <row r="2762" spans="1:26">
      <c r="A2762" s="185" t="s">
        <v>3599</v>
      </c>
      <c r="B2762" s="185" t="s">
        <v>3600</v>
      </c>
      <c r="C2762" s="185" t="s">
        <v>1890</v>
      </c>
      <c r="D2762" s="185" t="s">
        <v>3601</v>
      </c>
      <c r="E2762" s="185">
        <v>23355005</v>
      </c>
      <c r="F2762" s="185" t="s">
        <v>516</v>
      </c>
      <c r="G2762" s="185" t="s">
        <v>2426</v>
      </c>
      <c r="H2762" s="185" t="s">
        <v>1515</v>
      </c>
      <c r="I2762" s="258" t="str">
        <f t="shared" si="130"/>
        <v>2</v>
      </c>
      <c r="J2762" s="221">
        <f t="shared" si="131"/>
        <v>6970960</v>
      </c>
      <c r="K2762" s="258">
        <f t="shared" si="132"/>
        <v>10</v>
      </c>
      <c r="L2762" s="188">
        <v>6970960</v>
      </c>
      <c r="M2762" s="188">
        <v>0</v>
      </c>
      <c r="N2762" s="189">
        <v>860063875</v>
      </c>
      <c r="O2762"/>
      <c r="P2762" s="187">
        <v>45225.560358796298</v>
      </c>
      <c r="Q2762" s="186">
        <v>13933</v>
      </c>
      <c r="R2762" s="185" t="s">
        <v>1827</v>
      </c>
      <c r="S2762" s="185" t="s">
        <v>1572</v>
      </c>
      <c r="T2762"/>
      <c r="U2762" t="str">
        <f>IF($L2762&gt;0,VLOOKUP($E2762,Valida!$A$1:$G$270,6,FALSE),IF($M2762&gt;=0,VLOOKUP($E2762,Valida!$A$1:$G$270,7,FALSE)))</f>
        <v>(+/-) Ajustes por el incremento (disminución) de cuentas por pagar de origen comercial</v>
      </c>
      <c r="V2762" s="190" t="str">
        <f>VLOOKUP(E2762,Valida!$A$2:$K$271,4,FALSE)</f>
        <v>Trade and other payables</v>
      </c>
      <c r="W2762" s="185" t="s">
        <v>1835</v>
      </c>
      <c r="X2762" s="185"/>
      <c r="Y2762" s="185" t="s">
        <v>1789</v>
      </c>
      <c r="Z2762"/>
    </row>
    <row r="2763" spans="1:26">
      <c r="A2763" s="185" t="s">
        <v>3599</v>
      </c>
      <c r="B2763" s="185" t="s">
        <v>3600</v>
      </c>
      <c r="C2763" s="185" t="s">
        <v>1890</v>
      </c>
      <c r="D2763" s="185" t="s">
        <v>3601</v>
      </c>
      <c r="E2763" s="185">
        <v>112005</v>
      </c>
      <c r="F2763" s="185" t="s">
        <v>24</v>
      </c>
      <c r="G2763" s="185" t="s">
        <v>2426</v>
      </c>
      <c r="H2763" s="185" t="s">
        <v>1628</v>
      </c>
      <c r="I2763" s="258" t="str">
        <f t="shared" si="130"/>
        <v>1</v>
      </c>
      <c r="J2763" s="221">
        <f t="shared" si="131"/>
        <v>-6970960</v>
      </c>
      <c r="K2763" s="258">
        <f t="shared" si="132"/>
        <v>10</v>
      </c>
      <c r="L2763" s="188">
        <v>0</v>
      </c>
      <c r="M2763" s="188">
        <v>6970960</v>
      </c>
      <c r="N2763" s="189">
        <v>860063875</v>
      </c>
      <c r="O2763"/>
      <c r="P2763" s="187">
        <v>45225.560370370396</v>
      </c>
      <c r="Q2763" s="186">
        <v>13934</v>
      </c>
      <c r="R2763" s="185" t="s">
        <v>1827</v>
      </c>
      <c r="S2763" s="185" t="s">
        <v>1572</v>
      </c>
      <c r="T2763" t="s">
        <v>1894</v>
      </c>
      <c r="U2763" t="str">
        <f>IF($L2763&gt;0,VLOOKUP($E2763,Valida!$A$1:$G$270,6,FALSE),IF($M2763&gt;=0,VLOOKUP($E2763,Valida!$A$1:$G$270,7,FALSE)))</f>
        <v>Disponible</v>
      </c>
      <c r="V2763" s="190" t="str">
        <f>VLOOKUP(E2763,Valida!$A$2:$K$271,4,FALSE)</f>
        <v>Cash and equivalents</v>
      </c>
      <c r="W2763" s="185" t="s">
        <v>1835</v>
      </c>
      <c r="X2763" s="185"/>
      <c r="Y2763" s="185" t="s">
        <v>1789</v>
      </c>
      <c r="Z2763"/>
    </row>
    <row r="2764" spans="1:26">
      <c r="A2764" s="185" t="s">
        <v>3599</v>
      </c>
      <c r="B2764" s="185" t="s">
        <v>3602</v>
      </c>
      <c r="C2764" s="185" t="s">
        <v>1890</v>
      </c>
      <c r="D2764" s="185" t="s">
        <v>3603</v>
      </c>
      <c r="E2764" s="185">
        <v>23355006</v>
      </c>
      <c r="F2764" s="185" t="s">
        <v>519</v>
      </c>
      <c r="G2764" s="185" t="s">
        <v>2426</v>
      </c>
      <c r="H2764" s="185" t="s">
        <v>1515</v>
      </c>
      <c r="I2764" s="258" t="str">
        <f t="shared" si="130"/>
        <v>2</v>
      </c>
      <c r="J2764" s="221">
        <f t="shared" si="131"/>
        <v>1457040</v>
      </c>
      <c r="K2764" s="258">
        <f t="shared" si="132"/>
        <v>10</v>
      </c>
      <c r="L2764" s="188">
        <v>1457040</v>
      </c>
      <c r="M2764" s="188">
        <v>0</v>
      </c>
      <c r="N2764" s="189">
        <v>899999115</v>
      </c>
      <c r="O2764"/>
      <c r="P2764" s="187">
        <v>45225.561111111099</v>
      </c>
      <c r="Q2764" s="186">
        <v>13935</v>
      </c>
      <c r="R2764" s="185" t="s">
        <v>1827</v>
      </c>
      <c r="S2764" s="185" t="s">
        <v>1586</v>
      </c>
      <c r="T2764"/>
      <c r="U2764" t="str">
        <f>IF($L2764&gt;0,VLOOKUP($E2764,Valida!$A$1:$G$270,6,FALSE),IF($M2764&gt;=0,VLOOKUP($E2764,Valida!$A$1:$G$270,7,FALSE)))</f>
        <v>(+/-) Ajustes por el incremento (disminución) de cuentas por pagar de origen comercial</v>
      </c>
      <c r="V2764" s="190" t="str">
        <f>VLOOKUP(E2764,Valida!$A$2:$K$271,4,FALSE)</f>
        <v>Trade and other payables</v>
      </c>
      <c r="W2764" s="185" t="s">
        <v>1828</v>
      </c>
      <c r="X2764" s="185" t="s">
        <v>1829</v>
      </c>
      <c r="Y2764" s="185" t="s">
        <v>1789</v>
      </c>
      <c r="Z2764"/>
    </row>
    <row r="2765" spans="1:26">
      <c r="A2765" s="185" t="s">
        <v>3599</v>
      </c>
      <c r="B2765" s="185" t="s">
        <v>3602</v>
      </c>
      <c r="C2765" s="185" t="s">
        <v>1890</v>
      </c>
      <c r="D2765" s="185" t="s">
        <v>3603</v>
      </c>
      <c r="E2765" s="185">
        <v>112005</v>
      </c>
      <c r="F2765" s="185" t="s">
        <v>24</v>
      </c>
      <c r="G2765" s="185" t="s">
        <v>2426</v>
      </c>
      <c r="H2765" s="185" t="s">
        <v>1628</v>
      </c>
      <c r="I2765" s="258" t="str">
        <f t="shared" si="130"/>
        <v>1</v>
      </c>
      <c r="J2765" s="221">
        <f t="shared" si="131"/>
        <v>-1457040</v>
      </c>
      <c r="K2765" s="258">
        <f t="shared" si="132"/>
        <v>10</v>
      </c>
      <c r="L2765" s="188">
        <v>0</v>
      </c>
      <c r="M2765" s="188">
        <v>1457040</v>
      </c>
      <c r="N2765" s="189">
        <v>0</v>
      </c>
      <c r="O2765"/>
      <c r="P2765" s="187">
        <v>45225.561111111099</v>
      </c>
      <c r="Q2765" s="186">
        <v>13936</v>
      </c>
      <c r="R2765" s="185"/>
      <c r="S2765" s="185" t="s">
        <v>1520</v>
      </c>
      <c r="T2765" t="s">
        <v>1894</v>
      </c>
      <c r="U2765" t="str">
        <f>IF($L2765&gt;0,VLOOKUP($E2765,Valida!$A$1:$G$270,6,FALSE),IF($M2765&gt;=0,VLOOKUP($E2765,Valida!$A$1:$G$270,7,FALSE)))</f>
        <v>Disponible</v>
      </c>
      <c r="V2765" s="190" t="str">
        <f>VLOOKUP(E2765,Valida!$A$2:$K$271,4,FALSE)</f>
        <v>Cash and equivalents</v>
      </c>
      <c r="W2765" s="185"/>
      <c r="X2765" s="185"/>
      <c r="Y2765" s="185"/>
      <c r="Z2765"/>
    </row>
    <row r="2766" spans="1:26">
      <c r="A2766" s="185" t="s">
        <v>3604</v>
      </c>
      <c r="B2766" s="185" t="s">
        <v>3605</v>
      </c>
      <c r="C2766" s="185" t="s">
        <v>1890</v>
      </c>
      <c r="D2766" s="185" t="s">
        <v>3606</v>
      </c>
      <c r="E2766" s="185">
        <v>219505</v>
      </c>
      <c r="F2766" s="185" t="s">
        <v>1630</v>
      </c>
      <c r="G2766" s="185" t="s">
        <v>3607</v>
      </c>
      <c r="H2766" s="185" t="s">
        <v>1515</v>
      </c>
      <c r="I2766" s="258" t="str">
        <f t="shared" si="130"/>
        <v>2</v>
      </c>
      <c r="J2766" s="221">
        <f t="shared" si="131"/>
        <v>427920</v>
      </c>
      <c r="K2766" s="258">
        <f t="shared" si="132"/>
        <v>10</v>
      </c>
      <c r="L2766" s="188">
        <v>427920</v>
      </c>
      <c r="M2766" s="188">
        <v>0</v>
      </c>
      <c r="N2766" s="189">
        <v>19628676</v>
      </c>
      <c r="O2766"/>
      <c r="P2766" s="187">
        <v>45225.5618287037</v>
      </c>
      <c r="Q2766" s="186">
        <v>13937</v>
      </c>
      <c r="R2766" s="185"/>
      <c r="S2766" s="185" t="s">
        <v>1540</v>
      </c>
      <c r="T2766"/>
      <c r="U2766" t="str">
        <f>IF($L2766&gt;0,VLOOKUP($E2766,Valida!$A$1:$G$270,6,FALSE),IF($M2766&gt;=0,VLOOKUP($E2766,Valida!$A$1:$G$270,7,FALSE)))</f>
        <v>(-) Reembolsos de préstamos</v>
      </c>
      <c r="V2766" s="190" t="str">
        <f>VLOOKUP(E2766,Valida!$A$2:$K$271,4,FALSE)</f>
        <v>short-term borrowings</v>
      </c>
      <c r="W2766" s="185" t="s">
        <v>3608</v>
      </c>
      <c r="X2766" s="185"/>
      <c r="Y2766" s="185"/>
      <c r="Z2766"/>
    </row>
    <row r="2767" spans="1:26">
      <c r="A2767" s="185" t="s">
        <v>3604</v>
      </c>
      <c r="B2767" s="185" t="s">
        <v>3605</v>
      </c>
      <c r="C2767" s="185" t="s">
        <v>1890</v>
      </c>
      <c r="D2767" s="185" t="s">
        <v>3606</v>
      </c>
      <c r="E2767" s="185">
        <v>112005</v>
      </c>
      <c r="F2767" s="185" t="s">
        <v>24</v>
      </c>
      <c r="G2767" s="185" t="s">
        <v>3607</v>
      </c>
      <c r="H2767" s="185" t="s">
        <v>1628</v>
      </c>
      <c r="I2767" s="258" t="str">
        <f t="shared" si="130"/>
        <v>1</v>
      </c>
      <c r="J2767" s="221">
        <f t="shared" si="131"/>
        <v>-427920</v>
      </c>
      <c r="K2767" s="258">
        <f t="shared" si="132"/>
        <v>10</v>
      </c>
      <c r="L2767" s="188">
        <v>0</v>
      </c>
      <c r="M2767" s="188">
        <v>427920</v>
      </c>
      <c r="N2767" s="189">
        <v>19628676</v>
      </c>
      <c r="O2767"/>
      <c r="P2767" s="187">
        <v>45225.5618287037</v>
      </c>
      <c r="Q2767" s="186">
        <v>13938</v>
      </c>
      <c r="R2767" s="185"/>
      <c r="S2767" s="185" t="s">
        <v>1540</v>
      </c>
      <c r="T2767" t="s">
        <v>1894</v>
      </c>
      <c r="U2767" t="str">
        <f>IF($L2767&gt;0,VLOOKUP($E2767,Valida!$A$1:$G$270,6,FALSE),IF($M2767&gt;=0,VLOOKUP($E2767,Valida!$A$1:$G$270,7,FALSE)))</f>
        <v>Disponible</v>
      </c>
      <c r="V2767" s="190" t="str">
        <f>VLOOKUP(E2767,Valida!$A$2:$K$271,4,FALSE)</f>
        <v>Cash and equivalents</v>
      </c>
      <c r="W2767" s="185" t="s">
        <v>3608</v>
      </c>
      <c r="X2767" s="185"/>
      <c r="Y2767" s="185"/>
      <c r="Z2767"/>
    </row>
    <row r="2768" spans="1:26">
      <c r="A2768" s="185" t="s">
        <v>3604</v>
      </c>
      <c r="B2768" s="185" t="s">
        <v>3609</v>
      </c>
      <c r="C2768" s="185" t="s">
        <v>1890</v>
      </c>
      <c r="D2768" s="185" t="s">
        <v>3610</v>
      </c>
      <c r="E2768" s="185">
        <v>219505</v>
      </c>
      <c r="F2768" s="185" t="s">
        <v>1630</v>
      </c>
      <c r="G2768" s="185" t="s">
        <v>3607</v>
      </c>
      <c r="H2768" s="185" t="s">
        <v>1515</v>
      </c>
      <c r="I2768" s="258" t="str">
        <f t="shared" si="130"/>
        <v>2</v>
      </c>
      <c r="J2768" s="221">
        <f t="shared" si="131"/>
        <v>427550</v>
      </c>
      <c r="K2768" s="258">
        <f t="shared" si="132"/>
        <v>10</v>
      </c>
      <c r="L2768" s="188">
        <v>427550</v>
      </c>
      <c r="M2768" s="188">
        <v>0</v>
      </c>
      <c r="N2768" s="189">
        <v>19628676</v>
      </c>
      <c r="O2768"/>
      <c r="P2768" s="187">
        <v>45225.562337962998</v>
      </c>
      <c r="Q2768" s="186">
        <v>13939</v>
      </c>
      <c r="R2768" s="185"/>
      <c r="S2768" s="185" t="s">
        <v>1540</v>
      </c>
      <c r="T2768"/>
      <c r="U2768" t="str">
        <f>IF($L2768&gt;0,VLOOKUP($E2768,Valida!$A$1:$G$270,6,FALSE),IF($M2768&gt;=0,VLOOKUP($E2768,Valida!$A$1:$G$270,7,FALSE)))</f>
        <v>(-) Reembolsos de préstamos</v>
      </c>
      <c r="V2768" s="190" t="str">
        <f>VLOOKUP(E2768,Valida!$A$2:$K$271,4,FALSE)</f>
        <v>short-term borrowings</v>
      </c>
      <c r="W2768" s="185" t="s">
        <v>3608</v>
      </c>
      <c r="X2768" s="185"/>
      <c r="Y2768" s="185"/>
      <c r="Z2768"/>
    </row>
    <row r="2769" spans="1:26">
      <c r="A2769" s="185" t="s">
        <v>3604</v>
      </c>
      <c r="B2769" s="185" t="s">
        <v>3609</v>
      </c>
      <c r="C2769" s="185" t="s">
        <v>1890</v>
      </c>
      <c r="D2769" s="185" t="s">
        <v>3610</v>
      </c>
      <c r="E2769" s="185">
        <v>112005</v>
      </c>
      <c r="F2769" s="185" t="s">
        <v>24</v>
      </c>
      <c r="G2769" s="185" t="s">
        <v>3607</v>
      </c>
      <c r="H2769" s="185" t="s">
        <v>1628</v>
      </c>
      <c r="I2769" s="258" t="str">
        <f t="shared" si="130"/>
        <v>1</v>
      </c>
      <c r="J2769" s="221">
        <f t="shared" si="131"/>
        <v>-424550</v>
      </c>
      <c r="K2769" s="258">
        <f t="shared" si="132"/>
        <v>10</v>
      </c>
      <c r="L2769" s="188">
        <v>0</v>
      </c>
      <c r="M2769" s="188">
        <v>424550</v>
      </c>
      <c r="N2769" s="189">
        <v>19628676</v>
      </c>
      <c r="O2769"/>
      <c r="P2769" s="187">
        <v>45225.562337962998</v>
      </c>
      <c r="Q2769" s="186">
        <v>13940</v>
      </c>
      <c r="R2769" s="185"/>
      <c r="S2769" s="185" t="s">
        <v>1540</v>
      </c>
      <c r="T2769" t="s">
        <v>1894</v>
      </c>
      <c r="U2769" t="str">
        <f>IF($L2769&gt;0,VLOOKUP($E2769,Valida!$A$1:$G$270,6,FALSE),IF($M2769&gt;=0,VLOOKUP($E2769,Valida!$A$1:$G$270,7,FALSE)))</f>
        <v>Disponible</v>
      </c>
      <c r="V2769" s="190" t="str">
        <f>VLOOKUP(E2769,Valida!$A$2:$K$271,4,FALSE)</f>
        <v>Cash and equivalents</v>
      </c>
      <c r="W2769" s="185" t="s">
        <v>3608</v>
      </c>
      <c r="X2769" s="185"/>
      <c r="Y2769" s="185"/>
      <c r="Z2769"/>
    </row>
    <row r="2770" spans="1:26">
      <c r="A2770" s="185" t="s">
        <v>3611</v>
      </c>
      <c r="B2770" s="185" t="s">
        <v>3612</v>
      </c>
      <c r="C2770" s="185" t="s">
        <v>1890</v>
      </c>
      <c r="D2770" s="185" t="s">
        <v>3613</v>
      </c>
      <c r="E2770" s="185">
        <v>219505</v>
      </c>
      <c r="F2770" s="185" t="s">
        <v>1630</v>
      </c>
      <c r="G2770" s="185" t="s">
        <v>3614</v>
      </c>
      <c r="H2770" s="185" t="s">
        <v>1515</v>
      </c>
      <c r="I2770" s="258" t="str">
        <f t="shared" si="130"/>
        <v>2</v>
      </c>
      <c r="J2770" s="221">
        <f t="shared" si="131"/>
        <v>77264530</v>
      </c>
      <c r="K2770" s="258">
        <f t="shared" si="132"/>
        <v>10</v>
      </c>
      <c r="L2770" s="188">
        <v>77264530</v>
      </c>
      <c r="M2770" s="188">
        <v>0</v>
      </c>
      <c r="N2770" s="189">
        <v>19628676</v>
      </c>
      <c r="O2770"/>
      <c r="P2770" s="187">
        <v>45225.563148148103</v>
      </c>
      <c r="Q2770" s="186">
        <v>13941</v>
      </c>
      <c r="R2770" s="185"/>
      <c r="S2770" s="185" t="s">
        <v>1540</v>
      </c>
      <c r="T2770"/>
      <c r="U2770" t="str">
        <f>IF($L2770&gt;0,VLOOKUP($E2770,Valida!$A$1:$G$270,6,FALSE),IF($M2770&gt;=0,VLOOKUP($E2770,Valida!$A$1:$G$270,7,FALSE)))</f>
        <v>(-) Reembolsos de préstamos</v>
      </c>
      <c r="V2770" s="190" t="str">
        <f>VLOOKUP(E2770,Valida!$A$2:$K$271,4,FALSE)</f>
        <v>short-term borrowings</v>
      </c>
      <c r="W2770" s="185" t="s">
        <v>3608</v>
      </c>
      <c r="X2770" s="185"/>
      <c r="Y2770" s="185"/>
      <c r="Z2770"/>
    </row>
    <row r="2771" spans="1:26">
      <c r="A2771" s="185" t="s">
        <v>3611</v>
      </c>
      <c r="B2771" s="185" t="s">
        <v>3612</v>
      </c>
      <c r="C2771" s="185" t="s">
        <v>1890</v>
      </c>
      <c r="D2771" s="185" t="s">
        <v>3613</v>
      </c>
      <c r="E2771" s="185">
        <v>112005</v>
      </c>
      <c r="F2771" s="185" t="s">
        <v>24</v>
      </c>
      <c r="G2771" s="185" t="s">
        <v>3614</v>
      </c>
      <c r="H2771" s="185" t="s">
        <v>1628</v>
      </c>
      <c r="I2771" s="258" t="str">
        <f t="shared" si="130"/>
        <v>1</v>
      </c>
      <c r="J2771" s="221">
        <f t="shared" si="131"/>
        <v>-112667200</v>
      </c>
      <c r="K2771" s="258">
        <f t="shared" si="132"/>
        <v>10</v>
      </c>
      <c r="L2771" s="188">
        <v>0</v>
      </c>
      <c r="M2771" s="188">
        <v>112667200</v>
      </c>
      <c r="N2771" s="189">
        <v>19628676</v>
      </c>
      <c r="O2771"/>
      <c r="P2771" s="187">
        <v>45225.563148148103</v>
      </c>
      <c r="Q2771" s="186">
        <v>13942</v>
      </c>
      <c r="R2771" s="185"/>
      <c r="S2771" s="185" t="s">
        <v>1540</v>
      </c>
      <c r="T2771" t="s">
        <v>1894</v>
      </c>
      <c r="U2771" t="str">
        <f>IF($L2771&gt;0,VLOOKUP($E2771,Valida!$A$1:$G$270,6,FALSE),IF($M2771&gt;=0,VLOOKUP($E2771,Valida!$A$1:$G$270,7,FALSE)))</f>
        <v>Disponible</v>
      </c>
      <c r="V2771" s="190" t="str">
        <f>VLOOKUP(E2771,Valida!$A$2:$K$271,4,FALSE)</f>
        <v>Cash and equivalents</v>
      </c>
      <c r="W2771" s="185" t="s">
        <v>3608</v>
      </c>
      <c r="X2771" s="185"/>
      <c r="Y2771" s="185"/>
      <c r="Z2771"/>
    </row>
    <row r="2772" spans="1:26">
      <c r="A2772" s="185" t="s">
        <v>3611</v>
      </c>
      <c r="B2772" s="185" t="s">
        <v>3612</v>
      </c>
      <c r="C2772" s="185" t="s">
        <v>1890</v>
      </c>
      <c r="D2772" s="185" t="s">
        <v>3613</v>
      </c>
      <c r="E2772" s="185">
        <v>53052501</v>
      </c>
      <c r="F2772" s="185" t="s">
        <v>1752</v>
      </c>
      <c r="G2772" s="185" t="s">
        <v>3614</v>
      </c>
      <c r="H2772" s="185" t="s">
        <v>1515</v>
      </c>
      <c r="I2772" s="258" t="str">
        <f t="shared" si="130"/>
        <v>5</v>
      </c>
      <c r="J2772" s="221">
        <f t="shared" si="131"/>
        <v>7520270</v>
      </c>
      <c r="K2772" s="258">
        <f t="shared" si="132"/>
        <v>10</v>
      </c>
      <c r="L2772" s="188">
        <v>7520270</v>
      </c>
      <c r="M2772" s="188">
        <v>0</v>
      </c>
      <c r="N2772" s="189">
        <v>19628676</v>
      </c>
      <c r="O2772"/>
      <c r="P2772" s="187">
        <v>45225.563148148103</v>
      </c>
      <c r="Q2772" s="186">
        <v>13943</v>
      </c>
      <c r="R2772" s="185"/>
      <c r="S2772" s="185" t="s">
        <v>1540</v>
      </c>
      <c r="T2772"/>
      <c r="U2772" t="str">
        <f>IF($L2772&gt;0,VLOOKUP($E2772,Valida!$A$1:$G$270,6,FALSE),IF($M2772&gt;=0,VLOOKUP($E2772,Valida!$A$1:$G$270,7,FALSE)))</f>
        <v>(+/-) Ganancia (pérdida)</v>
      </c>
      <c r="V2772" s="190" t="str">
        <f>VLOOKUP(E2772,Valida!$A$2:$K$271,4,FALSE)</f>
        <v>P&amp;L</v>
      </c>
      <c r="W2772" s="185" t="s">
        <v>3608</v>
      </c>
      <c r="X2772" s="185"/>
      <c r="Y2772" s="185"/>
      <c r="Z2772"/>
    </row>
    <row r="2773" spans="1:26">
      <c r="A2773" s="185" t="s">
        <v>3615</v>
      </c>
      <c r="B2773" s="185" t="s">
        <v>3616</v>
      </c>
      <c r="C2773" s="185" t="s">
        <v>1897</v>
      </c>
      <c r="D2773" s="185" t="s">
        <v>3617</v>
      </c>
      <c r="E2773" s="185">
        <v>510527</v>
      </c>
      <c r="F2773" s="185" t="s">
        <v>1089</v>
      </c>
      <c r="G2773" s="185" t="s">
        <v>3618</v>
      </c>
      <c r="H2773" s="185" t="s">
        <v>1515</v>
      </c>
      <c r="I2773" s="258" t="str">
        <f t="shared" si="130"/>
        <v>5</v>
      </c>
      <c r="J2773" s="221">
        <f t="shared" si="131"/>
        <v>140606</v>
      </c>
      <c r="K2773" s="258">
        <f t="shared" si="132"/>
        <v>10</v>
      </c>
      <c r="L2773" s="188">
        <v>140606</v>
      </c>
      <c r="M2773" s="188">
        <v>0</v>
      </c>
      <c r="N2773" s="189">
        <v>1000018061</v>
      </c>
      <c r="O2773" t="s">
        <v>3616</v>
      </c>
      <c r="P2773" s="187">
        <v>45226</v>
      </c>
      <c r="Q2773" s="186">
        <v>13944</v>
      </c>
      <c r="R2773" s="185"/>
      <c r="S2773" s="185" t="s">
        <v>1522</v>
      </c>
      <c r="T2773" t="s">
        <v>2729</v>
      </c>
      <c r="U2773" t="str">
        <f>IF($L2773&gt;0,VLOOKUP($E2773,Valida!$A$1:$G$270,6,FALSE),IF($M2773&gt;=0,VLOOKUP($E2773,Valida!$A$1:$G$270,7,FALSE)))</f>
        <v>(+/-) Ganancia (pérdida)</v>
      </c>
      <c r="V2773" s="190" t="str">
        <f>VLOOKUP(E2773,Valida!$A$2:$K$271,4,FALSE)</f>
        <v>P&amp;L</v>
      </c>
      <c r="W2773" s="185" t="s">
        <v>1978</v>
      </c>
      <c r="X2773" s="185"/>
      <c r="Y2773" s="185" t="s">
        <v>1789</v>
      </c>
      <c r="Z2773"/>
    </row>
    <row r="2774" spans="1:26">
      <c r="A2774" s="185" t="s">
        <v>3615</v>
      </c>
      <c r="B2774" s="185" t="s">
        <v>3616</v>
      </c>
      <c r="C2774" s="185" t="s">
        <v>1897</v>
      </c>
      <c r="D2774" s="185" t="s">
        <v>3617</v>
      </c>
      <c r="E2774" s="185">
        <v>237005</v>
      </c>
      <c r="F2774" s="185" t="s">
        <v>676</v>
      </c>
      <c r="G2774" s="185" t="s">
        <v>3618</v>
      </c>
      <c r="H2774" s="185" t="s">
        <v>1628</v>
      </c>
      <c r="I2774" s="258" t="str">
        <f t="shared" si="130"/>
        <v>2</v>
      </c>
      <c r="J2774" s="221">
        <f t="shared" si="131"/>
        <v>-51040</v>
      </c>
      <c r="K2774" s="258">
        <f t="shared" si="132"/>
        <v>10</v>
      </c>
      <c r="L2774" s="188">
        <v>0</v>
      </c>
      <c r="M2774" s="188">
        <v>51040</v>
      </c>
      <c r="N2774" s="189">
        <v>830003564</v>
      </c>
      <c r="O2774" t="s">
        <v>3616</v>
      </c>
      <c r="P2774" s="187">
        <v>45226</v>
      </c>
      <c r="Q2774" s="186">
        <v>13945</v>
      </c>
      <c r="R2774" s="185" t="s">
        <v>1814</v>
      </c>
      <c r="S2774" s="185" t="s">
        <v>1652</v>
      </c>
      <c r="T2774" t="s">
        <v>2729</v>
      </c>
      <c r="U2774" t="str">
        <f>IF($L2774&gt;0,VLOOKUP($E2774,Valida!$A$1:$G$270,6,FALSE),IF($M2774&gt;=0,VLOOKUP($E2774,Valida!$A$1:$G$270,7,FALSE)))</f>
        <v>(+/-) Ajustes por el incremento (disminución) de cuentas por pagar de origen comercial</v>
      </c>
      <c r="V2774" s="190" t="str">
        <f>VLOOKUP(E2774,Valida!$A$2:$K$271,4,FALSE)</f>
        <v>Trade and other payables</v>
      </c>
      <c r="W2774" s="185" t="s">
        <v>1973</v>
      </c>
      <c r="X2774" s="185" t="s">
        <v>1974</v>
      </c>
      <c r="Y2774" s="185" t="s">
        <v>1789</v>
      </c>
      <c r="Z2774"/>
    </row>
    <row r="2775" spans="1:26">
      <c r="A2775" s="185" t="s">
        <v>3615</v>
      </c>
      <c r="B2775" s="185" t="s">
        <v>3616</v>
      </c>
      <c r="C2775" s="185" t="s">
        <v>1897</v>
      </c>
      <c r="D2775" s="185" t="s">
        <v>3617</v>
      </c>
      <c r="E2775" s="185">
        <v>238030</v>
      </c>
      <c r="F2775" s="185" t="s">
        <v>721</v>
      </c>
      <c r="G2775" s="185" t="s">
        <v>3618</v>
      </c>
      <c r="H2775" s="185" t="s">
        <v>1628</v>
      </c>
      <c r="I2775" s="258" t="str">
        <f t="shared" si="130"/>
        <v>2</v>
      </c>
      <c r="J2775" s="221">
        <f t="shared" si="131"/>
        <v>-51040</v>
      </c>
      <c r="K2775" s="258">
        <f t="shared" si="132"/>
        <v>10</v>
      </c>
      <c r="L2775" s="188">
        <v>0</v>
      </c>
      <c r="M2775" s="188">
        <v>51040</v>
      </c>
      <c r="N2775" s="189">
        <v>800227940</v>
      </c>
      <c r="O2775" t="s">
        <v>3616</v>
      </c>
      <c r="P2775" s="187">
        <v>45226</v>
      </c>
      <c r="Q2775" s="186">
        <v>13946</v>
      </c>
      <c r="R2775" s="185"/>
      <c r="S2775" s="185" t="s">
        <v>1664</v>
      </c>
      <c r="T2775" t="s">
        <v>2729</v>
      </c>
      <c r="U2775" t="str">
        <f>IF($L2775&gt;0,VLOOKUP($E2775,Valida!$A$1:$G$270,6,FALSE),IF($M2775&gt;=0,VLOOKUP($E2775,Valida!$A$1:$G$270,7,FALSE)))</f>
        <v>(+/-) Ajustes por el incremento (disminución) de cuentas por pagar de origen comercial</v>
      </c>
      <c r="V2775" s="190" t="str">
        <f>VLOOKUP(E2775,Valida!$A$2:$K$271,4,FALSE)</f>
        <v>Trade and other payables</v>
      </c>
      <c r="W2775" s="185"/>
      <c r="X2775" s="185"/>
      <c r="Y2775" s="185"/>
      <c r="Z2775"/>
    </row>
    <row r="2776" spans="1:26">
      <c r="A2776" s="185" t="s">
        <v>3615</v>
      </c>
      <c r="B2776" s="185" t="s">
        <v>3616</v>
      </c>
      <c r="C2776" s="185" t="s">
        <v>1897</v>
      </c>
      <c r="D2776" s="185" t="s">
        <v>3617</v>
      </c>
      <c r="E2776" s="185">
        <v>510506</v>
      </c>
      <c r="F2776" s="185" t="s">
        <v>1076</v>
      </c>
      <c r="G2776" s="185" t="s">
        <v>3618</v>
      </c>
      <c r="H2776" s="185" t="s">
        <v>1515</v>
      </c>
      <c r="I2776" s="258" t="str">
        <f t="shared" si="130"/>
        <v>5</v>
      </c>
      <c r="J2776" s="221">
        <f t="shared" si="131"/>
        <v>1800000</v>
      </c>
      <c r="K2776" s="258">
        <f t="shared" si="132"/>
        <v>10</v>
      </c>
      <c r="L2776" s="188">
        <v>1800000</v>
      </c>
      <c r="M2776" s="188">
        <v>0</v>
      </c>
      <c r="N2776" s="189">
        <v>1000036375</v>
      </c>
      <c r="O2776" t="s">
        <v>3616</v>
      </c>
      <c r="P2776" s="187">
        <v>45226</v>
      </c>
      <c r="Q2776" s="186">
        <v>13947</v>
      </c>
      <c r="R2776" s="185"/>
      <c r="S2776" s="185" t="s">
        <v>1524</v>
      </c>
      <c r="T2776" t="s">
        <v>2729</v>
      </c>
      <c r="U2776" t="str">
        <f>IF($L2776&gt;0,VLOOKUP($E2776,Valida!$A$1:$G$270,6,FALSE),IF($M2776&gt;=0,VLOOKUP($E2776,Valida!$A$1:$G$270,7,FALSE)))</f>
        <v>(+/-) Ganancia (pérdida)</v>
      </c>
      <c r="V2776" s="190" t="str">
        <f>VLOOKUP(E2776,Valida!$A$2:$K$271,4,FALSE)</f>
        <v>P&amp;L</v>
      </c>
      <c r="W2776" s="185" t="s">
        <v>1983</v>
      </c>
      <c r="X2776" s="185"/>
      <c r="Y2776" s="185" t="s">
        <v>1789</v>
      </c>
      <c r="Z2776"/>
    </row>
    <row r="2777" spans="1:26">
      <c r="A2777" s="185" t="s">
        <v>3615</v>
      </c>
      <c r="B2777" s="185" t="s">
        <v>3616</v>
      </c>
      <c r="C2777" s="185" t="s">
        <v>1897</v>
      </c>
      <c r="D2777" s="185" t="s">
        <v>3617</v>
      </c>
      <c r="E2777" s="185">
        <v>510527</v>
      </c>
      <c r="F2777" s="185" t="s">
        <v>1089</v>
      </c>
      <c r="G2777" s="185" t="s">
        <v>3618</v>
      </c>
      <c r="H2777" s="185" t="s">
        <v>1515</v>
      </c>
      <c r="I2777" s="258" t="str">
        <f t="shared" si="130"/>
        <v>5</v>
      </c>
      <c r="J2777" s="221">
        <f t="shared" si="131"/>
        <v>140606</v>
      </c>
      <c r="K2777" s="258">
        <f t="shared" si="132"/>
        <v>10</v>
      </c>
      <c r="L2777" s="188">
        <v>140606</v>
      </c>
      <c r="M2777" s="188">
        <v>0</v>
      </c>
      <c r="N2777" s="189">
        <v>1000036375</v>
      </c>
      <c r="O2777" t="s">
        <v>3616</v>
      </c>
      <c r="P2777" s="187">
        <v>45226</v>
      </c>
      <c r="Q2777" s="186">
        <v>13948</v>
      </c>
      <c r="R2777" s="185"/>
      <c r="S2777" s="185" t="s">
        <v>1524</v>
      </c>
      <c r="T2777" t="s">
        <v>2729</v>
      </c>
      <c r="U2777" t="str">
        <f>IF($L2777&gt;0,VLOOKUP($E2777,Valida!$A$1:$G$270,6,FALSE),IF($M2777&gt;=0,VLOOKUP($E2777,Valida!$A$1:$G$270,7,FALSE)))</f>
        <v>(+/-) Ganancia (pérdida)</v>
      </c>
      <c r="V2777" s="190" t="str">
        <f>VLOOKUP(E2777,Valida!$A$2:$K$271,4,FALSE)</f>
        <v>P&amp;L</v>
      </c>
      <c r="W2777" s="185" t="s">
        <v>1983</v>
      </c>
      <c r="X2777" s="185"/>
      <c r="Y2777" s="185" t="s">
        <v>1789</v>
      </c>
      <c r="Z2777"/>
    </row>
    <row r="2778" spans="1:26">
      <c r="A2778" s="185" t="s">
        <v>3615</v>
      </c>
      <c r="B2778" s="185" t="s">
        <v>3616</v>
      </c>
      <c r="C2778" s="185" t="s">
        <v>1897</v>
      </c>
      <c r="D2778" s="185" t="s">
        <v>3617</v>
      </c>
      <c r="E2778" s="185">
        <v>510515</v>
      </c>
      <c r="F2778" s="185" t="s">
        <v>1080</v>
      </c>
      <c r="G2778" s="185" t="s">
        <v>3618</v>
      </c>
      <c r="H2778" s="185" t="s">
        <v>1515</v>
      </c>
      <c r="I2778" s="258" t="str">
        <f t="shared" si="130"/>
        <v>5</v>
      </c>
      <c r="J2778" s="221">
        <f t="shared" si="131"/>
        <v>159375</v>
      </c>
      <c r="K2778" s="258">
        <f t="shared" si="132"/>
        <v>10</v>
      </c>
      <c r="L2778" s="188">
        <v>159375</v>
      </c>
      <c r="M2778" s="188">
        <v>0</v>
      </c>
      <c r="N2778" s="189">
        <v>1000036375</v>
      </c>
      <c r="O2778" t="s">
        <v>3616</v>
      </c>
      <c r="P2778" s="187">
        <v>45226</v>
      </c>
      <c r="Q2778" s="186">
        <v>13949</v>
      </c>
      <c r="R2778" s="185"/>
      <c r="S2778" s="185" t="s">
        <v>1524</v>
      </c>
      <c r="T2778" t="s">
        <v>2729</v>
      </c>
      <c r="U2778" t="str">
        <f>IF($L2778&gt;0,VLOOKUP($E2778,Valida!$A$1:$G$270,6,FALSE),IF($M2778&gt;=0,VLOOKUP($E2778,Valida!$A$1:$G$270,7,FALSE)))</f>
        <v>(+/-) Ganancia (pérdida)</v>
      </c>
      <c r="V2778" s="190" t="str">
        <f>VLOOKUP(E2778,Valida!$A$2:$K$271,4,FALSE)</f>
        <v>P&amp;L</v>
      </c>
      <c r="W2778" s="185" t="s">
        <v>1983</v>
      </c>
      <c r="X2778" s="185"/>
      <c r="Y2778" s="185" t="s">
        <v>1789</v>
      </c>
      <c r="Z2778"/>
    </row>
    <row r="2779" spans="1:26">
      <c r="A2779" s="185" t="s">
        <v>3615</v>
      </c>
      <c r="B2779" s="185" t="s">
        <v>3616</v>
      </c>
      <c r="C2779" s="185" t="s">
        <v>1897</v>
      </c>
      <c r="D2779" s="185" t="s">
        <v>3617</v>
      </c>
      <c r="E2779" s="185">
        <v>510515</v>
      </c>
      <c r="F2779" s="185" t="s">
        <v>1080</v>
      </c>
      <c r="G2779" s="185" t="s">
        <v>3618</v>
      </c>
      <c r="H2779" s="185" t="s">
        <v>1515</v>
      </c>
      <c r="I2779" s="258" t="str">
        <f t="shared" si="130"/>
        <v>5</v>
      </c>
      <c r="J2779" s="221">
        <f t="shared" si="131"/>
        <v>20313</v>
      </c>
      <c r="K2779" s="258">
        <f t="shared" si="132"/>
        <v>10</v>
      </c>
      <c r="L2779" s="188">
        <v>20313</v>
      </c>
      <c r="M2779" s="188">
        <v>0</v>
      </c>
      <c r="N2779" s="189">
        <v>1000036375</v>
      </c>
      <c r="O2779" t="s">
        <v>3616</v>
      </c>
      <c r="P2779" s="187">
        <v>45226</v>
      </c>
      <c r="Q2779" s="186">
        <v>13950</v>
      </c>
      <c r="R2779" s="185"/>
      <c r="S2779" s="185" t="s">
        <v>1524</v>
      </c>
      <c r="T2779" t="s">
        <v>2729</v>
      </c>
      <c r="U2779" t="str">
        <f>IF($L2779&gt;0,VLOOKUP($E2779,Valida!$A$1:$G$270,6,FALSE),IF($M2779&gt;=0,VLOOKUP($E2779,Valida!$A$1:$G$270,7,FALSE)))</f>
        <v>(+/-) Ganancia (pérdida)</v>
      </c>
      <c r="V2779" s="190" t="str">
        <f>VLOOKUP(E2779,Valida!$A$2:$K$271,4,FALSE)</f>
        <v>P&amp;L</v>
      </c>
      <c r="W2779" s="185" t="s">
        <v>1983</v>
      </c>
      <c r="X2779" s="185"/>
      <c r="Y2779" s="185" t="s">
        <v>1789</v>
      </c>
      <c r="Z2779"/>
    </row>
    <row r="2780" spans="1:26">
      <c r="A2780" s="185" t="s">
        <v>3615</v>
      </c>
      <c r="B2780" s="185" t="s">
        <v>3616</v>
      </c>
      <c r="C2780" s="185" t="s">
        <v>1897</v>
      </c>
      <c r="D2780" s="185" t="s">
        <v>3617</v>
      </c>
      <c r="E2780" s="185">
        <v>510515</v>
      </c>
      <c r="F2780" s="185" t="s">
        <v>1080</v>
      </c>
      <c r="G2780" s="185" t="s">
        <v>3618</v>
      </c>
      <c r="H2780" s="185" t="s">
        <v>1515</v>
      </c>
      <c r="I2780" s="258" t="str">
        <f t="shared" si="130"/>
        <v>5</v>
      </c>
      <c r="J2780" s="221">
        <f t="shared" si="131"/>
        <v>118125</v>
      </c>
      <c r="K2780" s="258">
        <f t="shared" si="132"/>
        <v>10</v>
      </c>
      <c r="L2780" s="188">
        <v>118125</v>
      </c>
      <c r="M2780" s="188">
        <v>0</v>
      </c>
      <c r="N2780" s="189">
        <v>1000036375</v>
      </c>
      <c r="O2780" t="s">
        <v>3616</v>
      </c>
      <c r="P2780" s="187">
        <v>45226</v>
      </c>
      <c r="Q2780" s="186">
        <v>13951</v>
      </c>
      <c r="R2780" s="185"/>
      <c r="S2780" s="185" t="s">
        <v>1524</v>
      </c>
      <c r="T2780" t="s">
        <v>2729</v>
      </c>
      <c r="U2780" t="str">
        <f>IF($L2780&gt;0,VLOOKUP($E2780,Valida!$A$1:$G$270,6,FALSE),IF($M2780&gt;=0,VLOOKUP($E2780,Valida!$A$1:$G$270,7,FALSE)))</f>
        <v>(+/-) Ganancia (pérdida)</v>
      </c>
      <c r="V2780" s="190" t="str">
        <f>VLOOKUP(E2780,Valida!$A$2:$K$271,4,FALSE)</f>
        <v>P&amp;L</v>
      </c>
      <c r="W2780" s="185" t="s">
        <v>1983</v>
      </c>
      <c r="X2780" s="185"/>
      <c r="Y2780" s="185" t="s">
        <v>1789</v>
      </c>
      <c r="Z2780"/>
    </row>
    <row r="2781" spans="1:26">
      <c r="A2781" s="185" t="s">
        <v>3615</v>
      </c>
      <c r="B2781" s="185" t="s">
        <v>3616</v>
      </c>
      <c r="C2781" s="185" t="s">
        <v>1897</v>
      </c>
      <c r="D2781" s="185" t="s">
        <v>3617</v>
      </c>
      <c r="E2781" s="185">
        <v>510506</v>
      </c>
      <c r="F2781" s="185" t="s">
        <v>1076</v>
      </c>
      <c r="G2781" s="185" t="s">
        <v>3618</v>
      </c>
      <c r="H2781" s="185" t="s">
        <v>1515</v>
      </c>
      <c r="I2781" s="258" t="str">
        <f t="shared" si="130"/>
        <v>5</v>
      </c>
      <c r="J2781" s="221">
        <f t="shared" si="131"/>
        <v>100000</v>
      </c>
      <c r="K2781" s="258">
        <f t="shared" si="132"/>
        <v>10</v>
      </c>
      <c r="L2781" s="188">
        <v>100000</v>
      </c>
      <c r="M2781" s="188">
        <v>0</v>
      </c>
      <c r="N2781" s="189">
        <v>1000036375</v>
      </c>
      <c r="O2781" t="s">
        <v>3616</v>
      </c>
      <c r="P2781" s="187">
        <v>45226</v>
      </c>
      <c r="Q2781" s="186">
        <v>13952</v>
      </c>
      <c r="R2781" s="185"/>
      <c r="S2781" s="185" t="s">
        <v>1524</v>
      </c>
      <c r="T2781" t="s">
        <v>2729</v>
      </c>
      <c r="U2781" t="str">
        <f>IF($L2781&gt;0,VLOOKUP($E2781,Valida!$A$1:$G$270,6,FALSE),IF($M2781&gt;=0,VLOOKUP($E2781,Valida!$A$1:$G$270,7,FALSE)))</f>
        <v>(+/-) Ganancia (pérdida)</v>
      </c>
      <c r="V2781" s="190" t="str">
        <f>VLOOKUP(E2781,Valida!$A$2:$K$271,4,FALSE)</f>
        <v>P&amp;L</v>
      </c>
      <c r="W2781" s="185" t="s">
        <v>1983</v>
      </c>
      <c r="X2781" s="185"/>
      <c r="Y2781" s="185" t="s">
        <v>1789</v>
      </c>
      <c r="Z2781"/>
    </row>
    <row r="2782" spans="1:26">
      <c r="A2782" s="185" t="s">
        <v>3615</v>
      </c>
      <c r="B2782" s="185" t="s">
        <v>3616</v>
      </c>
      <c r="C2782" s="185" t="s">
        <v>1897</v>
      </c>
      <c r="D2782" s="185" t="s">
        <v>3617</v>
      </c>
      <c r="E2782" s="185">
        <v>510515</v>
      </c>
      <c r="F2782" s="185" t="s">
        <v>1080</v>
      </c>
      <c r="G2782" s="185" t="s">
        <v>3618</v>
      </c>
      <c r="H2782" s="185" t="s">
        <v>1515</v>
      </c>
      <c r="I2782" s="258" t="str">
        <f t="shared" si="130"/>
        <v>5</v>
      </c>
      <c r="J2782" s="221">
        <f t="shared" si="131"/>
        <v>34375</v>
      </c>
      <c r="K2782" s="258">
        <f t="shared" si="132"/>
        <v>10</v>
      </c>
      <c r="L2782" s="188">
        <v>34375</v>
      </c>
      <c r="M2782" s="188">
        <v>0</v>
      </c>
      <c r="N2782" s="189">
        <v>1000036375</v>
      </c>
      <c r="O2782" t="s">
        <v>3616</v>
      </c>
      <c r="P2782" s="187">
        <v>45226</v>
      </c>
      <c r="Q2782" s="186">
        <v>13953</v>
      </c>
      <c r="R2782" s="185"/>
      <c r="S2782" s="185" t="s">
        <v>1524</v>
      </c>
      <c r="T2782" t="s">
        <v>2729</v>
      </c>
      <c r="U2782" t="str">
        <f>IF($L2782&gt;0,VLOOKUP($E2782,Valida!$A$1:$G$270,6,FALSE),IF($M2782&gt;=0,VLOOKUP($E2782,Valida!$A$1:$G$270,7,FALSE)))</f>
        <v>(+/-) Ganancia (pérdida)</v>
      </c>
      <c r="V2782" s="190" t="str">
        <f>VLOOKUP(E2782,Valida!$A$2:$K$271,4,FALSE)</f>
        <v>P&amp;L</v>
      </c>
      <c r="W2782" s="185" t="s">
        <v>1983</v>
      </c>
      <c r="X2782" s="185"/>
      <c r="Y2782" s="185" t="s">
        <v>1789</v>
      </c>
      <c r="Z2782"/>
    </row>
    <row r="2783" spans="1:26">
      <c r="A2783" s="185" t="s">
        <v>3615</v>
      </c>
      <c r="B2783" s="185" t="s">
        <v>3616</v>
      </c>
      <c r="C2783" s="185" t="s">
        <v>1897</v>
      </c>
      <c r="D2783" s="185" t="s">
        <v>3617</v>
      </c>
      <c r="E2783" s="185">
        <v>51054501</v>
      </c>
      <c r="F2783" s="185" t="s">
        <v>1724</v>
      </c>
      <c r="G2783" s="185" t="s">
        <v>3618</v>
      </c>
      <c r="H2783" s="185" t="s">
        <v>1515</v>
      </c>
      <c r="I2783" s="258" t="str">
        <f t="shared" si="130"/>
        <v>5</v>
      </c>
      <c r="J2783" s="221">
        <f t="shared" si="131"/>
        <v>50000</v>
      </c>
      <c r="K2783" s="258">
        <f t="shared" si="132"/>
        <v>10</v>
      </c>
      <c r="L2783" s="188">
        <v>50000</v>
      </c>
      <c r="M2783" s="188">
        <v>0</v>
      </c>
      <c r="N2783" s="189">
        <v>1000036375</v>
      </c>
      <c r="O2783" t="s">
        <v>3616</v>
      </c>
      <c r="P2783" s="187">
        <v>45226</v>
      </c>
      <c r="Q2783" s="186">
        <v>13954</v>
      </c>
      <c r="R2783" s="185"/>
      <c r="S2783" s="185" t="s">
        <v>1524</v>
      </c>
      <c r="T2783" t="s">
        <v>2729</v>
      </c>
      <c r="U2783" t="str">
        <f>IF($L2783&gt;0,VLOOKUP($E2783,Valida!$A$1:$G$270,6,FALSE),IF($M2783&gt;=0,VLOOKUP($E2783,Valida!$A$1:$G$270,7,FALSE)))</f>
        <v>(+/-) Ganancia (pérdida)</v>
      </c>
      <c r="V2783" s="190" t="str">
        <f>VLOOKUP(E2783,Valida!$A$2:$K$271,4,FALSE)</f>
        <v>P&amp;L</v>
      </c>
      <c r="W2783" s="185" t="s">
        <v>1983</v>
      </c>
      <c r="X2783" s="185"/>
      <c r="Y2783" s="185" t="s">
        <v>1789</v>
      </c>
      <c r="Z2783"/>
    </row>
    <row r="2784" spans="1:26">
      <c r="A2784" s="185" t="s">
        <v>3615</v>
      </c>
      <c r="B2784" s="185" t="s">
        <v>3616</v>
      </c>
      <c r="C2784" s="185" t="s">
        <v>1897</v>
      </c>
      <c r="D2784" s="185" t="s">
        <v>3617</v>
      </c>
      <c r="E2784" s="185">
        <v>237005</v>
      </c>
      <c r="F2784" s="185" t="s">
        <v>676</v>
      </c>
      <c r="G2784" s="185" t="s">
        <v>3618</v>
      </c>
      <c r="H2784" s="185" t="s">
        <v>1628</v>
      </c>
      <c r="I2784" s="258" t="str">
        <f t="shared" si="130"/>
        <v>2</v>
      </c>
      <c r="J2784" s="221">
        <f t="shared" si="131"/>
        <v>-89288</v>
      </c>
      <c r="K2784" s="258">
        <f t="shared" si="132"/>
        <v>10</v>
      </c>
      <c r="L2784" s="188">
        <v>0</v>
      </c>
      <c r="M2784" s="188">
        <v>89288</v>
      </c>
      <c r="N2784" s="189">
        <v>900156264</v>
      </c>
      <c r="O2784" t="s">
        <v>3616</v>
      </c>
      <c r="P2784" s="187">
        <v>45226</v>
      </c>
      <c r="Q2784" s="186">
        <v>13955</v>
      </c>
      <c r="R2784" s="185" t="s">
        <v>433</v>
      </c>
      <c r="S2784" s="185" t="s">
        <v>1654</v>
      </c>
      <c r="T2784" t="s">
        <v>2729</v>
      </c>
      <c r="U2784" t="str">
        <f>IF($L2784&gt;0,VLOOKUP($E2784,Valida!$A$1:$G$270,6,FALSE),IF($M2784&gt;=0,VLOOKUP($E2784,Valida!$A$1:$G$270,7,FALSE)))</f>
        <v>(+/-) Ajustes por el incremento (disminución) de cuentas por pagar de origen comercial</v>
      </c>
      <c r="V2784" s="190" t="str">
        <f>VLOOKUP(E2784,Valida!$A$2:$K$271,4,FALSE)</f>
        <v>Trade and other payables</v>
      </c>
      <c r="W2784" s="185" t="s">
        <v>1926</v>
      </c>
      <c r="X2784" s="185" t="s">
        <v>1927</v>
      </c>
      <c r="Y2784" s="185" t="s">
        <v>1789</v>
      </c>
      <c r="Z2784"/>
    </row>
    <row r="2785" spans="1:26">
      <c r="A2785" s="185" t="s">
        <v>3615</v>
      </c>
      <c r="B2785" s="185" t="s">
        <v>3616</v>
      </c>
      <c r="C2785" s="185" t="s">
        <v>1897</v>
      </c>
      <c r="D2785" s="185" t="s">
        <v>3617</v>
      </c>
      <c r="E2785" s="185">
        <v>238030</v>
      </c>
      <c r="F2785" s="185" t="s">
        <v>721</v>
      </c>
      <c r="G2785" s="185" t="s">
        <v>3618</v>
      </c>
      <c r="H2785" s="185" t="s">
        <v>1628</v>
      </c>
      <c r="I2785" s="258" t="str">
        <f t="shared" si="130"/>
        <v>2</v>
      </c>
      <c r="J2785" s="221">
        <f t="shared" si="131"/>
        <v>-89288</v>
      </c>
      <c r="K2785" s="258">
        <f t="shared" si="132"/>
        <v>10</v>
      </c>
      <c r="L2785" s="188">
        <v>0</v>
      </c>
      <c r="M2785" s="188">
        <v>89288</v>
      </c>
      <c r="N2785" s="189">
        <v>800224808</v>
      </c>
      <c r="O2785" t="s">
        <v>3616</v>
      </c>
      <c r="P2785" s="187">
        <v>45226</v>
      </c>
      <c r="Q2785" s="186">
        <v>13956</v>
      </c>
      <c r="R2785" s="185" t="s">
        <v>1827</v>
      </c>
      <c r="S2785" s="185" t="s">
        <v>1662</v>
      </c>
      <c r="T2785" t="s">
        <v>2729</v>
      </c>
      <c r="U2785" t="str">
        <f>IF($L2785&gt;0,VLOOKUP($E2785,Valida!$A$1:$G$270,6,FALSE),IF($M2785&gt;=0,VLOOKUP($E2785,Valida!$A$1:$G$270,7,FALSE)))</f>
        <v>(+/-) Ajustes por el incremento (disminución) de cuentas por pagar de origen comercial</v>
      </c>
      <c r="V2785" s="190" t="str">
        <f>VLOOKUP(E2785,Valida!$A$2:$K$271,4,FALSE)</f>
        <v>Trade and other payables</v>
      </c>
      <c r="W2785" s="185" t="s">
        <v>1911</v>
      </c>
      <c r="X2785" s="185"/>
      <c r="Y2785" s="185" t="s">
        <v>1789</v>
      </c>
      <c r="Z2785"/>
    </row>
    <row r="2786" spans="1:26">
      <c r="A2786" s="185" t="s">
        <v>3615</v>
      </c>
      <c r="B2786" s="185" t="s">
        <v>3616</v>
      </c>
      <c r="C2786" s="185" t="s">
        <v>1897</v>
      </c>
      <c r="D2786" s="185" t="s">
        <v>3617</v>
      </c>
      <c r="E2786" s="185">
        <v>51054501</v>
      </c>
      <c r="F2786" s="185" t="s">
        <v>1724</v>
      </c>
      <c r="G2786" s="185" t="s">
        <v>3618</v>
      </c>
      <c r="H2786" s="185" t="s">
        <v>1628</v>
      </c>
      <c r="I2786" s="258" t="str">
        <f t="shared" si="130"/>
        <v>5</v>
      </c>
      <c r="J2786" s="221">
        <f t="shared" si="131"/>
        <v>-100000</v>
      </c>
      <c r="K2786" s="258">
        <f t="shared" si="132"/>
        <v>10</v>
      </c>
      <c r="L2786" s="188">
        <v>0</v>
      </c>
      <c r="M2786" s="188">
        <v>100000</v>
      </c>
      <c r="N2786" s="189">
        <v>1000036375</v>
      </c>
      <c r="O2786" t="s">
        <v>3616</v>
      </c>
      <c r="P2786" s="187">
        <v>45226</v>
      </c>
      <c r="Q2786" s="186">
        <v>13957</v>
      </c>
      <c r="R2786" s="185"/>
      <c r="S2786" s="185" t="s">
        <v>1524</v>
      </c>
      <c r="T2786" t="s">
        <v>2729</v>
      </c>
      <c r="U2786" t="str">
        <f>IF($L2786&gt;0,VLOOKUP($E2786,Valida!$A$1:$G$270,6,FALSE),IF($M2786&gt;=0,VLOOKUP($E2786,Valida!$A$1:$G$270,7,FALSE)))</f>
        <v>(+/-) Ganancia (pérdida)</v>
      </c>
      <c r="V2786" s="190" t="str">
        <f>VLOOKUP(E2786,Valida!$A$2:$K$271,4,FALSE)</f>
        <v>P&amp;L</v>
      </c>
      <c r="W2786" s="185" t="s">
        <v>1983</v>
      </c>
      <c r="X2786" s="185"/>
      <c r="Y2786" s="185" t="s">
        <v>1789</v>
      </c>
      <c r="Z2786"/>
    </row>
    <row r="2787" spans="1:26">
      <c r="A2787" s="185" t="s">
        <v>3615</v>
      </c>
      <c r="B2787" s="185" t="s">
        <v>3616</v>
      </c>
      <c r="C2787" s="185" t="s">
        <v>1897</v>
      </c>
      <c r="D2787" s="185" t="s">
        <v>3617</v>
      </c>
      <c r="E2787" s="185">
        <v>510506</v>
      </c>
      <c r="F2787" s="185" t="s">
        <v>1076</v>
      </c>
      <c r="G2787" s="185" t="s">
        <v>3618</v>
      </c>
      <c r="H2787" s="185" t="s">
        <v>1515</v>
      </c>
      <c r="I2787" s="258" t="str">
        <f t="shared" si="130"/>
        <v>5</v>
      </c>
      <c r="J2787" s="221">
        <f t="shared" si="131"/>
        <v>1200000</v>
      </c>
      <c r="K2787" s="258">
        <f t="shared" si="132"/>
        <v>10</v>
      </c>
      <c r="L2787" s="188">
        <v>1200000</v>
      </c>
      <c r="M2787" s="188">
        <v>0</v>
      </c>
      <c r="N2787" s="189">
        <v>1001284057</v>
      </c>
      <c r="O2787" t="s">
        <v>3616</v>
      </c>
      <c r="P2787" s="187">
        <v>45226</v>
      </c>
      <c r="Q2787" s="186">
        <v>13958</v>
      </c>
      <c r="R2787" s="185"/>
      <c r="S2787" s="185" t="s">
        <v>1526</v>
      </c>
      <c r="T2787" t="s">
        <v>2729</v>
      </c>
      <c r="U2787" t="str">
        <f>IF($L2787&gt;0,VLOOKUP($E2787,Valida!$A$1:$G$270,6,FALSE),IF($M2787&gt;=0,VLOOKUP($E2787,Valida!$A$1:$G$270,7,FALSE)))</f>
        <v>(+/-) Ganancia (pérdida)</v>
      </c>
      <c r="V2787" s="190" t="str">
        <f>VLOOKUP(E2787,Valida!$A$2:$K$271,4,FALSE)</f>
        <v>P&amp;L</v>
      </c>
      <c r="W2787" s="185" t="s">
        <v>3454</v>
      </c>
      <c r="X2787" s="185" t="s">
        <v>3455</v>
      </c>
      <c r="Y2787" s="185" t="s">
        <v>1789</v>
      </c>
      <c r="Z2787"/>
    </row>
    <row r="2788" spans="1:26">
      <c r="A2788" s="185" t="s">
        <v>3615</v>
      </c>
      <c r="B2788" s="185" t="s">
        <v>3616</v>
      </c>
      <c r="C2788" s="185" t="s">
        <v>1897</v>
      </c>
      <c r="D2788" s="185" t="s">
        <v>3617</v>
      </c>
      <c r="E2788" s="185">
        <v>510527</v>
      </c>
      <c r="F2788" s="185" t="s">
        <v>1089</v>
      </c>
      <c r="G2788" s="185" t="s">
        <v>3618</v>
      </c>
      <c r="H2788" s="185" t="s">
        <v>1515</v>
      </c>
      <c r="I2788" s="258" t="str">
        <f t="shared" si="130"/>
        <v>5</v>
      </c>
      <c r="J2788" s="221">
        <f t="shared" si="131"/>
        <v>140606</v>
      </c>
      <c r="K2788" s="258">
        <f t="shared" si="132"/>
        <v>10</v>
      </c>
      <c r="L2788" s="188">
        <v>140606</v>
      </c>
      <c r="M2788" s="188">
        <v>0</v>
      </c>
      <c r="N2788" s="189">
        <v>1001284057</v>
      </c>
      <c r="O2788" t="s">
        <v>3616</v>
      </c>
      <c r="P2788" s="187">
        <v>45226</v>
      </c>
      <c r="Q2788" s="186">
        <v>13959</v>
      </c>
      <c r="R2788" s="185"/>
      <c r="S2788" s="185" t="s">
        <v>1526</v>
      </c>
      <c r="T2788" t="s">
        <v>2729</v>
      </c>
      <c r="U2788" t="str">
        <f>IF($L2788&gt;0,VLOOKUP($E2788,Valida!$A$1:$G$270,6,FALSE),IF($M2788&gt;=0,VLOOKUP($E2788,Valida!$A$1:$G$270,7,FALSE)))</f>
        <v>(+/-) Ganancia (pérdida)</v>
      </c>
      <c r="V2788" s="190" t="str">
        <f>VLOOKUP(E2788,Valida!$A$2:$K$271,4,FALSE)</f>
        <v>P&amp;L</v>
      </c>
      <c r="W2788" s="185" t="s">
        <v>3454</v>
      </c>
      <c r="X2788" s="185" t="s">
        <v>3455</v>
      </c>
      <c r="Y2788" s="185" t="s">
        <v>1789</v>
      </c>
      <c r="Z2788"/>
    </row>
    <row r="2789" spans="1:26">
      <c r="A2789" s="185" t="s">
        <v>3615</v>
      </c>
      <c r="B2789" s="185" t="s">
        <v>3616</v>
      </c>
      <c r="C2789" s="185" t="s">
        <v>1897</v>
      </c>
      <c r="D2789" s="185" t="s">
        <v>3617</v>
      </c>
      <c r="E2789" s="185">
        <v>510515</v>
      </c>
      <c r="F2789" s="185" t="s">
        <v>1080</v>
      </c>
      <c r="G2789" s="185" t="s">
        <v>3618</v>
      </c>
      <c r="H2789" s="185" t="s">
        <v>1515</v>
      </c>
      <c r="I2789" s="258" t="str">
        <f t="shared" si="130"/>
        <v>5</v>
      </c>
      <c r="J2789" s="221">
        <f t="shared" si="131"/>
        <v>25000</v>
      </c>
      <c r="K2789" s="258">
        <f t="shared" si="132"/>
        <v>10</v>
      </c>
      <c r="L2789" s="188">
        <v>25000</v>
      </c>
      <c r="M2789" s="188">
        <v>0</v>
      </c>
      <c r="N2789" s="189">
        <v>1001284057</v>
      </c>
      <c r="O2789" t="s">
        <v>3616</v>
      </c>
      <c r="P2789" s="187">
        <v>45226</v>
      </c>
      <c r="Q2789" s="186">
        <v>13960</v>
      </c>
      <c r="R2789" s="185"/>
      <c r="S2789" s="185" t="s">
        <v>1526</v>
      </c>
      <c r="T2789" t="s">
        <v>2729</v>
      </c>
      <c r="U2789" t="str">
        <f>IF($L2789&gt;0,VLOOKUP($E2789,Valida!$A$1:$G$270,6,FALSE),IF($M2789&gt;=0,VLOOKUP($E2789,Valida!$A$1:$G$270,7,FALSE)))</f>
        <v>(+/-) Ganancia (pérdida)</v>
      </c>
      <c r="V2789" s="190" t="str">
        <f>VLOOKUP(E2789,Valida!$A$2:$K$271,4,FALSE)</f>
        <v>P&amp;L</v>
      </c>
      <c r="W2789" s="185" t="s">
        <v>3454</v>
      </c>
      <c r="X2789" s="185" t="s">
        <v>3455</v>
      </c>
      <c r="Y2789" s="185" t="s">
        <v>1789</v>
      </c>
      <c r="Z2789"/>
    </row>
    <row r="2790" spans="1:26">
      <c r="A2790" s="185" t="s">
        <v>3615</v>
      </c>
      <c r="B2790" s="185" t="s">
        <v>3616</v>
      </c>
      <c r="C2790" s="185" t="s">
        <v>1897</v>
      </c>
      <c r="D2790" s="185" t="s">
        <v>3617</v>
      </c>
      <c r="E2790" s="185">
        <v>510515</v>
      </c>
      <c r="F2790" s="185" t="s">
        <v>1080</v>
      </c>
      <c r="G2790" s="185" t="s">
        <v>3618</v>
      </c>
      <c r="H2790" s="185" t="s">
        <v>1515</v>
      </c>
      <c r="I2790" s="258" t="str">
        <f t="shared" si="130"/>
        <v>5</v>
      </c>
      <c r="J2790" s="221">
        <f t="shared" si="131"/>
        <v>17500</v>
      </c>
      <c r="K2790" s="258">
        <f t="shared" si="132"/>
        <v>10</v>
      </c>
      <c r="L2790" s="188">
        <v>17500</v>
      </c>
      <c r="M2790" s="188">
        <v>0</v>
      </c>
      <c r="N2790" s="189">
        <v>1001284057</v>
      </c>
      <c r="O2790" t="s">
        <v>3616</v>
      </c>
      <c r="P2790" s="187">
        <v>45226</v>
      </c>
      <c r="Q2790" s="186">
        <v>13961</v>
      </c>
      <c r="R2790" s="185"/>
      <c r="S2790" s="185" t="s">
        <v>1526</v>
      </c>
      <c r="T2790" t="s">
        <v>2729</v>
      </c>
      <c r="U2790" t="str">
        <f>IF($L2790&gt;0,VLOOKUP($E2790,Valida!$A$1:$G$270,6,FALSE),IF($M2790&gt;=0,VLOOKUP($E2790,Valida!$A$1:$G$270,7,FALSE)))</f>
        <v>(+/-) Ganancia (pérdida)</v>
      </c>
      <c r="V2790" s="190" t="str">
        <f>VLOOKUP(E2790,Valida!$A$2:$K$271,4,FALSE)</f>
        <v>P&amp;L</v>
      </c>
      <c r="W2790" s="185" t="s">
        <v>3454</v>
      </c>
      <c r="X2790" s="185" t="s">
        <v>3455</v>
      </c>
      <c r="Y2790" s="185" t="s">
        <v>1789</v>
      </c>
      <c r="Z2790"/>
    </row>
    <row r="2791" spans="1:26">
      <c r="A2791" s="185" t="s">
        <v>3615</v>
      </c>
      <c r="B2791" s="185" t="s">
        <v>3616</v>
      </c>
      <c r="C2791" s="185" t="s">
        <v>1897</v>
      </c>
      <c r="D2791" s="185" t="s">
        <v>3617</v>
      </c>
      <c r="E2791" s="185">
        <v>510515</v>
      </c>
      <c r="F2791" s="185" t="s">
        <v>1080</v>
      </c>
      <c r="G2791" s="185" t="s">
        <v>3618</v>
      </c>
      <c r="H2791" s="185" t="s">
        <v>1515</v>
      </c>
      <c r="I2791" s="258" t="str">
        <f t="shared" si="130"/>
        <v>5</v>
      </c>
      <c r="J2791" s="221">
        <f t="shared" si="131"/>
        <v>135000</v>
      </c>
      <c r="K2791" s="258">
        <f t="shared" si="132"/>
        <v>10</v>
      </c>
      <c r="L2791" s="188">
        <v>135000</v>
      </c>
      <c r="M2791" s="188">
        <v>0</v>
      </c>
      <c r="N2791" s="189">
        <v>1001284057</v>
      </c>
      <c r="O2791" t="s">
        <v>3616</v>
      </c>
      <c r="P2791" s="187">
        <v>45226</v>
      </c>
      <c r="Q2791" s="186">
        <v>13962</v>
      </c>
      <c r="R2791" s="185"/>
      <c r="S2791" s="185" t="s">
        <v>1526</v>
      </c>
      <c r="T2791" t="s">
        <v>2729</v>
      </c>
      <c r="U2791" t="str">
        <f>IF($L2791&gt;0,VLOOKUP($E2791,Valida!$A$1:$G$270,6,FALSE),IF($M2791&gt;=0,VLOOKUP($E2791,Valida!$A$1:$G$270,7,FALSE)))</f>
        <v>(+/-) Ganancia (pérdida)</v>
      </c>
      <c r="V2791" s="190" t="str">
        <f>VLOOKUP(E2791,Valida!$A$2:$K$271,4,FALSE)</f>
        <v>P&amp;L</v>
      </c>
      <c r="W2791" s="185" t="s">
        <v>3454</v>
      </c>
      <c r="X2791" s="185" t="s">
        <v>3455</v>
      </c>
      <c r="Y2791" s="185" t="s">
        <v>1789</v>
      </c>
      <c r="Z2791"/>
    </row>
    <row r="2792" spans="1:26">
      <c r="A2792" s="185" t="s">
        <v>3615</v>
      </c>
      <c r="B2792" s="185" t="s">
        <v>3616</v>
      </c>
      <c r="C2792" s="185" t="s">
        <v>1897</v>
      </c>
      <c r="D2792" s="185" t="s">
        <v>3617</v>
      </c>
      <c r="E2792" s="185">
        <v>237005</v>
      </c>
      <c r="F2792" s="185" t="s">
        <v>676</v>
      </c>
      <c r="G2792" s="185" t="s">
        <v>3618</v>
      </c>
      <c r="H2792" s="185" t="s">
        <v>1628</v>
      </c>
      <c r="I2792" s="258" t="str">
        <f t="shared" si="130"/>
        <v>2</v>
      </c>
      <c r="J2792" s="221">
        <f t="shared" si="131"/>
        <v>-55100</v>
      </c>
      <c r="K2792" s="258">
        <f t="shared" si="132"/>
        <v>10</v>
      </c>
      <c r="L2792" s="188">
        <v>0</v>
      </c>
      <c r="M2792" s="188">
        <v>55100</v>
      </c>
      <c r="N2792" s="189">
        <v>860066942</v>
      </c>
      <c r="O2792" t="s">
        <v>3616</v>
      </c>
      <c r="P2792" s="187">
        <v>45226</v>
      </c>
      <c r="Q2792" s="186">
        <v>13963</v>
      </c>
      <c r="R2792" s="185" t="s">
        <v>1814</v>
      </c>
      <c r="S2792" s="185" t="s">
        <v>1574</v>
      </c>
      <c r="T2792" t="s">
        <v>2729</v>
      </c>
      <c r="U2792" t="str">
        <f>IF($L2792&gt;0,VLOOKUP($E2792,Valida!$A$1:$G$270,6,FALSE),IF($M2792&gt;=0,VLOOKUP($E2792,Valida!$A$1:$G$270,7,FALSE)))</f>
        <v>(+/-) Ajustes por el incremento (disminución) de cuentas por pagar de origen comercial</v>
      </c>
      <c r="V2792" s="190" t="str">
        <f>VLOOKUP(E2792,Valida!$A$2:$K$271,4,FALSE)</f>
        <v>Trade and other payables</v>
      </c>
      <c r="W2792" s="185" t="s">
        <v>1914</v>
      </c>
      <c r="X2792" s="185" t="s">
        <v>1915</v>
      </c>
      <c r="Y2792" s="185" t="s">
        <v>1789</v>
      </c>
      <c r="Z2792"/>
    </row>
    <row r="2793" spans="1:26">
      <c r="A2793" s="185" t="s">
        <v>3615</v>
      </c>
      <c r="B2793" s="185" t="s">
        <v>3616</v>
      </c>
      <c r="C2793" s="185" t="s">
        <v>1897</v>
      </c>
      <c r="D2793" s="185" t="s">
        <v>3617</v>
      </c>
      <c r="E2793" s="185">
        <v>238030</v>
      </c>
      <c r="F2793" s="185" t="s">
        <v>721</v>
      </c>
      <c r="G2793" s="185" t="s">
        <v>3618</v>
      </c>
      <c r="H2793" s="185" t="s">
        <v>1628</v>
      </c>
      <c r="I2793" s="258" t="str">
        <f t="shared" si="130"/>
        <v>2</v>
      </c>
      <c r="J2793" s="221">
        <f t="shared" si="131"/>
        <v>-55100</v>
      </c>
      <c r="K2793" s="258">
        <f t="shared" si="132"/>
        <v>10</v>
      </c>
      <c r="L2793" s="188">
        <v>0</v>
      </c>
      <c r="M2793" s="188">
        <v>55100</v>
      </c>
      <c r="N2793" s="189">
        <v>800224808</v>
      </c>
      <c r="O2793" t="s">
        <v>3616</v>
      </c>
      <c r="P2793" s="187">
        <v>45226</v>
      </c>
      <c r="Q2793" s="186">
        <v>13964</v>
      </c>
      <c r="R2793" s="185" t="s">
        <v>1827</v>
      </c>
      <c r="S2793" s="185" t="s">
        <v>1662</v>
      </c>
      <c r="T2793" t="s">
        <v>2729</v>
      </c>
      <c r="U2793" t="str">
        <f>IF($L2793&gt;0,VLOOKUP($E2793,Valida!$A$1:$G$270,6,FALSE),IF($M2793&gt;=0,VLOOKUP($E2793,Valida!$A$1:$G$270,7,FALSE)))</f>
        <v>(+/-) Ajustes por el incremento (disminución) de cuentas por pagar de origen comercial</v>
      </c>
      <c r="V2793" s="190" t="str">
        <f>VLOOKUP(E2793,Valida!$A$2:$K$271,4,FALSE)</f>
        <v>Trade and other payables</v>
      </c>
      <c r="W2793" s="185" t="s">
        <v>1911</v>
      </c>
      <c r="X2793" s="185"/>
      <c r="Y2793" s="185" t="s">
        <v>1789</v>
      </c>
      <c r="Z2793"/>
    </row>
    <row r="2794" spans="1:26">
      <c r="A2794" s="185" t="s">
        <v>3615</v>
      </c>
      <c r="B2794" s="185" t="s">
        <v>3616</v>
      </c>
      <c r="C2794" s="185" t="s">
        <v>1897</v>
      </c>
      <c r="D2794" s="185" t="s">
        <v>3617</v>
      </c>
      <c r="E2794" s="185">
        <v>510506</v>
      </c>
      <c r="F2794" s="185" t="s">
        <v>1076</v>
      </c>
      <c r="G2794" s="185" t="s">
        <v>3618</v>
      </c>
      <c r="H2794" s="185" t="s">
        <v>1515</v>
      </c>
      <c r="I2794" s="258" t="str">
        <f t="shared" si="130"/>
        <v>5</v>
      </c>
      <c r="J2794" s="221">
        <f t="shared" si="131"/>
        <v>1160000</v>
      </c>
      <c r="K2794" s="258">
        <f t="shared" si="132"/>
        <v>10</v>
      </c>
      <c r="L2794" s="188">
        <v>1160000</v>
      </c>
      <c r="M2794" s="188">
        <v>0</v>
      </c>
      <c r="N2794" s="189">
        <v>1130744136</v>
      </c>
      <c r="O2794" t="s">
        <v>3616</v>
      </c>
      <c r="P2794" s="187">
        <v>45226</v>
      </c>
      <c r="Q2794" s="186">
        <v>13965</v>
      </c>
      <c r="R2794" s="185"/>
      <c r="S2794" s="185" t="s">
        <v>1538</v>
      </c>
      <c r="T2794" t="s">
        <v>2729</v>
      </c>
      <c r="U2794" t="str">
        <f>IF($L2794&gt;0,VLOOKUP($E2794,Valida!$A$1:$G$270,6,FALSE),IF($M2794&gt;=0,VLOOKUP($E2794,Valida!$A$1:$G$270,7,FALSE)))</f>
        <v>(+/-) Ganancia (pérdida)</v>
      </c>
      <c r="V2794" s="190" t="str">
        <f>VLOOKUP(E2794,Valida!$A$2:$K$271,4,FALSE)</f>
        <v>P&amp;L</v>
      </c>
      <c r="W2794" s="185" t="s">
        <v>1909</v>
      </c>
      <c r="X2794" s="185" t="s">
        <v>1910</v>
      </c>
      <c r="Y2794" s="185" t="s">
        <v>1789</v>
      </c>
      <c r="Z2794"/>
    </row>
    <row r="2795" spans="1:26">
      <c r="A2795" s="185" t="s">
        <v>3615</v>
      </c>
      <c r="B2795" s="185" t="s">
        <v>3616</v>
      </c>
      <c r="C2795" s="185" t="s">
        <v>1897</v>
      </c>
      <c r="D2795" s="185" t="s">
        <v>3617</v>
      </c>
      <c r="E2795" s="185">
        <v>510527</v>
      </c>
      <c r="F2795" s="185" t="s">
        <v>1089</v>
      </c>
      <c r="G2795" s="185" t="s">
        <v>3618</v>
      </c>
      <c r="H2795" s="185" t="s">
        <v>1515</v>
      </c>
      <c r="I2795" s="258" t="str">
        <f t="shared" si="130"/>
        <v>5</v>
      </c>
      <c r="J2795" s="221">
        <f t="shared" si="131"/>
        <v>140606</v>
      </c>
      <c r="K2795" s="258">
        <f t="shared" si="132"/>
        <v>10</v>
      </c>
      <c r="L2795" s="188">
        <v>140606</v>
      </c>
      <c r="M2795" s="188">
        <v>0</v>
      </c>
      <c r="N2795" s="189">
        <v>1130744136</v>
      </c>
      <c r="O2795" t="s">
        <v>3616</v>
      </c>
      <c r="P2795" s="187">
        <v>45226</v>
      </c>
      <c r="Q2795" s="186">
        <v>13966</v>
      </c>
      <c r="R2795" s="185"/>
      <c r="S2795" s="185" t="s">
        <v>1538</v>
      </c>
      <c r="T2795" t="s">
        <v>2729</v>
      </c>
      <c r="U2795" t="str">
        <f>IF($L2795&gt;0,VLOOKUP($E2795,Valida!$A$1:$G$270,6,FALSE),IF($M2795&gt;=0,VLOOKUP($E2795,Valida!$A$1:$G$270,7,FALSE)))</f>
        <v>(+/-) Ganancia (pérdida)</v>
      </c>
      <c r="V2795" s="190" t="str">
        <f>VLOOKUP(E2795,Valida!$A$2:$K$271,4,FALSE)</f>
        <v>P&amp;L</v>
      </c>
      <c r="W2795" s="185" t="s">
        <v>1909</v>
      </c>
      <c r="X2795" s="185" t="s">
        <v>1910</v>
      </c>
      <c r="Y2795" s="185" t="s">
        <v>1789</v>
      </c>
      <c r="Z2795"/>
    </row>
    <row r="2796" spans="1:26">
      <c r="A2796" s="185" t="s">
        <v>3615</v>
      </c>
      <c r="B2796" s="185" t="s">
        <v>3616</v>
      </c>
      <c r="C2796" s="185" t="s">
        <v>1897</v>
      </c>
      <c r="D2796" s="185" t="s">
        <v>3617</v>
      </c>
      <c r="E2796" s="185">
        <v>237005</v>
      </c>
      <c r="F2796" s="185" t="s">
        <v>676</v>
      </c>
      <c r="G2796" s="185" t="s">
        <v>3618</v>
      </c>
      <c r="H2796" s="185" t="s">
        <v>1628</v>
      </c>
      <c r="I2796" s="258" t="str">
        <f t="shared" si="130"/>
        <v>2</v>
      </c>
      <c r="J2796" s="221">
        <f t="shared" si="131"/>
        <v>-46400</v>
      </c>
      <c r="K2796" s="258">
        <f t="shared" si="132"/>
        <v>10</v>
      </c>
      <c r="L2796" s="188">
        <v>0</v>
      </c>
      <c r="M2796" s="188">
        <v>46400</v>
      </c>
      <c r="N2796" s="189">
        <v>800251440</v>
      </c>
      <c r="O2796" t="s">
        <v>3616</v>
      </c>
      <c r="P2796" s="187">
        <v>45226</v>
      </c>
      <c r="Q2796" s="186">
        <v>13967</v>
      </c>
      <c r="R2796" s="185" t="s">
        <v>1901</v>
      </c>
      <c r="S2796" s="185" t="s">
        <v>1560</v>
      </c>
      <c r="T2796" t="s">
        <v>2729</v>
      </c>
      <c r="U2796" t="str">
        <f>IF($L2796&gt;0,VLOOKUP($E2796,Valida!$A$1:$G$270,6,FALSE),IF($M2796&gt;=0,VLOOKUP($E2796,Valida!$A$1:$G$270,7,FALSE)))</f>
        <v>(+/-) Ajustes por el incremento (disminución) de cuentas por pagar de origen comercial</v>
      </c>
      <c r="V2796" s="190" t="str">
        <f>VLOOKUP(E2796,Valida!$A$2:$K$271,4,FALSE)</f>
        <v>Trade and other payables</v>
      </c>
      <c r="W2796" s="185" t="s">
        <v>1902</v>
      </c>
      <c r="X2796" s="185" t="s">
        <v>1903</v>
      </c>
      <c r="Y2796" s="185" t="s">
        <v>1789</v>
      </c>
      <c r="Z2796"/>
    </row>
    <row r="2797" spans="1:26">
      <c r="A2797" s="185" t="s">
        <v>3615</v>
      </c>
      <c r="B2797" s="185" t="s">
        <v>3616</v>
      </c>
      <c r="C2797" s="185" t="s">
        <v>1897</v>
      </c>
      <c r="D2797" s="185" t="s">
        <v>3617</v>
      </c>
      <c r="E2797" s="185">
        <v>238030</v>
      </c>
      <c r="F2797" s="185" t="s">
        <v>721</v>
      </c>
      <c r="G2797" s="185" t="s">
        <v>3618</v>
      </c>
      <c r="H2797" s="185" t="s">
        <v>1628</v>
      </c>
      <c r="I2797" s="258" t="str">
        <f t="shared" si="130"/>
        <v>2</v>
      </c>
      <c r="J2797" s="221">
        <f t="shared" si="131"/>
        <v>-46400</v>
      </c>
      <c r="K2797" s="258">
        <f t="shared" si="132"/>
        <v>10</v>
      </c>
      <c r="L2797" s="188">
        <v>0</v>
      </c>
      <c r="M2797" s="188">
        <v>46400</v>
      </c>
      <c r="N2797" s="189">
        <v>800224808</v>
      </c>
      <c r="O2797" t="s">
        <v>3616</v>
      </c>
      <c r="P2797" s="187">
        <v>45226</v>
      </c>
      <c r="Q2797" s="186">
        <v>13968</v>
      </c>
      <c r="R2797" s="185" t="s">
        <v>1827</v>
      </c>
      <c r="S2797" s="185" t="s">
        <v>1662</v>
      </c>
      <c r="T2797" t="s">
        <v>2729</v>
      </c>
      <c r="U2797" t="str">
        <f>IF($L2797&gt;0,VLOOKUP($E2797,Valida!$A$1:$G$270,6,FALSE),IF($M2797&gt;=0,VLOOKUP($E2797,Valida!$A$1:$G$270,7,FALSE)))</f>
        <v>(+/-) Ajustes por el incremento (disminución) de cuentas por pagar de origen comercial</v>
      </c>
      <c r="V2797" s="190" t="str">
        <f>VLOOKUP(E2797,Valida!$A$2:$K$271,4,FALSE)</f>
        <v>Trade and other payables</v>
      </c>
      <c r="W2797" s="185" t="s">
        <v>1911</v>
      </c>
      <c r="X2797" s="185"/>
      <c r="Y2797" s="185" t="s">
        <v>1789</v>
      </c>
      <c r="Z2797"/>
    </row>
    <row r="2798" spans="1:26">
      <c r="A2798" s="185" t="s">
        <v>3615</v>
      </c>
      <c r="B2798" s="185" t="s">
        <v>3616</v>
      </c>
      <c r="C2798" s="185" t="s">
        <v>1897</v>
      </c>
      <c r="D2798" s="185" t="s">
        <v>3617</v>
      </c>
      <c r="E2798" s="185">
        <v>510506</v>
      </c>
      <c r="F2798" s="185" t="s">
        <v>1076</v>
      </c>
      <c r="G2798" s="185" t="s">
        <v>3618</v>
      </c>
      <c r="H2798" s="185" t="s">
        <v>1515</v>
      </c>
      <c r="I2798" s="258" t="str">
        <f t="shared" si="130"/>
        <v>5</v>
      </c>
      <c r="J2798" s="221">
        <f t="shared" si="131"/>
        <v>1500000</v>
      </c>
      <c r="K2798" s="258">
        <f t="shared" si="132"/>
        <v>10</v>
      </c>
      <c r="L2798" s="188">
        <v>1500000</v>
      </c>
      <c r="M2798" s="188">
        <v>0</v>
      </c>
      <c r="N2798" s="189">
        <v>1010101811</v>
      </c>
      <c r="O2798" t="s">
        <v>3616</v>
      </c>
      <c r="P2798" s="187">
        <v>45226</v>
      </c>
      <c r="Q2798" s="186">
        <v>13969</v>
      </c>
      <c r="R2798" s="185"/>
      <c r="S2798" s="185" t="s">
        <v>1528</v>
      </c>
      <c r="T2798" t="s">
        <v>2729</v>
      </c>
      <c r="U2798" t="str">
        <f>IF($L2798&gt;0,VLOOKUP($E2798,Valida!$A$1:$G$270,6,FALSE),IF($M2798&gt;=0,VLOOKUP($E2798,Valida!$A$1:$G$270,7,FALSE)))</f>
        <v>(+/-) Ganancia (pérdida)</v>
      </c>
      <c r="V2798" s="190" t="str">
        <f>VLOOKUP(E2798,Valida!$A$2:$K$271,4,FALSE)</f>
        <v>P&amp;L</v>
      </c>
      <c r="W2798" s="185" t="s">
        <v>1967</v>
      </c>
      <c r="X2798" s="185"/>
      <c r="Y2798" s="185" t="s">
        <v>1789</v>
      </c>
      <c r="Z2798"/>
    </row>
    <row r="2799" spans="1:26">
      <c r="A2799" s="185" t="s">
        <v>3615</v>
      </c>
      <c r="B2799" s="185" t="s">
        <v>3616</v>
      </c>
      <c r="C2799" s="185" t="s">
        <v>1897</v>
      </c>
      <c r="D2799" s="185" t="s">
        <v>3617</v>
      </c>
      <c r="E2799" s="185">
        <v>510527</v>
      </c>
      <c r="F2799" s="185" t="s">
        <v>1089</v>
      </c>
      <c r="G2799" s="185" t="s">
        <v>3618</v>
      </c>
      <c r="H2799" s="185" t="s">
        <v>1515</v>
      </c>
      <c r="I2799" s="258" t="str">
        <f t="shared" si="130"/>
        <v>5</v>
      </c>
      <c r="J2799" s="221">
        <f t="shared" si="131"/>
        <v>140606</v>
      </c>
      <c r="K2799" s="258">
        <f t="shared" si="132"/>
        <v>10</v>
      </c>
      <c r="L2799" s="188">
        <v>140606</v>
      </c>
      <c r="M2799" s="188">
        <v>0</v>
      </c>
      <c r="N2799" s="189">
        <v>1010101811</v>
      </c>
      <c r="O2799" t="s">
        <v>3616</v>
      </c>
      <c r="P2799" s="187">
        <v>45226</v>
      </c>
      <c r="Q2799" s="186">
        <v>13970</v>
      </c>
      <c r="R2799" s="185"/>
      <c r="S2799" s="185" t="s">
        <v>1528</v>
      </c>
      <c r="T2799" t="s">
        <v>2729</v>
      </c>
      <c r="U2799" t="str">
        <f>IF($L2799&gt;0,VLOOKUP($E2799,Valida!$A$1:$G$270,6,FALSE),IF($M2799&gt;=0,VLOOKUP($E2799,Valida!$A$1:$G$270,7,FALSE)))</f>
        <v>(+/-) Ganancia (pérdida)</v>
      </c>
      <c r="V2799" s="190" t="str">
        <f>VLOOKUP(E2799,Valida!$A$2:$K$271,4,FALSE)</f>
        <v>P&amp;L</v>
      </c>
      <c r="W2799" s="185" t="s">
        <v>1967</v>
      </c>
      <c r="X2799" s="185"/>
      <c r="Y2799" s="185" t="s">
        <v>1789</v>
      </c>
      <c r="Z2799"/>
    </row>
    <row r="2800" spans="1:26">
      <c r="A2800" s="185" t="s">
        <v>3615</v>
      </c>
      <c r="B2800" s="185" t="s">
        <v>3616</v>
      </c>
      <c r="C2800" s="185" t="s">
        <v>1897</v>
      </c>
      <c r="D2800" s="185" t="s">
        <v>3617</v>
      </c>
      <c r="E2800" s="185">
        <v>237005</v>
      </c>
      <c r="F2800" s="185" t="s">
        <v>676</v>
      </c>
      <c r="G2800" s="185" t="s">
        <v>3618</v>
      </c>
      <c r="H2800" s="185" t="s">
        <v>1628</v>
      </c>
      <c r="I2800" s="258" t="str">
        <f t="shared" si="130"/>
        <v>2</v>
      </c>
      <c r="J2800" s="221">
        <f t="shared" si="131"/>
        <v>-60000</v>
      </c>
      <c r="K2800" s="258">
        <f t="shared" si="132"/>
        <v>10</v>
      </c>
      <c r="L2800" s="188">
        <v>0</v>
      </c>
      <c r="M2800" s="188">
        <v>60000</v>
      </c>
      <c r="N2800" s="189">
        <v>860066942</v>
      </c>
      <c r="O2800" t="s">
        <v>3616</v>
      </c>
      <c r="P2800" s="187">
        <v>45226</v>
      </c>
      <c r="Q2800" s="186">
        <v>13971</v>
      </c>
      <c r="R2800" s="185" t="s">
        <v>1814</v>
      </c>
      <c r="S2800" s="185" t="s">
        <v>1574</v>
      </c>
      <c r="T2800" t="s">
        <v>2729</v>
      </c>
      <c r="U2800" t="str">
        <f>IF($L2800&gt;0,VLOOKUP($E2800,Valida!$A$1:$G$270,6,FALSE),IF($M2800&gt;=0,VLOOKUP($E2800,Valida!$A$1:$G$270,7,FALSE)))</f>
        <v>(+/-) Ajustes por el incremento (disminución) de cuentas por pagar de origen comercial</v>
      </c>
      <c r="V2800" s="190" t="str">
        <f>VLOOKUP(E2800,Valida!$A$2:$K$271,4,FALSE)</f>
        <v>Trade and other payables</v>
      </c>
      <c r="W2800" s="185" t="s">
        <v>1914</v>
      </c>
      <c r="X2800" s="185" t="s">
        <v>1915</v>
      </c>
      <c r="Y2800" s="185" t="s">
        <v>1789</v>
      </c>
      <c r="Z2800"/>
    </row>
    <row r="2801" spans="1:26">
      <c r="A2801" s="185" t="s">
        <v>3615</v>
      </c>
      <c r="B2801" s="185" t="s">
        <v>3616</v>
      </c>
      <c r="C2801" s="185" t="s">
        <v>1897</v>
      </c>
      <c r="D2801" s="185" t="s">
        <v>3617</v>
      </c>
      <c r="E2801" s="185">
        <v>238030</v>
      </c>
      <c r="F2801" s="185" t="s">
        <v>721</v>
      </c>
      <c r="G2801" s="185" t="s">
        <v>3618</v>
      </c>
      <c r="H2801" s="185" t="s">
        <v>1628</v>
      </c>
      <c r="I2801" s="258" t="str">
        <f t="shared" si="130"/>
        <v>2</v>
      </c>
      <c r="J2801" s="221">
        <f t="shared" si="131"/>
        <v>-60000</v>
      </c>
      <c r="K2801" s="258">
        <f t="shared" si="132"/>
        <v>10</v>
      </c>
      <c r="L2801" s="188">
        <v>0</v>
      </c>
      <c r="M2801" s="188">
        <v>60000</v>
      </c>
      <c r="N2801" s="189">
        <v>800224808</v>
      </c>
      <c r="O2801" t="s">
        <v>3616</v>
      </c>
      <c r="P2801" s="187">
        <v>45226</v>
      </c>
      <c r="Q2801" s="186">
        <v>13972</v>
      </c>
      <c r="R2801" s="185" t="s">
        <v>1827</v>
      </c>
      <c r="S2801" s="185" t="s">
        <v>1662</v>
      </c>
      <c r="T2801" t="s">
        <v>2729</v>
      </c>
      <c r="U2801" t="str">
        <f>IF($L2801&gt;0,VLOOKUP($E2801,Valida!$A$1:$G$270,6,FALSE),IF($M2801&gt;=0,VLOOKUP($E2801,Valida!$A$1:$G$270,7,FALSE)))</f>
        <v>(+/-) Ajustes por el incremento (disminución) de cuentas por pagar de origen comercial</v>
      </c>
      <c r="V2801" s="190" t="str">
        <f>VLOOKUP(E2801,Valida!$A$2:$K$271,4,FALSE)</f>
        <v>Trade and other payables</v>
      </c>
      <c r="W2801" s="185" t="s">
        <v>1911</v>
      </c>
      <c r="X2801" s="185"/>
      <c r="Y2801" s="185" t="s">
        <v>1789</v>
      </c>
      <c r="Z2801"/>
    </row>
    <row r="2802" spans="1:26">
      <c r="A2802" s="185" t="s">
        <v>3615</v>
      </c>
      <c r="B2802" s="185" t="s">
        <v>3616</v>
      </c>
      <c r="C2802" s="185" t="s">
        <v>1897</v>
      </c>
      <c r="D2802" s="185" t="s">
        <v>3617</v>
      </c>
      <c r="E2802" s="185">
        <v>51052403</v>
      </c>
      <c r="F2802" s="185" t="s">
        <v>1720</v>
      </c>
      <c r="G2802" s="185" t="s">
        <v>3618</v>
      </c>
      <c r="H2802" s="185" t="s">
        <v>1515</v>
      </c>
      <c r="I2802" s="258" t="str">
        <f t="shared" si="130"/>
        <v>5</v>
      </c>
      <c r="J2802" s="221">
        <f t="shared" si="131"/>
        <v>850667</v>
      </c>
      <c r="K2802" s="258">
        <f t="shared" si="132"/>
        <v>10</v>
      </c>
      <c r="L2802" s="188">
        <v>850667</v>
      </c>
      <c r="M2802" s="188">
        <v>0</v>
      </c>
      <c r="N2802" s="189">
        <v>1020842223</v>
      </c>
      <c r="O2802" t="s">
        <v>3616</v>
      </c>
      <c r="P2802" s="187">
        <v>45226</v>
      </c>
      <c r="Q2802" s="186">
        <v>13973</v>
      </c>
      <c r="R2802" s="185"/>
      <c r="S2802" s="185" t="s">
        <v>1532</v>
      </c>
      <c r="T2802" t="s">
        <v>2729</v>
      </c>
      <c r="U2802" t="str">
        <f>IF($L2802&gt;0,VLOOKUP($E2802,Valida!$A$1:$G$270,6,FALSE),IF($M2802&gt;=0,VLOOKUP($E2802,Valida!$A$1:$G$270,7,FALSE)))</f>
        <v>(+/-) Ganancia (pérdida)</v>
      </c>
      <c r="V2802" s="190" t="str">
        <f>VLOOKUP(E2802,Valida!$A$2:$K$271,4,FALSE)</f>
        <v>P&amp;L</v>
      </c>
      <c r="W2802" s="185" t="s">
        <v>1900</v>
      </c>
      <c r="X2802" s="185"/>
      <c r="Y2802" s="185" t="s">
        <v>1789</v>
      </c>
      <c r="Z2802"/>
    </row>
    <row r="2803" spans="1:26">
      <c r="A2803" s="185" t="s">
        <v>3615</v>
      </c>
      <c r="B2803" s="185" t="s">
        <v>3616</v>
      </c>
      <c r="C2803" s="185" t="s">
        <v>1897</v>
      </c>
      <c r="D2803" s="185" t="s">
        <v>3617</v>
      </c>
      <c r="E2803" s="185">
        <v>51052403</v>
      </c>
      <c r="F2803" s="185" t="s">
        <v>1720</v>
      </c>
      <c r="G2803" s="185" t="s">
        <v>3618</v>
      </c>
      <c r="H2803" s="185" t="s">
        <v>1515</v>
      </c>
      <c r="I2803" s="258" t="str">
        <f t="shared" si="130"/>
        <v>5</v>
      </c>
      <c r="J2803" s="221">
        <f t="shared" si="131"/>
        <v>309333</v>
      </c>
      <c r="K2803" s="258">
        <f t="shared" si="132"/>
        <v>10</v>
      </c>
      <c r="L2803" s="188">
        <v>309333</v>
      </c>
      <c r="M2803" s="188">
        <v>0</v>
      </c>
      <c r="N2803" s="189">
        <v>1020842223</v>
      </c>
      <c r="O2803" t="s">
        <v>3616</v>
      </c>
      <c r="P2803" s="187">
        <v>45226</v>
      </c>
      <c r="Q2803" s="186">
        <v>13974</v>
      </c>
      <c r="R2803" s="185"/>
      <c r="S2803" s="185" t="s">
        <v>1532</v>
      </c>
      <c r="T2803" t="s">
        <v>2729</v>
      </c>
      <c r="U2803" t="str">
        <f>IF($L2803&gt;0,VLOOKUP($E2803,Valida!$A$1:$G$270,6,FALSE),IF($M2803&gt;=0,VLOOKUP($E2803,Valida!$A$1:$G$270,7,FALSE)))</f>
        <v>(+/-) Ganancia (pérdida)</v>
      </c>
      <c r="V2803" s="190" t="str">
        <f>VLOOKUP(E2803,Valida!$A$2:$K$271,4,FALSE)</f>
        <v>P&amp;L</v>
      </c>
      <c r="W2803" s="185" t="s">
        <v>1900</v>
      </c>
      <c r="X2803" s="185"/>
      <c r="Y2803" s="185" t="s">
        <v>1789</v>
      </c>
      <c r="Z2803"/>
    </row>
    <row r="2804" spans="1:26">
      <c r="A2804" s="185" t="s">
        <v>3615</v>
      </c>
      <c r="B2804" s="185" t="s">
        <v>3616</v>
      </c>
      <c r="C2804" s="185" t="s">
        <v>1897</v>
      </c>
      <c r="D2804" s="185" t="s">
        <v>3617</v>
      </c>
      <c r="E2804" s="185">
        <v>237005</v>
      </c>
      <c r="F2804" s="185" t="s">
        <v>676</v>
      </c>
      <c r="G2804" s="185" t="s">
        <v>3618</v>
      </c>
      <c r="H2804" s="185" t="s">
        <v>1628</v>
      </c>
      <c r="I2804" s="258" t="str">
        <f t="shared" si="130"/>
        <v>2</v>
      </c>
      <c r="J2804" s="221">
        <f t="shared" si="131"/>
        <v>-46400</v>
      </c>
      <c r="K2804" s="258">
        <f t="shared" si="132"/>
        <v>10</v>
      </c>
      <c r="L2804" s="188">
        <v>0</v>
      </c>
      <c r="M2804" s="188">
        <v>46400</v>
      </c>
      <c r="N2804" s="189">
        <v>800251440</v>
      </c>
      <c r="O2804" t="s">
        <v>3616</v>
      </c>
      <c r="P2804" s="187">
        <v>45226</v>
      </c>
      <c r="Q2804" s="186">
        <v>13975</v>
      </c>
      <c r="R2804" s="185" t="s">
        <v>1901</v>
      </c>
      <c r="S2804" s="185" t="s">
        <v>1560</v>
      </c>
      <c r="T2804" t="s">
        <v>2729</v>
      </c>
      <c r="U2804" t="str">
        <f>IF($L2804&gt;0,VLOOKUP($E2804,Valida!$A$1:$G$270,6,FALSE),IF($M2804&gt;=0,VLOOKUP($E2804,Valida!$A$1:$G$270,7,FALSE)))</f>
        <v>(+/-) Ajustes por el incremento (disminución) de cuentas por pagar de origen comercial</v>
      </c>
      <c r="V2804" s="190" t="str">
        <f>VLOOKUP(E2804,Valida!$A$2:$K$271,4,FALSE)</f>
        <v>Trade and other payables</v>
      </c>
      <c r="W2804" s="185" t="s">
        <v>1902</v>
      </c>
      <c r="X2804" s="185" t="s">
        <v>1903</v>
      </c>
      <c r="Y2804" s="185" t="s">
        <v>1789</v>
      </c>
      <c r="Z2804"/>
    </row>
    <row r="2805" spans="1:26">
      <c r="A2805" s="185" t="s">
        <v>3615</v>
      </c>
      <c r="B2805" s="185" t="s">
        <v>3616</v>
      </c>
      <c r="C2805" s="185" t="s">
        <v>1897</v>
      </c>
      <c r="D2805" s="185" t="s">
        <v>3617</v>
      </c>
      <c r="E2805" s="185">
        <v>238030</v>
      </c>
      <c r="F2805" s="185" t="s">
        <v>721</v>
      </c>
      <c r="G2805" s="185" t="s">
        <v>3618</v>
      </c>
      <c r="H2805" s="185" t="s">
        <v>1628</v>
      </c>
      <c r="I2805" s="258" t="str">
        <f t="shared" si="130"/>
        <v>2</v>
      </c>
      <c r="J2805" s="221">
        <f t="shared" si="131"/>
        <v>-46400</v>
      </c>
      <c r="K2805" s="258">
        <f t="shared" si="132"/>
        <v>10</v>
      </c>
      <c r="L2805" s="188">
        <v>0</v>
      </c>
      <c r="M2805" s="188">
        <v>46400</v>
      </c>
      <c r="N2805" s="189">
        <v>800224808</v>
      </c>
      <c r="O2805" t="s">
        <v>3616</v>
      </c>
      <c r="P2805" s="187">
        <v>45226</v>
      </c>
      <c r="Q2805" s="186">
        <v>13976</v>
      </c>
      <c r="R2805" s="185" t="s">
        <v>1827</v>
      </c>
      <c r="S2805" s="185" t="s">
        <v>1662</v>
      </c>
      <c r="T2805" t="s">
        <v>2729</v>
      </c>
      <c r="U2805" t="str">
        <f>IF($L2805&gt;0,VLOOKUP($E2805,Valida!$A$1:$G$270,6,FALSE),IF($M2805&gt;=0,VLOOKUP($E2805,Valida!$A$1:$G$270,7,FALSE)))</f>
        <v>(+/-) Ajustes por el incremento (disminución) de cuentas por pagar de origen comercial</v>
      </c>
      <c r="V2805" s="190" t="str">
        <f>VLOOKUP(E2805,Valida!$A$2:$K$271,4,FALSE)</f>
        <v>Trade and other payables</v>
      </c>
      <c r="W2805" s="185" t="s">
        <v>1911</v>
      </c>
      <c r="X2805" s="185"/>
      <c r="Y2805" s="185" t="s">
        <v>1789</v>
      </c>
      <c r="Z2805"/>
    </row>
    <row r="2806" spans="1:26">
      <c r="A2806" s="185" t="s">
        <v>3615</v>
      </c>
      <c r="B2806" s="185" t="s">
        <v>3616</v>
      </c>
      <c r="C2806" s="185" t="s">
        <v>1897</v>
      </c>
      <c r="D2806" s="185" t="s">
        <v>3617</v>
      </c>
      <c r="E2806" s="185">
        <v>510506</v>
      </c>
      <c r="F2806" s="185" t="s">
        <v>1076</v>
      </c>
      <c r="G2806" s="185" t="s">
        <v>3618</v>
      </c>
      <c r="H2806" s="185" t="s">
        <v>1515</v>
      </c>
      <c r="I2806" s="258" t="str">
        <f t="shared" si="130"/>
        <v>5</v>
      </c>
      <c r="J2806" s="221">
        <f t="shared" si="131"/>
        <v>1276000</v>
      </c>
      <c r="K2806" s="258">
        <f t="shared" si="132"/>
        <v>10</v>
      </c>
      <c r="L2806" s="188">
        <v>1276000</v>
      </c>
      <c r="M2806" s="188">
        <v>0</v>
      </c>
      <c r="N2806" s="189">
        <v>1000018061</v>
      </c>
      <c r="O2806" t="s">
        <v>3616</v>
      </c>
      <c r="P2806" s="187">
        <v>45226</v>
      </c>
      <c r="Q2806" s="186">
        <v>13977</v>
      </c>
      <c r="R2806" s="185"/>
      <c r="S2806" s="185" t="s">
        <v>1522</v>
      </c>
      <c r="T2806" t="s">
        <v>2729</v>
      </c>
      <c r="U2806" t="str">
        <f>IF($L2806&gt;0,VLOOKUP($E2806,Valida!$A$1:$G$270,6,FALSE),IF($M2806&gt;=0,VLOOKUP($E2806,Valida!$A$1:$G$270,7,FALSE)))</f>
        <v>(+/-) Ganancia (pérdida)</v>
      </c>
      <c r="V2806" s="190" t="str">
        <f>VLOOKUP(E2806,Valida!$A$2:$K$271,4,FALSE)</f>
        <v>P&amp;L</v>
      </c>
      <c r="W2806" s="185" t="s">
        <v>1978</v>
      </c>
      <c r="X2806" s="185"/>
      <c r="Y2806" s="185" t="s">
        <v>1789</v>
      </c>
      <c r="Z2806"/>
    </row>
    <row r="2807" spans="1:26">
      <c r="A2807" s="185" t="s">
        <v>3615</v>
      </c>
      <c r="B2807" s="185" t="s">
        <v>3616</v>
      </c>
      <c r="C2807" s="185" t="s">
        <v>1897</v>
      </c>
      <c r="D2807" s="185" t="s">
        <v>3617</v>
      </c>
      <c r="E2807" s="185">
        <v>250505</v>
      </c>
      <c r="F2807" s="185" t="s">
        <v>767</v>
      </c>
      <c r="G2807" s="185" t="s">
        <v>3618</v>
      </c>
      <c r="H2807" s="185" t="s">
        <v>1628</v>
      </c>
      <c r="I2807" s="258" t="str">
        <f t="shared" si="130"/>
        <v>2</v>
      </c>
      <c r="J2807" s="221">
        <f t="shared" si="131"/>
        <v>-1314526</v>
      </c>
      <c r="K2807" s="258">
        <f t="shared" si="132"/>
        <v>10</v>
      </c>
      <c r="L2807" s="188">
        <v>0</v>
      </c>
      <c r="M2807" s="188">
        <v>1314526</v>
      </c>
      <c r="N2807" s="189">
        <v>1000018061</v>
      </c>
      <c r="O2807" t="s">
        <v>3616</v>
      </c>
      <c r="P2807" s="187">
        <v>45226</v>
      </c>
      <c r="Q2807" s="186">
        <v>13978</v>
      </c>
      <c r="R2807" s="185"/>
      <c r="S2807" s="185" t="s">
        <v>1522</v>
      </c>
      <c r="T2807" t="s">
        <v>2729</v>
      </c>
      <c r="U2807" t="str">
        <f>IF($L2807&gt;0,VLOOKUP($E2807,Valida!$A$1:$G$270,6,FALSE),IF($M2807&gt;=0,VLOOKUP($E2807,Valida!$A$1:$G$270,7,FALSE)))</f>
        <v>(+/-) Ajustes por el incremento (disminución) de cuentas por pagar de origen comercial</v>
      </c>
      <c r="V2807" s="190" t="str">
        <f>VLOOKUP(E2807,Valida!$A$2:$K$271,4,FALSE)</f>
        <v>Trade and other payables</v>
      </c>
      <c r="W2807" s="185" t="s">
        <v>1978</v>
      </c>
      <c r="X2807" s="185"/>
      <c r="Y2807" s="185" t="s">
        <v>1789</v>
      </c>
      <c r="Z2807"/>
    </row>
    <row r="2808" spans="1:26">
      <c r="A2808" s="185" t="s">
        <v>3615</v>
      </c>
      <c r="B2808" s="185" t="s">
        <v>3616</v>
      </c>
      <c r="C2808" s="185" t="s">
        <v>1897</v>
      </c>
      <c r="D2808" s="185" t="s">
        <v>3617</v>
      </c>
      <c r="E2808" s="185">
        <v>250505</v>
      </c>
      <c r="F2808" s="185" t="s">
        <v>767</v>
      </c>
      <c r="G2808" s="185" t="s">
        <v>3618</v>
      </c>
      <c r="H2808" s="185" t="s">
        <v>1628</v>
      </c>
      <c r="I2808" s="258" t="str">
        <f t="shared" si="130"/>
        <v>2</v>
      </c>
      <c r="J2808" s="221">
        <f t="shared" si="131"/>
        <v>-2144218</v>
      </c>
      <c r="K2808" s="258">
        <f t="shared" si="132"/>
        <v>10</v>
      </c>
      <c r="L2808" s="188">
        <v>0</v>
      </c>
      <c r="M2808" s="188">
        <v>2144218</v>
      </c>
      <c r="N2808" s="189">
        <v>1000036375</v>
      </c>
      <c r="O2808" t="s">
        <v>3616</v>
      </c>
      <c r="P2808" s="187">
        <v>45226</v>
      </c>
      <c r="Q2808" s="186">
        <v>13979</v>
      </c>
      <c r="R2808" s="185"/>
      <c r="S2808" s="185" t="s">
        <v>1524</v>
      </c>
      <c r="T2808" t="s">
        <v>2729</v>
      </c>
      <c r="U2808" t="str">
        <f>IF($L2808&gt;0,VLOOKUP($E2808,Valida!$A$1:$G$270,6,FALSE),IF($M2808&gt;=0,VLOOKUP($E2808,Valida!$A$1:$G$270,7,FALSE)))</f>
        <v>(+/-) Ajustes por el incremento (disminución) de cuentas por pagar de origen comercial</v>
      </c>
      <c r="V2808" s="190" t="str">
        <f>VLOOKUP(E2808,Valida!$A$2:$K$271,4,FALSE)</f>
        <v>Trade and other payables</v>
      </c>
      <c r="W2808" s="185" t="s">
        <v>1983</v>
      </c>
      <c r="X2808" s="185"/>
      <c r="Y2808" s="185" t="s">
        <v>1789</v>
      </c>
      <c r="Z2808"/>
    </row>
    <row r="2809" spans="1:26">
      <c r="A2809" s="185" t="s">
        <v>3615</v>
      </c>
      <c r="B2809" s="185" t="s">
        <v>3616</v>
      </c>
      <c r="C2809" s="185" t="s">
        <v>1897</v>
      </c>
      <c r="D2809" s="185" t="s">
        <v>3617</v>
      </c>
      <c r="E2809" s="185">
        <v>250505</v>
      </c>
      <c r="F2809" s="185" t="s">
        <v>767</v>
      </c>
      <c r="G2809" s="185" t="s">
        <v>3618</v>
      </c>
      <c r="H2809" s="185" t="s">
        <v>1628</v>
      </c>
      <c r="I2809" s="258" t="str">
        <f t="shared" si="130"/>
        <v>2</v>
      </c>
      <c r="J2809" s="221">
        <f t="shared" si="131"/>
        <v>-1407906</v>
      </c>
      <c r="K2809" s="258">
        <f t="shared" si="132"/>
        <v>10</v>
      </c>
      <c r="L2809" s="188">
        <v>0</v>
      </c>
      <c r="M2809" s="188">
        <v>1407906</v>
      </c>
      <c r="N2809" s="189">
        <v>1001284057</v>
      </c>
      <c r="O2809" t="s">
        <v>3616</v>
      </c>
      <c r="P2809" s="187">
        <v>45226</v>
      </c>
      <c r="Q2809" s="186">
        <v>13980</v>
      </c>
      <c r="R2809" s="185"/>
      <c r="S2809" s="185" t="s">
        <v>1526</v>
      </c>
      <c r="T2809" t="s">
        <v>2729</v>
      </c>
      <c r="U2809" t="str">
        <f>IF($L2809&gt;0,VLOOKUP($E2809,Valida!$A$1:$G$270,6,FALSE),IF($M2809&gt;=0,VLOOKUP($E2809,Valida!$A$1:$G$270,7,FALSE)))</f>
        <v>(+/-) Ajustes por el incremento (disminución) de cuentas por pagar de origen comercial</v>
      </c>
      <c r="V2809" s="190" t="str">
        <f>VLOOKUP(E2809,Valida!$A$2:$K$271,4,FALSE)</f>
        <v>Trade and other payables</v>
      </c>
      <c r="W2809" s="185" t="s">
        <v>3454</v>
      </c>
      <c r="X2809" s="185" t="s">
        <v>3455</v>
      </c>
      <c r="Y2809" s="185" t="s">
        <v>1789</v>
      </c>
      <c r="Z2809"/>
    </row>
    <row r="2810" spans="1:26">
      <c r="A2810" s="185" t="s">
        <v>3615</v>
      </c>
      <c r="B2810" s="185" t="s">
        <v>3616</v>
      </c>
      <c r="C2810" s="185" t="s">
        <v>1897</v>
      </c>
      <c r="D2810" s="185" t="s">
        <v>3617</v>
      </c>
      <c r="E2810" s="185">
        <v>250505</v>
      </c>
      <c r="F2810" s="185" t="s">
        <v>767</v>
      </c>
      <c r="G2810" s="185" t="s">
        <v>3618</v>
      </c>
      <c r="H2810" s="185" t="s">
        <v>1628</v>
      </c>
      <c r="I2810" s="258" t="str">
        <f t="shared" si="130"/>
        <v>2</v>
      </c>
      <c r="J2810" s="221">
        <f t="shared" si="131"/>
        <v>-1520606</v>
      </c>
      <c r="K2810" s="258">
        <f t="shared" si="132"/>
        <v>10</v>
      </c>
      <c r="L2810" s="188">
        <v>0</v>
      </c>
      <c r="M2810" s="188">
        <v>1520606</v>
      </c>
      <c r="N2810" s="189">
        <v>1010101811</v>
      </c>
      <c r="O2810" t="s">
        <v>3616</v>
      </c>
      <c r="P2810" s="187">
        <v>45226</v>
      </c>
      <c r="Q2810" s="186">
        <v>13981</v>
      </c>
      <c r="R2810" s="185"/>
      <c r="S2810" s="185" t="s">
        <v>1528</v>
      </c>
      <c r="T2810" t="s">
        <v>2729</v>
      </c>
      <c r="U2810" t="str">
        <f>IF($L2810&gt;0,VLOOKUP($E2810,Valida!$A$1:$G$270,6,FALSE),IF($M2810&gt;=0,VLOOKUP($E2810,Valida!$A$1:$G$270,7,FALSE)))</f>
        <v>(+/-) Ajustes por el incremento (disminución) de cuentas por pagar de origen comercial</v>
      </c>
      <c r="V2810" s="190" t="str">
        <f>VLOOKUP(E2810,Valida!$A$2:$K$271,4,FALSE)</f>
        <v>Trade and other payables</v>
      </c>
      <c r="W2810" s="185" t="s">
        <v>1967</v>
      </c>
      <c r="X2810" s="185"/>
      <c r="Y2810" s="185" t="s">
        <v>1789</v>
      </c>
      <c r="Z2810"/>
    </row>
    <row r="2811" spans="1:26">
      <c r="A2811" s="185" t="s">
        <v>3615</v>
      </c>
      <c r="B2811" s="185" t="s">
        <v>3616</v>
      </c>
      <c r="C2811" s="185" t="s">
        <v>1897</v>
      </c>
      <c r="D2811" s="185" t="s">
        <v>3617</v>
      </c>
      <c r="E2811" s="185">
        <v>250505</v>
      </c>
      <c r="F2811" s="185" t="s">
        <v>767</v>
      </c>
      <c r="G2811" s="185" t="s">
        <v>3618</v>
      </c>
      <c r="H2811" s="185" t="s">
        <v>1628</v>
      </c>
      <c r="I2811" s="258" t="str">
        <f t="shared" si="130"/>
        <v>2</v>
      </c>
      <c r="J2811" s="221">
        <f t="shared" si="131"/>
        <v>-1067200</v>
      </c>
      <c r="K2811" s="258">
        <f t="shared" si="132"/>
        <v>10</v>
      </c>
      <c r="L2811" s="188">
        <v>0</v>
      </c>
      <c r="M2811" s="188">
        <v>1067200</v>
      </c>
      <c r="N2811" s="189">
        <v>1020842223</v>
      </c>
      <c r="O2811" t="s">
        <v>3616</v>
      </c>
      <c r="P2811" s="187">
        <v>45226</v>
      </c>
      <c r="Q2811" s="186">
        <v>13982</v>
      </c>
      <c r="R2811" s="185"/>
      <c r="S2811" s="185" t="s">
        <v>1532</v>
      </c>
      <c r="T2811" t="s">
        <v>2729</v>
      </c>
      <c r="U2811" t="str">
        <f>IF($L2811&gt;0,VLOOKUP($E2811,Valida!$A$1:$G$270,6,FALSE),IF($M2811&gt;=0,VLOOKUP($E2811,Valida!$A$1:$G$270,7,FALSE)))</f>
        <v>(+/-) Ajustes por el incremento (disminución) de cuentas por pagar de origen comercial</v>
      </c>
      <c r="V2811" s="190" t="str">
        <f>VLOOKUP(E2811,Valida!$A$2:$K$271,4,FALSE)</f>
        <v>Trade and other payables</v>
      </c>
      <c r="W2811" s="185" t="s">
        <v>1900</v>
      </c>
      <c r="X2811" s="185"/>
      <c r="Y2811" s="185" t="s">
        <v>1789</v>
      </c>
      <c r="Z2811"/>
    </row>
    <row r="2812" spans="1:26">
      <c r="A2812" s="185" t="s">
        <v>3615</v>
      </c>
      <c r="B2812" s="185" t="s">
        <v>3616</v>
      </c>
      <c r="C2812" s="185" t="s">
        <v>1897</v>
      </c>
      <c r="D2812" s="185" t="s">
        <v>3617</v>
      </c>
      <c r="E2812" s="185">
        <v>250505</v>
      </c>
      <c r="F2812" s="185" t="s">
        <v>767</v>
      </c>
      <c r="G2812" s="185" t="s">
        <v>3618</v>
      </c>
      <c r="H2812" s="185" t="s">
        <v>1628</v>
      </c>
      <c r="I2812" s="258" t="str">
        <f t="shared" si="130"/>
        <v>2</v>
      </c>
      <c r="J2812" s="221">
        <f t="shared" si="131"/>
        <v>-1207806</v>
      </c>
      <c r="K2812" s="258">
        <f t="shared" si="132"/>
        <v>10</v>
      </c>
      <c r="L2812" s="188">
        <v>0</v>
      </c>
      <c r="M2812" s="188">
        <v>1207806</v>
      </c>
      <c r="N2812" s="189">
        <v>1130744136</v>
      </c>
      <c r="O2812" t="s">
        <v>3616</v>
      </c>
      <c r="P2812" s="187">
        <v>45226</v>
      </c>
      <c r="Q2812" s="186">
        <v>13983</v>
      </c>
      <c r="R2812" s="185"/>
      <c r="S2812" s="185" t="s">
        <v>1538</v>
      </c>
      <c r="T2812" t="s">
        <v>2729</v>
      </c>
      <c r="U2812" t="str">
        <f>IF($L2812&gt;0,VLOOKUP($E2812,Valida!$A$1:$G$270,6,FALSE),IF($M2812&gt;=0,VLOOKUP($E2812,Valida!$A$1:$G$270,7,FALSE)))</f>
        <v>(+/-) Ajustes por el incremento (disminución) de cuentas por pagar de origen comercial</v>
      </c>
      <c r="V2812" s="190" t="str">
        <f>VLOOKUP(E2812,Valida!$A$2:$K$271,4,FALSE)</f>
        <v>Trade and other payables</v>
      </c>
      <c r="W2812" s="185" t="s">
        <v>1909</v>
      </c>
      <c r="X2812" s="185" t="s">
        <v>1910</v>
      </c>
      <c r="Y2812" s="185" t="s">
        <v>1789</v>
      </c>
      <c r="Z2812"/>
    </row>
    <row r="2813" spans="1:26">
      <c r="A2813" s="185" t="s">
        <v>3615</v>
      </c>
      <c r="B2813" s="185" t="s">
        <v>3619</v>
      </c>
      <c r="C2813" s="185" t="s">
        <v>1897</v>
      </c>
      <c r="D2813" s="185" t="s">
        <v>3620</v>
      </c>
      <c r="E2813" s="185">
        <v>237006</v>
      </c>
      <c r="F2813" s="185" t="s">
        <v>680</v>
      </c>
      <c r="G2813" s="185" t="s">
        <v>3621</v>
      </c>
      <c r="H2813" s="185" t="s">
        <v>1628</v>
      </c>
      <c r="I2813" s="258" t="str">
        <f t="shared" si="130"/>
        <v>2</v>
      </c>
      <c r="J2813" s="221">
        <f t="shared" si="131"/>
        <v>-7830</v>
      </c>
      <c r="K2813" s="258">
        <f t="shared" si="132"/>
        <v>10</v>
      </c>
      <c r="L2813" s="188">
        <v>0</v>
      </c>
      <c r="M2813" s="188">
        <v>7830</v>
      </c>
      <c r="N2813" s="189">
        <v>860002503</v>
      </c>
      <c r="O2813" t="s">
        <v>3619</v>
      </c>
      <c r="P2813" s="187">
        <v>45226</v>
      </c>
      <c r="Q2813" s="186">
        <v>13984</v>
      </c>
      <c r="R2813" s="185" t="s">
        <v>433</v>
      </c>
      <c r="S2813" s="185" t="s">
        <v>1656</v>
      </c>
      <c r="T2813" t="s">
        <v>2729</v>
      </c>
      <c r="U2813" t="str">
        <f>IF($L2813&gt;0,VLOOKUP($E2813,Valida!$A$1:$G$270,6,FALSE),IF($M2813&gt;=0,VLOOKUP($E2813,Valida!$A$1:$G$270,7,FALSE)))</f>
        <v>(+/-) Ajustes por el incremento (disminución) de cuentas por pagar de origen comercial</v>
      </c>
      <c r="V2813" s="190" t="str">
        <f>VLOOKUP(E2813,Valida!$A$2:$K$271,4,FALSE)</f>
        <v>Trade and other payables</v>
      </c>
      <c r="W2813" s="185" t="s">
        <v>1912</v>
      </c>
      <c r="X2813" s="185" t="s">
        <v>1913</v>
      </c>
      <c r="Y2813" s="185" t="s">
        <v>1789</v>
      </c>
      <c r="Z2813"/>
    </row>
    <row r="2814" spans="1:26">
      <c r="A2814" s="185" t="s">
        <v>3615</v>
      </c>
      <c r="B2814" s="185" t="s">
        <v>3619</v>
      </c>
      <c r="C2814" s="185" t="s">
        <v>1897</v>
      </c>
      <c r="D2814" s="185" t="s">
        <v>3620</v>
      </c>
      <c r="E2814" s="185">
        <v>237006</v>
      </c>
      <c r="F2814" s="185" t="s">
        <v>680</v>
      </c>
      <c r="G2814" s="185" t="s">
        <v>3621</v>
      </c>
      <c r="H2814" s="185" t="s">
        <v>1628</v>
      </c>
      <c r="I2814" s="258" t="str">
        <f t="shared" si="130"/>
        <v>2</v>
      </c>
      <c r="J2814" s="221">
        <f t="shared" si="131"/>
        <v>-6661</v>
      </c>
      <c r="K2814" s="258">
        <f t="shared" si="132"/>
        <v>10</v>
      </c>
      <c r="L2814" s="188">
        <v>0</v>
      </c>
      <c r="M2814" s="188">
        <v>6661</v>
      </c>
      <c r="N2814" s="189">
        <v>860002503</v>
      </c>
      <c r="O2814" t="s">
        <v>3619</v>
      </c>
      <c r="P2814" s="187">
        <v>45226</v>
      </c>
      <c r="Q2814" s="186">
        <v>13985</v>
      </c>
      <c r="R2814" s="185" t="s">
        <v>433</v>
      </c>
      <c r="S2814" s="185" t="s">
        <v>1656</v>
      </c>
      <c r="T2814" t="s">
        <v>2729</v>
      </c>
      <c r="U2814" t="str">
        <f>IF($L2814&gt;0,VLOOKUP($E2814,Valida!$A$1:$G$270,6,FALSE),IF($M2814&gt;=0,VLOOKUP($E2814,Valida!$A$1:$G$270,7,FALSE)))</f>
        <v>(+/-) Ajustes por el incremento (disminución) de cuentas por pagar de origen comercial</v>
      </c>
      <c r="V2814" s="190" t="str">
        <f>VLOOKUP(E2814,Valida!$A$2:$K$271,4,FALSE)</f>
        <v>Trade and other payables</v>
      </c>
      <c r="W2814" s="185" t="s">
        <v>1912</v>
      </c>
      <c r="X2814" s="185" t="s">
        <v>1913</v>
      </c>
      <c r="Y2814" s="185" t="s">
        <v>1789</v>
      </c>
      <c r="Z2814"/>
    </row>
    <row r="2815" spans="1:26">
      <c r="A2815" s="185" t="s">
        <v>3615</v>
      </c>
      <c r="B2815" s="185" t="s">
        <v>3619</v>
      </c>
      <c r="C2815" s="185" t="s">
        <v>1897</v>
      </c>
      <c r="D2815" s="185" t="s">
        <v>3620</v>
      </c>
      <c r="E2815" s="185">
        <v>237006</v>
      </c>
      <c r="F2815" s="185" t="s">
        <v>680</v>
      </c>
      <c r="G2815" s="185" t="s">
        <v>3621</v>
      </c>
      <c r="H2815" s="185" t="s">
        <v>1628</v>
      </c>
      <c r="I2815" s="258" t="str">
        <f t="shared" si="130"/>
        <v>2</v>
      </c>
      <c r="J2815" s="221">
        <f t="shared" si="131"/>
        <v>-11652</v>
      </c>
      <c r="K2815" s="258">
        <f t="shared" si="132"/>
        <v>10</v>
      </c>
      <c r="L2815" s="188">
        <v>0</v>
      </c>
      <c r="M2815" s="188">
        <v>11652</v>
      </c>
      <c r="N2815" s="189">
        <v>860002503</v>
      </c>
      <c r="O2815" t="s">
        <v>3619</v>
      </c>
      <c r="P2815" s="187">
        <v>45226</v>
      </c>
      <c r="Q2815" s="186">
        <v>13986</v>
      </c>
      <c r="R2815" s="185" t="s">
        <v>433</v>
      </c>
      <c r="S2815" s="185" t="s">
        <v>1656</v>
      </c>
      <c r="T2815" t="s">
        <v>2729</v>
      </c>
      <c r="U2815" t="str">
        <f>IF($L2815&gt;0,VLOOKUP($E2815,Valida!$A$1:$G$270,6,FALSE),IF($M2815&gt;=0,VLOOKUP($E2815,Valida!$A$1:$G$270,7,FALSE)))</f>
        <v>(+/-) Ajustes por el incremento (disminución) de cuentas por pagar de origen comercial</v>
      </c>
      <c r="V2815" s="190" t="str">
        <f>VLOOKUP(E2815,Valida!$A$2:$K$271,4,FALSE)</f>
        <v>Trade and other payables</v>
      </c>
      <c r="W2815" s="185" t="s">
        <v>1912</v>
      </c>
      <c r="X2815" s="185" t="s">
        <v>1913</v>
      </c>
      <c r="Y2815" s="185" t="s">
        <v>1789</v>
      </c>
      <c r="Z2815"/>
    </row>
    <row r="2816" spans="1:26">
      <c r="A2816" s="185" t="s">
        <v>3615</v>
      </c>
      <c r="B2816" s="185" t="s">
        <v>3619</v>
      </c>
      <c r="C2816" s="185" t="s">
        <v>1897</v>
      </c>
      <c r="D2816" s="185" t="s">
        <v>3620</v>
      </c>
      <c r="E2816" s="185">
        <v>237006</v>
      </c>
      <c r="F2816" s="185" t="s">
        <v>680</v>
      </c>
      <c r="G2816" s="185" t="s">
        <v>3621</v>
      </c>
      <c r="H2816" s="185" t="s">
        <v>1628</v>
      </c>
      <c r="I2816" s="258" t="str">
        <f t="shared" si="130"/>
        <v>2</v>
      </c>
      <c r="J2816" s="221">
        <f t="shared" si="131"/>
        <v>-7191</v>
      </c>
      <c r="K2816" s="258">
        <f t="shared" si="132"/>
        <v>10</v>
      </c>
      <c r="L2816" s="188">
        <v>0</v>
      </c>
      <c r="M2816" s="188">
        <v>7191</v>
      </c>
      <c r="N2816" s="189">
        <v>860002503</v>
      </c>
      <c r="O2816" t="s">
        <v>3619</v>
      </c>
      <c r="P2816" s="187">
        <v>45226</v>
      </c>
      <c r="Q2816" s="186">
        <v>13987</v>
      </c>
      <c r="R2816" s="185" t="s">
        <v>433</v>
      </c>
      <c r="S2816" s="185" t="s">
        <v>1656</v>
      </c>
      <c r="T2816" t="s">
        <v>2729</v>
      </c>
      <c r="U2816" t="str">
        <f>IF($L2816&gt;0,VLOOKUP($E2816,Valida!$A$1:$G$270,6,FALSE),IF($M2816&gt;=0,VLOOKUP($E2816,Valida!$A$1:$G$270,7,FALSE)))</f>
        <v>(+/-) Ajustes por el incremento (disminución) de cuentas por pagar de origen comercial</v>
      </c>
      <c r="V2816" s="190" t="str">
        <f>VLOOKUP(E2816,Valida!$A$2:$K$271,4,FALSE)</f>
        <v>Trade and other payables</v>
      </c>
      <c r="W2816" s="185" t="s">
        <v>1912</v>
      </c>
      <c r="X2816" s="185" t="s">
        <v>1913</v>
      </c>
      <c r="Y2816" s="185" t="s">
        <v>1789</v>
      </c>
      <c r="Z2816"/>
    </row>
    <row r="2817" spans="1:26">
      <c r="A2817" s="185" t="s">
        <v>3615</v>
      </c>
      <c r="B2817" s="185" t="s">
        <v>3619</v>
      </c>
      <c r="C2817" s="185" t="s">
        <v>1897</v>
      </c>
      <c r="D2817" s="185" t="s">
        <v>3620</v>
      </c>
      <c r="E2817" s="185">
        <v>237006</v>
      </c>
      <c r="F2817" s="185" t="s">
        <v>680</v>
      </c>
      <c r="G2817" s="185" t="s">
        <v>3621</v>
      </c>
      <c r="H2817" s="185" t="s">
        <v>1628</v>
      </c>
      <c r="I2817" s="258" t="str">
        <f t="shared" si="130"/>
        <v>2</v>
      </c>
      <c r="J2817" s="221">
        <f t="shared" si="131"/>
        <v>-6055</v>
      </c>
      <c r="K2817" s="258">
        <f t="shared" si="132"/>
        <v>10</v>
      </c>
      <c r="L2817" s="188">
        <v>0</v>
      </c>
      <c r="M2817" s="188">
        <v>6055</v>
      </c>
      <c r="N2817" s="189">
        <v>860002503</v>
      </c>
      <c r="O2817" t="s">
        <v>3619</v>
      </c>
      <c r="P2817" s="187">
        <v>45226</v>
      </c>
      <c r="Q2817" s="186">
        <v>13988</v>
      </c>
      <c r="R2817" s="185" t="s">
        <v>433</v>
      </c>
      <c r="S2817" s="185" t="s">
        <v>1656</v>
      </c>
      <c r="T2817" t="s">
        <v>2729</v>
      </c>
      <c r="U2817" t="str">
        <f>IF($L2817&gt;0,VLOOKUP($E2817,Valida!$A$1:$G$270,6,FALSE),IF($M2817&gt;=0,VLOOKUP($E2817,Valida!$A$1:$G$270,7,FALSE)))</f>
        <v>(+/-) Ajustes por el incremento (disminución) de cuentas por pagar de origen comercial</v>
      </c>
      <c r="V2817" s="190" t="str">
        <f>VLOOKUP(E2817,Valida!$A$2:$K$271,4,FALSE)</f>
        <v>Trade and other payables</v>
      </c>
      <c r="W2817" s="185" t="s">
        <v>1912</v>
      </c>
      <c r="X2817" s="185" t="s">
        <v>1913</v>
      </c>
      <c r="Y2817" s="185" t="s">
        <v>1789</v>
      </c>
      <c r="Z2817"/>
    </row>
    <row r="2818" spans="1:26">
      <c r="A2818" s="185" t="s">
        <v>3615</v>
      </c>
      <c r="B2818" s="185" t="s">
        <v>3619</v>
      </c>
      <c r="C2818" s="185" t="s">
        <v>1897</v>
      </c>
      <c r="D2818" s="185" t="s">
        <v>3620</v>
      </c>
      <c r="E2818" s="185">
        <v>237010</v>
      </c>
      <c r="F2818" s="185" t="s">
        <v>683</v>
      </c>
      <c r="G2818" s="185" t="s">
        <v>3622</v>
      </c>
      <c r="H2818" s="185" t="s">
        <v>1628</v>
      </c>
      <c r="I2818" s="258" t="str">
        <f t="shared" si="130"/>
        <v>2</v>
      </c>
      <c r="J2818" s="221">
        <f t="shared" si="131"/>
        <v>-45000</v>
      </c>
      <c r="K2818" s="258">
        <f t="shared" si="132"/>
        <v>10</v>
      </c>
      <c r="L2818" s="188">
        <v>0</v>
      </c>
      <c r="M2818" s="188">
        <v>45000</v>
      </c>
      <c r="N2818" s="189">
        <v>860066942</v>
      </c>
      <c r="O2818" t="s">
        <v>3619</v>
      </c>
      <c r="P2818" s="187">
        <v>45226</v>
      </c>
      <c r="Q2818" s="186">
        <v>13990</v>
      </c>
      <c r="R2818" s="185" t="s">
        <v>1814</v>
      </c>
      <c r="S2818" s="185" t="s">
        <v>1574</v>
      </c>
      <c r="T2818" t="s">
        <v>2729</v>
      </c>
      <c r="U2818" t="str">
        <f>IF($L2818&gt;0,VLOOKUP($E2818,Valida!$A$1:$G$270,6,FALSE),IF($M2818&gt;=0,VLOOKUP($E2818,Valida!$A$1:$G$270,7,FALSE)))</f>
        <v>(+/-) Ajustes por el incremento (disminución) de cuentas por pagar de origen comercial</v>
      </c>
      <c r="V2818" s="190" t="str">
        <f>VLOOKUP(E2818,Valida!$A$2:$K$271,4,FALSE)</f>
        <v>Trade and other payables</v>
      </c>
      <c r="W2818" s="185" t="s">
        <v>1914</v>
      </c>
      <c r="X2818" s="185" t="s">
        <v>1915</v>
      </c>
      <c r="Y2818" s="185" t="s">
        <v>1789</v>
      </c>
      <c r="Z2818"/>
    </row>
    <row r="2819" spans="1:26">
      <c r="A2819" s="185" t="s">
        <v>3615</v>
      </c>
      <c r="B2819" s="185" t="s">
        <v>3619</v>
      </c>
      <c r="C2819" s="185" t="s">
        <v>1897</v>
      </c>
      <c r="D2819" s="185" t="s">
        <v>3620</v>
      </c>
      <c r="E2819" s="185">
        <v>237010</v>
      </c>
      <c r="F2819" s="185" t="s">
        <v>683</v>
      </c>
      <c r="G2819" s="185" t="s">
        <v>3622</v>
      </c>
      <c r="H2819" s="185" t="s">
        <v>1628</v>
      </c>
      <c r="I2819" s="258" t="str">
        <f t="shared" ref="I2819:I2882" si="133">LEFT(E2819,1)</f>
        <v>2</v>
      </c>
      <c r="J2819" s="221">
        <f t="shared" ref="J2819:J2882" si="134">L2819-M2819</f>
        <v>-38280</v>
      </c>
      <c r="K2819" s="258">
        <f t="shared" ref="K2819:K2882" si="135">MONTH(A2819)</f>
        <v>10</v>
      </c>
      <c r="L2819" s="188">
        <v>0</v>
      </c>
      <c r="M2819" s="188">
        <v>38280</v>
      </c>
      <c r="N2819" s="189">
        <v>860066942</v>
      </c>
      <c r="O2819" t="s">
        <v>3619</v>
      </c>
      <c r="P2819" s="187">
        <v>45226</v>
      </c>
      <c r="Q2819" s="186">
        <v>13991</v>
      </c>
      <c r="R2819" s="185" t="s">
        <v>1814</v>
      </c>
      <c r="S2819" s="185" t="s">
        <v>1574</v>
      </c>
      <c r="T2819" t="s">
        <v>2729</v>
      </c>
      <c r="U2819" t="str">
        <f>IF($L2819&gt;0,VLOOKUP($E2819,Valida!$A$1:$G$270,6,FALSE),IF($M2819&gt;=0,VLOOKUP($E2819,Valida!$A$1:$G$270,7,FALSE)))</f>
        <v>(+/-) Ajustes por el incremento (disminución) de cuentas por pagar de origen comercial</v>
      </c>
      <c r="V2819" s="190" t="str">
        <f>VLOOKUP(E2819,Valida!$A$2:$K$271,4,FALSE)</f>
        <v>Trade and other payables</v>
      </c>
      <c r="W2819" s="185" t="s">
        <v>1914</v>
      </c>
      <c r="X2819" s="185" t="s">
        <v>1915</v>
      </c>
      <c r="Y2819" s="185" t="s">
        <v>1789</v>
      </c>
      <c r="Z2819"/>
    </row>
    <row r="2820" spans="1:26">
      <c r="A2820" s="185" t="s">
        <v>3615</v>
      </c>
      <c r="B2820" s="185" t="s">
        <v>3619</v>
      </c>
      <c r="C2820" s="185" t="s">
        <v>1897</v>
      </c>
      <c r="D2820" s="185" t="s">
        <v>3620</v>
      </c>
      <c r="E2820" s="185">
        <v>237010</v>
      </c>
      <c r="F2820" s="185" t="s">
        <v>683</v>
      </c>
      <c r="G2820" s="185" t="s">
        <v>3622</v>
      </c>
      <c r="H2820" s="185" t="s">
        <v>1628</v>
      </c>
      <c r="I2820" s="258" t="str">
        <f t="shared" si="133"/>
        <v>2</v>
      </c>
      <c r="J2820" s="221">
        <f t="shared" si="134"/>
        <v>-67000</v>
      </c>
      <c r="K2820" s="258">
        <f t="shared" si="135"/>
        <v>10</v>
      </c>
      <c r="L2820" s="188">
        <v>0</v>
      </c>
      <c r="M2820" s="188">
        <v>67000</v>
      </c>
      <c r="N2820" s="189">
        <v>860066942</v>
      </c>
      <c r="O2820" t="s">
        <v>3619</v>
      </c>
      <c r="P2820" s="187">
        <v>45226</v>
      </c>
      <c r="Q2820" s="186">
        <v>13992</v>
      </c>
      <c r="R2820" s="185" t="s">
        <v>1814</v>
      </c>
      <c r="S2820" s="185" t="s">
        <v>1574</v>
      </c>
      <c r="T2820" t="s">
        <v>2729</v>
      </c>
      <c r="U2820" t="str">
        <f>IF($L2820&gt;0,VLOOKUP($E2820,Valida!$A$1:$G$270,6,FALSE),IF($M2820&gt;=0,VLOOKUP($E2820,Valida!$A$1:$G$270,7,FALSE)))</f>
        <v>(+/-) Ajustes por el incremento (disminución) de cuentas por pagar de origen comercial</v>
      </c>
      <c r="V2820" s="190" t="str">
        <f>VLOOKUP(E2820,Valida!$A$2:$K$271,4,FALSE)</f>
        <v>Trade and other payables</v>
      </c>
      <c r="W2820" s="185" t="s">
        <v>1914</v>
      </c>
      <c r="X2820" s="185" t="s">
        <v>1915</v>
      </c>
      <c r="Y2820" s="185" t="s">
        <v>1789</v>
      </c>
      <c r="Z2820"/>
    </row>
    <row r="2821" spans="1:26">
      <c r="A2821" s="185" t="s">
        <v>3615</v>
      </c>
      <c r="B2821" s="185" t="s">
        <v>3619</v>
      </c>
      <c r="C2821" s="185" t="s">
        <v>1897</v>
      </c>
      <c r="D2821" s="185" t="s">
        <v>3620</v>
      </c>
      <c r="E2821" s="185">
        <v>237010</v>
      </c>
      <c r="F2821" s="185" t="s">
        <v>683</v>
      </c>
      <c r="G2821" s="185" t="s">
        <v>3622</v>
      </c>
      <c r="H2821" s="185" t="s">
        <v>1628</v>
      </c>
      <c r="I2821" s="258" t="str">
        <f t="shared" si="133"/>
        <v>2</v>
      </c>
      <c r="J2821" s="221">
        <f t="shared" si="134"/>
        <v>-41300</v>
      </c>
      <c r="K2821" s="258">
        <f t="shared" si="135"/>
        <v>10</v>
      </c>
      <c r="L2821" s="188">
        <v>0</v>
      </c>
      <c r="M2821" s="188">
        <v>41300</v>
      </c>
      <c r="N2821" s="189">
        <v>860066942</v>
      </c>
      <c r="O2821" t="s">
        <v>3619</v>
      </c>
      <c r="P2821" s="187">
        <v>45226</v>
      </c>
      <c r="Q2821" s="186">
        <v>13993</v>
      </c>
      <c r="R2821" s="185" t="s">
        <v>1814</v>
      </c>
      <c r="S2821" s="185" t="s">
        <v>1574</v>
      </c>
      <c r="T2821" t="s">
        <v>2729</v>
      </c>
      <c r="U2821" t="str">
        <f>IF($L2821&gt;0,VLOOKUP($E2821,Valida!$A$1:$G$270,6,FALSE),IF($M2821&gt;=0,VLOOKUP($E2821,Valida!$A$1:$G$270,7,FALSE)))</f>
        <v>(+/-) Ajustes por el incremento (disminución) de cuentas por pagar de origen comercial</v>
      </c>
      <c r="V2821" s="190" t="str">
        <f>VLOOKUP(E2821,Valida!$A$2:$K$271,4,FALSE)</f>
        <v>Trade and other payables</v>
      </c>
      <c r="W2821" s="185" t="s">
        <v>1914</v>
      </c>
      <c r="X2821" s="185" t="s">
        <v>1915</v>
      </c>
      <c r="Y2821" s="185" t="s">
        <v>1789</v>
      </c>
      <c r="Z2821"/>
    </row>
    <row r="2822" spans="1:26">
      <c r="A2822" s="185" t="s">
        <v>3615</v>
      </c>
      <c r="B2822" s="185" t="s">
        <v>3619</v>
      </c>
      <c r="C2822" s="185" t="s">
        <v>1897</v>
      </c>
      <c r="D2822" s="185" t="s">
        <v>3620</v>
      </c>
      <c r="E2822" s="185">
        <v>237010</v>
      </c>
      <c r="F2822" s="185" t="s">
        <v>683</v>
      </c>
      <c r="G2822" s="185" t="s">
        <v>3622</v>
      </c>
      <c r="H2822" s="185" t="s">
        <v>1628</v>
      </c>
      <c r="I2822" s="258" t="str">
        <f t="shared" si="133"/>
        <v>2</v>
      </c>
      <c r="J2822" s="221">
        <f t="shared" si="134"/>
        <v>-34800</v>
      </c>
      <c r="K2822" s="258">
        <f t="shared" si="135"/>
        <v>10</v>
      </c>
      <c r="L2822" s="188">
        <v>0</v>
      </c>
      <c r="M2822" s="188">
        <v>34800</v>
      </c>
      <c r="N2822" s="189">
        <v>860066942</v>
      </c>
      <c r="O2822" t="s">
        <v>3619</v>
      </c>
      <c r="P2822" s="187">
        <v>45226</v>
      </c>
      <c r="Q2822" s="186">
        <v>13994</v>
      </c>
      <c r="R2822" s="185" t="s">
        <v>1814</v>
      </c>
      <c r="S2822" s="185" t="s">
        <v>1574</v>
      </c>
      <c r="T2822" t="s">
        <v>2729</v>
      </c>
      <c r="U2822" t="str">
        <f>IF($L2822&gt;0,VLOOKUP($E2822,Valida!$A$1:$G$270,6,FALSE),IF($M2822&gt;=0,VLOOKUP($E2822,Valida!$A$1:$G$270,7,FALSE)))</f>
        <v>(+/-) Ajustes por el incremento (disminución) de cuentas por pagar de origen comercial</v>
      </c>
      <c r="V2822" s="190" t="str">
        <f>VLOOKUP(E2822,Valida!$A$2:$K$271,4,FALSE)</f>
        <v>Trade and other payables</v>
      </c>
      <c r="W2822" s="185" t="s">
        <v>1914</v>
      </c>
      <c r="X2822" s="185" t="s">
        <v>1915</v>
      </c>
      <c r="Y2822" s="185" t="s">
        <v>1789</v>
      </c>
      <c r="Z2822"/>
    </row>
    <row r="2823" spans="1:26">
      <c r="A2823" s="185" t="s">
        <v>3615</v>
      </c>
      <c r="B2823" s="185" t="s">
        <v>3619</v>
      </c>
      <c r="C2823" s="185" t="s">
        <v>1897</v>
      </c>
      <c r="D2823" s="185" t="s">
        <v>3620</v>
      </c>
      <c r="E2823" s="185">
        <v>238030</v>
      </c>
      <c r="F2823" s="185" t="s">
        <v>721</v>
      </c>
      <c r="G2823" s="185" t="s">
        <v>3623</v>
      </c>
      <c r="H2823" s="185" t="s">
        <v>1628</v>
      </c>
      <c r="I2823" s="258" t="str">
        <f t="shared" si="133"/>
        <v>2</v>
      </c>
      <c r="J2823" s="221">
        <f t="shared" si="134"/>
        <v>-180000</v>
      </c>
      <c r="K2823" s="258">
        <f t="shared" si="135"/>
        <v>10</v>
      </c>
      <c r="L2823" s="188">
        <v>0</v>
      </c>
      <c r="M2823" s="188">
        <v>180000</v>
      </c>
      <c r="N2823" s="189">
        <v>800224808</v>
      </c>
      <c r="O2823" t="s">
        <v>3619</v>
      </c>
      <c r="P2823" s="187">
        <v>45226</v>
      </c>
      <c r="Q2823" s="186">
        <v>13996</v>
      </c>
      <c r="R2823" s="185" t="s">
        <v>1827</v>
      </c>
      <c r="S2823" s="185" t="s">
        <v>1662</v>
      </c>
      <c r="T2823" t="s">
        <v>2729</v>
      </c>
      <c r="U2823" t="str">
        <f>IF($L2823&gt;0,VLOOKUP($E2823,Valida!$A$1:$G$270,6,FALSE),IF($M2823&gt;=0,VLOOKUP($E2823,Valida!$A$1:$G$270,7,FALSE)))</f>
        <v>(+/-) Ajustes por el incremento (disminución) de cuentas por pagar de origen comercial</v>
      </c>
      <c r="V2823" s="190" t="str">
        <f>VLOOKUP(E2823,Valida!$A$2:$K$271,4,FALSE)</f>
        <v>Trade and other payables</v>
      </c>
      <c r="W2823" s="185" t="s">
        <v>1911</v>
      </c>
      <c r="X2823" s="185"/>
      <c r="Y2823" s="185" t="s">
        <v>1789</v>
      </c>
      <c r="Z2823"/>
    </row>
    <row r="2824" spans="1:26">
      <c r="A2824" s="185" t="s">
        <v>3615</v>
      </c>
      <c r="B2824" s="185" t="s">
        <v>3619</v>
      </c>
      <c r="C2824" s="185" t="s">
        <v>1897</v>
      </c>
      <c r="D2824" s="185" t="s">
        <v>3620</v>
      </c>
      <c r="E2824" s="185">
        <v>238030</v>
      </c>
      <c r="F2824" s="185" t="s">
        <v>721</v>
      </c>
      <c r="G2824" s="185" t="s">
        <v>3623</v>
      </c>
      <c r="H2824" s="185" t="s">
        <v>1628</v>
      </c>
      <c r="I2824" s="258" t="str">
        <f t="shared" si="133"/>
        <v>2</v>
      </c>
      <c r="J2824" s="221">
        <f t="shared" si="134"/>
        <v>-267863</v>
      </c>
      <c r="K2824" s="258">
        <f t="shared" si="135"/>
        <v>10</v>
      </c>
      <c r="L2824" s="188">
        <v>0</v>
      </c>
      <c r="M2824" s="188">
        <v>267863</v>
      </c>
      <c r="N2824" s="189">
        <v>800224808</v>
      </c>
      <c r="O2824" t="s">
        <v>3619</v>
      </c>
      <c r="P2824" s="187">
        <v>45226</v>
      </c>
      <c r="Q2824" s="186">
        <v>13997</v>
      </c>
      <c r="R2824" s="185" t="s">
        <v>1827</v>
      </c>
      <c r="S2824" s="185" t="s">
        <v>1662</v>
      </c>
      <c r="T2824" t="s">
        <v>2729</v>
      </c>
      <c r="U2824" t="str">
        <f>IF($L2824&gt;0,VLOOKUP($E2824,Valida!$A$1:$G$270,6,FALSE),IF($M2824&gt;=0,VLOOKUP($E2824,Valida!$A$1:$G$270,7,FALSE)))</f>
        <v>(+/-) Ajustes por el incremento (disminución) de cuentas por pagar de origen comercial</v>
      </c>
      <c r="V2824" s="190" t="str">
        <f>VLOOKUP(E2824,Valida!$A$2:$K$271,4,FALSE)</f>
        <v>Trade and other payables</v>
      </c>
      <c r="W2824" s="185" t="s">
        <v>1911</v>
      </c>
      <c r="X2824" s="185"/>
      <c r="Y2824" s="185" t="s">
        <v>1789</v>
      </c>
      <c r="Z2824"/>
    </row>
    <row r="2825" spans="1:26">
      <c r="A2825" s="185" t="s">
        <v>3615</v>
      </c>
      <c r="B2825" s="185" t="s">
        <v>3619</v>
      </c>
      <c r="C2825" s="185" t="s">
        <v>1897</v>
      </c>
      <c r="D2825" s="185" t="s">
        <v>3620</v>
      </c>
      <c r="E2825" s="185">
        <v>238030</v>
      </c>
      <c r="F2825" s="185" t="s">
        <v>721</v>
      </c>
      <c r="G2825" s="185" t="s">
        <v>3623</v>
      </c>
      <c r="H2825" s="185" t="s">
        <v>1628</v>
      </c>
      <c r="I2825" s="258" t="str">
        <f t="shared" si="133"/>
        <v>2</v>
      </c>
      <c r="J2825" s="221">
        <f t="shared" si="134"/>
        <v>-165300</v>
      </c>
      <c r="K2825" s="258">
        <f t="shared" si="135"/>
        <v>10</v>
      </c>
      <c r="L2825" s="188">
        <v>0</v>
      </c>
      <c r="M2825" s="188">
        <v>165300</v>
      </c>
      <c r="N2825" s="189">
        <v>800224808</v>
      </c>
      <c r="O2825" t="s">
        <v>3619</v>
      </c>
      <c r="P2825" s="187">
        <v>45226</v>
      </c>
      <c r="Q2825" s="186">
        <v>13998</v>
      </c>
      <c r="R2825" s="185" t="s">
        <v>1827</v>
      </c>
      <c r="S2825" s="185" t="s">
        <v>1662</v>
      </c>
      <c r="T2825" t="s">
        <v>2729</v>
      </c>
      <c r="U2825" t="str">
        <f>IF($L2825&gt;0,VLOOKUP($E2825,Valida!$A$1:$G$270,6,FALSE),IF($M2825&gt;=0,VLOOKUP($E2825,Valida!$A$1:$G$270,7,FALSE)))</f>
        <v>(+/-) Ajustes por el incremento (disminución) de cuentas por pagar de origen comercial</v>
      </c>
      <c r="V2825" s="190" t="str">
        <f>VLOOKUP(E2825,Valida!$A$2:$K$271,4,FALSE)</f>
        <v>Trade and other payables</v>
      </c>
      <c r="W2825" s="185" t="s">
        <v>1911</v>
      </c>
      <c r="X2825" s="185"/>
      <c r="Y2825" s="185" t="s">
        <v>1789</v>
      </c>
      <c r="Z2825"/>
    </row>
    <row r="2826" spans="1:26">
      <c r="A2826" s="185" t="s">
        <v>3615</v>
      </c>
      <c r="B2826" s="185" t="s">
        <v>3619</v>
      </c>
      <c r="C2826" s="185" t="s">
        <v>1897</v>
      </c>
      <c r="D2826" s="185" t="s">
        <v>3620</v>
      </c>
      <c r="E2826" s="185">
        <v>238030</v>
      </c>
      <c r="F2826" s="185" t="s">
        <v>721</v>
      </c>
      <c r="G2826" s="185" t="s">
        <v>3623</v>
      </c>
      <c r="H2826" s="185" t="s">
        <v>1628</v>
      </c>
      <c r="I2826" s="258" t="str">
        <f t="shared" si="133"/>
        <v>2</v>
      </c>
      <c r="J2826" s="221">
        <f t="shared" si="134"/>
        <v>-139200</v>
      </c>
      <c r="K2826" s="258">
        <f t="shared" si="135"/>
        <v>10</v>
      </c>
      <c r="L2826" s="188">
        <v>0</v>
      </c>
      <c r="M2826" s="188">
        <v>139200</v>
      </c>
      <c r="N2826" s="189">
        <v>800224808</v>
      </c>
      <c r="O2826" t="s">
        <v>3619</v>
      </c>
      <c r="P2826" s="187">
        <v>45226</v>
      </c>
      <c r="Q2826" s="186">
        <v>13999</v>
      </c>
      <c r="R2826" s="185" t="s">
        <v>1827</v>
      </c>
      <c r="S2826" s="185" t="s">
        <v>1662</v>
      </c>
      <c r="T2826" t="s">
        <v>2729</v>
      </c>
      <c r="U2826" t="str">
        <f>IF($L2826&gt;0,VLOOKUP($E2826,Valida!$A$1:$G$270,6,FALSE),IF($M2826&gt;=0,VLOOKUP($E2826,Valida!$A$1:$G$270,7,FALSE)))</f>
        <v>(+/-) Ajustes por el incremento (disminución) de cuentas por pagar de origen comercial</v>
      </c>
      <c r="V2826" s="190" t="str">
        <f>VLOOKUP(E2826,Valida!$A$2:$K$271,4,FALSE)</f>
        <v>Trade and other payables</v>
      </c>
      <c r="W2826" s="185" t="s">
        <v>1911</v>
      </c>
      <c r="X2826" s="185"/>
      <c r="Y2826" s="185" t="s">
        <v>1789</v>
      </c>
      <c r="Z2826"/>
    </row>
    <row r="2827" spans="1:26">
      <c r="A2827" s="185" t="s">
        <v>3615</v>
      </c>
      <c r="B2827" s="185" t="s">
        <v>3619</v>
      </c>
      <c r="C2827" s="185" t="s">
        <v>1897</v>
      </c>
      <c r="D2827" s="185" t="s">
        <v>3620</v>
      </c>
      <c r="E2827" s="185">
        <v>238030</v>
      </c>
      <c r="F2827" s="185" t="s">
        <v>721</v>
      </c>
      <c r="G2827" s="185" t="s">
        <v>3623</v>
      </c>
      <c r="H2827" s="185" t="s">
        <v>1628</v>
      </c>
      <c r="I2827" s="258" t="str">
        <f t="shared" si="133"/>
        <v>2</v>
      </c>
      <c r="J2827" s="221">
        <f t="shared" si="134"/>
        <v>-139200</v>
      </c>
      <c r="K2827" s="258">
        <f t="shared" si="135"/>
        <v>10</v>
      </c>
      <c r="L2827" s="188">
        <v>0</v>
      </c>
      <c r="M2827" s="188">
        <v>139200</v>
      </c>
      <c r="N2827" s="189">
        <v>800224808</v>
      </c>
      <c r="O2827" t="s">
        <v>3619</v>
      </c>
      <c r="P2827" s="187">
        <v>45226</v>
      </c>
      <c r="Q2827" s="186">
        <v>14000</v>
      </c>
      <c r="R2827" s="185" t="s">
        <v>1827</v>
      </c>
      <c r="S2827" s="185" t="s">
        <v>1662</v>
      </c>
      <c r="T2827" t="s">
        <v>2729</v>
      </c>
      <c r="U2827" t="str">
        <f>IF($L2827&gt;0,VLOOKUP($E2827,Valida!$A$1:$G$270,6,FALSE),IF($M2827&gt;=0,VLOOKUP($E2827,Valida!$A$1:$G$270,7,FALSE)))</f>
        <v>(+/-) Ajustes por el incremento (disminución) de cuentas por pagar de origen comercial</v>
      </c>
      <c r="V2827" s="190" t="str">
        <f>VLOOKUP(E2827,Valida!$A$2:$K$271,4,FALSE)</f>
        <v>Trade and other payables</v>
      </c>
      <c r="W2827" s="185" t="s">
        <v>1911</v>
      </c>
      <c r="X2827" s="185"/>
      <c r="Y2827" s="185" t="s">
        <v>1789</v>
      </c>
      <c r="Z2827"/>
    </row>
    <row r="2828" spans="1:26">
      <c r="A2828" s="185" t="s">
        <v>3615</v>
      </c>
      <c r="B2828" s="185" t="s">
        <v>3619</v>
      </c>
      <c r="C2828" s="185" t="s">
        <v>1897</v>
      </c>
      <c r="D2828" s="185" t="s">
        <v>3620</v>
      </c>
      <c r="E2828" s="185">
        <v>238030</v>
      </c>
      <c r="F2828" s="185" t="s">
        <v>721</v>
      </c>
      <c r="G2828" s="185" t="s">
        <v>3623</v>
      </c>
      <c r="H2828" s="185" t="s">
        <v>1628</v>
      </c>
      <c r="I2828" s="258" t="str">
        <f t="shared" si="133"/>
        <v>2</v>
      </c>
      <c r="J2828" s="221">
        <f t="shared" si="134"/>
        <v>-153120</v>
      </c>
      <c r="K2828" s="258">
        <f t="shared" si="135"/>
        <v>10</v>
      </c>
      <c r="L2828" s="188">
        <v>0</v>
      </c>
      <c r="M2828" s="188">
        <v>153120</v>
      </c>
      <c r="N2828" s="189">
        <v>800227940</v>
      </c>
      <c r="O2828" t="s">
        <v>3619</v>
      </c>
      <c r="P2828" s="187">
        <v>45226</v>
      </c>
      <c r="Q2828" s="186">
        <v>14001</v>
      </c>
      <c r="R2828" s="185"/>
      <c r="S2828" s="185" t="s">
        <v>1664</v>
      </c>
      <c r="T2828" t="s">
        <v>2729</v>
      </c>
      <c r="U2828" t="str">
        <f>IF($L2828&gt;0,VLOOKUP($E2828,Valida!$A$1:$G$270,6,FALSE),IF($M2828&gt;=0,VLOOKUP($E2828,Valida!$A$1:$G$270,7,FALSE)))</f>
        <v>(+/-) Ajustes por el incremento (disminución) de cuentas por pagar de origen comercial</v>
      </c>
      <c r="V2828" s="190" t="str">
        <f>VLOOKUP(E2828,Valida!$A$2:$K$271,4,FALSE)</f>
        <v>Trade and other payables</v>
      </c>
      <c r="W2828" s="185"/>
      <c r="X2828" s="185"/>
      <c r="Y2828" s="185"/>
      <c r="Z2828"/>
    </row>
    <row r="2829" spans="1:26">
      <c r="A2829" s="185" t="s">
        <v>3615</v>
      </c>
      <c r="B2829" s="185" t="s">
        <v>3619</v>
      </c>
      <c r="C2829" s="185" t="s">
        <v>1897</v>
      </c>
      <c r="D2829" s="185" t="s">
        <v>3620</v>
      </c>
      <c r="E2829" s="185">
        <v>251010</v>
      </c>
      <c r="F2829" s="185" t="s">
        <v>776</v>
      </c>
      <c r="G2829" s="185" t="s">
        <v>3624</v>
      </c>
      <c r="H2829" s="185" t="s">
        <v>1628</v>
      </c>
      <c r="I2829" s="258" t="str">
        <f t="shared" si="133"/>
        <v>2</v>
      </c>
      <c r="J2829" s="221">
        <f t="shared" si="134"/>
        <v>-118003</v>
      </c>
      <c r="K2829" s="258">
        <f t="shared" si="135"/>
        <v>10</v>
      </c>
      <c r="L2829" s="188">
        <v>0</v>
      </c>
      <c r="M2829" s="188">
        <v>118003</v>
      </c>
      <c r="N2829" s="189">
        <v>1000018061</v>
      </c>
      <c r="O2829" t="s">
        <v>3619</v>
      </c>
      <c r="P2829" s="187">
        <v>45226</v>
      </c>
      <c r="Q2829" s="186">
        <v>14002</v>
      </c>
      <c r="R2829" s="185"/>
      <c r="S2829" s="185" t="s">
        <v>1522</v>
      </c>
      <c r="T2829" t="s">
        <v>2729</v>
      </c>
      <c r="U2829" t="str">
        <f>IF($L2829&gt;0,VLOOKUP($E2829,Valida!$A$1:$G$270,6,FALSE),IF($M2829&gt;=0,VLOOKUP($E2829,Valida!$A$1:$G$270,7,FALSE)))</f>
        <v>(+/-) Ajustes por el incremento (disminución) de cuentas por pagar de origen comercial</v>
      </c>
      <c r="V2829" s="190" t="str">
        <f>VLOOKUP(E2829,Valida!$A$2:$K$271,4,FALSE)</f>
        <v>Trade and other payables</v>
      </c>
      <c r="W2829" s="185" t="s">
        <v>1978</v>
      </c>
      <c r="X2829" s="185"/>
      <c r="Y2829" s="185" t="s">
        <v>1789</v>
      </c>
      <c r="Z2829"/>
    </row>
    <row r="2830" spans="1:26">
      <c r="A2830" s="185" t="s">
        <v>3615</v>
      </c>
      <c r="B2830" s="185" t="s">
        <v>3619</v>
      </c>
      <c r="C2830" s="185" t="s">
        <v>1897</v>
      </c>
      <c r="D2830" s="185" t="s">
        <v>3620</v>
      </c>
      <c r="E2830" s="185">
        <v>251010</v>
      </c>
      <c r="F2830" s="185" t="s">
        <v>776</v>
      </c>
      <c r="G2830" s="185" t="s">
        <v>3624</v>
      </c>
      <c r="H2830" s="185" t="s">
        <v>1628</v>
      </c>
      <c r="I2830" s="258" t="str">
        <f t="shared" si="133"/>
        <v>2</v>
      </c>
      <c r="J2830" s="221">
        <f t="shared" si="134"/>
        <v>-197654</v>
      </c>
      <c r="K2830" s="258">
        <f t="shared" si="135"/>
        <v>10</v>
      </c>
      <c r="L2830" s="188">
        <v>0</v>
      </c>
      <c r="M2830" s="188">
        <v>197654</v>
      </c>
      <c r="N2830" s="189">
        <v>1000036375</v>
      </c>
      <c r="O2830" t="s">
        <v>3619</v>
      </c>
      <c r="P2830" s="187">
        <v>45226</v>
      </c>
      <c r="Q2830" s="186">
        <v>14003</v>
      </c>
      <c r="R2830" s="185"/>
      <c r="S2830" s="185" t="s">
        <v>1524</v>
      </c>
      <c r="T2830" t="s">
        <v>2729</v>
      </c>
      <c r="U2830" t="str">
        <f>IF($L2830&gt;0,VLOOKUP($E2830,Valida!$A$1:$G$270,6,FALSE),IF($M2830&gt;=0,VLOOKUP($E2830,Valida!$A$1:$G$270,7,FALSE)))</f>
        <v>(+/-) Ajustes por el incremento (disminución) de cuentas por pagar de origen comercial</v>
      </c>
      <c r="V2830" s="190" t="str">
        <f>VLOOKUP(E2830,Valida!$A$2:$K$271,4,FALSE)</f>
        <v>Trade and other payables</v>
      </c>
      <c r="W2830" s="185" t="s">
        <v>1983</v>
      </c>
      <c r="X2830" s="185"/>
      <c r="Y2830" s="185" t="s">
        <v>1789</v>
      </c>
      <c r="Z2830"/>
    </row>
    <row r="2831" spans="1:26">
      <c r="A2831" s="185" t="s">
        <v>3615</v>
      </c>
      <c r="B2831" s="185" t="s">
        <v>3619</v>
      </c>
      <c r="C2831" s="185" t="s">
        <v>1897</v>
      </c>
      <c r="D2831" s="185" t="s">
        <v>3620</v>
      </c>
      <c r="E2831" s="185">
        <v>251010</v>
      </c>
      <c r="F2831" s="185" t="s">
        <v>776</v>
      </c>
      <c r="G2831" s="185" t="s">
        <v>3624</v>
      </c>
      <c r="H2831" s="185" t="s">
        <v>1628</v>
      </c>
      <c r="I2831" s="258" t="str">
        <f t="shared" si="133"/>
        <v>2</v>
      </c>
      <c r="J2831" s="221">
        <f t="shared" si="134"/>
        <v>-126458</v>
      </c>
      <c r="K2831" s="258">
        <f t="shared" si="135"/>
        <v>10</v>
      </c>
      <c r="L2831" s="188">
        <v>0</v>
      </c>
      <c r="M2831" s="188">
        <v>126458</v>
      </c>
      <c r="N2831" s="189">
        <v>1001284057</v>
      </c>
      <c r="O2831" t="s">
        <v>3619</v>
      </c>
      <c r="P2831" s="187">
        <v>45226</v>
      </c>
      <c r="Q2831" s="186">
        <v>14004</v>
      </c>
      <c r="R2831" s="185"/>
      <c r="S2831" s="185" t="s">
        <v>1526</v>
      </c>
      <c r="T2831" t="s">
        <v>2729</v>
      </c>
      <c r="U2831" t="str">
        <f>IF($L2831&gt;0,VLOOKUP($E2831,Valida!$A$1:$G$270,6,FALSE),IF($M2831&gt;=0,VLOOKUP($E2831,Valida!$A$1:$G$270,7,FALSE)))</f>
        <v>(+/-) Ajustes por el incremento (disminución) de cuentas por pagar de origen comercial</v>
      </c>
      <c r="V2831" s="190" t="str">
        <f>VLOOKUP(E2831,Valida!$A$2:$K$271,4,FALSE)</f>
        <v>Trade and other payables</v>
      </c>
      <c r="W2831" s="185" t="s">
        <v>3454</v>
      </c>
      <c r="X2831" s="185" t="s">
        <v>3455</v>
      </c>
      <c r="Y2831" s="185" t="s">
        <v>1789</v>
      </c>
      <c r="Z2831"/>
    </row>
    <row r="2832" spans="1:26">
      <c r="A2832" s="185" t="s">
        <v>3615</v>
      </c>
      <c r="B2832" s="185" t="s">
        <v>3619</v>
      </c>
      <c r="C2832" s="185" t="s">
        <v>1897</v>
      </c>
      <c r="D2832" s="185" t="s">
        <v>3620</v>
      </c>
      <c r="E2832" s="185">
        <v>251010</v>
      </c>
      <c r="F2832" s="185" t="s">
        <v>776</v>
      </c>
      <c r="G2832" s="185" t="s">
        <v>3624</v>
      </c>
      <c r="H2832" s="185" t="s">
        <v>1628</v>
      </c>
      <c r="I2832" s="258" t="str">
        <f t="shared" si="133"/>
        <v>2</v>
      </c>
      <c r="J2832" s="221">
        <f t="shared" si="134"/>
        <v>-136662</v>
      </c>
      <c r="K2832" s="258">
        <f t="shared" si="135"/>
        <v>10</v>
      </c>
      <c r="L2832" s="188">
        <v>0</v>
      </c>
      <c r="M2832" s="188">
        <v>136662</v>
      </c>
      <c r="N2832" s="189">
        <v>1010101811</v>
      </c>
      <c r="O2832" t="s">
        <v>3619</v>
      </c>
      <c r="P2832" s="187">
        <v>45226</v>
      </c>
      <c r="Q2832" s="186">
        <v>14005</v>
      </c>
      <c r="R2832" s="185"/>
      <c r="S2832" s="185" t="s">
        <v>1528</v>
      </c>
      <c r="T2832" t="s">
        <v>2729</v>
      </c>
      <c r="U2832" t="str">
        <f>IF($L2832&gt;0,VLOOKUP($E2832,Valida!$A$1:$G$270,6,FALSE),IF($M2832&gt;=0,VLOOKUP($E2832,Valida!$A$1:$G$270,7,FALSE)))</f>
        <v>(+/-) Ajustes por el incremento (disminución) de cuentas por pagar de origen comercial</v>
      </c>
      <c r="V2832" s="190" t="str">
        <f>VLOOKUP(E2832,Valida!$A$2:$K$271,4,FALSE)</f>
        <v>Trade and other payables</v>
      </c>
      <c r="W2832" s="185" t="s">
        <v>1967</v>
      </c>
      <c r="X2832" s="185"/>
      <c r="Y2832" s="185" t="s">
        <v>1789</v>
      </c>
      <c r="Z2832"/>
    </row>
    <row r="2833" spans="1:26">
      <c r="A2833" s="185" t="s">
        <v>3615</v>
      </c>
      <c r="B2833" s="185" t="s">
        <v>3619</v>
      </c>
      <c r="C2833" s="185" t="s">
        <v>1897</v>
      </c>
      <c r="D2833" s="185" t="s">
        <v>3620</v>
      </c>
      <c r="E2833" s="185">
        <v>251010</v>
      </c>
      <c r="F2833" s="185" t="s">
        <v>776</v>
      </c>
      <c r="G2833" s="185" t="s">
        <v>3624</v>
      </c>
      <c r="H2833" s="185" t="s">
        <v>1628</v>
      </c>
      <c r="I2833" s="258" t="str">
        <f t="shared" si="133"/>
        <v>2</v>
      </c>
      <c r="J2833" s="221">
        <f t="shared" si="134"/>
        <v>-96628</v>
      </c>
      <c r="K2833" s="258">
        <f t="shared" si="135"/>
        <v>10</v>
      </c>
      <c r="L2833" s="188">
        <v>0</v>
      </c>
      <c r="M2833" s="188">
        <v>96628</v>
      </c>
      <c r="N2833" s="189">
        <v>1020842223</v>
      </c>
      <c r="O2833" t="s">
        <v>3619</v>
      </c>
      <c r="P2833" s="187">
        <v>45226</v>
      </c>
      <c r="Q2833" s="186">
        <v>14006</v>
      </c>
      <c r="R2833" s="185"/>
      <c r="S2833" s="185" t="s">
        <v>1532</v>
      </c>
      <c r="T2833" t="s">
        <v>2729</v>
      </c>
      <c r="U2833" t="str">
        <f>IF($L2833&gt;0,VLOOKUP($E2833,Valida!$A$1:$G$270,6,FALSE),IF($M2833&gt;=0,VLOOKUP($E2833,Valida!$A$1:$G$270,7,FALSE)))</f>
        <v>(+/-) Ajustes por el incremento (disminución) de cuentas por pagar de origen comercial</v>
      </c>
      <c r="V2833" s="190" t="str">
        <f>VLOOKUP(E2833,Valida!$A$2:$K$271,4,FALSE)</f>
        <v>Trade and other payables</v>
      </c>
      <c r="W2833" s="185" t="s">
        <v>1900</v>
      </c>
      <c r="X2833" s="185"/>
      <c r="Y2833" s="185" t="s">
        <v>1789</v>
      </c>
      <c r="Z2833"/>
    </row>
    <row r="2834" spans="1:26">
      <c r="A2834" s="185" t="s">
        <v>3615</v>
      </c>
      <c r="B2834" s="185" t="s">
        <v>3619</v>
      </c>
      <c r="C2834" s="185" t="s">
        <v>1897</v>
      </c>
      <c r="D2834" s="185" t="s">
        <v>3620</v>
      </c>
      <c r="E2834" s="185">
        <v>251010</v>
      </c>
      <c r="F2834" s="185" t="s">
        <v>776</v>
      </c>
      <c r="G2834" s="185" t="s">
        <v>3624</v>
      </c>
      <c r="H2834" s="185" t="s">
        <v>1628</v>
      </c>
      <c r="I2834" s="258" t="str">
        <f t="shared" si="133"/>
        <v>2</v>
      </c>
      <c r="J2834" s="221">
        <f t="shared" si="134"/>
        <v>-108340</v>
      </c>
      <c r="K2834" s="258">
        <f t="shared" si="135"/>
        <v>10</v>
      </c>
      <c r="L2834" s="188">
        <v>0</v>
      </c>
      <c r="M2834" s="188">
        <v>108340</v>
      </c>
      <c r="N2834" s="189">
        <v>1130744136</v>
      </c>
      <c r="O2834" t="s">
        <v>3619</v>
      </c>
      <c r="P2834" s="187">
        <v>45226</v>
      </c>
      <c r="Q2834" s="186">
        <v>14007</v>
      </c>
      <c r="R2834" s="185"/>
      <c r="S2834" s="185" t="s">
        <v>1538</v>
      </c>
      <c r="T2834" t="s">
        <v>2729</v>
      </c>
      <c r="U2834" t="str">
        <f>IF($L2834&gt;0,VLOOKUP($E2834,Valida!$A$1:$G$270,6,FALSE),IF($M2834&gt;=0,VLOOKUP($E2834,Valida!$A$1:$G$270,7,FALSE)))</f>
        <v>(+/-) Ajustes por el incremento (disminución) de cuentas por pagar de origen comercial</v>
      </c>
      <c r="V2834" s="190" t="str">
        <f>VLOOKUP(E2834,Valida!$A$2:$K$271,4,FALSE)</f>
        <v>Trade and other payables</v>
      </c>
      <c r="W2834" s="185" t="s">
        <v>1909</v>
      </c>
      <c r="X2834" s="185" t="s">
        <v>1910</v>
      </c>
      <c r="Y2834" s="185" t="s">
        <v>1789</v>
      </c>
      <c r="Z2834"/>
    </row>
    <row r="2835" spans="1:26">
      <c r="A2835" s="185" t="s">
        <v>3615</v>
      </c>
      <c r="B2835" s="185" t="s">
        <v>3619</v>
      </c>
      <c r="C2835" s="185" t="s">
        <v>1897</v>
      </c>
      <c r="D2835" s="185" t="s">
        <v>3620</v>
      </c>
      <c r="E2835" s="185">
        <v>251505</v>
      </c>
      <c r="F2835" s="185" t="s">
        <v>779</v>
      </c>
      <c r="G2835" s="185" t="s">
        <v>3625</v>
      </c>
      <c r="H2835" s="185" t="s">
        <v>1628</v>
      </c>
      <c r="I2835" s="258" t="str">
        <f t="shared" si="133"/>
        <v>2</v>
      </c>
      <c r="J2835" s="221">
        <f t="shared" si="134"/>
        <v>-16406</v>
      </c>
      <c r="K2835" s="258">
        <f t="shared" si="135"/>
        <v>10</v>
      </c>
      <c r="L2835" s="188">
        <v>0</v>
      </c>
      <c r="M2835" s="188">
        <v>16406</v>
      </c>
      <c r="N2835" s="189">
        <v>800224808</v>
      </c>
      <c r="O2835" t="s">
        <v>3619</v>
      </c>
      <c r="P2835" s="187">
        <v>45226</v>
      </c>
      <c r="Q2835" s="186">
        <v>14008</v>
      </c>
      <c r="R2835" s="185" t="s">
        <v>1827</v>
      </c>
      <c r="S2835" s="185" t="s">
        <v>1662</v>
      </c>
      <c r="T2835" t="s">
        <v>2729</v>
      </c>
      <c r="U2835" t="str">
        <f>IF($L2835&gt;0,VLOOKUP($E2835,Valida!$A$1:$G$270,6,FALSE),IF($M2835&gt;=0,VLOOKUP($E2835,Valida!$A$1:$G$270,7,FALSE)))</f>
        <v>(+/-) Ajustes por el incremento (disminución) de cuentas por pagar de origen comercial</v>
      </c>
      <c r="V2835" s="190" t="str">
        <f>VLOOKUP(E2835,Valida!$A$2:$K$271,4,FALSE)</f>
        <v>Trade and other payables</v>
      </c>
      <c r="W2835" s="185" t="s">
        <v>1911</v>
      </c>
      <c r="X2835" s="185"/>
      <c r="Y2835" s="185" t="s">
        <v>1789</v>
      </c>
      <c r="Z2835"/>
    </row>
    <row r="2836" spans="1:26">
      <c r="A2836" s="185" t="s">
        <v>3615</v>
      </c>
      <c r="B2836" s="185" t="s">
        <v>3619</v>
      </c>
      <c r="C2836" s="185" t="s">
        <v>1897</v>
      </c>
      <c r="D2836" s="185" t="s">
        <v>3620</v>
      </c>
      <c r="E2836" s="185">
        <v>251505</v>
      </c>
      <c r="F2836" s="185" t="s">
        <v>779</v>
      </c>
      <c r="G2836" s="185" t="s">
        <v>3625</v>
      </c>
      <c r="H2836" s="185" t="s">
        <v>1628</v>
      </c>
      <c r="I2836" s="258" t="str">
        <f t="shared" si="133"/>
        <v>2</v>
      </c>
      <c r="J2836" s="221">
        <f t="shared" si="134"/>
        <v>-23728</v>
      </c>
      <c r="K2836" s="258">
        <f t="shared" si="135"/>
        <v>10</v>
      </c>
      <c r="L2836" s="188">
        <v>0</v>
      </c>
      <c r="M2836" s="188">
        <v>23728</v>
      </c>
      <c r="N2836" s="189">
        <v>800224808</v>
      </c>
      <c r="O2836" t="s">
        <v>3619</v>
      </c>
      <c r="P2836" s="187">
        <v>45226</v>
      </c>
      <c r="Q2836" s="186">
        <v>14009</v>
      </c>
      <c r="R2836" s="185" t="s">
        <v>1827</v>
      </c>
      <c r="S2836" s="185" t="s">
        <v>1662</v>
      </c>
      <c r="T2836" t="s">
        <v>2729</v>
      </c>
      <c r="U2836" t="str">
        <f>IF($L2836&gt;0,VLOOKUP($E2836,Valida!$A$1:$G$270,6,FALSE),IF($M2836&gt;=0,VLOOKUP($E2836,Valida!$A$1:$G$270,7,FALSE)))</f>
        <v>(+/-) Ajustes por el incremento (disminución) de cuentas por pagar de origen comercial</v>
      </c>
      <c r="V2836" s="190" t="str">
        <f>VLOOKUP(E2836,Valida!$A$2:$K$271,4,FALSE)</f>
        <v>Trade and other payables</v>
      </c>
      <c r="W2836" s="185" t="s">
        <v>1911</v>
      </c>
      <c r="X2836" s="185"/>
      <c r="Y2836" s="185" t="s">
        <v>1789</v>
      </c>
      <c r="Z2836"/>
    </row>
    <row r="2837" spans="1:26">
      <c r="A2837" s="185" t="s">
        <v>3615</v>
      </c>
      <c r="B2837" s="185" t="s">
        <v>3619</v>
      </c>
      <c r="C2837" s="185" t="s">
        <v>1897</v>
      </c>
      <c r="D2837" s="185" t="s">
        <v>3620</v>
      </c>
      <c r="E2837" s="185">
        <v>251505</v>
      </c>
      <c r="F2837" s="185" t="s">
        <v>779</v>
      </c>
      <c r="G2837" s="185" t="s">
        <v>3625</v>
      </c>
      <c r="H2837" s="185" t="s">
        <v>1628</v>
      </c>
      <c r="I2837" s="258" t="str">
        <f t="shared" si="133"/>
        <v>2</v>
      </c>
      <c r="J2837" s="221">
        <f t="shared" si="134"/>
        <v>-15181</v>
      </c>
      <c r="K2837" s="258">
        <f t="shared" si="135"/>
        <v>10</v>
      </c>
      <c r="L2837" s="188">
        <v>0</v>
      </c>
      <c r="M2837" s="188">
        <v>15181</v>
      </c>
      <c r="N2837" s="189">
        <v>800224808</v>
      </c>
      <c r="O2837" t="s">
        <v>3619</v>
      </c>
      <c r="P2837" s="187">
        <v>45226</v>
      </c>
      <c r="Q2837" s="186">
        <v>14010</v>
      </c>
      <c r="R2837" s="185" t="s">
        <v>1827</v>
      </c>
      <c r="S2837" s="185" t="s">
        <v>1662</v>
      </c>
      <c r="T2837" t="s">
        <v>2729</v>
      </c>
      <c r="U2837" t="str">
        <f>IF($L2837&gt;0,VLOOKUP($E2837,Valida!$A$1:$G$270,6,FALSE),IF($M2837&gt;=0,VLOOKUP($E2837,Valida!$A$1:$G$270,7,FALSE)))</f>
        <v>(+/-) Ajustes por el incremento (disminución) de cuentas por pagar de origen comercial</v>
      </c>
      <c r="V2837" s="190" t="str">
        <f>VLOOKUP(E2837,Valida!$A$2:$K$271,4,FALSE)</f>
        <v>Trade and other payables</v>
      </c>
      <c r="W2837" s="185" t="s">
        <v>1911</v>
      </c>
      <c r="X2837" s="185"/>
      <c r="Y2837" s="185" t="s">
        <v>1789</v>
      </c>
      <c r="Z2837"/>
    </row>
    <row r="2838" spans="1:26">
      <c r="A2838" s="185" t="s">
        <v>3615</v>
      </c>
      <c r="B2838" s="185" t="s">
        <v>3619</v>
      </c>
      <c r="C2838" s="185" t="s">
        <v>1897</v>
      </c>
      <c r="D2838" s="185" t="s">
        <v>3620</v>
      </c>
      <c r="E2838" s="185">
        <v>251505</v>
      </c>
      <c r="F2838" s="185" t="s">
        <v>779</v>
      </c>
      <c r="G2838" s="185" t="s">
        <v>3625</v>
      </c>
      <c r="H2838" s="185" t="s">
        <v>1628</v>
      </c>
      <c r="I2838" s="258" t="str">
        <f t="shared" si="133"/>
        <v>2</v>
      </c>
      <c r="J2838" s="221">
        <f t="shared" si="134"/>
        <v>-13006</v>
      </c>
      <c r="K2838" s="258">
        <f t="shared" si="135"/>
        <v>10</v>
      </c>
      <c r="L2838" s="188">
        <v>0</v>
      </c>
      <c r="M2838" s="188">
        <v>13006</v>
      </c>
      <c r="N2838" s="189">
        <v>800224808</v>
      </c>
      <c r="O2838" t="s">
        <v>3619</v>
      </c>
      <c r="P2838" s="187">
        <v>45226</v>
      </c>
      <c r="Q2838" s="186">
        <v>14011</v>
      </c>
      <c r="R2838" s="185" t="s">
        <v>1827</v>
      </c>
      <c r="S2838" s="185" t="s">
        <v>1662</v>
      </c>
      <c r="T2838" t="s">
        <v>2729</v>
      </c>
      <c r="U2838" t="str">
        <f>IF($L2838&gt;0,VLOOKUP($E2838,Valida!$A$1:$G$270,6,FALSE),IF($M2838&gt;=0,VLOOKUP($E2838,Valida!$A$1:$G$270,7,FALSE)))</f>
        <v>(+/-) Ajustes por el incremento (disminución) de cuentas por pagar de origen comercial</v>
      </c>
      <c r="V2838" s="190" t="str">
        <f>VLOOKUP(E2838,Valida!$A$2:$K$271,4,FALSE)</f>
        <v>Trade and other payables</v>
      </c>
      <c r="W2838" s="185" t="s">
        <v>1911</v>
      </c>
      <c r="X2838" s="185"/>
      <c r="Y2838" s="185" t="s">
        <v>1789</v>
      </c>
      <c r="Z2838"/>
    </row>
    <row r="2839" spans="1:26">
      <c r="A2839" s="185" t="s">
        <v>3615</v>
      </c>
      <c r="B2839" s="185" t="s">
        <v>3619</v>
      </c>
      <c r="C2839" s="185" t="s">
        <v>1897</v>
      </c>
      <c r="D2839" s="185" t="s">
        <v>3620</v>
      </c>
      <c r="E2839" s="185">
        <v>251505</v>
      </c>
      <c r="F2839" s="185" t="s">
        <v>779</v>
      </c>
      <c r="G2839" s="185" t="s">
        <v>3625</v>
      </c>
      <c r="H2839" s="185" t="s">
        <v>1628</v>
      </c>
      <c r="I2839" s="258" t="str">
        <f t="shared" si="133"/>
        <v>2</v>
      </c>
      <c r="J2839" s="221">
        <f t="shared" si="134"/>
        <v>-11600</v>
      </c>
      <c r="K2839" s="258">
        <f t="shared" si="135"/>
        <v>10</v>
      </c>
      <c r="L2839" s="188">
        <v>0</v>
      </c>
      <c r="M2839" s="188">
        <v>11600</v>
      </c>
      <c r="N2839" s="189">
        <v>800224808</v>
      </c>
      <c r="O2839" t="s">
        <v>3619</v>
      </c>
      <c r="P2839" s="187">
        <v>45226</v>
      </c>
      <c r="Q2839" s="186">
        <v>14012</v>
      </c>
      <c r="R2839" s="185" t="s">
        <v>1827</v>
      </c>
      <c r="S2839" s="185" t="s">
        <v>1662</v>
      </c>
      <c r="T2839" t="s">
        <v>2729</v>
      </c>
      <c r="U2839" t="str">
        <f>IF($L2839&gt;0,VLOOKUP($E2839,Valida!$A$1:$G$270,6,FALSE),IF($M2839&gt;=0,VLOOKUP($E2839,Valida!$A$1:$G$270,7,FALSE)))</f>
        <v>(+/-) Ajustes por el incremento (disminución) de cuentas por pagar de origen comercial</v>
      </c>
      <c r="V2839" s="190" t="str">
        <f>VLOOKUP(E2839,Valida!$A$2:$K$271,4,FALSE)</f>
        <v>Trade and other payables</v>
      </c>
      <c r="W2839" s="185" t="s">
        <v>1911</v>
      </c>
      <c r="X2839" s="185"/>
      <c r="Y2839" s="185" t="s">
        <v>1789</v>
      </c>
      <c r="Z2839"/>
    </row>
    <row r="2840" spans="1:26">
      <c r="A2840" s="185" t="s">
        <v>3615</v>
      </c>
      <c r="B2840" s="185" t="s">
        <v>3619</v>
      </c>
      <c r="C2840" s="185" t="s">
        <v>1897</v>
      </c>
      <c r="D2840" s="185" t="s">
        <v>3620</v>
      </c>
      <c r="E2840" s="185">
        <v>251505</v>
      </c>
      <c r="F2840" s="185" t="s">
        <v>779</v>
      </c>
      <c r="G2840" s="185" t="s">
        <v>3625</v>
      </c>
      <c r="H2840" s="185" t="s">
        <v>1628</v>
      </c>
      <c r="I2840" s="258" t="str">
        <f t="shared" si="133"/>
        <v>2</v>
      </c>
      <c r="J2840" s="221">
        <f t="shared" si="134"/>
        <v>-14166</v>
      </c>
      <c r="K2840" s="258">
        <f t="shared" si="135"/>
        <v>10</v>
      </c>
      <c r="L2840" s="188">
        <v>0</v>
      </c>
      <c r="M2840" s="188">
        <v>14166</v>
      </c>
      <c r="N2840" s="189">
        <v>800227940</v>
      </c>
      <c r="O2840" t="s">
        <v>3619</v>
      </c>
      <c r="P2840" s="187">
        <v>45226</v>
      </c>
      <c r="Q2840" s="186">
        <v>14013</v>
      </c>
      <c r="R2840" s="185"/>
      <c r="S2840" s="185" t="s">
        <v>1664</v>
      </c>
      <c r="T2840" t="s">
        <v>2729</v>
      </c>
      <c r="U2840" t="str">
        <f>IF($L2840&gt;0,VLOOKUP($E2840,Valida!$A$1:$G$270,6,FALSE),IF($M2840&gt;=0,VLOOKUP($E2840,Valida!$A$1:$G$270,7,FALSE)))</f>
        <v>(+/-) Ajustes por el incremento (disminución) de cuentas por pagar de origen comercial</v>
      </c>
      <c r="V2840" s="190" t="str">
        <f>VLOOKUP(E2840,Valida!$A$2:$K$271,4,FALSE)</f>
        <v>Trade and other payables</v>
      </c>
      <c r="W2840" s="185"/>
      <c r="X2840" s="185"/>
      <c r="Y2840" s="185"/>
      <c r="Z2840"/>
    </row>
    <row r="2841" spans="1:26">
      <c r="A2841" s="185" t="s">
        <v>3615</v>
      </c>
      <c r="B2841" s="185" t="s">
        <v>3619</v>
      </c>
      <c r="C2841" s="185" t="s">
        <v>1897</v>
      </c>
      <c r="D2841" s="185" t="s">
        <v>3620</v>
      </c>
      <c r="E2841" s="185">
        <v>252005</v>
      </c>
      <c r="F2841" s="185" t="s">
        <v>783</v>
      </c>
      <c r="G2841" s="185" t="s">
        <v>3626</v>
      </c>
      <c r="H2841" s="185" t="s">
        <v>1628</v>
      </c>
      <c r="I2841" s="258" t="str">
        <f t="shared" si="133"/>
        <v>2</v>
      </c>
      <c r="J2841" s="221">
        <f t="shared" si="134"/>
        <v>-118003</v>
      </c>
      <c r="K2841" s="258">
        <f t="shared" si="135"/>
        <v>10</v>
      </c>
      <c r="L2841" s="188">
        <v>0</v>
      </c>
      <c r="M2841" s="188">
        <v>118003</v>
      </c>
      <c r="N2841" s="189">
        <v>1000018061</v>
      </c>
      <c r="O2841" t="s">
        <v>3619</v>
      </c>
      <c r="P2841" s="187">
        <v>45226</v>
      </c>
      <c r="Q2841" s="186">
        <v>14014</v>
      </c>
      <c r="R2841" s="185"/>
      <c r="S2841" s="185" t="s">
        <v>1522</v>
      </c>
      <c r="T2841" t="s">
        <v>2729</v>
      </c>
      <c r="U2841" t="str">
        <f>IF($L2841&gt;0,VLOOKUP($E2841,Valida!$A$1:$G$270,6,FALSE),IF($M2841&gt;=0,VLOOKUP($E2841,Valida!$A$1:$G$270,7,FALSE)))</f>
        <v>(+/-) Ajustes por el incremento (disminución) de cuentas por pagar de origen comercial</v>
      </c>
      <c r="V2841" s="190" t="str">
        <f>VLOOKUP(E2841,Valida!$A$2:$K$271,4,FALSE)</f>
        <v>Trade and other payables</v>
      </c>
      <c r="W2841" s="185" t="s">
        <v>1978</v>
      </c>
      <c r="X2841" s="185"/>
      <c r="Y2841" s="185" t="s">
        <v>1789</v>
      </c>
      <c r="Z2841"/>
    </row>
    <row r="2842" spans="1:26">
      <c r="A2842" s="185" t="s">
        <v>3615</v>
      </c>
      <c r="B2842" s="185" t="s">
        <v>3619</v>
      </c>
      <c r="C2842" s="185" t="s">
        <v>1897</v>
      </c>
      <c r="D2842" s="185" t="s">
        <v>3620</v>
      </c>
      <c r="E2842" s="185">
        <v>252005</v>
      </c>
      <c r="F2842" s="185" t="s">
        <v>783</v>
      </c>
      <c r="G2842" s="185" t="s">
        <v>3626</v>
      </c>
      <c r="H2842" s="185" t="s">
        <v>1628</v>
      </c>
      <c r="I2842" s="258" t="str">
        <f t="shared" si="133"/>
        <v>2</v>
      </c>
      <c r="J2842" s="221">
        <f t="shared" si="134"/>
        <v>-197654</v>
      </c>
      <c r="K2842" s="258">
        <f t="shared" si="135"/>
        <v>10</v>
      </c>
      <c r="L2842" s="188">
        <v>0</v>
      </c>
      <c r="M2842" s="188">
        <v>197654</v>
      </c>
      <c r="N2842" s="189">
        <v>1000036375</v>
      </c>
      <c r="O2842" t="s">
        <v>3619</v>
      </c>
      <c r="P2842" s="187">
        <v>45226</v>
      </c>
      <c r="Q2842" s="186">
        <v>14015</v>
      </c>
      <c r="R2842" s="185"/>
      <c r="S2842" s="185" t="s">
        <v>1524</v>
      </c>
      <c r="T2842" t="s">
        <v>2729</v>
      </c>
      <c r="U2842" t="str">
        <f>IF($L2842&gt;0,VLOOKUP($E2842,Valida!$A$1:$G$270,6,FALSE),IF($M2842&gt;=0,VLOOKUP($E2842,Valida!$A$1:$G$270,7,FALSE)))</f>
        <v>(+/-) Ajustes por el incremento (disminución) de cuentas por pagar de origen comercial</v>
      </c>
      <c r="V2842" s="190" t="str">
        <f>VLOOKUP(E2842,Valida!$A$2:$K$271,4,FALSE)</f>
        <v>Trade and other payables</v>
      </c>
      <c r="W2842" s="185" t="s">
        <v>1983</v>
      </c>
      <c r="X2842" s="185"/>
      <c r="Y2842" s="185" t="s">
        <v>1789</v>
      </c>
      <c r="Z2842"/>
    </row>
    <row r="2843" spans="1:26">
      <c r="A2843" s="185" t="s">
        <v>3615</v>
      </c>
      <c r="B2843" s="185" t="s">
        <v>3619</v>
      </c>
      <c r="C2843" s="185" t="s">
        <v>1897</v>
      </c>
      <c r="D2843" s="185" t="s">
        <v>3620</v>
      </c>
      <c r="E2843" s="185">
        <v>252005</v>
      </c>
      <c r="F2843" s="185" t="s">
        <v>783</v>
      </c>
      <c r="G2843" s="185" t="s">
        <v>3626</v>
      </c>
      <c r="H2843" s="185" t="s">
        <v>1628</v>
      </c>
      <c r="I2843" s="258" t="str">
        <f t="shared" si="133"/>
        <v>2</v>
      </c>
      <c r="J2843" s="221">
        <f t="shared" si="134"/>
        <v>-126458</v>
      </c>
      <c r="K2843" s="258">
        <f t="shared" si="135"/>
        <v>10</v>
      </c>
      <c r="L2843" s="188">
        <v>0</v>
      </c>
      <c r="M2843" s="188">
        <v>126458</v>
      </c>
      <c r="N2843" s="189">
        <v>1001284057</v>
      </c>
      <c r="O2843" t="s">
        <v>3619</v>
      </c>
      <c r="P2843" s="187">
        <v>45226</v>
      </c>
      <c r="Q2843" s="186">
        <v>14016</v>
      </c>
      <c r="R2843" s="185"/>
      <c r="S2843" s="185" t="s">
        <v>1526</v>
      </c>
      <c r="T2843" t="s">
        <v>2729</v>
      </c>
      <c r="U2843" t="str">
        <f>IF($L2843&gt;0,VLOOKUP($E2843,Valida!$A$1:$G$270,6,FALSE),IF($M2843&gt;=0,VLOOKUP($E2843,Valida!$A$1:$G$270,7,FALSE)))</f>
        <v>(+/-) Ajustes por el incremento (disminución) de cuentas por pagar de origen comercial</v>
      </c>
      <c r="V2843" s="190" t="str">
        <f>VLOOKUP(E2843,Valida!$A$2:$K$271,4,FALSE)</f>
        <v>Trade and other payables</v>
      </c>
      <c r="W2843" s="185" t="s">
        <v>3454</v>
      </c>
      <c r="X2843" s="185" t="s">
        <v>3455</v>
      </c>
      <c r="Y2843" s="185" t="s">
        <v>1789</v>
      </c>
      <c r="Z2843"/>
    </row>
    <row r="2844" spans="1:26">
      <c r="A2844" s="185" t="s">
        <v>3615</v>
      </c>
      <c r="B2844" s="185" t="s">
        <v>3619</v>
      </c>
      <c r="C2844" s="185" t="s">
        <v>1897</v>
      </c>
      <c r="D2844" s="185" t="s">
        <v>3620</v>
      </c>
      <c r="E2844" s="185">
        <v>252005</v>
      </c>
      <c r="F2844" s="185" t="s">
        <v>783</v>
      </c>
      <c r="G2844" s="185" t="s">
        <v>3626</v>
      </c>
      <c r="H2844" s="185" t="s">
        <v>1628</v>
      </c>
      <c r="I2844" s="258" t="str">
        <f t="shared" si="133"/>
        <v>2</v>
      </c>
      <c r="J2844" s="221">
        <f t="shared" si="134"/>
        <v>-136662</v>
      </c>
      <c r="K2844" s="258">
        <f t="shared" si="135"/>
        <v>10</v>
      </c>
      <c r="L2844" s="188">
        <v>0</v>
      </c>
      <c r="M2844" s="188">
        <v>136662</v>
      </c>
      <c r="N2844" s="189">
        <v>1010101811</v>
      </c>
      <c r="O2844" t="s">
        <v>3619</v>
      </c>
      <c r="P2844" s="187">
        <v>45226</v>
      </c>
      <c r="Q2844" s="186">
        <v>14017</v>
      </c>
      <c r="R2844" s="185"/>
      <c r="S2844" s="185" t="s">
        <v>1528</v>
      </c>
      <c r="T2844" t="s">
        <v>2729</v>
      </c>
      <c r="U2844" t="str">
        <f>IF($L2844&gt;0,VLOOKUP($E2844,Valida!$A$1:$G$270,6,FALSE),IF($M2844&gt;=0,VLOOKUP($E2844,Valida!$A$1:$G$270,7,FALSE)))</f>
        <v>(+/-) Ajustes por el incremento (disminución) de cuentas por pagar de origen comercial</v>
      </c>
      <c r="V2844" s="190" t="str">
        <f>VLOOKUP(E2844,Valida!$A$2:$K$271,4,FALSE)</f>
        <v>Trade and other payables</v>
      </c>
      <c r="W2844" s="185" t="s">
        <v>1967</v>
      </c>
      <c r="X2844" s="185"/>
      <c r="Y2844" s="185" t="s">
        <v>1789</v>
      </c>
      <c r="Z2844"/>
    </row>
    <row r="2845" spans="1:26">
      <c r="A2845" s="185" t="s">
        <v>3615</v>
      </c>
      <c r="B2845" s="185" t="s">
        <v>3619</v>
      </c>
      <c r="C2845" s="185" t="s">
        <v>1897</v>
      </c>
      <c r="D2845" s="185" t="s">
        <v>3620</v>
      </c>
      <c r="E2845" s="185">
        <v>252005</v>
      </c>
      <c r="F2845" s="185" t="s">
        <v>783</v>
      </c>
      <c r="G2845" s="185" t="s">
        <v>3626</v>
      </c>
      <c r="H2845" s="185" t="s">
        <v>1628</v>
      </c>
      <c r="I2845" s="258" t="str">
        <f t="shared" si="133"/>
        <v>2</v>
      </c>
      <c r="J2845" s="221">
        <f t="shared" si="134"/>
        <v>-96628</v>
      </c>
      <c r="K2845" s="258">
        <f t="shared" si="135"/>
        <v>10</v>
      </c>
      <c r="L2845" s="188">
        <v>0</v>
      </c>
      <c r="M2845" s="188">
        <v>96628</v>
      </c>
      <c r="N2845" s="189">
        <v>1020842223</v>
      </c>
      <c r="O2845" t="s">
        <v>3619</v>
      </c>
      <c r="P2845" s="187">
        <v>45226</v>
      </c>
      <c r="Q2845" s="186">
        <v>14018</v>
      </c>
      <c r="R2845" s="185"/>
      <c r="S2845" s="185" t="s">
        <v>1532</v>
      </c>
      <c r="T2845" t="s">
        <v>2729</v>
      </c>
      <c r="U2845" t="str">
        <f>IF($L2845&gt;0,VLOOKUP($E2845,Valida!$A$1:$G$270,6,FALSE),IF($M2845&gt;=0,VLOOKUP($E2845,Valida!$A$1:$G$270,7,FALSE)))</f>
        <v>(+/-) Ajustes por el incremento (disminución) de cuentas por pagar de origen comercial</v>
      </c>
      <c r="V2845" s="190" t="str">
        <f>VLOOKUP(E2845,Valida!$A$2:$K$271,4,FALSE)</f>
        <v>Trade and other payables</v>
      </c>
      <c r="W2845" s="185" t="s">
        <v>1900</v>
      </c>
      <c r="X2845" s="185"/>
      <c r="Y2845" s="185" t="s">
        <v>1789</v>
      </c>
      <c r="Z2845"/>
    </row>
    <row r="2846" spans="1:26">
      <c r="A2846" s="185" t="s">
        <v>3615</v>
      </c>
      <c r="B2846" s="185" t="s">
        <v>3619</v>
      </c>
      <c r="C2846" s="185" t="s">
        <v>1897</v>
      </c>
      <c r="D2846" s="185" t="s">
        <v>3620</v>
      </c>
      <c r="E2846" s="185">
        <v>252005</v>
      </c>
      <c r="F2846" s="185" t="s">
        <v>783</v>
      </c>
      <c r="G2846" s="185" t="s">
        <v>3626</v>
      </c>
      <c r="H2846" s="185" t="s">
        <v>1628</v>
      </c>
      <c r="I2846" s="258" t="str">
        <f t="shared" si="133"/>
        <v>2</v>
      </c>
      <c r="J2846" s="221">
        <f t="shared" si="134"/>
        <v>-108340</v>
      </c>
      <c r="K2846" s="258">
        <f t="shared" si="135"/>
        <v>10</v>
      </c>
      <c r="L2846" s="188">
        <v>0</v>
      </c>
      <c r="M2846" s="188">
        <v>108340</v>
      </c>
      <c r="N2846" s="189">
        <v>1130744136</v>
      </c>
      <c r="O2846" t="s">
        <v>3619</v>
      </c>
      <c r="P2846" s="187">
        <v>45226</v>
      </c>
      <c r="Q2846" s="186">
        <v>14019</v>
      </c>
      <c r="R2846" s="185"/>
      <c r="S2846" s="185" t="s">
        <v>1538</v>
      </c>
      <c r="T2846" t="s">
        <v>2729</v>
      </c>
      <c r="U2846" t="str">
        <f>IF($L2846&gt;0,VLOOKUP($E2846,Valida!$A$1:$G$270,6,FALSE),IF($M2846&gt;=0,VLOOKUP($E2846,Valida!$A$1:$G$270,7,FALSE)))</f>
        <v>(+/-) Ajustes por el incremento (disminución) de cuentas por pagar de origen comercial</v>
      </c>
      <c r="V2846" s="190" t="str">
        <f>VLOOKUP(E2846,Valida!$A$2:$K$271,4,FALSE)</f>
        <v>Trade and other payables</v>
      </c>
      <c r="W2846" s="185" t="s">
        <v>1909</v>
      </c>
      <c r="X2846" s="185" t="s">
        <v>1910</v>
      </c>
      <c r="Y2846" s="185" t="s">
        <v>1789</v>
      </c>
      <c r="Z2846"/>
    </row>
    <row r="2847" spans="1:26">
      <c r="A2847" s="185" t="s">
        <v>3615</v>
      </c>
      <c r="B2847" s="185" t="s">
        <v>3619</v>
      </c>
      <c r="C2847" s="185" t="s">
        <v>1897</v>
      </c>
      <c r="D2847" s="185" t="s">
        <v>3620</v>
      </c>
      <c r="E2847" s="185">
        <v>252505</v>
      </c>
      <c r="F2847" s="185" t="s">
        <v>787</v>
      </c>
      <c r="G2847" s="185" t="s">
        <v>3627</v>
      </c>
      <c r="H2847" s="185" t="s">
        <v>1628</v>
      </c>
      <c r="I2847" s="258" t="str">
        <f t="shared" si="133"/>
        <v>2</v>
      </c>
      <c r="J2847" s="221">
        <f t="shared" si="134"/>
        <v>-53209</v>
      </c>
      <c r="K2847" s="258">
        <f t="shared" si="135"/>
        <v>10</v>
      </c>
      <c r="L2847" s="188">
        <v>0</v>
      </c>
      <c r="M2847" s="188">
        <v>53209</v>
      </c>
      <c r="N2847" s="189">
        <v>1000018061</v>
      </c>
      <c r="O2847" t="s">
        <v>3619</v>
      </c>
      <c r="P2847" s="187">
        <v>45226</v>
      </c>
      <c r="Q2847" s="186">
        <v>14020</v>
      </c>
      <c r="R2847" s="185"/>
      <c r="S2847" s="185" t="s">
        <v>1522</v>
      </c>
      <c r="T2847" t="s">
        <v>2729</v>
      </c>
      <c r="U2847" t="str">
        <f>IF($L2847&gt;0,VLOOKUP($E2847,Valida!$A$1:$G$270,6,FALSE),IF($M2847&gt;=0,VLOOKUP($E2847,Valida!$A$1:$G$270,7,FALSE)))</f>
        <v>(+/-) Ajustes por el incremento (disminución) de cuentas por pagar de origen comercial</v>
      </c>
      <c r="V2847" s="190" t="str">
        <f>VLOOKUP(E2847,Valida!$A$2:$K$271,4,FALSE)</f>
        <v>Trade and other payables</v>
      </c>
      <c r="W2847" s="185" t="s">
        <v>1978</v>
      </c>
      <c r="X2847" s="185"/>
      <c r="Y2847" s="185" t="s">
        <v>1789</v>
      </c>
      <c r="Z2847"/>
    </row>
    <row r="2848" spans="1:26">
      <c r="A2848" s="185" t="s">
        <v>3615</v>
      </c>
      <c r="B2848" s="185" t="s">
        <v>3619</v>
      </c>
      <c r="C2848" s="185" t="s">
        <v>1897</v>
      </c>
      <c r="D2848" s="185" t="s">
        <v>3620</v>
      </c>
      <c r="E2848" s="185">
        <v>252505</v>
      </c>
      <c r="F2848" s="185" t="s">
        <v>787</v>
      </c>
      <c r="G2848" s="185" t="s">
        <v>3627</v>
      </c>
      <c r="H2848" s="185" t="s">
        <v>1628</v>
      </c>
      <c r="I2848" s="258" t="str">
        <f t="shared" si="133"/>
        <v>2</v>
      </c>
      <c r="J2848" s="221">
        <f t="shared" si="134"/>
        <v>-80663</v>
      </c>
      <c r="K2848" s="258">
        <f t="shared" si="135"/>
        <v>10</v>
      </c>
      <c r="L2848" s="188">
        <v>0</v>
      </c>
      <c r="M2848" s="188">
        <v>80663</v>
      </c>
      <c r="N2848" s="189">
        <v>1000036375</v>
      </c>
      <c r="O2848" t="s">
        <v>3619</v>
      </c>
      <c r="P2848" s="187">
        <v>45226</v>
      </c>
      <c r="Q2848" s="186">
        <v>14021</v>
      </c>
      <c r="R2848" s="185"/>
      <c r="S2848" s="185" t="s">
        <v>1524</v>
      </c>
      <c r="T2848" t="s">
        <v>2729</v>
      </c>
      <c r="U2848" t="str">
        <f>IF($L2848&gt;0,VLOOKUP($E2848,Valida!$A$1:$G$270,6,FALSE),IF($M2848&gt;=0,VLOOKUP($E2848,Valida!$A$1:$G$270,7,FALSE)))</f>
        <v>(+/-) Ajustes por el incremento (disminución) de cuentas por pagar de origen comercial</v>
      </c>
      <c r="V2848" s="190" t="str">
        <f>VLOOKUP(E2848,Valida!$A$2:$K$271,4,FALSE)</f>
        <v>Trade and other payables</v>
      </c>
      <c r="W2848" s="185" t="s">
        <v>1983</v>
      </c>
      <c r="X2848" s="185"/>
      <c r="Y2848" s="185" t="s">
        <v>1789</v>
      </c>
      <c r="Z2848"/>
    </row>
    <row r="2849" spans="1:26">
      <c r="A2849" s="185" t="s">
        <v>3615</v>
      </c>
      <c r="B2849" s="185" t="s">
        <v>3619</v>
      </c>
      <c r="C2849" s="185" t="s">
        <v>1897</v>
      </c>
      <c r="D2849" s="185" t="s">
        <v>3620</v>
      </c>
      <c r="E2849" s="185">
        <v>252505</v>
      </c>
      <c r="F2849" s="185" t="s">
        <v>787</v>
      </c>
      <c r="G2849" s="185" t="s">
        <v>3627</v>
      </c>
      <c r="H2849" s="185" t="s">
        <v>1628</v>
      </c>
      <c r="I2849" s="258" t="str">
        <f t="shared" si="133"/>
        <v>2</v>
      </c>
      <c r="J2849" s="221">
        <f t="shared" si="134"/>
        <v>-55669</v>
      </c>
      <c r="K2849" s="258">
        <f t="shared" si="135"/>
        <v>10</v>
      </c>
      <c r="L2849" s="188">
        <v>0</v>
      </c>
      <c r="M2849" s="188">
        <v>55669</v>
      </c>
      <c r="N2849" s="189">
        <v>1001284057</v>
      </c>
      <c r="O2849" t="s">
        <v>3619</v>
      </c>
      <c r="P2849" s="187">
        <v>45226</v>
      </c>
      <c r="Q2849" s="186">
        <v>14022</v>
      </c>
      <c r="R2849" s="185"/>
      <c r="S2849" s="185" t="s">
        <v>1526</v>
      </c>
      <c r="T2849" t="s">
        <v>2729</v>
      </c>
      <c r="U2849" t="str">
        <f>IF($L2849&gt;0,VLOOKUP($E2849,Valida!$A$1:$G$270,6,FALSE),IF($M2849&gt;=0,VLOOKUP($E2849,Valida!$A$1:$G$270,7,FALSE)))</f>
        <v>(+/-) Ajustes por el incremento (disminución) de cuentas por pagar de origen comercial</v>
      </c>
      <c r="V2849" s="190" t="str">
        <f>VLOOKUP(E2849,Valida!$A$2:$K$271,4,FALSE)</f>
        <v>Trade and other payables</v>
      </c>
      <c r="W2849" s="185" t="s">
        <v>3454</v>
      </c>
      <c r="X2849" s="185" t="s">
        <v>3455</v>
      </c>
      <c r="Y2849" s="185" t="s">
        <v>1789</v>
      </c>
      <c r="Z2849"/>
    </row>
    <row r="2850" spans="1:26">
      <c r="A2850" s="185" t="s">
        <v>3615</v>
      </c>
      <c r="B2850" s="185" t="s">
        <v>3619</v>
      </c>
      <c r="C2850" s="185" t="s">
        <v>1897</v>
      </c>
      <c r="D2850" s="185" t="s">
        <v>3620</v>
      </c>
      <c r="E2850" s="185">
        <v>252505</v>
      </c>
      <c r="F2850" s="185" t="s">
        <v>787</v>
      </c>
      <c r="G2850" s="185" t="s">
        <v>3627</v>
      </c>
      <c r="H2850" s="185" t="s">
        <v>1628</v>
      </c>
      <c r="I2850" s="258" t="str">
        <f t="shared" si="133"/>
        <v>2</v>
      </c>
      <c r="J2850" s="221">
        <f t="shared" si="134"/>
        <v>-62550</v>
      </c>
      <c r="K2850" s="258">
        <f t="shared" si="135"/>
        <v>10</v>
      </c>
      <c r="L2850" s="188">
        <v>0</v>
      </c>
      <c r="M2850" s="188">
        <v>62550</v>
      </c>
      <c r="N2850" s="189">
        <v>1010101811</v>
      </c>
      <c r="O2850" t="s">
        <v>3619</v>
      </c>
      <c r="P2850" s="187">
        <v>45226</v>
      </c>
      <c r="Q2850" s="186">
        <v>14023</v>
      </c>
      <c r="R2850" s="185"/>
      <c r="S2850" s="185" t="s">
        <v>1528</v>
      </c>
      <c r="T2850" t="s">
        <v>2729</v>
      </c>
      <c r="U2850" t="str">
        <f>IF($L2850&gt;0,VLOOKUP($E2850,Valida!$A$1:$G$270,6,FALSE),IF($M2850&gt;=0,VLOOKUP($E2850,Valida!$A$1:$G$270,7,FALSE)))</f>
        <v>(+/-) Ajustes por el incremento (disminución) de cuentas por pagar de origen comercial</v>
      </c>
      <c r="V2850" s="190" t="str">
        <f>VLOOKUP(E2850,Valida!$A$2:$K$271,4,FALSE)</f>
        <v>Trade and other payables</v>
      </c>
      <c r="W2850" s="185" t="s">
        <v>1967</v>
      </c>
      <c r="X2850" s="185"/>
      <c r="Y2850" s="185" t="s">
        <v>1789</v>
      </c>
      <c r="Z2850"/>
    </row>
    <row r="2851" spans="1:26">
      <c r="A2851" s="185" t="s">
        <v>3615</v>
      </c>
      <c r="B2851" s="185" t="s">
        <v>3619</v>
      </c>
      <c r="C2851" s="185" t="s">
        <v>1897</v>
      </c>
      <c r="D2851" s="185" t="s">
        <v>3620</v>
      </c>
      <c r="E2851" s="185">
        <v>252505</v>
      </c>
      <c r="F2851" s="185" t="s">
        <v>787</v>
      </c>
      <c r="G2851" s="185" t="s">
        <v>3627</v>
      </c>
      <c r="H2851" s="185" t="s">
        <v>1628</v>
      </c>
      <c r="I2851" s="258" t="str">
        <f t="shared" si="133"/>
        <v>2</v>
      </c>
      <c r="J2851" s="221">
        <f t="shared" si="134"/>
        <v>-48372</v>
      </c>
      <c r="K2851" s="258">
        <f t="shared" si="135"/>
        <v>10</v>
      </c>
      <c r="L2851" s="188">
        <v>0</v>
      </c>
      <c r="M2851" s="188">
        <v>48372</v>
      </c>
      <c r="N2851" s="189">
        <v>1020842223</v>
      </c>
      <c r="O2851" t="s">
        <v>3619</v>
      </c>
      <c r="P2851" s="187">
        <v>45226</v>
      </c>
      <c r="Q2851" s="186">
        <v>14024</v>
      </c>
      <c r="R2851" s="185"/>
      <c r="S2851" s="185" t="s">
        <v>1532</v>
      </c>
      <c r="T2851" t="s">
        <v>2729</v>
      </c>
      <c r="U2851" t="str">
        <f>IF($L2851&gt;0,VLOOKUP($E2851,Valida!$A$1:$G$270,6,FALSE),IF($M2851&gt;=0,VLOOKUP($E2851,Valida!$A$1:$G$270,7,FALSE)))</f>
        <v>(+/-) Ajustes por el incremento (disminución) de cuentas por pagar de origen comercial</v>
      </c>
      <c r="V2851" s="190" t="str">
        <f>VLOOKUP(E2851,Valida!$A$2:$K$271,4,FALSE)</f>
        <v>Trade and other payables</v>
      </c>
      <c r="W2851" s="185" t="s">
        <v>1900</v>
      </c>
      <c r="X2851" s="185"/>
      <c r="Y2851" s="185" t="s">
        <v>1789</v>
      </c>
      <c r="Z2851"/>
    </row>
    <row r="2852" spans="1:26">
      <c r="A2852" s="185" t="s">
        <v>3615</v>
      </c>
      <c r="B2852" s="185" t="s">
        <v>3619</v>
      </c>
      <c r="C2852" s="185" t="s">
        <v>1897</v>
      </c>
      <c r="D2852" s="185" t="s">
        <v>3620</v>
      </c>
      <c r="E2852" s="185">
        <v>252505</v>
      </c>
      <c r="F2852" s="185" t="s">
        <v>787</v>
      </c>
      <c r="G2852" s="185" t="s">
        <v>3627</v>
      </c>
      <c r="H2852" s="185" t="s">
        <v>1628</v>
      </c>
      <c r="I2852" s="258" t="str">
        <f t="shared" si="133"/>
        <v>2</v>
      </c>
      <c r="J2852" s="221">
        <f t="shared" si="134"/>
        <v>-48372</v>
      </c>
      <c r="K2852" s="258">
        <f t="shared" si="135"/>
        <v>10</v>
      </c>
      <c r="L2852" s="188">
        <v>0</v>
      </c>
      <c r="M2852" s="188">
        <v>48372</v>
      </c>
      <c r="N2852" s="189">
        <v>1130744136</v>
      </c>
      <c r="O2852" t="s">
        <v>3619</v>
      </c>
      <c r="P2852" s="187">
        <v>45226</v>
      </c>
      <c r="Q2852" s="186">
        <v>14025</v>
      </c>
      <c r="R2852" s="185"/>
      <c r="S2852" s="185" t="s">
        <v>1538</v>
      </c>
      <c r="T2852" t="s">
        <v>2729</v>
      </c>
      <c r="U2852" t="str">
        <f>IF($L2852&gt;0,VLOOKUP($E2852,Valida!$A$1:$G$270,6,FALSE),IF($M2852&gt;=0,VLOOKUP($E2852,Valida!$A$1:$G$270,7,FALSE)))</f>
        <v>(+/-) Ajustes por el incremento (disminución) de cuentas por pagar de origen comercial</v>
      </c>
      <c r="V2852" s="190" t="str">
        <f>VLOOKUP(E2852,Valida!$A$2:$K$271,4,FALSE)</f>
        <v>Trade and other payables</v>
      </c>
      <c r="W2852" s="185" t="s">
        <v>1909</v>
      </c>
      <c r="X2852" s="185" t="s">
        <v>1910</v>
      </c>
      <c r="Y2852" s="185" t="s">
        <v>1789</v>
      </c>
      <c r="Z2852"/>
    </row>
    <row r="2853" spans="1:26">
      <c r="A2853" s="185" t="s">
        <v>3615</v>
      </c>
      <c r="B2853" s="185" t="s">
        <v>3619</v>
      </c>
      <c r="C2853" s="185" t="s">
        <v>1897</v>
      </c>
      <c r="D2853" s="185" t="s">
        <v>3620</v>
      </c>
      <c r="E2853" s="185">
        <v>510530</v>
      </c>
      <c r="F2853" s="185" t="s">
        <v>813</v>
      </c>
      <c r="G2853" s="185" t="s">
        <v>3624</v>
      </c>
      <c r="H2853" s="185" t="s">
        <v>1515</v>
      </c>
      <c r="I2853" s="258" t="str">
        <f t="shared" si="133"/>
        <v>5</v>
      </c>
      <c r="J2853" s="221">
        <f t="shared" si="134"/>
        <v>118003</v>
      </c>
      <c r="K2853" s="258">
        <f t="shared" si="135"/>
        <v>10</v>
      </c>
      <c r="L2853" s="188">
        <v>118003</v>
      </c>
      <c r="M2853" s="188">
        <v>0</v>
      </c>
      <c r="N2853" s="189">
        <v>1000018061</v>
      </c>
      <c r="O2853" t="s">
        <v>3619</v>
      </c>
      <c r="P2853" s="187">
        <v>45226</v>
      </c>
      <c r="Q2853" s="186">
        <v>14026</v>
      </c>
      <c r="R2853" s="185"/>
      <c r="S2853" s="185" t="s">
        <v>1522</v>
      </c>
      <c r="T2853" t="s">
        <v>2729</v>
      </c>
      <c r="U2853" t="str">
        <f>IF($L2853&gt;0,VLOOKUP($E2853,Valida!$A$1:$G$270,6,FALSE),IF($M2853&gt;=0,VLOOKUP($E2853,Valida!$A$1:$G$270,7,FALSE)))</f>
        <v>(+/-) Ganancia (pérdida)</v>
      </c>
      <c r="V2853" s="190" t="str">
        <f>VLOOKUP(E2853,Valida!$A$2:$K$271,4,FALSE)</f>
        <v>P&amp;L</v>
      </c>
      <c r="W2853" s="185" t="s">
        <v>1978</v>
      </c>
      <c r="X2853" s="185"/>
      <c r="Y2853" s="185" t="s">
        <v>1789</v>
      </c>
      <c r="Z2853"/>
    </row>
    <row r="2854" spans="1:26">
      <c r="A2854" s="185" t="s">
        <v>3615</v>
      </c>
      <c r="B2854" s="185" t="s">
        <v>3619</v>
      </c>
      <c r="C2854" s="185" t="s">
        <v>1897</v>
      </c>
      <c r="D2854" s="185" t="s">
        <v>3620</v>
      </c>
      <c r="E2854" s="185">
        <v>510530</v>
      </c>
      <c r="F2854" s="185" t="s">
        <v>813</v>
      </c>
      <c r="G2854" s="185" t="s">
        <v>3624</v>
      </c>
      <c r="H2854" s="185" t="s">
        <v>1515</v>
      </c>
      <c r="I2854" s="258" t="str">
        <f t="shared" si="133"/>
        <v>5</v>
      </c>
      <c r="J2854" s="221">
        <f t="shared" si="134"/>
        <v>197654</v>
      </c>
      <c r="K2854" s="258">
        <f t="shared" si="135"/>
        <v>10</v>
      </c>
      <c r="L2854" s="188">
        <v>197654</v>
      </c>
      <c r="M2854" s="188">
        <v>0</v>
      </c>
      <c r="N2854" s="189">
        <v>1000036375</v>
      </c>
      <c r="O2854" t="s">
        <v>3619</v>
      </c>
      <c r="P2854" s="187">
        <v>45226</v>
      </c>
      <c r="Q2854" s="186">
        <v>14027</v>
      </c>
      <c r="R2854" s="185"/>
      <c r="S2854" s="185" t="s">
        <v>1524</v>
      </c>
      <c r="T2854" t="s">
        <v>2729</v>
      </c>
      <c r="U2854" t="str">
        <f>IF($L2854&gt;0,VLOOKUP($E2854,Valida!$A$1:$G$270,6,FALSE),IF($M2854&gt;=0,VLOOKUP($E2854,Valida!$A$1:$G$270,7,FALSE)))</f>
        <v>(+/-) Ganancia (pérdida)</v>
      </c>
      <c r="V2854" s="190" t="str">
        <f>VLOOKUP(E2854,Valida!$A$2:$K$271,4,FALSE)</f>
        <v>P&amp;L</v>
      </c>
      <c r="W2854" s="185" t="s">
        <v>1983</v>
      </c>
      <c r="X2854" s="185"/>
      <c r="Y2854" s="185" t="s">
        <v>1789</v>
      </c>
      <c r="Z2854"/>
    </row>
    <row r="2855" spans="1:26">
      <c r="A2855" s="185" t="s">
        <v>3615</v>
      </c>
      <c r="B2855" s="185" t="s">
        <v>3619</v>
      </c>
      <c r="C2855" s="185" t="s">
        <v>1897</v>
      </c>
      <c r="D2855" s="185" t="s">
        <v>3620</v>
      </c>
      <c r="E2855" s="185">
        <v>510530</v>
      </c>
      <c r="F2855" s="185" t="s">
        <v>813</v>
      </c>
      <c r="G2855" s="185" t="s">
        <v>3624</v>
      </c>
      <c r="H2855" s="185" t="s">
        <v>1515</v>
      </c>
      <c r="I2855" s="258" t="str">
        <f t="shared" si="133"/>
        <v>5</v>
      </c>
      <c r="J2855" s="221">
        <f t="shared" si="134"/>
        <v>126458</v>
      </c>
      <c r="K2855" s="258">
        <f t="shared" si="135"/>
        <v>10</v>
      </c>
      <c r="L2855" s="188">
        <v>126458</v>
      </c>
      <c r="M2855" s="188">
        <v>0</v>
      </c>
      <c r="N2855" s="189">
        <v>1001284057</v>
      </c>
      <c r="O2855" t="s">
        <v>3619</v>
      </c>
      <c r="P2855" s="187">
        <v>45226</v>
      </c>
      <c r="Q2855" s="186">
        <v>14028</v>
      </c>
      <c r="R2855" s="185"/>
      <c r="S2855" s="185" t="s">
        <v>1526</v>
      </c>
      <c r="T2855" t="s">
        <v>2729</v>
      </c>
      <c r="U2855" t="str">
        <f>IF($L2855&gt;0,VLOOKUP($E2855,Valida!$A$1:$G$270,6,FALSE),IF($M2855&gt;=0,VLOOKUP($E2855,Valida!$A$1:$G$270,7,FALSE)))</f>
        <v>(+/-) Ganancia (pérdida)</v>
      </c>
      <c r="V2855" s="190" t="str">
        <f>VLOOKUP(E2855,Valida!$A$2:$K$271,4,FALSE)</f>
        <v>P&amp;L</v>
      </c>
      <c r="W2855" s="185" t="s">
        <v>3454</v>
      </c>
      <c r="X2855" s="185" t="s">
        <v>3455</v>
      </c>
      <c r="Y2855" s="185" t="s">
        <v>1789</v>
      </c>
      <c r="Z2855"/>
    </row>
    <row r="2856" spans="1:26">
      <c r="A2856" s="185" t="s">
        <v>3615</v>
      </c>
      <c r="B2856" s="185" t="s">
        <v>3619</v>
      </c>
      <c r="C2856" s="185" t="s">
        <v>1897</v>
      </c>
      <c r="D2856" s="185" t="s">
        <v>3620</v>
      </c>
      <c r="E2856" s="185">
        <v>510530</v>
      </c>
      <c r="F2856" s="185" t="s">
        <v>813</v>
      </c>
      <c r="G2856" s="185" t="s">
        <v>3624</v>
      </c>
      <c r="H2856" s="185" t="s">
        <v>1515</v>
      </c>
      <c r="I2856" s="258" t="str">
        <f t="shared" si="133"/>
        <v>5</v>
      </c>
      <c r="J2856" s="221">
        <f t="shared" si="134"/>
        <v>136662</v>
      </c>
      <c r="K2856" s="258">
        <f t="shared" si="135"/>
        <v>10</v>
      </c>
      <c r="L2856" s="188">
        <v>136662</v>
      </c>
      <c r="M2856" s="188">
        <v>0</v>
      </c>
      <c r="N2856" s="189">
        <v>1010101811</v>
      </c>
      <c r="O2856" t="s">
        <v>3619</v>
      </c>
      <c r="P2856" s="187">
        <v>45226</v>
      </c>
      <c r="Q2856" s="186">
        <v>14029</v>
      </c>
      <c r="R2856" s="185"/>
      <c r="S2856" s="185" t="s">
        <v>1528</v>
      </c>
      <c r="T2856" t="s">
        <v>2729</v>
      </c>
      <c r="U2856" t="str">
        <f>IF($L2856&gt;0,VLOOKUP($E2856,Valida!$A$1:$G$270,6,FALSE),IF($M2856&gt;=0,VLOOKUP($E2856,Valida!$A$1:$G$270,7,FALSE)))</f>
        <v>(+/-) Ganancia (pérdida)</v>
      </c>
      <c r="V2856" s="190" t="str">
        <f>VLOOKUP(E2856,Valida!$A$2:$K$271,4,FALSE)</f>
        <v>P&amp;L</v>
      </c>
      <c r="W2856" s="185" t="s">
        <v>1967</v>
      </c>
      <c r="X2856" s="185"/>
      <c r="Y2856" s="185" t="s">
        <v>1789</v>
      </c>
      <c r="Z2856"/>
    </row>
    <row r="2857" spans="1:26">
      <c r="A2857" s="185" t="s">
        <v>3615</v>
      </c>
      <c r="B2857" s="185" t="s">
        <v>3619</v>
      </c>
      <c r="C2857" s="185" t="s">
        <v>1897</v>
      </c>
      <c r="D2857" s="185" t="s">
        <v>3620</v>
      </c>
      <c r="E2857" s="185">
        <v>510530</v>
      </c>
      <c r="F2857" s="185" t="s">
        <v>813</v>
      </c>
      <c r="G2857" s="185" t="s">
        <v>3624</v>
      </c>
      <c r="H2857" s="185" t="s">
        <v>1515</v>
      </c>
      <c r="I2857" s="258" t="str">
        <f t="shared" si="133"/>
        <v>5</v>
      </c>
      <c r="J2857" s="221">
        <f t="shared" si="134"/>
        <v>96628</v>
      </c>
      <c r="K2857" s="258">
        <f t="shared" si="135"/>
        <v>10</v>
      </c>
      <c r="L2857" s="188">
        <v>96628</v>
      </c>
      <c r="M2857" s="188">
        <v>0</v>
      </c>
      <c r="N2857" s="189">
        <v>1020842223</v>
      </c>
      <c r="O2857" t="s">
        <v>3619</v>
      </c>
      <c r="P2857" s="187">
        <v>45226</v>
      </c>
      <c r="Q2857" s="186">
        <v>14030</v>
      </c>
      <c r="R2857" s="185"/>
      <c r="S2857" s="185" t="s">
        <v>1532</v>
      </c>
      <c r="T2857" t="s">
        <v>2729</v>
      </c>
      <c r="U2857" t="str">
        <f>IF($L2857&gt;0,VLOOKUP($E2857,Valida!$A$1:$G$270,6,FALSE),IF($M2857&gt;=0,VLOOKUP($E2857,Valida!$A$1:$G$270,7,FALSE)))</f>
        <v>(+/-) Ganancia (pérdida)</v>
      </c>
      <c r="V2857" s="190" t="str">
        <f>VLOOKUP(E2857,Valida!$A$2:$K$271,4,FALSE)</f>
        <v>P&amp;L</v>
      </c>
      <c r="W2857" s="185" t="s">
        <v>1900</v>
      </c>
      <c r="X2857" s="185"/>
      <c r="Y2857" s="185" t="s">
        <v>1789</v>
      </c>
      <c r="Z2857"/>
    </row>
    <row r="2858" spans="1:26">
      <c r="A2858" s="185" t="s">
        <v>3615</v>
      </c>
      <c r="B2858" s="185" t="s">
        <v>3619</v>
      </c>
      <c r="C2858" s="185" t="s">
        <v>1897</v>
      </c>
      <c r="D2858" s="185" t="s">
        <v>3620</v>
      </c>
      <c r="E2858" s="185">
        <v>510530</v>
      </c>
      <c r="F2858" s="185" t="s">
        <v>813</v>
      </c>
      <c r="G2858" s="185" t="s">
        <v>3624</v>
      </c>
      <c r="H2858" s="185" t="s">
        <v>1515</v>
      </c>
      <c r="I2858" s="258" t="str">
        <f t="shared" si="133"/>
        <v>5</v>
      </c>
      <c r="J2858" s="221">
        <f t="shared" si="134"/>
        <v>108340</v>
      </c>
      <c r="K2858" s="258">
        <f t="shared" si="135"/>
        <v>10</v>
      </c>
      <c r="L2858" s="188">
        <v>108340</v>
      </c>
      <c r="M2858" s="188">
        <v>0</v>
      </c>
      <c r="N2858" s="189">
        <v>1130744136</v>
      </c>
      <c r="O2858" t="s">
        <v>3619</v>
      </c>
      <c r="P2858" s="187">
        <v>45226</v>
      </c>
      <c r="Q2858" s="186">
        <v>14031</v>
      </c>
      <c r="R2858" s="185"/>
      <c r="S2858" s="185" t="s">
        <v>1538</v>
      </c>
      <c r="T2858" t="s">
        <v>2729</v>
      </c>
      <c r="U2858" t="str">
        <f>IF($L2858&gt;0,VLOOKUP($E2858,Valida!$A$1:$G$270,6,FALSE),IF($M2858&gt;=0,VLOOKUP($E2858,Valida!$A$1:$G$270,7,FALSE)))</f>
        <v>(+/-) Ganancia (pérdida)</v>
      </c>
      <c r="V2858" s="190" t="str">
        <f>VLOOKUP(E2858,Valida!$A$2:$K$271,4,FALSE)</f>
        <v>P&amp;L</v>
      </c>
      <c r="W2858" s="185" t="s">
        <v>1909</v>
      </c>
      <c r="X2858" s="185" t="s">
        <v>1910</v>
      </c>
      <c r="Y2858" s="185" t="s">
        <v>1789</v>
      </c>
      <c r="Z2858"/>
    </row>
    <row r="2859" spans="1:26">
      <c r="A2859" s="185" t="s">
        <v>3615</v>
      </c>
      <c r="B2859" s="185" t="s">
        <v>3619</v>
      </c>
      <c r="C2859" s="185" t="s">
        <v>1897</v>
      </c>
      <c r="D2859" s="185" t="s">
        <v>3620</v>
      </c>
      <c r="E2859" s="185">
        <v>510533</v>
      </c>
      <c r="F2859" s="185" t="s">
        <v>779</v>
      </c>
      <c r="G2859" s="185" t="s">
        <v>3625</v>
      </c>
      <c r="H2859" s="185" t="s">
        <v>1515</v>
      </c>
      <c r="I2859" s="258" t="str">
        <f t="shared" si="133"/>
        <v>5</v>
      </c>
      <c r="J2859" s="221">
        <f t="shared" si="134"/>
        <v>14166</v>
      </c>
      <c r="K2859" s="258">
        <f t="shared" si="135"/>
        <v>10</v>
      </c>
      <c r="L2859" s="188">
        <v>14166</v>
      </c>
      <c r="M2859" s="188">
        <v>0</v>
      </c>
      <c r="N2859" s="189">
        <v>1000018061</v>
      </c>
      <c r="O2859" t="s">
        <v>3619</v>
      </c>
      <c r="P2859" s="187">
        <v>45226</v>
      </c>
      <c r="Q2859" s="186">
        <v>14032</v>
      </c>
      <c r="R2859" s="185"/>
      <c r="S2859" s="185" t="s">
        <v>1522</v>
      </c>
      <c r="T2859" t="s">
        <v>2729</v>
      </c>
      <c r="U2859" t="str">
        <f>IF($L2859&gt;0,VLOOKUP($E2859,Valida!$A$1:$G$270,6,FALSE),IF($M2859&gt;=0,VLOOKUP($E2859,Valida!$A$1:$G$270,7,FALSE)))</f>
        <v>(+/-) Ganancia (pérdida)</v>
      </c>
      <c r="V2859" s="190" t="str">
        <f>VLOOKUP(E2859,Valida!$A$2:$K$271,4,FALSE)</f>
        <v>P&amp;L</v>
      </c>
      <c r="W2859" s="185" t="s">
        <v>1978</v>
      </c>
      <c r="X2859" s="185"/>
      <c r="Y2859" s="185" t="s">
        <v>1789</v>
      </c>
      <c r="Z2859"/>
    </row>
    <row r="2860" spans="1:26">
      <c r="A2860" s="185" t="s">
        <v>3615</v>
      </c>
      <c r="B2860" s="185" t="s">
        <v>3619</v>
      </c>
      <c r="C2860" s="185" t="s">
        <v>1897</v>
      </c>
      <c r="D2860" s="185" t="s">
        <v>3620</v>
      </c>
      <c r="E2860" s="185">
        <v>510533</v>
      </c>
      <c r="F2860" s="185" t="s">
        <v>779</v>
      </c>
      <c r="G2860" s="185" t="s">
        <v>3625</v>
      </c>
      <c r="H2860" s="185" t="s">
        <v>1515</v>
      </c>
      <c r="I2860" s="258" t="str">
        <f t="shared" si="133"/>
        <v>5</v>
      </c>
      <c r="J2860" s="221">
        <f t="shared" si="134"/>
        <v>23728</v>
      </c>
      <c r="K2860" s="258">
        <f t="shared" si="135"/>
        <v>10</v>
      </c>
      <c r="L2860" s="188">
        <v>23728</v>
      </c>
      <c r="M2860" s="188">
        <v>0</v>
      </c>
      <c r="N2860" s="189">
        <v>1000036375</v>
      </c>
      <c r="O2860" t="s">
        <v>3619</v>
      </c>
      <c r="P2860" s="187">
        <v>45226</v>
      </c>
      <c r="Q2860" s="186">
        <v>14033</v>
      </c>
      <c r="R2860" s="185"/>
      <c r="S2860" s="185" t="s">
        <v>1524</v>
      </c>
      <c r="T2860" t="s">
        <v>2729</v>
      </c>
      <c r="U2860" t="str">
        <f>IF($L2860&gt;0,VLOOKUP($E2860,Valida!$A$1:$G$270,6,FALSE),IF($M2860&gt;=0,VLOOKUP($E2860,Valida!$A$1:$G$270,7,FALSE)))</f>
        <v>(+/-) Ganancia (pérdida)</v>
      </c>
      <c r="V2860" s="190" t="str">
        <f>VLOOKUP(E2860,Valida!$A$2:$K$271,4,FALSE)</f>
        <v>P&amp;L</v>
      </c>
      <c r="W2860" s="185" t="s">
        <v>1983</v>
      </c>
      <c r="X2860" s="185"/>
      <c r="Y2860" s="185" t="s">
        <v>1789</v>
      </c>
      <c r="Z2860"/>
    </row>
    <row r="2861" spans="1:26">
      <c r="A2861" s="185" t="s">
        <v>3615</v>
      </c>
      <c r="B2861" s="185" t="s">
        <v>3619</v>
      </c>
      <c r="C2861" s="185" t="s">
        <v>1897</v>
      </c>
      <c r="D2861" s="185" t="s">
        <v>3620</v>
      </c>
      <c r="E2861" s="185">
        <v>510533</v>
      </c>
      <c r="F2861" s="185" t="s">
        <v>779</v>
      </c>
      <c r="G2861" s="185" t="s">
        <v>3625</v>
      </c>
      <c r="H2861" s="185" t="s">
        <v>1515</v>
      </c>
      <c r="I2861" s="258" t="str">
        <f t="shared" si="133"/>
        <v>5</v>
      </c>
      <c r="J2861" s="221">
        <f t="shared" si="134"/>
        <v>15181</v>
      </c>
      <c r="K2861" s="258">
        <f t="shared" si="135"/>
        <v>10</v>
      </c>
      <c r="L2861" s="188">
        <v>15181</v>
      </c>
      <c r="M2861" s="188">
        <v>0</v>
      </c>
      <c r="N2861" s="189">
        <v>1001284057</v>
      </c>
      <c r="O2861" t="s">
        <v>3619</v>
      </c>
      <c r="P2861" s="187">
        <v>45226</v>
      </c>
      <c r="Q2861" s="186">
        <v>14034</v>
      </c>
      <c r="R2861" s="185"/>
      <c r="S2861" s="185" t="s">
        <v>1526</v>
      </c>
      <c r="T2861" t="s">
        <v>2729</v>
      </c>
      <c r="U2861" t="str">
        <f>IF($L2861&gt;0,VLOOKUP($E2861,Valida!$A$1:$G$270,6,FALSE),IF($M2861&gt;=0,VLOOKUP($E2861,Valida!$A$1:$G$270,7,FALSE)))</f>
        <v>(+/-) Ganancia (pérdida)</v>
      </c>
      <c r="V2861" s="190" t="str">
        <f>VLOOKUP(E2861,Valida!$A$2:$K$271,4,FALSE)</f>
        <v>P&amp;L</v>
      </c>
      <c r="W2861" s="185" t="s">
        <v>3454</v>
      </c>
      <c r="X2861" s="185" t="s">
        <v>3455</v>
      </c>
      <c r="Y2861" s="185" t="s">
        <v>1789</v>
      </c>
      <c r="Z2861"/>
    </row>
    <row r="2862" spans="1:26">
      <c r="A2862" s="185" t="s">
        <v>3615</v>
      </c>
      <c r="B2862" s="185" t="s">
        <v>3619</v>
      </c>
      <c r="C2862" s="185" t="s">
        <v>1897</v>
      </c>
      <c r="D2862" s="185" t="s">
        <v>3620</v>
      </c>
      <c r="E2862" s="185">
        <v>510533</v>
      </c>
      <c r="F2862" s="185" t="s">
        <v>779</v>
      </c>
      <c r="G2862" s="185" t="s">
        <v>3625</v>
      </c>
      <c r="H2862" s="185" t="s">
        <v>1515</v>
      </c>
      <c r="I2862" s="258" t="str">
        <f t="shared" si="133"/>
        <v>5</v>
      </c>
      <c r="J2862" s="221">
        <f t="shared" si="134"/>
        <v>16406</v>
      </c>
      <c r="K2862" s="258">
        <f t="shared" si="135"/>
        <v>10</v>
      </c>
      <c r="L2862" s="188">
        <v>16406</v>
      </c>
      <c r="M2862" s="188">
        <v>0</v>
      </c>
      <c r="N2862" s="189">
        <v>1010101811</v>
      </c>
      <c r="O2862" t="s">
        <v>3619</v>
      </c>
      <c r="P2862" s="187">
        <v>45226</v>
      </c>
      <c r="Q2862" s="186">
        <v>14035</v>
      </c>
      <c r="R2862" s="185"/>
      <c r="S2862" s="185" t="s">
        <v>1528</v>
      </c>
      <c r="T2862" t="s">
        <v>2729</v>
      </c>
      <c r="U2862" t="str">
        <f>IF($L2862&gt;0,VLOOKUP($E2862,Valida!$A$1:$G$270,6,FALSE),IF($M2862&gt;=0,VLOOKUP($E2862,Valida!$A$1:$G$270,7,FALSE)))</f>
        <v>(+/-) Ganancia (pérdida)</v>
      </c>
      <c r="V2862" s="190" t="str">
        <f>VLOOKUP(E2862,Valida!$A$2:$K$271,4,FALSE)</f>
        <v>P&amp;L</v>
      </c>
      <c r="W2862" s="185" t="s">
        <v>1967</v>
      </c>
      <c r="X2862" s="185"/>
      <c r="Y2862" s="185" t="s">
        <v>1789</v>
      </c>
      <c r="Z2862"/>
    </row>
    <row r="2863" spans="1:26">
      <c r="A2863" s="185" t="s">
        <v>3615</v>
      </c>
      <c r="B2863" s="185" t="s">
        <v>3619</v>
      </c>
      <c r="C2863" s="185" t="s">
        <v>1897</v>
      </c>
      <c r="D2863" s="185" t="s">
        <v>3620</v>
      </c>
      <c r="E2863" s="185">
        <v>510533</v>
      </c>
      <c r="F2863" s="185" t="s">
        <v>779</v>
      </c>
      <c r="G2863" s="185" t="s">
        <v>3625</v>
      </c>
      <c r="H2863" s="185" t="s">
        <v>1515</v>
      </c>
      <c r="I2863" s="258" t="str">
        <f t="shared" si="133"/>
        <v>5</v>
      </c>
      <c r="J2863" s="221">
        <f t="shared" si="134"/>
        <v>11600</v>
      </c>
      <c r="K2863" s="258">
        <f t="shared" si="135"/>
        <v>10</v>
      </c>
      <c r="L2863" s="188">
        <v>11600</v>
      </c>
      <c r="M2863" s="188">
        <v>0</v>
      </c>
      <c r="N2863" s="189">
        <v>1020842223</v>
      </c>
      <c r="O2863" t="s">
        <v>3619</v>
      </c>
      <c r="P2863" s="187">
        <v>45226</v>
      </c>
      <c r="Q2863" s="186">
        <v>14036</v>
      </c>
      <c r="R2863" s="185"/>
      <c r="S2863" s="185" t="s">
        <v>1532</v>
      </c>
      <c r="T2863" t="s">
        <v>2729</v>
      </c>
      <c r="U2863" t="str">
        <f>IF($L2863&gt;0,VLOOKUP($E2863,Valida!$A$1:$G$270,6,FALSE),IF($M2863&gt;=0,VLOOKUP($E2863,Valida!$A$1:$G$270,7,FALSE)))</f>
        <v>(+/-) Ganancia (pérdida)</v>
      </c>
      <c r="V2863" s="190" t="str">
        <f>VLOOKUP(E2863,Valida!$A$2:$K$271,4,FALSE)</f>
        <v>P&amp;L</v>
      </c>
      <c r="W2863" s="185" t="s">
        <v>1900</v>
      </c>
      <c r="X2863" s="185"/>
      <c r="Y2863" s="185" t="s">
        <v>1789</v>
      </c>
      <c r="Z2863"/>
    </row>
    <row r="2864" spans="1:26">
      <c r="A2864" s="185" t="s">
        <v>3615</v>
      </c>
      <c r="B2864" s="185" t="s">
        <v>3619</v>
      </c>
      <c r="C2864" s="185" t="s">
        <v>1897</v>
      </c>
      <c r="D2864" s="185" t="s">
        <v>3620</v>
      </c>
      <c r="E2864" s="185">
        <v>510533</v>
      </c>
      <c r="F2864" s="185" t="s">
        <v>779</v>
      </c>
      <c r="G2864" s="185" t="s">
        <v>3625</v>
      </c>
      <c r="H2864" s="185" t="s">
        <v>1515</v>
      </c>
      <c r="I2864" s="258" t="str">
        <f t="shared" si="133"/>
        <v>5</v>
      </c>
      <c r="J2864" s="221">
        <f t="shared" si="134"/>
        <v>13006</v>
      </c>
      <c r="K2864" s="258">
        <f t="shared" si="135"/>
        <v>10</v>
      </c>
      <c r="L2864" s="188">
        <v>13006</v>
      </c>
      <c r="M2864" s="188">
        <v>0</v>
      </c>
      <c r="N2864" s="189">
        <v>1130744136</v>
      </c>
      <c r="O2864" t="s">
        <v>3619</v>
      </c>
      <c r="P2864" s="187">
        <v>45226</v>
      </c>
      <c r="Q2864" s="186">
        <v>14037</v>
      </c>
      <c r="R2864" s="185"/>
      <c r="S2864" s="185" t="s">
        <v>1538</v>
      </c>
      <c r="T2864" t="s">
        <v>2729</v>
      </c>
      <c r="U2864" t="str">
        <f>IF($L2864&gt;0,VLOOKUP($E2864,Valida!$A$1:$G$270,6,FALSE),IF($M2864&gt;=0,VLOOKUP($E2864,Valida!$A$1:$G$270,7,FALSE)))</f>
        <v>(+/-) Ganancia (pérdida)</v>
      </c>
      <c r="V2864" s="190" t="str">
        <f>VLOOKUP(E2864,Valida!$A$2:$K$271,4,FALSE)</f>
        <v>P&amp;L</v>
      </c>
      <c r="W2864" s="185" t="s">
        <v>1909</v>
      </c>
      <c r="X2864" s="185" t="s">
        <v>1910</v>
      </c>
      <c r="Y2864" s="185" t="s">
        <v>1789</v>
      </c>
      <c r="Z2864"/>
    </row>
    <row r="2865" spans="1:26">
      <c r="A2865" s="185" t="s">
        <v>3615</v>
      </c>
      <c r="B2865" s="185" t="s">
        <v>3619</v>
      </c>
      <c r="C2865" s="185" t="s">
        <v>1897</v>
      </c>
      <c r="D2865" s="185" t="s">
        <v>3620</v>
      </c>
      <c r="E2865" s="185">
        <v>510536</v>
      </c>
      <c r="F2865" s="185" t="s">
        <v>783</v>
      </c>
      <c r="G2865" s="185" t="s">
        <v>3626</v>
      </c>
      <c r="H2865" s="185" t="s">
        <v>1515</v>
      </c>
      <c r="I2865" s="258" t="str">
        <f t="shared" si="133"/>
        <v>5</v>
      </c>
      <c r="J2865" s="221">
        <f t="shared" si="134"/>
        <v>118003</v>
      </c>
      <c r="K2865" s="258">
        <f t="shared" si="135"/>
        <v>10</v>
      </c>
      <c r="L2865" s="188">
        <v>118003</v>
      </c>
      <c r="M2865" s="188">
        <v>0</v>
      </c>
      <c r="N2865" s="189">
        <v>1000018061</v>
      </c>
      <c r="O2865" t="s">
        <v>3619</v>
      </c>
      <c r="P2865" s="187">
        <v>45226</v>
      </c>
      <c r="Q2865" s="186">
        <v>14038</v>
      </c>
      <c r="R2865" s="185"/>
      <c r="S2865" s="185" t="s">
        <v>1522</v>
      </c>
      <c r="T2865" t="s">
        <v>2729</v>
      </c>
      <c r="U2865" t="str">
        <f>IF($L2865&gt;0,VLOOKUP($E2865,Valida!$A$1:$G$270,6,FALSE),IF($M2865&gt;=0,VLOOKUP($E2865,Valida!$A$1:$G$270,7,FALSE)))</f>
        <v>(+/-) Ganancia (pérdida)</v>
      </c>
      <c r="V2865" s="190" t="str">
        <f>VLOOKUP(E2865,Valida!$A$2:$K$271,4,FALSE)</f>
        <v>P&amp;L</v>
      </c>
      <c r="W2865" s="185" t="s">
        <v>1978</v>
      </c>
      <c r="X2865" s="185"/>
      <c r="Y2865" s="185" t="s">
        <v>1789</v>
      </c>
      <c r="Z2865"/>
    </row>
    <row r="2866" spans="1:26">
      <c r="A2866" s="185" t="s">
        <v>3615</v>
      </c>
      <c r="B2866" s="185" t="s">
        <v>3619</v>
      </c>
      <c r="C2866" s="185" t="s">
        <v>1897</v>
      </c>
      <c r="D2866" s="185" t="s">
        <v>3620</v>
      </c>
      <c r="E2866" s="185">
        <v>510536</v>
      </c>
      <c r="F2866" s="185" t="s">
        <v>783</v>
      </c>
      <c r="G2866" s="185" t="s">
        <v>3626</v>
      </c>
      <c r="H2866" s="185" t="s">
        <v>1515</v>
      </c>
      <c r="I2866" s="258" t="str">
        <f t="shared" si="133"/>
        <v>5</v>
      </c>
      <c r="J2866" s="221">
        <f t="shared" si="134"/>
        <v>197654</v>
      </c>
      <c r="K2866" s="258">
        <f t="shared" si="135"/>
        <v>10</v>
      </c>
      <c r="L2866" s="188">
        <v>197654</v>
      </c>
      <c r="M2866" s="188">
        <v>0</v>
      </c>
      <c r="N2866" s="189">
        <v>1000036375</v>
      </c>
      <c r="O2866" t="s">
        <v>3619</v>
      </c>
      <c r="P2866" s="187">
        <v>45226</v>
      </c>
      <c r="Q2866" s="186">
        <v>14039</v>
      </c>
      <c r="R2866" s="185"/>
      <c r="S2866" s="185" t="s">
        <v>1524</v>
      </c>
      <c r="T2866" t="s">
        <v>2729</v>
      </c>
      <c r="U2866" t="str">
        <f>IF($L2866&gt;0,VLOOKUP($E2866,Valida!$A$1:$G$270,6,FALSE),IF($M2866&gt;=0,VLOOKUP($E2866,Valida!$A$1:$G$270,7,FALSE)))</f>
        <v>(+/-) Ganancia (pérdida)</v>
      </c>
      <c r="V2866" s="190" t="str">
        <f>VLOOKUP(E2866,Valida!$A$2:$K$271,4,FALSE)</f>
        <v>P&amp;L</v>
      </c>
      <c r="W2866" s="185" t="s">
        <v>1983</v>
      </c>
      <c r="X2866" s="185"/>
      <c r="Y2866" s="185" t="s">
        <v>1789</v>
      </c>
      <c r="Z2866"/>
    </row>
    <row r="2867" spans="1:26">
      <c r="A2867" s="185" t="s">
        <v>3615</v>
      </c>
      <c r="B2867" s="185" t="s">
        <v>3619</v>
      </c>
      <c r="C2867" s="185" t="s">
        <v>1897</v>
      </c>
      <c r="D2867" s="185" t="s">
        <v>3620</v>
      </c>
      <c r="E2867" s="185">
        <v>510536</v>
      </c>
      <c r="F2867" s="185" t="s">
        <v>783</v>
      </c>
      <c r="G2867" s="185" t="s">
        <v>3626</v>
      </c>
      <c r="H2867" s="185" t="s">
        <v>1515</v>
      </c>
      <c r="I2867" s="258" t="str">
        <f t="shared" si="133"/>
        <v>5</v>
      </c>
      <c r="J2867" s="221">
        <f t="shared" si="134"/>
        <v>126458</v>
      </c>
      <c r="K2867" s="258">
        <f t="shared" si="135"/>
        <v>10</v>
      </c>
      <c r="L2867" s="188">
        <v>126458</v>
      </c>
      <c r="M2867" s="188">
        <v>0</v>
      </c>
      <c r="N2867" s="189">
        <v>1001284057</v>
      </c>
      <c r="O2867" t="s">
        <v>3619</v>
      </c>
      <c r="P2867" s="187">
        <v>45226</v>
      </c>
      <c r="Q2867" s="186">
        <v>14040</v>
      </c>
      <c r="R2867" s="185"/>
      <c r="S2867" s="185" t="s">
        <v>1526</v>
      </c>
      <c r="T2867" t="s">
        <v>2729</v>
      </c>
      <c r="U2867" t="str">
        <f>IF($L2867&gt;0,VLOOKUP($E2867,Valida!$A$1:$G$270,6,FALSE),IF($M2867&gt;=0,VLOOKUP($E2867,Valida!$A$1:$G$270,7,FALSE)))</f>
        <v>(+/-) Ganancia (pérdida)</v>
      </c>
      <c r="V2867" s="190" t="str">
        <f>VLOOKUP(E2867,Valida!$A$2:$K$271,4,FALSE)</f>
        <v>P&amp;L</v>
      </c>
      <c r="W2867" s="185" t="s">
        <v>3454</v>
      </c>
      <c r="X2867" s="185" t="s">
        <v>3455</v>
      </c>
      <c r="Y2867" s="185" t="s">
        <v>1789</v>
      </c>
      <c r="Z2867"/>
    </row>
    <row r="2868" spans="1:26">
      <c r="A2868" s="185" t="s">
        <v>3615</v>
      </c>
      <c r="B2868" s="185" t="s">
        <v>3619</v>
      </c>
      <c r="C2868" s="185" t="s">
        <v>1897</v>
      </c>
      <c r="D2868" s="185" t="s">
        <v>3620</v>
      </c>
      <c r="E2868" s="185">
        <v>510536</v>
      </c>
      <c r="F2868" s="185" t="s">
        <v>783</v>
      </c>
      <c r="G2868" s="185" t="s">
        <v>3626</v>
      </c>
      <c r="H2868" s="185" t="s">
        <v>1515</v>
      </c>
      <c r="I2868" s="258" t="str">
        <f t="shared" si="133"/>
        <v>5</v>
      </c>
      <c r="J2868" s="221">
        <f t="shared" si="134"/>
        <v>136662</v>
      </c>
      <c r="K2868" s="258">
        <f t="shared" si="135"/>
        <v>10</v>
      </c>
      <c r="L2868" s="188">
        <v>136662</v>
      </c>
      <c r="M2868" s="188">
        <v>0</v>
      </c>
      <c r="N2868" s="189">
        <v>1010101811</v>
      </c>
      <c r="O2868" t="s">
        <v>3619</v>
      </c>
      <c r="P2868" s="187">
        <v>45226</v>
      </c>
      <c r="Q2868" s="186">
        <v>14041</v>
      </c>
      <c r="R2868" s="185"/>
      <c r="S2868" s="185" t="s">
        <v>1528</v>
      </c>
      <c r="T2868" t="s">
        <v>2729</v>
      </c>
      <c r="U2868" t="str">
        <f>IF($L2868&gt;0,VLOOKUP($E2868,Valida!$A$1:$G$270,6,FALSE),IF($M2868&gt;=0,VLOOKUP($E2868,Valida!$A$1:$G$270,7,FALSE)))</f>
        <v>(+/-) Ganancia (pérdida)</v>
      </c>
      <c r="V2868" s="190" t="str">
        <f>VLOOKUP(E2868,Valida!$A$2:$K$271,4,FALSE)</f>
        <v>P&amp;L</v>
      </c>
      <c r="W2868" s="185" t="s">
        <v>1967</v>
      </c>
      <c r="X2868" s="185"/>
      <c r="Y2868" s="185" t="s">
        <v>1789</v>
      </c>
      <c r="Z2868"/>
    </row>
    <row r="2869" spans="1:26">
      <c r="A2869" s="185" t="s">
        <v>3615</v>
      </c>
      <c r="B2869" s="185" t="s">
        <v>3619</v>
      </c>
      <c r="C2869" s="185" t="s">
        <v>1897</v>
      </c>
      <c r="D2869" s="185" t="s">
        <v>3620</v>
      </c>
      <c r="E2869" s="185">
        <v>510536</v>
      </c>
      <c r="F2869" s="185" t="s">
        <v>783</v>
      </c>
      <c r="G2869" s="185" t="s">
        <v>3626</v>
      </c>
      <c r="H2869" s="185" t="s">
        <v>1515</v>
      </c>
      <c r="I2869" s="258" t="str">
        <f t="shared" si="133"/>
        <v>5</v>
      </c>
      <c r="J2869" s="221">
        <f t="shared" si="134"/>
        <v>96628</v>
      </c>
      <c r="K2869" s="258">
        <f t="shared" si="135"/>
        <v>10</v>
      </c>
      <c r="L2869" s="188">
        <v>96628</v>
      </c>
      <c r="M2869" s="188">
        <v>0</v>
      </c>
      <c r="N2869" s="189">
        <v>1020842223</v>
      </c>
      <c r="O2869" t="s">
        <v>3619</v>
      </c>
      <c r="P2869" s="187">
        <v>45226</v>
      </c>
      <c r="Q2869" s="186">
        <v>14042</v>
      </c>
      <c r="R2869" s="185"/>
      <c r="S2869" s="185" t="s">
        <v>1532</v>
      </c>
      <c r="T2869" t="s">
        <v>2729</v>
      </c>
      <c r="U2869" t="str">
        <f>IF($L2869&gt;0,VLOOKUP($E2869,Valida!$A$1:$G$270,6,FALSE),IF($M2869&gt;=0,VLOOKUP($E2869,Valida!$A$1:$G$270,7,FALSE)))</f>
        <v>(+/-) Ganancia (pérdida)</v>
      </c>
      <c r="V2869" s="190" t="str">
        <f>VLOOKUP(E2869,Valida!$A$2:$K$271,4,FALSE)</f>
        <v>P&amp;L</v>
      </c>
      <c r="W2869" s="185" t="s">
        <v>1900</v>
      </c>
      <c r="X2869" s="185"/>
      <c r="Y2869" s="185" t="s">
        <v>1789</v>
      </c>
      <c r="Z2869"/>
    </row>
    <row r="2870" spans="1:26">
      <c r="A2870" s="185" t="s">
        <v>3615</v>
      </c>
      <c r="B2870" s="185" t="s">
        <v>3619</v>
      </c>
      <c r="C2870" s="185" t="s">
        <v>1897</v>
      </c>
      <c r="D2870" s="185" t="s">
        <v>3620</v>
      </c>
      <c r="E2870" s="185">
        <v>510536</v>
      </c>
      <c r="F2870" s="185" t="s">
        <v>783</v>
      </c>
      <c r="G2870" s="185" t="s">
        <v>3626</v>
      </c>
      <c r="H2870" s="185" t="s">
        <v>1515</v>
      </c>
      <c r="I2870" s="258" t="str">
        <f t="shared" si="133"/>
        <v>5</v>
      </c>
      <c r="J2870" s="221">
        <f t="shared" si="134"/>
        <v>108340</v>
      </c>
      <c r="K2870" s="258">
        <f t="shared" si="135"/>
        <v>10</v>
      </c>
      <c r="L2870" s="188">
        <v>108340</v>
      </c>
      <c r="M2870" s="188">
        <v>0</v>
      </c>
      <c r="N2870" s="189">
        <v>1130744136</v>
      </c>
      <c r="O2870" t="s">
        <v>3619</v>
      </c>
      <c r="P2870" s="187">
        <v>45226</v>
      </c>
      <c r="Q2870" s="186">
        <v>14043</v>
      </c>
      <c r="R2870" s="185"/>
      <c r="S2870" s="185" t="s">
        <v>1538</v>
      </c>
      <c r="T2870" t="s">
        <v>2729</v>
      </c>
      <c r="U2870" t="str">
        <f>IF($L2870&gt;0,VLOOKUP($E2870,Valida!$A$1:$G$270,6,FALSE),IF($M2870&gt;=0,VLOOKUP($E2870,Valida!$A$1:$G$270,7,FALSE)))</f>
        <v>(+/-) Ganancia (pérdida)</v>
      </c>
      <c r="V2870" s="190" t="str">
        <f>VLOOKUP(E2870,Valida!$A$2:$K$271,4,FALSE)</f>
        <v>P&amp;L</v>
      </c>
      <c r="W2870" s="185" t="s">
        <v>1909</v>
      </c>
      <c r="X2870" s="185" t="s">
        <v>1910</v>
      </c>
      <c r="Y2870" s="185" t="s">
        <v>1789</v>
      </c>
      <c r="Z2870"/>
    </row>
    <row r="2871" spans="1:26">
      <c r="A2871" s="185" t="s">
        <v>3615</v>
      </c>
      <c r="B2871" s="185" t="s">
        <v>3619</v>
      </c>
      <c r="C2871" s="185" t="s">
        <v>1897</v>
      </c>
      <c r="D2871" s="185" t="s">
        <v>3620</v>
      </c>
      <c r="E2871" s="185">
        <v>510539</v>
      </c>
      <c r="F2871" s="185" t="s">
        <v>818</v>
      </c>
      <c r="G2871" s="185" t="s">
        <v>3627</v>
      </c>
      <c r="H2871" s="185" t="s">
        <v>1515</v>
      </c>
      <c r="I2871" s="258" t="str">
        <f t="shared" si="133"/>
        <v>5</v>
      </c>
      <c r="J2871" s="221">
        <f t="shared" si="134"/>
        <v>53209</v>
      </c>
      <c r="K2871" s="258">
        <f t="shared" si="135"/>
        <v>10</v>
      </c>
      <c r="L2871" s="188">
        <v>53209</v>
      </c>
      <c r="M2871" s="188">
        <v>0</v>
      </c>
      <c r="N2871" s="189">
        <v>1000018061</v>
      </c>
      <c r="O2871" t="s">
        <v>3619</v>
      </c>
      <c r="P2871" s="187">
        <v>45226</v>
      </c>
      <c r="Q2871" s="186">
        <v>14044</v>
      </c>
      <c r="R2871" s="185"/>
      <c r="S2871" s="185" t="s">
        <v>1522</v>
      </c>
      <c r="T2871" t="s">
        <v>2729</v>
      </c>
      <c r="U2871" t="str">
        <f>IF($L2871&gt;0,VLOOKUP($E2871,Valida!$A$1:$G$270,6,FALSE),IF($M2871&gt;=0,VLOOKUP($E2871,Valida!$A$1:$G$270,7,FALSE)))</f>
        <v>(+/-) Ganancia (pérdida)</v>
      </c>
      <c r="V2871" s="190" t="str">
        <f>VLOOKUP(E2871,Valida!$A$2:$K$271,4,FALSE)</f>
        <v>P&amp;L</v>
      </c>
      <c r="W2871" s="185" t="s">
        <v>1978</v>
      </c>
      <c r="X2871" s="185"/>
      <c r="Y2871" s="185" t="s">
        <v>1789</v>
      </c>
      <c r="Z2871"/>
    </row>
    <row r="2872" spans="1:26">
      <c r="A2872" s="185" t="s">
        <v>3615</v>
      </c>
      <c r="B2872" s="185" t="s">
        <v>3619</v>
      </c>
      <c r="C2872" s="185" t="s">
        <v>1897</v>
      </c>
      <c r="D2872" s="185" t="s">
        <v>3620</v>
      </c>
      <c r="E2872" s="185">
        <v>510539</v>
      </c>
      <c r="F2872" s="185" t="s">
        <v>818</v>
      </c>
      <c r="G2872" s="185" t="s">
        <v>3627</v>
      </c>
      <c r="H2872" s="185" t="s">
        <v>1515</v>
      </c>
      <c r="I2872" s="258" t="str">
        <f t="shared" si="133"/>
        <v>5</v>
      </c>
      <c r="J2872" s="221">
        <f t="shared" si="134"/>
        <v>80663</v>
      </c>
      <c r="K2872" s="258">
        <f t="shared" si="135"/>
        <v>10</v>
      </c>
      <c r="L2872" s="188">
        <v>80663</v>
      </c>
      <c r="M2872" s="188">
        <v>0</v>
      </c>
      <c r="N2872" s="189">
        <v>1000036375</v>
      </c>
      <c r="O2872" t="s">
        <v>3619</v>
      </c>
      <c r="P2872" s="187">
        <v>45226</v>
      </c>
      <c r="Q2872" s="186">
        <v>14045</v>
      </c>
      <c r="R2872" s="185"/>
      <c r="S2872" s="185" t="s">
        <v>1524</v>
      </c>
      <c r="T2872" t="s">
        <v>2729</v>
      </c>
      <c r="U2872" t="str">
        <f>IF($L2872&gt;0,VLOOKUP($E2872,Valida!$A$1:$G$270,6,FALSE),IF($M2872&gt;=0,VLOOKUP($E2872,Valida!$A$1:$G$270,7,FALSE)))</f>
        <v>(+/-) Ganancia (pérdida)</v>
      </c>
      <c r="V2872" s="190" t="str">
        <f>VLOOKUP(E2872,Valida!$A$2:$K$271,4,FALSE)</f>
        <v>P&amp;L</v>
      </c>
      <c r="W2872" s="185" t="s">
        <v>1983</v>
      </c>
      <c r="X2872" s="185"/>
      <c r="Y2872" s="185" t="s">
        <v>1789</v>
      </c>
      <c r="Z2872"/>
    </row>
    <row r="2873" spans="1:26">
      <c r="A2873" s="185" t="s">
        <v>3615</v>
      </c>
      <c r="B2873" s="185" t="s">
        <v>3619</v>
      </c>
      <c r="C2873" s="185" t="s">
        <v>1897</v>
      </c>
      <c r="D2873" s="185" t="s">
        <v>3620</v>
      </c>
      <c r="E2873" s="185">
        <v>510539</v>
      </c>
      <c r="F2873" s="185" t="s">
        <v>818</v>
      </c>
      <c r="G2873" s="185" t="s">
        <v>3627</v>
      </c>
      <c r="H2873" s="185" t="s">
        <v>1515</v>
      </c>
      <c r="I2873" s="258" t="str">
        <f t="shared" si="133"/>
        <v>5</v>
      </c>
      <c r="J2873" s="221">
        <f t="shared" si="134"/>
        <v>55669</v>
      </c>
      <c r="K2873" s="258">
        <f t="shared" si="135"/>
        <v>10</v>
      </c>
      <c r="L2873" s="188">
        <v>55669</v>
      </c>
      <c r="M2873" s="188">
        <v>0</v>
      </c>
      <c r="N2873" s="189">
        <v>1001284057</v>
      </c>
      <c r="O2873" t="s">
        <v>3619</v>
      </c>
      <c r="P2873" s="187">
        <v>45226</v>
      </c>
      <c r="Q2873" s="186">
        <v>14046</v>
      </c>
      <c r="R2873" s="185"/>
      <c r="S2873" s="185" t="s">
        <v>1526</v>
      </c>
      <c r="T2873" t="s">
        <v>2729</v>
      </c>
      <c r="U2873" t="str">
        <f>IF($L2873&gt;0,VLOOKUP($E2873,Valida!$A$1:$G$270,6,FALSE),IF($M2873&gt;=0,VLOOKUP($E2873,Valida!$A$1:$G$270,7,FALSE)))</f>
        <v>(+/-) Ganancia (pérdida)</v>
      </c>
      <c r="V2873" s="190" t="str">
        <f>VLOOKUP(E2873,Valida!$A$2:$K$271,4,FALSE)</f>
        <v>P&amp;L</v>
      </c>
      <c r="W2873" s="185" t="s">
        <v>3454</v>
      </c>
      <c r="X2873" s="185" t="s">
        <v>3455</v>
      </c>
      <c r="Y2873" s="185" t="s">
        <v>1789</v>
      </c>
      <c r="Z2873"/>
    </row>
    <row r="2874" spans="1:26">
      <c r="A2874" s="185" t="s">
        <v>3615</v>
      </c>
      <c r="B2874" s="185" t="s">
        <v>3619</v>
      </c>
      <c r="C2874" s="185" t="s">
        <v>1897</v>
      </c>
      <c r="D2874" s="185" t="s">
        <v>3620</v>
      </c>
      <c r="E2874" s="185">
        <v>510539</v>
      </c>
      <c r="F2874" s="185" t="s">
        <v>818</v>
      </c>
      <c r="G2874" s="185" t="s">
        <v>3627</v>
      </c>
      <c r="H2874" s="185" t="s">
        <v>1515</v>
      </c>
      <c r="I2874" s="258" t="str">
        <f t="shared" si="133"/>
        <v>5</v>
      </c>
      <c r="J2874" s="221">
        <f t="shared" si="134"/>
        <v>62550</v>
      </c>
      <c r="K2874" s="258">
        <f t="shared" si="135"/>
        <v>10</v>
      </c>
      <c r="L2874" s="188">
        <v>62550</v>
      </c>
      <c r="M2874" s="188">
        <v>0</v>
      </c>
      <c r="N2874" s="189">
        <v>1010101811</v>
      </c>
      <c r="O2874" t="s">
        <v>3619</v>
      </c>
      <c r="P2874" s="187">
        <v>45226</v>
      </c>
      <c r="Q2874" s="186">
        <v>14047</v>
      </c>
      <c r="R2874" s="185"/>
      <c r="S2874" s="185" t="s">
        <v>1528</v>
      </c>
      <c r="T2874" t="s">
        <v>2729</v>
      </c>
      <c r="U2874" t="str">
        <f>IF($L2874&gt;0,VLOOKUP($E2874,Valida!$A$1:$G$270,6,FALSE),IF($M2874&gt;=0,VLOOKUP($E2874,Valida!$A$1:$G$270,7,FALSE)))</f>
        <v>(+/-) Ganancia (pérdida)</v>
      </c>
      <c r="V2874" s="190" t="str">
        <f>VLOOKUP(E2874,Valida!$A$2:$K$271,4,FALSE)</f>
        <v>P&amp;L</v>
      </c>
      <c r="W2874" s="185" t="s">
        <v>1967</v>
      </c>
      <c r="X2874" s="185"/>
      <c r="Y2874" s="185" t="s">
        <v>1789</v>
      </c>
      <c r="Z2874"/>
    </row>
    <row r="2875" spans="1:26">
      <c r="A2875" s="185" t="s">
        <v>3615</v>
      </c>
      <c r="B2875" s="185" t="s">
        <v>3619</v>
      </c>
      <c r="C2875" s="185" t="s">
        <v>1897</v>
      </c>
      <c r="D2875" s="185" t="s">
        <v>3620</v>
      </c>
      <c r="E2875" s="185">
        <v>510539</v>
      </c>
      <c r="F2875" s="185" t="s">
        <v>818</v>
      </c>
      <c r="G2875" s="185" t="s">
        <v>3627</v>
      </c>
      <c r="H2875" s="185" t="s">
        <v>1515</v>
      </c>
      <c r="I2875" s="258" t="str">
        <f t="shared" si="133"/>
        <v>5</v>
      </c>
      <c r="J2875" s="221">
        <f t="shared" si="134"/>
        <v>48372</v>
      </c>
      <c r="K2875" s="258">
        <f t="shared" si="135"/>
        <v>10</v>
      </c>
      <c r="L2875" s="188">
        <v>48372</v>
      </c>
      <c r="M2875" s="188">
        <v>0</v>
      </c>
      <c r="N2875" s="189">
        <v>1020842223</v>
      </c>
      <c r="O2875" t="s">
        <v>3619</v>
      </c>
      <c r="P2875" s="187">
        <v>45226</v>
      </c>
      <c r="Q2875" s="186">
        <v>14048</v>
      </c>
      <c r="R2875" s="185"/>
      <c r="S2875" s="185" t="s">
        <v>1532</v>
      </c>
      <c r="T2875" t="s">
        <v>2729</v>
      </c>
      <c r="U2875" t="str">
        <f>IF($L2875&gt;0,VLOOKUP($E2875,Valida!$A$1:$G$270,6,FALSE),IF($M2875&gt;=0,VLOOKUP($E2875,Valida!$A$1:$G$270,7,FALSE)))</f>
        <v>(+/-) Ganancia (pérdida)</v>
      </c>
      <c r="V2875" s="190" t="str">
        <f>VLOOKUP(E2875,Valida!$A$2:$K$271,4,FALSE)</f>
        <v>P&amp;L</v>
      </c>
      <c r="W2875" s="185" t="s">
        <v>1900</v>
      </c>
      <c r="X2875" s="185"/>
      <c r="Y2875" s="185" t="s">
        <v>1789</v>
      </c>
      <c r="Z2875"/>
    </row>
    <row r="2876" spans="1:26">
      <c r="A2876" s="185" t="s">
        <v>3615</v>
      </c>
      <c r="B2876" s="185" t="s">
        <v>3619</v>
      </c>
      <c r="C2876" s="185" t="s">
        <v>1897</v>
      </c>
      <c r="D2876" s="185" t="s">
        <v>3620</v>
      </c>
      <c r="E2876" s="185">
        <v>510539</v>
      </c>
      <c r="F2876" s="185" t="s">
        <v>818</v>
      </c>
      <c r="G2876" s="185" t="s">
        <v>3627</v>
      </c>
      <c r="H2876" s="185" t="s">
        <v>1515</v>
      </c>
      <c r="I2876" s="258" t="str">
        <f t="shared" si="133"/>
        <v>5</v>
      </c>
      <c r="J2876" s="221">
        <f t="shared" si="134"/>
        <v>48372</v>
      </c>
      <c r="K2876" s="258">
        <f t="shared" si="135"/>
        <v>10</v>
      </c>
      <c r="L2876" s="188">
        <v>48372</v>
      </c>
      <c r="M2876" s="188">
        <v>0</v>
      </c>
      <c r="N2876" s="189">
        <v>1130744136</v>
      </c>
      <c r="O2876" t="s">
        <v>3619</v>
      </c>
      <c r="P2876" s="187">
        <v>45226</v>
      </c>
      <c r="Q2876" s="186">
        <v>14049</v>
      </c>
      <c r="R2876" s="185"/>
      <c r="S2876" s="185" t="s">
        <v>1538</v>
      </c>
      <c r="T2876" t="s">
        <v>2729</v>
      </c>
      <c r="U2876" t="str">
        <f>IF($L2876&gt;0,VLOOKUP($E2876,Valida!$A$1:$G$270,6,FALSE),IF($M2876&gt;=0,VLOOKUP($E2876,Valida!$A$1:$G$270,7,FALSE)))</f>
        <v>(+/-) Ganancia (pérdida)</v>
      </c>
      <c r="V2876" s="190" t="str">
        <f>VLOOKUP(E2876,Valida!$A$2:$K$271,4,FALSE)</f>
        <v>P&amp;L</v>
      </c>
      <c r="W2876" s="185" t="s">
        <v>1909</v>
      </c>
      <c r="X2876" s="185" t="s">
        <v>1910</v>
      </c>
      <c r="Y2876" s="185" t="s">
        <v>1789</v>
      </c>
      <c r="Z2876"/>
    </row>
    <row r="2877" spans="1:26">
      <c r="A2877" s="185" t="s">
        <v>3615</v>
      </c>
      <c r="B2877" s="185" t="s">
        <v>3619</v>
      </c>
      <c r="C2877" s="185" t="s">
        <v>1897</v>
      </c>
      <c r="D2877" s="185" t="s">
        <v>3620</v>
      </c>
      <c r="E2877" s="185">
        <v>510568</v>
      </c>
      <c r="F2877" s="185" t="s">
        <v>680</v>
      </c>
      <c r="G2877" s="185" t="s">
        <v>3621</v>
      </c>
      <c r="H2877" s="185" t="s">
        <v>1515</v>
      </c>
      <c r="I2877" s="258" t="str">
        <f t="shared" si="133"/>
        <v>5</v>
      </c>
      <c r="J2877" s="221">
        <f t="shared" si="134"/>
        <v>7830</v>
      </c>
      <c r="K2877" s="258">
        <f t="shared" si="135"/>
        <v>10</v>
      </c>
      <c r="L2877" s="188">
        <v>7830</v>
      </c>
      <c r="M2877" s="188">
        <v>0</v>
      </c>
      <c r="N2877" s="189">
        <v>860002503</v>
      </c>
      <c r="O2877" t="s">
        <v>3619</v>
      </c>
      <c r="P2877" s="187">
        <v>45226</v>
      </c>
      <c r="Q2877" s="186">
        <v>14050</v>
      </c>
      <c r="R2877" s="185" t="s">
        <v>433</v>
      </c>
      <c r="S2877" s="185" t="s">
        <v>1656</v>
      </c>
      <c r="T2877" t="s">
        <v>2729</v>
      </c>
      <c r="U2877" t="str">
        <f>IF($L2877&gt;0,VLOOKUP($E2877,Valida!$A$1:$G$270,6,FALSE),IF($M2877&gt;=0,VLOOKUP($E2877,Valida!$A$1:$G$270,7,FALSE)))</f>
        <v>(+/-) Ganancia (pérdida)</v>
      </c>
      <c r="V2877" s="190" t="str">
        <f>VLOOKUP(E2877,Valida!$A$2:$K$271,4,FALSE)</f>
        <v>P&amp;L</v>
      </c>
      <c r="W2877" s="185" t="s">
        <v>1912</v>
      </c>
      <c r="X2877" s="185" t="s">
        <v>1913</v>
      </c>
      <c r="Y2877" s="185" t="s">
        <v>1789</v>
      </c>
      <c r="Z2877"/>
    </row>
    <row r="2878" spans="1:26">
      <c r="A2878" s="185" t="s">
        <v>3615</v>
      </c>
      <c r="B2878" s="185" t="s">
        <v>3619</v>
      </c>
      <c r="C2878" s="185" t="s">
        <v>1897</v>
      </c>
      <c r="D2878" s="185" t="s">
        <v>3620</v>
      </c>
      <c r="E2878" s="185">
        <v>510568</v>
      </c>
      <c r="F2878" s="185" t="s">
        <v>680</v>
      </c>
      <c r="G2878" s="185" t="s">
        <v>3621</v>
      </c>
      <c r="H2878" s="185" t="s">
        <v>1515</v>
      </c>
      <c r="I2878" s="258" t="str">
        <f t="shared" si="133"/>
        <v>5</v>
      </c>
      <c r="J2878" s="221">
        <f t="shared" si="134"/>
        <v>6661</v>
      </c>
      <c r="K2878" s="258">
        <f t="shared" si="135"/>
        <v>10</v>
      </c>
      <c r="L2878" s="188">
        <v>6661</v>
      </c>
      <c r="M2878" s="188">
        <v>0</v>
      </c>
      <c r="N2878" s="189">
        <v>860002503</v>
      </c>
      <c r="O2878" t="s">
        <v>3619</v>
      </c>
      <c r="P2878" s="187">
        <v>45226</v>
      </c>
      <c r="Q2878" s="186">
        <v>14051</v>
      </c>
      <c r="R2878" s="185" t="s">
        <v>433</v>
      </c>
      <c r="S2878" s="185" t="s">
        <v>1656</v>
      </c>
      <c r="T2878" t="s">
        <v>2729</v>
      </c>
      <c r="U2878" t="str">
        <f>IF($L2878&gt;0,VLOOKUP($E2878,Valida!$A$1:$G$270,6,FALSE),IF($M2878&gt;=0,VLOOKUP($E2878,Valida!$A$1:$G$270,7,FALSE)))</f>
        <v>(+/-) Ganancia (pérdida)</v>
      </c>
      <c r="V2878" s="190" t="str">
        <f>VLOOKUP(E2878,Valida!$A$2:$K$271,4,FALSE)</f>
        <v>P&amp;L</v>
      </c>
      <c r="W2878" s="185" t="s">
        <v>1912</v>
      </c>
      <c r="X2878" s="185" t="s">
        <v>1913</v>
      </c>
      <c r="Y2878" s="185" t="s">
        <v>1789</v>
      </c>
      <c r="Z2878"/>
    </row>
    <row r="2879" spans="1:26">
      <c r="A2879" s="185" t="s">
        <v>3615</v>
      </c>
      <c r="B2879" s="185" t="s">
        <v>3619</v>
      </c>
      <c r="C2879" s="185" t="s">
        <v>1897</v>
      </c>
      <c r="D2879" s="185" t="s">
        <v>3620</v>
      </c>
      <c r="E2879" s="185">
        <v>510568</v>
      </c>
      <c r="F2879" s="185" t="s">
        <v>680</v>
      </c>
      <c r="G2879" s="185" t="s">
        <v>3621</v>
      </c>
      <c r="H2879" s="185" t="s">
        <v>1515</v>
      </c>
      <c r="I2879" s="258" t="str">
        <f t="shared" si="133"/>
        <v>5</v>
      </c>
      <c r="J2879" s="221">
        <f t="shared" si="134"/>
        <v>11652</v>
      </c>
      <c r="K2879" s="258">
        <f t="shared" si="135"/>
        <v>10</v>
      </c>
      <c r="L2879" s="188">
        <v>11652</v>
      </c>
      <c r="M2879" s="188">
        <v>0</v>
      </c>
      <c r="N2879" s="189">
        <v>860002503</v>
      </c>
      <c r="O2879" t="s">
        <v>3619</v>
      </c>
      <c r="P2879" s="187">
        <v>45226</v>
      </c>
      <c r="Q2879" s="186">
        <v>14052</v>
      </c>
      <c r="R2879" s="185" t="s">
        <v>433</v>
      </c>
      <c r="S2879" s="185" t="s">
        <v>1656</v>
      </c>
      <c r="T2879" t="s">
        <v>2729</v>
      </c>
      <c r="U2879" t="str">
        <f>IF($L2879&gt;0,VLOOKUP($E2879,Valida!$A$1:$G$270,6,FALSE),IF($M2879&gt;=0,VLOOKUP($E2879,Valida!$A$1:$G$270,7,FALSE)))</f>
        <v>(+/-) Ganancia (pérdida)</v>
      </c>
      <c r="V2879" s="190" t="str">
        <f>VLOOKUP(E2879,Valida!$A$2:$K$271,4,FALSE)</f>
        <v>P&amp;L</v>
      </c>
      <c r="W2879" s="185" t="s">
        <v>1912</v>
      </c>
      <c r="X2879" s="185" t="s">
        <v>1913</v>
      </c>
      <c r="Y2879" s="185" t="s">
        <v>1789</v>
      </c>
      <c r="Z2879"/>
    </row>
    <row r="2880" spans="1:26">
      <c r="A2880" s="185" t="s">
        <v>3615</v>
      </c>
      <c r="B2880" s="185" t="s">
        <v>3619</v>
      </c>
      <c r="C2880" s="185" t="s">
        <v>1897</v>
      </c>
      <c r="D2880" s="185" t="s">
        <v>3620</v>
      </c>
      <c r="E2880" s="185">
        <v>510568</v>
      </c>
      <c r="F2880" s="185" t="s">
        <v>680</v>
      </c>
      <c r="G2880" s="185" t="s">
        <v>3621</v>
      </c>
      <c r="H2880" s="185" t="s">
        <v>1515</v>
      </c>
      <c r="I2880" s="258" t="str">
        <f t="shared" si="133"/>
        <v>5</v>
      </c>
      <c r="J2880" s="221">
        <f t="shared" si="134"/>
        <v>7191</v>
      </c>
      <c r="K2880" s="258">
        <f t="shared" si="135"/>
        <v>10</v>
      </c>
      <c r="L2880" s="188">
        <v>7191</v>
      </c>
      <c r="M2880" s="188">
        <v>0</v>
      </c>
      <c r="N2880" s="189">
        <v>860002503</v>
      </c>
      <c r="O2880" t="s">
        <v>3619</v>
      </c>
      <c r="P2880" s="187">
        <v>45226</v>
      </c>
      <c r="Q2880" s="186">
        <v>14053</v>
      </c>
      <c r="R2880" s="185" t="s">
        <v>433</v>
      </c>
      <c r="S2880" s="185" t="s">
        <v>1656</v>
      </c>
      <c r="T2880" t="s">
        <v>2729</v>
      </c>
      <c r="U2880" t="str">
        <f>IF($L2880&gt;0,VLOOKUP($E2880,Valida!$A$1:$G$270,6,FALSE),IF($M2880&gt;=0,VLOOKUP($E2880,Valida!$A$1:$G$270,7,FALSE)))</f>
        <v>(+/-) Ganancia (pérdida)</v>
      </c>
      <c r="V2880" s="190" t="str">
        <f>VLOOKUP(E2880,Valida!$A$2:$K$271,4,FALSE)</f>
        <v>P&amp;L</v>
      </c>
      <c r="W2880" s="185" t="s">
        <v>1912</v>
      </c>
      <c r="X2880" s="185" t="s">
        <v>1913</v>
      </c>
      <c r="Y2880" s="185" t="s">
        <v>1789</v>
      </c>
      <c r="Z2880"/>
    </row>
    <row r="2881" spans="1:26">
      <c r="A2881" s="185" t="s">
        <v>3615</v>
      </c>
      <c r="B2881" s="185" t="s">
        <v>3619</v>
      </c>
      <c r="C2881" s="185" t="s">
        <v>1897</v>
      </c>
      <c r="D2881" s="185" t="s">
        <v>3620</v>
      </c>
      <c r="E2881" s="185">
        <v>510568</v>
      </c>
      <c r="F2881" s="185" t="s">
        <v>680</v>
      </c>
      <c r="G2881" s="185" t="s">
        <v>3621</v>
      </c>
      <c r="H2881" s="185" t="s">
        <v>1515</v>
      </c>
      <c r="I2881" s="258" t="str">
        <f t="shared" si="133"/>
        <v>5</v>
      </c>
      <c r="J2881" s="221">
        <f t="shared" si="134"/>
        <v>6055</v>
      </c>
      <c r="K2881" s="258">
        <f t="shared" si="135"/>
        <v>10</v>
      </c>
      <c r="L2881" s="188">
        <v>6055</v>
      </c>
      <c r="M2881" s="188">
        <v>0</v>
      </c>
      <c r="N2881" s="189">
        <v>860002503</v>
      </c>
      <c r="O2881" t="s">
        <v>3619</v>
      </c>
      <c r="P2881" s="187">
        <v>45226</v>
      </c>
      <c r="Q2881" s="186">
        <v>14054</v>
      </c>
      <c r="R2881" s="185" t="s">
        <v>433</v>
      </c>
      <c r="S2881" s="185" t="s">
        <v>1656</v>
      </c>
      <c r="T2881" t="s">
        <v>2729</v>
      </c>
      <c r="U2881" t="str">
        <f>IF($L2881&gt;0,VLOOKUP($E2881,Valida!$A$1:$G$270,6,FALSE),IF($M2881&gt;=0,VLOOKUP($E2881,Valida!$A$1:$G$270,7,FALSE)))</f>
        <v>(+/-) Ganancia (pérdida)</v>
      </c>
      <c r="V2881" s="190" t="str">
        <f>VLOOKUP(E2881,Valida!$A$2:$K$271,4,FALSE)</f>
        <v>P&amp;L</v>
      </c>
      <c r="W2881" s="185" t="s">
        <v>1912</v>
      </c>
      <c r="X2881" s="185" t="s">
        <v>1913</v>
      </c>
      <c r="Y2881" s="185" t="s">
        <v>1789</v>
      </c>
      <c r="Z2881"/>
    </row>
    <row r="2882" spans="1:26">
      <c r="A2882" s="185" t="s">
        <v>3615</v>
      </c>
      <c r="B2882" s="185" t="s">
        <v>3619</v>
      </c>
      <c r="C2882" s="185" t="s">
        <v>1897</v>
      </c>
      <c r="D2882" s="185" t="s">
        <v>3620</v>
      </c>
      <c r="E2882" s="185">
        <v>510568</v>
      </c>
      <c r="F2882" s="185" t="s">
        <v>680</v>
      </c>
      <c r="G2882" s="185" t="s">
        <v>3621</v>
      </c>
      <c r="H2882" s="185" t="s">
        <v>1628</v>
      </c>
      <c r="I2882" s="258" t="str">
        <f t="shared" si="133"/>
        <v>5</v>
      </c>
      <c r="J2882" s="221">
        <f t="shared" si="134"/>
        <v>0</v>
      </c>
      <c r="K2882" s="258">
        <f t="shared" si="135"/>
        <v>10</v>
      </c>
      <c r="L2882" s="188">
        <v>0</v>
      </c>
      <c r="M2882" s="188">
        <v>0</v>
      </c>
      <c r="N2882" s="189">
        <v>860002503</v>
      </c>
      <c r="O2882" t="s">
        <v>3619</v>
      </c>
      <c r="P2882" s="187">
        <v>45226</v>
      </c>
      <c r="Q2882" s="186">
        <v>14055</v>
      </c>
      <c r="R2882" s="185" t="s">
        <v>433</v>
      </c>
      <c r="S2882" s="185" t="s">
        <v>1656</v>
      </c>
      <c r="T2882" t="s">
        <v>2729</v>
      </c>
      <c r="U2882" t="str">
        <f>IF($L2882&gt;0,VLOOKUP($E2882,Valida!$A$1:$G$270,6,FALSE),IF($M2882&gt;=0,VLOOKUP($E2882,Valida!$A$1:$G$270,7,FALSE)))</f>
        <v>(+/-) Ganancia (pérdida)</v>
      </c>
      <c r="V2882" s="190" t="str">
        <f>VLOOKUP(E2882,Valida!$A$2:$K$271,4,FALSE)</f>
        <v>P&amp;L</v>
      </c>
      <c r="W2882" s="185" t="s">
        <v>1912</v>
      </c>
      <c r="X2882" s="185" t="s">
        <v>1913</v>
      </c>
      <c r="Y2882" s="185" t="s">
        <v>1789</v>
      </c>
      <c r="Z2882"/>
    </row>
    <row r="2883" spans="1:26">
      <c r="A2883" s="185" t="s">
        <v>3615</v>
      </c>
      <c r="B2883" s="185" t="s">
        <v>3619</v>
      </c>
      <c r="C2883" s="185" t="s">
        <v>1897</v>
      </c>
      <c r="D2883" s="185" t="s">
        <v>3620</v>
      </c>
      <c r="E2883" s="185">
        <v>510570</v>
      </c>
      <c r="F2883" s="185" t="s">
        <v>1116</v>
      </c>
      <c r="G2883" s="185" t="s">
        <v>3623</v>
      </c>
      <c r="H2883" s="185" t="s">
        <v>1515</v>
      </c>
      <c r="I2883" s="258" t="str">
        <f t="shared" ref="I2883:I2946" si="136">LEFT(E2883,1)</f>
        <v>5</v>
      </c>
      <c r="J2883" s="221">
        <f t="shared" ref="J2883:J2946" si="137">L2883-M2883</f>
        <v>180000</v>
      </c>
      <c r="K2883" s="258">
        <f t="shared" ref="K2883:K2946" si="138">MONTH(A2883)</f>
        <v>10</v>
      </c>
      <c r="L2883" s="188">
        <v>180000</v>
      </c>
      <c r="M2883" s="188">
        <v>0</v>
      </c>
      <c r="N2883" s="189">
        <v>800224808</v>
      </c>
      <c r="O2883" t="s">
        <v>3619</v>
      </c>
      <c r="P2883" s="187">
        <v>45226</v>
      </c>
      <c r="Q2883" s="186">
        <v>14056</v>
      </c>
      <c r="R2883" s="185" t="s">
        <v>1827</v>
      </c>
      <c r="S2883" s="185" t="s">
        <v>1662</v>
      </c>
      <c r="T2883" t="s">
        <v>2729</v>
      </c>
      <c r="U2883" t="str">
        <f>IF($L2883&gt;0,VLOOKUP($E2883,Valida!$A$1:$G$270,6,FALSE),IF($M2883&gt;=0,VLOOKUP($E2883,Valida!$A$1:$G$270,7,FALSE)))</f>
        <v>(+/-) Ganancia (pérdida)</v>
      </c>
      <c r="V2883" s="190" t="str">
        <f>VLOOKUP(E2883,Valida!$A$2:$K$271,4,FALSE)</f>
        <v>P&amp;L</v>
      </c>
      <c r="W2883" s="185" t="s">
        <v>1911</v>
      </c>
      <c r="X2883" s="185"/>
      <c r="Y2883" s="185" t="s">
        <v>1789</v>
      </c>
      <c r="Z2883"/>
    </row>
    <row r="2884" spans="1:26">
      <c r="A2884" s="185" t="s">
        <v>3615</v>
      </c>
      <c r="B2884" s="185" t="s">
        <v>3619</v>
      </c>
      <c r="C2884" s="185" t="s">
        <v>1897</v>
      </c>
      <c r="D2884" s="185" t="s">
        <v>3620</v>
      </c>
      <c r="E2884" s="185">
        <v>510570</v>
      </c>
      <c r="F2884" s="185" t="s">
        <v>1116</v>
      </c>
      <c r="G2884" s="185" t="s">
        <v>3623</v>
      </c>
      <c r="H2884" s="185" t="s">
        <v>1515</v>
      </c>
      <c r="I2884" s="258" t="str">
        <f t="shared" si="136"/>
        <v>5</v>
      </c>
      <c r="J2884" s="221">
        <f t="shared" si="137"/>
        <v>267863</v>
      </c>
      <c r="K2884" s="258">
        <f t="shared" si="138"/>
        <v>10</v>
      </c>
      <c r="L2884" s="188">
        <v>267863</v>
      </c>
      <c r="M2884" s="188">
        <v>0</v>
      </c>
      <c r="N2884" s="189">
        <v>800224808</v>
      </c>
      <c r="O2884" t="s">
        <v>3619</v>
      </c>
      <c r="P2884" s="187">
        <v>45226</v>
      </c>
      <c r="Q2884" s="186">
        <v>14057</v>
      </c>
      <c r="R2884" s="185" t="s">
        <v>1827</v>
      </c>
      <c r="S2884" s="185" t="s">
        <v>1662</v>
      </c>
      <c r="T2884" t="s">
        <v>2729</v>
      </c>
      <c r="U2884" t="str">
        <f>IF($L2884&gt;0,VLOOKUP($E2884,Valida!$A$1:$G$270,6,FALSE),IF($M2884&gt;=0,VLOOKUP($E2884,Valida!$A$1:$G$270,7,FALSE)))</f>
        <v>(+/-) Ganancia (pérdida)</v>
      </c>
      <c r="V2884" s="190" t="str">
        <f>VLOOKUP(E2884,Valida!$A$2:$K$271,4,FALSE)</f>
        <v>P&amp;L</v>
      </c>
      <c r="W2884" s="185" t="s">
        <v>1911</v>
      </c>
      <c r="X2884" s="185"/>
      <c r="Y2884" s="185" t="s">
        <v>1789</v>
      </c>
      <c r="Z2884"/>
    </row>
    <row r="2885" spans="1:26">
      <c r="A2885" s="185" t="s">
        <v>3615</v>
      </c>
      <c r="B2885" s="185" t="s">
        <v>3619</v>
      </c>
      <c r="C2885" s="185" t="s">
        <v>1897</v>
      </c>
      <c r="D2885" s="185" t="s">
        <v>3620</v>
      </c>
      <c r="E2885" s="185">
        <v>510570</v>
      </c>
      <c r="F2885" s="185" t="s">
        <v>1116</v>
      </c>
      <c r="G2885" s="185" t="s">
        <v>3623</v>
      </c>
      <c r="H2885" s="185" t="s">
        <v>1515</v>
      </c>
      <c r="I2885" s="258" t="str">
        <f t="shared" si="136"/>
        <v>5</v>
      </c>
      <c r="J2885" s="221">
        <f t="shared" si="137"/>
        <v>165300</v>
      </c>
      <c r="K2885" s="258">
        <f t="shared" si="138"/>
        <v>10</v>
      </c>
      <c r="L2885" s="188">
        <v>165300</v>
      </c>
      <c r="M2885" s="188">
        <v>0</v>
      </c>
      <c r="N2885" s="189">
        <v>800224808</v>
      </c>
      <c r="O2885" t="s">
        <v>3619</v>
      </c>
      <c r="P2885" s="187">
        <v>45226</v>
      </c>
      <c r="Q2885" s="186">
        <v>14058</v>
      </c>
      <c r="R2885" s="185" t="s">
        <v>1827</v>
      </c>
      <c r="S2885" s="185" t="s">
        <v>1662</v>
      </c>
      <c r="T2885" t="s">
        <v>2729</v>
      </c>
      <c r="U2885" t="str">
        <f>IF($L2885&gt;0,VLOOKUP($E2885,Valida!$A$1:$G$270,6,FALSE),IF($M2885&gt;=0,VLOOKUP($E2885,Valida!$A$1:$G$270,7,FALSE)))</f>
        <v>(+/-) Ganancia (pérdida)</v>
      </c>
      <c r="V2885" s="190" t="str">
        <f>VLOOKUP(E2885,Valida!$A$2:$K$271,4,FALSE)</f>
        <v>P&amp;L</v>
      </c>
      <c r="W2885" s="185" t="s">
        <v>1911</v>
      </c>
      <c r="X2885" s="185"/>
      <c r="Y2885" s="185" t="s">
        <v>1789</v>
      </c>
      <c r="Z2885"/>
    </row>
    <row r="2886" spans="1:26">
      <c r="A2886" s="185" t="s">
        <v>3615</v>
      </c>
      <c r="B2886" s="185" t="s">
        <v>3619</v>
      </c>
      <c r="C2886" s="185" t="s">
        <v>1897</v>
      </c>
      <c r="D2886" s="185" t="s">
        <v>3620</v>
      </c>
      <c r="E2886" s="185">
        <v>510570</v>
      </c>
      <c r="F2886" s="185" t="s">
        <v>1116</v>
      </c>
      <c r="G2886" s="185" t="s">
        <v>3623</v>
      </c>
      <c r="H2886" s="185" t="s">
        <v>1515</v>
      </c>
      <c r="I2886" s="258" t="str">
        <f t="shared" si="136"/>
        <v>5</v>
      </c>
      <c r="J2886" s="221">
        <f t="shared" si="137"/>
        <v>139200</v>
      </c>
      <c r="K2886" s="258">
        <f t="shared" si="138"/>
        <v>10</v>
      </c>
      <c r="L2886" s="188">
        <v>139200</v>
      </c>
      <c r="M2886" s="188">
        <v>0</v>
      </c>
      <c r="N2886" s="189">
        <v>800224808</v>
      </c>
      <c r="O2886" t="s">
        <v>3619</v>
      </c>
      <c r="P2886" s="187">
        <v>45226</v>
      </c>
      <c r="Q2886" s="186">
        <v>14059</v>
      </c>
      <c r="R2886" s="185" t="s">
        <v>1827</v>
      </c>
      <c r="S2886" s="185" t="s">
        <v>1662</v>
      </c>
      <c r="T2886" t="s">
        <v>2729</v>
      </c>
      <c r="U2886" t="str">
        <f>IF($L2886&gt;0,VLOOKUP($E2886,Valida!$A$1:$G$270,6,FALSE),IF($M2886&gt;=0,VLOOKUP($E2886,Valida!$A$1:$G$270,7,FALSE)))</f>
        <v>(+/-) Ganancia (pérdida)</v>
      </c>
      <c r="V2886" s="190" t="str">
        <f>VLOOKUP(E2886,Valida!$A$2:$K$271,4,FALSE)</f>
        <v>P&amp;L</v>
      </c>
      <c r="W2886" s="185" t="s">
        <v>1911</v>
      </c>
      <c r="X2886" s="185"/>
      <c r="Y2886" s="185" t="s">
        <v>1789</v>
      </c>
      <c r="Z2886"/>
    </row>
    <row r="2887" spans="1:26">
      <c r="A2887" s="185" t="s">
        <v>3615</v>
      </c>
      <c r="B2887" s="185" t="s">
        <v>3619</v>
      </c>
      <c r="C2887" s="185" t="s">
        <v>1897</v>
      </c>
      <c r="D2887" s="185" t="s">
        <v>3620</v>
      </c>
      <c r="E2887" s="185">
        <v>510570</v>
      </c>
      <c r="F2887" s="185" t="s">
        <v>1116</v>
      </c>
      <c r="G2887" s="185" t="s">
        <v>3623</v>
      </c>
      <c r="H2887" s="185" t="s">
        <v>1515</v>
      </c>
      <c r="I2887" s="258" t="str">
        <f t="shared" si="136"/>
        <v>5</v>
      </c>
      <c r="J2887" s="221">
        <f t="shared" si="137"/>
        <v>139200</v>
      </c>
      <c r="K2887" s="258">
        <f t="shared" si="138"/>
        <v>10</v>
      </c>
      <c r="L2887" s="188">
        <v>139200</v>
      </c>
      <c r="M2887" s="188">
        <v>0</v>
      </c>
      <c r="N2887" s="189">
        <v>800224808</v>
      </c>
      <c r="O2887" t="s">
        <v>3619</v>
      </c>
      <c r="P2887" s="187">
        <v>45226</v>
      </c>
      <c r="Q2887" s="186">
        <v>14060</v>
      </c>
      <c r="R2887" s="185" t="s">
        <v>1827</v>
      </c>
      <c r="S2887" s="185" t="s">
        <v>1662</v>
      </c>
      <c r="T2887" t="s">
        <v>2729</v>
      </c>
      <c r="U2887" t="str">
        <f>IF($L2887&gt;0,VLOOKUP($E2887,Valida!$A$1:$G$270,6,FALSE),IF($M2887&gt;=0,VLOOKUP($E2887,Valida!$A$1:$G$270,7,FALSE)))</f>
        <v>(+/-) Ganancia (pérdida)</v>
      </c>
      <c r="V2887" s="190" t="str">
        <f>VLOOKUP(E2887,Valida!$A$2:$K$271,4,FALSE)</f>
        <v>P&amp;L</v>
      </c>
      <c r="W2887" s="185" t="s">
        <v>1911</v>
      </c>
      <c r="X2887" s="185"/>
      <c r="Y2887" s="185" t="s">
        <v>1789</v>
      </c>
      <c r="Z2887"/>
    </row>
    <row r="2888" spans="1:26">
      <c r="A2888" s="185" t="s">
        <v>3615</v>
      </c>
      <c r="B2888" s="185" t="s">
        <v>3619</v>
      </c>
      <c r="C2888" s="185" t="s">
        <v>1897</v>
      </c>
      <c r="D2888" s="185" t="s">
        <v>3620</v>
      </c>
      <c r="E2888" s="185">
        <v>510570</v>
      </c>
      <c r="F2888" s="185" t="s">
        <v>1116</v>
      </c>
      <c r="G2888" s="185" t="s">
        <v>3623</v>
      </c>
      <c r="H2888" s="185" t="s">
        <v>1515</v>
      </c>
      <c r="I2888" s="258" t="str">
        <f t="shared" si="136"/>
        <v>5</v>
      </c>
      <c r="J2888" s="221">
        <f t="shared" si="137"/>
        <v>153120</v>
      </c>
      <c r="K2888" s="258">
        <f t="shared" si="138"/>
        <v>10</v>
      </c>
      <c r="L2888" s="188">
        <v>153120</v>
      </c>
      <c r="M2888" s="188">
        <v>0</v>
      </c>
      <c r="N2888" s="189">
        <v>800227940</v>
      </c>
      <c r="O2888" t="s">
        <v>3619</v>
      </c>
      <c r="P2888" s="187">
        <v>45226</v>
      </c>
      <c r="Q2888" s="186">
        <v>14061</v>
      </c>
      <c r="R2888" s="185"/>
      <c r="S2888" s="185" t="s">
        <v>1664</v>
      </c>
      <c r="T2888" t="s">
        <v>2729</v>
      </c>
      <c r="U2888" t="str">
        <f>IF($L2888&gt;0,VLOOKUP($E2888,Valida!$A$1:$G$270,6,FALSE),IF($M2888&gt;=0,VLOOKUP($E2888,Valida!$A$1:$G$270,7,FALSE)))</f>
        <v>(+/-) Ganancia (pérdida)</v>
      </c>
      <c r="V2888" s="190" t="str">
        <f>VLOOKUP(E2888,Valida!$A$2:$K$271,4,FALSE)</f>
        <v>P&amp;L</v>
      </c>
      <c r="W2888" s="185"/>
      <c r="X2888" s="185"/>
      <c r="Y2888" s="185"/>
      <c r="Z2888"/>
    </row>
    <row r="2889" spans="1:26">
      <c r="A2889" s="185" t="s">
        <v>3615</v>
      </c>
      <c r="B2889" s="185" t="s">
        <v>3619</v>
      </c>
      <c r="C2889" s="185" t="s">
        <v>1897</v>
      </c>
      <c r="D2889" s="185" t="s">
        <v>3620</v>
      </c>
      <c r="E2889" s="185">
        <v>510572</v>
      </c>
      <c r="F2889" s="185" t="s">
        <v>1118</v>
      </c>
      <c r="G2889" s="185" t="s">
        <v>3622</v>
      </c>
      <c r="H2889" s="185" t="s">
        <v>1515</v>
      </c>
      <c r="I2889" s="258" t="str">
        <f t="shared" si="136"/>
        <v>5</v>
      </c>
      <c r="J2889" s="221">
        <f t="shared" si="137"/>
        <v>45000</v>
      </c>
      <c r="K2889" s="258">
        <f t="shared" si="138"/>
        <v>10</v>
      </c>
      <c r="L2889" s="188">
        <v>45000</v>
      </c>
      <c r="M2889" s="188">
        <v>0</v>
      </c>
      <c r="N2889" s="189">
        <v>860066942</v>
      </c>
      <c r="O2889" t="s">
        <v>3619</v>
      </c>
      <c r="P2889" s="187">
        <v>45226</v>
      </c>
      <c r="Q2889" s="186">
        <v>14062</v>
      </c>
      <c r="R2889" s="185" t="s">
        <v>1814</v>
      </c>
      <c r="S2889" s="185" t="s">
        <v>1574</v>
      </c>
      <c r="T2889" t="s">
        <v>2729</v>
      </c>
      <c r="U2889" t="str">
        <f>IF($L2889&gt;0,VLOOKUP($E2889,Valida!$A$1:$G$270,6,FALSE),IF($M2889&gt;=0,VLOOKUP($E2889,Valida!$A$1:$G$270,7,FALSE)))</f>
        <v>(+/-) Ganancia (pérdida)</v>
      </c>
      <c r="V2889" s="190" t="str">
        <f>VLOOKUP(E2889,Valida!$A$2:$K$271,4,FALSE)</f>
        <v>P&amp;L</v>
      </c>
      <c r="W2889" s="185" t="s">
        <v>1914</v>
      </c>
      <c r="X2889" s="185" t="s">
        <v>1915</v>
      </c>
      <c r="Y2889" s="185" t="s">
        <v>1789</v>
      </c>
      <c r="Z2889"/>
    </row>
    <row r="2890" spans="1:26">
      <c r="A2890" s="185" t="s">
        <v>3615</v>
      </c>
      <c r="B2890" s="185" t="s">
        <v>3619</v>
      </c>
      <c r="C2890" s="185" t="s">
        <v>1897</v>
      </c>
      <c r="D2890" s="185" t="s">
        <v>3620</v>
      </c>
      <c r="E2890" s="185">
        <v>510572</v>
      </c>
      <c r="F2890" s="185" t="s">
        <v>1118</v>
      </c>
      <c r="G2890" s="185" t="s">
        <v>3622</v>
      </c>
      <c r="H2890" s="185" t="s">
        <v>1515</v>
      </c>
      <c r="I2890" s="258" t="str">
        <f t="shared" si="136"/>
        <v>5</v>
      </c>
      <c r="J2890" s="221">
        <f t="shared" si="137"/>
        <v>38280</v>
      </c>
      <c r="K2890" s="258">
        <f t="shared" si="138"/>
        <v>10</v>
      </c>
      <c r="L2890" s="188">
        <v>38280</v>
      </c>
      <c r="M2890" s="188">
        <v>0</v>
      </c>
      <c r="N2890" s="189">
        <v>860066942</v>
      </c>
      <c r="O2890" t="s">
        <v>3619</v>
      </c>
      <c r="P2890" s="187">
        <v>45226</v>
      </c>
      <c r="Q2890" s="186">
        <v>14063</v>
      </c>
      <c r="R2890" s="185" t="s">
        <v>1814</v>
      </c>
      <c r="S2890" s="185" t="s">
        <v>1574</v>
      </c>
      <c r="T2890" t="s">
        <v>2729</v>
      </c>
      <c r="U2890" t="str">
        <f>IF($L2890&gt;0,VLOOKUP($E2890,Valida!$A$1:$G$270,6,FALSE),IF($M2890&gt;=0,VLOOKUP($E2890,Valida!$A$1:$G$270,7,FALSE)))</f>
        <v>(+/-) Ganancia (pérdida)</v>
      </c>
      <c r="V2890" s="190" t="str">
        <f>VLOOKUP(E2890,Valida!$A$2:$K$271,4,FALSE)</f>
        <v>P&amp;L</v>
      </c>
      <c r="W2890" s="185" t="s">
        <v>1914</v>
      </c>
      <c r="X2890" s="185" t="s">
        <v>1915</v>
      </c>
      <c r="Y2890" s="185" t="s">
        <v>1789</v>
      </c>
      <c r="Z2890"/>
    </row>
    <row r="2891" spans="1:26">
      <c r="A2891" s="185" t="s">
        <v>3615</v>
      </c>
      <c r="B2891" s="185" t="s">
        <v>3619</v>
      </c>
      <c r="C2891" s="185" t="s">
        <v>1897</v>
      </c>
      <c r="D2891" s="185" t="s">
        <v>3620</v>
      </c>
      <c r="E2891" s="185">
        <v>510572</v>
      </c>
      <c r="F2891" s="185" t="s">
        <v>1118</v>
      </c>
      <c r="G2891" s="185" t="s">
        <v>3622</v>
      </c>
      <c r="H2891" s="185" t="s">
        <v>1515</v>
      </c>
      <c r="I2891" s="258" t="str">
        <f t="shared" si="136"/>
        <v>5</v>
      </c>
      <c r="J2891" s="221">
        <f t="shared" si="137"/>
        <v>67000</v>
      </c>
      <c r="K2891" s="258">
        <f t="shared" si="138"/>
        <v>10</v>
      </c>
      <c r="L2891" s="188">
        <v>67000</v>
      </c>
      <c r="M2891" s="188">
        <v>0</v>
      </c>
      <c r="N2891" s="189">
        <v>860066942</v>
      </c>
      <c r="O2891" t="s">
        <v>3619</v>
      </c>
      <c r="P2891" s="187">
        <v>45226</v>
      </c>
      <c r="Q2891" s="186">
        <v>14064</v>
      </c>
      <c r="R2891" s="185" t="s">
        <v>1814</v>
      </c>
      <c r="S2891" s="185" t="s">
        <v>1574</v>
      </c>
      <c r="T2891" t="s">
        <v>2729</v>
      </c>
      <c r="U2891" t="str">
        <f>IF($L2891&gt;0,VLOOKUP($E2891,Valida!$A$1:$G$270,6,FALSE),IF($M2891&gt;=0,VLOOKUP($E2891,Valida!$A$1:$G$270,7,FALSE)))</f>
        <v>(+/-) Ganancia (pérdida)</v>
      </c>
      <c r="V2891" s="190" t="str">
        <f>VLOOKUP(E2891,Valida!$A$2:$K$271,4,FALSE)</f>
        <v>P&amp;L</v>
      </c>
      <c r="W2891" s="185" t="s">
        <v>1914</v>
      </c>
      <c r="X2891" s="185" t="s">
        <v>1915</v>
      </c>
      <c r="Y2891" s="185" t="s">
        <v>1789</v>
      </c>
      <c r="Z2891"/>
    </row>
    <row r="2892" spans="1:26">
      <c r="A2892" s="185" t="s">
        <v>3615</v>
      </c>
      <c r="B2892" s="185" t="s">
        <v>3619</v>
      </c>
      <c r="C2892" s="185" t="s">
        <v>1897</v>
      </c>
      <c r="D2892" s="185" t="s">
        <v>3620</v>
      </c>
      <c r="E2892" s="185">
        <v>510572</v>
      </c>
      <c r="F2892" s="185" t="s">
        <v>1118</v>
      </c>
      <c r="G2892" s="185" t="s">
        <v>3622</v>
      </c>
      <c r="H2892" s="185" t="s">
        <v>1515</v>
      </c>
      <c r="I2892" s="258" t="str">
        <f t="shared" si="136"/>
        <v>5</v>
      </c>
      <c r="J2892" s="221">
        <f t="shared" si="137"/>
        <v>41300</v>
      </c>
      <c r="K2892" s="258">
        <f t="shared" si="138"/>
        <v>10</v>
      </c>
      <c r="L2892" s="188">
        <v>41300</v>
      </c>
      <c r="M2892" s="188">
        <v>0</v>
      </c>
      <c r="N2892" s="189">
        <v>860066942</v>
      </c>
      <c r="O2892" t="s">
        <v>3619</v>
      </c>
      <c r="P2892" s="187">
        <v>45226</v>
      </c>
      <c r="Q2892" s="186">
        <v>14065</v>
      </c>
      <c r="R2892" s="185" t="s">
        <v>1814</v>
      </c>
      <c r="S2892" s="185" t="s">
        <v>1574</v>
      </c>
      <c r="T2892" t="s">
        <v>2729</v>
      </c>
      <c r="U2892" t="str">
        <f>IF($L2892&gt;0,VLOOKUP($E2892,Valida!$A$1:$G$270,6,FALSE),IF($M2892&gt;=0,VLOOKUP($E2892,Valida!$A$1:$G$270,7,FALSE)))</f>
        <v>(+/-) Ganancia (pérdida)</v>
      </c>
      <c r="V2892" s="190" t="str">
        <f>VLOOKUP(E2892,Valida!$A$2:$K$271,4,FALSE)</f>
        <v>P&amp;L</v>
      </c>
      <c r="W2892" s="185" t="s">
        <v>1914</v>
      </c>
      <c r="X2892" s="185" t="s">
        <v>1915</v>
      </c>
      <c r="Y2892" s="185" t="s">
        <v>1789</v>
      </c>
      <c r="Z2892"/>
    </row>
    <row r="2893" spans="1:26">
      <c r="A2893" s="185" t="s">
        <v>3615</v>
      </c>
      <c r="B2893" s="185" t="s">
        <v>3619</v>
      </c>
      <c r="C2893" s="185" t="s">
        <v>1897</v>
      </c>
      <c r="D2893" s="185" t="s">
        <v>3620</v>
      </c>
      <c r="E2893" s="185">
        <v>510572</v>
      </c>
      <c r="F2893" s="185" t="s">
        <v>1118</v>
      </c>
      <c r="G2893" s="185" t="s">
        <v>3622</v>
      </c>
      <c r="H2893" s="185" t="s">
        <v>1515</v>
      </c>
      <c r="I2893" s="258" t="str">
        <f t="shared" si="136"/>
        <v>5</v>
      </c>
      <c r="J2893" s="221">
        <f t="shared" si="137"/>
        <v>34800</v>
      </c>
      <c r="K2893" s="258">
        <f t="shared" si="138"/>
        <v>10</v>
      </c>
      <c r="L2893" s="188">
        <v>34800</v>
      </c>
      <c r="M2893" s="188">
        <v>0</v>
      </c>
      <c r="N2893" s="189">
        <v>860066942</v>
      </c>
      <c r="O2893" t="s">
        <v>3619</v>
      </c>
      <c r="P2893" s="187">
        <v>45226</v>
      </c>
      <c r="Q2893" s="186">
        <v>14066</v>
      </c>
      <c r="R2893" s="185" t="s">
        <v>1814</v>
      </c>
      <c r="S2893" s="185" t="s">
        <v>1574</v>
      </c>
      <c r="T2893" t="s">
        <v>2729</v>
      </c>
      <c r="U2893" t="str">
        <f>IF($L2893&gt;0,VLOOKUP($E2893,Valida!$A$1:$G$270,6,FALSE),IF($M2893&gt;=0,VLOOKUP($E2893,Valida!$A$1:$G$270,7,FALSE)))</f>
        <v>(+/-) Ganancia (pérdida)</v>
      </c>
      <c r="V2893" s="190" t="str">
        <f>VLOOKUP(E2893,Valida!$A$2:$K$271,4,FALSE)</f>
        <v>P&amp;L</v>
      </c>
      <c r="W2893" s="185" t="s">
        <v>1914</v>
      </c>
      <c r="X2893" s="185" t="s">
        <v>1915</v>
      </c>
      <c r="Y2893" s="185" t="s">
        <v>1789</v>
      </c>
      <c r="Z2893"/>
    </row>
    <row r="2894" spans="1:26">
      <c r="A2894" s="185" t="s">
        <v>3615</v>
      </c>
      <c r="B2894" s="185" t="s">
        <v>3619</v>
      </c>
      <c r="C2894" s="185" t="s">
        <v>1897</v>
      </c>
      <c r="D2894" s="185" t="s">
        <v>3620</v>
      </c>
      <c r="E2894" s="185">
        <v>510572</v>
      </c>
      <c r="F2894" s="185" t="s">
        <v>1118</v>
      </c>
      <c r="G2894" s="185" t="s">
        <v>3622</v>
      </c>
      <c r="H2894" s="185" t="s">
        <v>1628</v>
      </c>
      <c r="I2894" s="258" t="str">
        <f t="shared" si="136"/>
        <v>5</v>
      </c>
      <c r="J2894" s="221">
        <f t="shared" si="137"/>
        <v>0</v>
      </c>
      <c r="K2894" s="258">
        <f t="shared" si="138"/>
        <v>10</v>
      </c>
      <c r="L2894" s="188">
        <v>0</v>
      </c>
      <c r="M2894" s="188">
        <v>0</v>
      </c>
      <c r="N2894" s="189">
        <v>860066942</v>
      </c>
      <c r="O2894" t="s">
        <v>3619</v>
      </c>
      <c r="P2894" s="187">
        <v>45226</v>
      </c>
      <c r="Q2894" s="186">
        <v>14067</v>
      </c>
      <c r="R2894" s="185" t="s">
        <v>1814</v>
      </c>
      <c r="S2894" s="185" t="s">
        <v>1574</v>
      </c>
      <c r="T2894" t="s">
        <v>2729</v>
      </c>
      <c r="U2894" t="str">
        <f>IF($L2894&gt;0,VLOOKUP($E2894,Valida!$A$1:$G$270,6,FALSE),IF($M2894&gt;=0,VLOOKUP($E2894,Valida!$A$1:$G$270,7,FALSE)))</f>
        <v>(+/-) Ganancia (pérdida)</v>
      </c>
      <c r="V2894" s="190" t="str">
        <f>VLOOKUP(E2894,Valida!$A$2:$K$271,4,FALSE)</f>
        <v>P&amp;L</v>
      </c>
      <c r="W2894" s="185" t="s">
        <v>1914</v>
      </c>
      <c r="X2894" s="185" t="s">
        <v>1915</v>
      </c>
      <c r="Y2894" s="185" t="s">
        <v>1789</v>
      </c>
      <c r="Z2894"/>
    </row>
    <row r="2895" spans="1:26">
      <c r="A2895" s="185" t="s">
        <v>3611</v>
      </c>
      <c r="B2895" s="185" t="s">
        <v>3628</v>
      </c>
      <c r="C2895" s="185" t="s">
        <v>1890</v>
      </c>
      <c r="D2895" s="185" t="s">
        <v>3629</v>
      </c>
      <c r="E2895" s="185">
        <v>250505</v>
      </c>
      <c r="F2895" s="185" t="s">
        <v>767</v>
      </c>
      <c r="G2895" s="185" t="s">
        <v>3630</v>
      </c>
      <c r="H2895" s="185" t="s">
        <v>1515</v>
      </c>
      <c r="I2895" s="258" t="str">
        <f t="shared" si="136"/>
        <v>2</v>
      </c>
      <c r="J2895" s="221">
        <f t="shared" si="137"/>
        <v>2144218</v>
      </c>
      <c r="K2895" s="258">
        <f t="shared" si="138"/>
        <v>10</v>
      </c>
      <c r="L2895" s="188">
        <v>2144218</v>
      </c>
      <c r="M2895" s="188">
        <v>0</v>
      </c>
      <c r="N2895" s="189">
        <v>1000036375</v>
      </c>
      <c r="O2895"/>
      <c r="P2895" s="187">
        <v>45226.405636574098</v>
      </c>
      <c r="Q2895" s="186">
        <v>14068</v>
      </c>
      <c r="R2895" s="185"/>
      <c r="S2895" s="185" t="s">
        <v>1524</v>
      </c>
      <c r="T2895"/>
      <c r="U2895" t="str">
        <f>IF($L2895&gt;0,VLOOKUP($E2895,Valida!$A$1:$G$270,6,FALSE),IF($M2895&gt;=0,VLOOKUP($E2895,Valida!$A$1:$G$270,7,FALSE)))</f>
        <v>(+/-) Ajustes por el incremento (disminución) de cuentas por pagar de origen comercial</v>
      </c>
      <c r="V2895" s="190" t="str">
        <f>VLOOKUP(E2895,Valida!$A$2:$K$271,4,FALSE)</f>
        <v>Trade and other payables</v>
      </c>
      <c r="W2895" s="185" t="s">
        <v>1983</v>
      </c>
      <c r="X2895" s="185"/>
      <c r="Y2895" s="185" t="s">
        <v>1789</v>
      </c>
      <c r="Z2895"/>
    </row>
    <row r="2896" spans="1:26">
      <c r="A2896" s="185" t="s">
        <v>3611</v>
      </c>
      <c r="B2896" s="185" t="s">
        <v>3628</v>
      </c>
      <c r="C2896" s="185" t="s">
        <v>1890</v>
      </c>
      <c r="D2896" s="185" t="s">
        <v>3629</v>
      </c>
      <c r="E2896" s="185">
        <v>112005</v>
      </c>
      <c r="F2896" s="185" t="s">
        <v>24</v>
      </c>
      <c r="G2896" s="185" t="s">
        <v>3630</v>
      </c>
      <c r="H2896" s="185" t="s">
        <v>1628</v>
      </c>
      <c r="I2896" s="258" t="str">
        <f t="shared" si="136"/>
        <v>1</v>
      </c>
      <c r="J2896" s="221">
        <f t="shared" si="137"/>
        <v>-2144218</v>
      </c>
      <c r="K2896" s="258">
        <f t="shared" si="138"/>
        <v>10</v>
      </c>
      <c r="L2896" s="188">
        <v>0</v>
      </c>
      <c r="M2896" s="188">
        <v>2144218</v>
      </c>
      <c r="N2896" s="189">
        <v>1000036375</v>
      </c>
      <c r="O2896"/>
      <c r="P2896" s="187">
        <v>45226.405636574098</v>
      </c>
      <c r="Q2896" s="186">
        <v>14069</v>
      </c>
      <c r="R2896" s="185"/>
      <c r="S2896" s="185" t="s">
        <v>1524</v>
      </c>
      <c r="T2896" t="s">
        <v>1894</v>
      </c>
      <c r="U2896" t="str">
        <f>IF($L2896&gt;0,VLOOKUP($E2896,Valida!$A$1:$G$270,6,FALSE),IF($M2896&gt;=0,VLOOKUP($E2896,Valida!$A$1:$G$270,7,FALSE)))</f>
        <v>Disponible</v>
      </c>
      <c r="V2896" s="190" t="str">
        <f>VLOOKUP(E2896,Valida!$A$2:$K$271,4,FALSE)</f>
        <v>Cash and equivalents</v>
      </c>
      <c r="W2896" s="185" t="s">
        <v>1983</v>
      </c>
      <c r="X2896" s="185"/>
      <c r="Y2896" s="185" t="s">
        <v>1789</v>
      </c>
      <c r="Z2896"/>
    </row>
    <row r="2897" spans="1:26">
      <c r="A2897" s="185" t="s">
        <v>3611</v>
      </c>
      <c r="B2897" s="185" t="s">
        <v>3631</v>
      </c>
      <c r="C2897" s="185" t="s">
        <v>1890</v>
      </c>
      <c r="D2897" s="185" t="s">
        <v>3632</v>
      </c>
      <c r="E2897" s="185">
        <v>250505</v>
      </c>
      <c r="F2897" s="185" t="s">
        <v>767</v>
      </c>
      <c r="G2897" s="185" t="s">
        <v>3630</v>
      </c>
      <c r="H2897" s="185" t="s">
        <v>1515</v>
      </c>
      <c r="I2897" s="258" t="str">
        <f t="shared" si="136"/>
        <v>2</v>
      </c>
      <c r="J2897" s="221">
        <f t="shared" si="137"/>
        <v>1407906</v>
      </c>
      <c r="K2897" s="258">
        <f t="shared" si="138"/>
        <v>10</v>
      </c>
      <c r="L2897" s="188">
        <v>1407906</v>
      </c>
      <c r="M2897" s="188">
        <v>0</v>
      </c>
      <c r="N2897" s="189">
        <v>1001284057</v>
      </c>
      <c r="O2897"/>
      <c r="P2897" s="187">
        <v>45226.406759259298</v>
      </c>
      <c r="Q2897" s="186">
        <v>14070</v>
      </c>
      <c r="R2897" s="185"/>
      <c r="S2897" s="185" t="s">
        <v>1526</v>
      </c>
      <c r="T2897"/>
      <c r="U2897" t="str">
        <f>IF($L2897&gt;0,VLOOKUP($E2897,Valida!$A$1:$G$270,6,FALSE),IF($M2897&gt;=0,VLOOKUP($E2897,Valida!$A$1:$G$270,7,FALSE)))</f>
        <v>(+/-) Ajustes por el incremento (disminución) de cuentas por pagar de origen comercial</v>
      </c>
      <c r="V2897" s="190" t="str">
        <f>VLOOKUP(E2897,Valida!$A$2:$K$271,4,FALSE)</f>
        <v>Trade and other payables</v>
      </c>
      <c r="W2897" s="185" t="s">
        <v>3454</v>
      </c>
      <c r="X2897" s="185" t="s">
        <v>3455</v>
      </c>
      <c r="Y2897" s="185" t="s">
        <v>1789</v>
      </c>
      <c r="Z2897"/>
    </row>
    <row r="2898" spans="1:26">
      <c r="A2898" s="185" t="s">
        <v>3611</v>
      </c>
      <c r="B2898" s="185" t="s">
        <v>3631</v>
      </c>
      <c r="C2898" s="185" t="s">
        <v>1890</v>
      </c>
      <c r="D2898" s="185" t="s">
        <v>3632</v>
      </c>
      <c r="E2898" s="185">
        <v>112005</v>
      </c>
      <c r="F2898" s="185" t="s">
        <v>24</v>
      </c>
      <c r="G2898" s="185" t="s">
        <v>3630</v>
      </c>
      <c r="H2898" s="185" t="s">
        <v>1628</v>
      </c>
      <c r="I2898" s="258" t="str">
        <f t="shared" si="136"/>
        <v>1</v>
      </c>
      <c r="J2898" s="221">
        <f t="shared" si="137"/>
        <v>-1407906</v>
      </c>
      <c r="K2898" s="258">
        <f t="shared" si="138"/>
        <v>10</v>
      </c>
      <c r="L2898" s="188">
        <v>0</v>
      </c>
      <c r="M2898" s="188">
        <v>1407906</v>
      </c>
      <c r="N2898" s="189">
        <v>1001284057</v>
      </c>
      <c r="O2898"/>
      <c r="P2898" s="187">
        <v>45226.406759259298</v>
      </c>
      <c r="Q2898" s="186">
        <v>14071</v>
      </c>
      <c r="R2898" s="185"/>
      <c r="S2898" s="185" t="s">
        <v>1526</v>
      </c>
      <c r="T2898" t="s">
        <v>1894</v>
      </c>
      <c r="U2898" t="str">
        <f>IF($L2898&gt;0,VLOOKUP($E2898,Valida!$A$1:$G$270,6,FALSE),IF($M2898&gt;=0,VLOOKUP($E2898,Valida!$A$1:$G$270,7,FALSE)))</f>
        <v>Disponible</v>
      </c>
      <c r="V2898" s="190" t="str">
        <f>VLOOKUP(E2898,Valida!$A$2:$K$271,4,FALSE)</f>
        <v>Cash and equivalents</v>
      </c>
      <c r="W2898" s="185" t="s">
        <v>3454</v>
      </c>
      <c r="X2898" s="185" t="s">
        <v>3455</v>
      </c>
      <c r="Y2898" s="185" t="s">
        <v>1789</v>
      </c>
      <c r="Z2898"/>
    </row>
    <row r="2899" spans="1:26">
      <c r="A2899" s="185" t="s">
        <v>3611</v>
      </c>
      <c r="B2899" s="185" t="s">
        <v>3633</v>
      </c>
      <c r="C2899" s="185" t="s">
        <v>1890</v>
      </c>
      <c r="D2899" s="185" t="s">
        <v>3634</v>
      </c>
      <c r="E2899" s="185">
        <v>250505</v>
      </c>
      <c r="F2899" s="185" t="s">
        <v>767</v>
      </c>
      <c r="G2899" s="185" t="s">
        <v>3630</v>
      </c>
      <c r="H2899" s="185" t="s">
        <v>1515</v>
      </c>
      <c r="I2899" s="258" t="str">
        <f t="shared" si="136"/>
        <v>2</v>
      </c>
      <c r="J2899" s="221">
        <f t="shared" si="137"/>
        <v>1314526</v>
      </c>
      <c r="K2899" s="258">
        <f t="shared" si="138"/>
        <v>10</v>
      </c>
      <c r="L2899" s="188">
        <v>1314526</v>
      </c>
      <c r="M2899" s="188">
        <v>0</v>
      </c>
      <c r="N2899" s="189">
        <v>1000018061</v>
      </c>
      <c r="O2899"/>
      <c r="P2899" s="187">
        <v>45226.407187500001</v>
      </c>
      <c r="Q2899" s="186">
        <v>14072</v>
      </c>
      <c r="R2899" s="185"/>
      <c r="S2899" s="185" t="s">
        <v>1522</v>
      </c>
      <c r="T2899"/>
      <c r="U2899" t="str">
        <f>IF($L2899&gt;0,VLOOKUP($E2899,Valida!$A$1:$G$270,6,FALSE),IF($M2899&gt;=0,VLOOKUP($E2899,Valida!$A$1:$G$270,7,FALSE)))</f>
        <v>(+/-) Ajustes por el incremento (disminución) de cuentas por pagar de origen comercial</v>
      </c>
      <c r="V2899" s="190" t="str">
        <f>VLOOKUP(E2899,Valida!$A$2:$K$271,4,FALSE)</f>
        <v>Trade and other payables</v>
      </c>
      <c r="W2899" s="185" t="s">
        <v>1978</v>
      </c>
      <c r="X2899" s="185"/>
      <c r="Y2899" s="185" t="s">
        <v>1789</v>
      </c>
      <c r="Z2899"/>
    </row>
    <row r="2900" spans="1:26">
      <c r="A2900" s="185" t="s">
        <v>3611</v>
      </c>
      <c r="B2900" s="185" t="s">
        <v>3633</v>
      </c>
      <c r="C2900" s="185" t="s">
        <v>1890</v>
      </c>
      <c r="D2900" s="185" t="s">
        <v>3634</v>
      </c>
      <c r="E2900" s="185">
        <v>112005</v>
      </c>
      <c r="F2900" s="185" t="s">
        <v>24</v>
      </c>
      <c r="G2900" s="185" t="s">
        <v>3630</v>
      </c>
      <c r="H2900" s="185" t="s">
        <v>1628</v>
      </c>
      <c r="I2900" s="258" t="str">
        <f t="shared" si="136"/>
        <v>1</v>
      </c>
      <c r="J2900" s="221">
        <f t="shared" si="137"/>
        <v>-1314526</v>
      </c>
      <c r="K2900" s="258">
        <f t="shared" si="138"/>
        <v>10</v>
      </c>
      <c r="L2900" s="188">
        <v>0</v>
      </c>
      <c r="M2900" s="188">
        <v>1314526</v>
      </c>
      <c r="N2900" s="189">
        <v>1000018061</v>
      </c>
      <c r="O2900"/>
      <c r="P2900" s="187">
        <v>45226.407187500001</v>
      </c>
      <c r="Q2900" s="186">
        <v>14073</v>
      </c>
      <c r="R2900" s="185"/>
      <c r="S2900" s="185" t="s">
        <v>1522</v>
      </c>
      <c r="T2900" t="s">
        <v>1894</v>
      </c>
      <c r="U2900" t="str">
        <f>IF($L2900&gt;0,VLOOKUP($E2900,Valida!$A$1:$G$270,6,FALSE),IF($M2900&gt;=0,VLOOKUP($E2900,Valida!$A$1:$G$270,7,FALSE)))</f>
        <v>Disponible</v>
      </c>
      <c r="V2900" s="190" t="str">
        <f>VLOOKUP(E2900,Valida!$A$2:$K$271,4,FALSE)</f>
        <v>Cash and equivalents</v>
      </c>
      <c r="W2900" s="185" t="s">
        <v>1978</v>
      </c>
      <c r="X2900" s="185"/>
      <c r="Y2900" s="185" t="s">
        <v>1789</v>
      </c>
      <c r="Z2900"/>
    </row>
    <row r="2901" spans="1:26">
      <c r="A2901" s="185" t="s">
        <v>3611</v>
      </c>
      <c r="B2901" s="185" t="s">
        <v>3635</v>
      </c>
      <c r="C2901" s="185" t="s">
        <v>1890</v>
      </c>
      <c r="D2901" s="185" t="s">
        <v>3636</v>
      </c>
      <c r="E2901" s="185">
        <v>250505</v>
      </c>
      <c r="F2901" s="185" t="s">
        <v>767</v>
      </c>
      <c r="G2901" s="185" t="s">
        <v>3630</v>
      </c>
      <c r="H2901" s="185" t="s">
        <v>1515</v>
      </c>
      <c r="I2901" s="258" t="str">
        <f t="shared" si="136"/>
        <v>2</v>
      </c>
      <c r="J2901" s="221">
        <f t="shared" si="137"/>
        <v>1067200</v>
      </c>
      <c r="K2901" s="258">
        <f t="shared" si="138"/>
        <v>10</v>
      </c>
      <c r="L2901" s="188">
        <v>1067200</v>
      </c>
      <c r="M2901" s="188">
        <v>0</v>
      </c>
      <c r="N2901" s="189">
        <v>1020842223</v>
      </c>
      <c r="O2901"/>
      <c r="P2901" s="187">
        <v>45226.407523148097</v>
      </c>
      <c r="Q2901" s="186">
        <v>14074</v>
      </c>
      <c r="R2901" s="185"/>
      <c r="S2901" s="185" t="s">
        <v>1532</v>
      </c>
      <c r="T2901"/>
      <c r="U2901" t="str">
        <f>IF($L2901&gt;0,VLOOKUP($E2901,Valida!$A$1:$G$270,6,FALSE),IF($M2901&gt;=0,VLOOKUP($E2901,Valida!$A$1:$G$270,7,FALSE)))</f>
        <v>(+/-) Ajustes por el incremento (disminución) de cuentas por pagar de origen comercial</v>
      </c>
      <c r="V2901" s="190" t="str">
        <f>VLOOKUP(E2901,Valida!$A$2:$K$271,4,FALSE)</f>
        <v>Trade and other payables</v>
      </c>
      <c r="W2901" s="185" t="s">
        <v>1900</v>
      </c>
      <c r="X2901" s="185"/>
      <c r="Y2901" s="185" t="s">
        <v>1789</v>
      </c>
      <c r="Z2901"/>
    </row>
    <row r="2902" spans="1:26">
      <c r="A2902" s="185" t="s">
        <v>3611</v>
      </c>
      <c r="B2902" s="185" t="s">
        <v>3635</v>
      </c>
      <c r="C2902" s="185" t="s">
        <v>1890</v>
      </c>
      <c r="D2902" s="185" t="s">
        <v>3636</v>
      </c>
      <c r="E2902" s="185">
        <v>112005</v>
      </c>
      <c r="F2902" s="185" t="s">
        <v>24</v>
      </c>
      <c r="G2902" s="185" t="s">
        <v>3630</v>
      </c>
      <c r="H2902" s="185" t="s">
        <v>1628</v>
      </c>
      <c r="I2902" s="258" t="str">
        <f t="shared" si="136"/>
        <v>1</v>
      </c>
      <c r="J2902" s="221">
        <f t="shared" si="137"/>
        <v>-1067200</v>
      </c>
      <c r="K2902" s="258">
        <f t="shared" si="138"/>
        <v>10</v>
      </c>
      <c r="L2902" s="188">
        <v>0</v>
      </c>
      <c r="M2902" s="188">
        <v>1067200</v>
      </c>
      <c r="N2902" s="189">
        <v>1020842223</v>
      </c>
      <c r="O2902"/>
      <c r="P2902" s="187">
        <v>45226.407523148097</v>
      </c>
      <c r="Q2902" s="186">
        <v>14075</v>
      </c>
      <c r="R2902" s="185"/>
      <c r="S2902" s="185" t="s">
        <v>1532</v>
      </c>
      <c r="T2902" t="s">
        <v>1894</v>
      </c>
      <c r="U2902" t="str">
        <f>IF($L2902&gt;0,VLOOKUP($E2902,Valida!$A$1:$G$270,6,FALSE),IF($M2902&gt;=0,VLOOKUP($E2902,Valida!$A$1:$G$270,7,FALSE)))</f>
        <v>Disponible</v>
      </c>
      <c r="V2902" s="190" t="str">
        <f>VLOOKUP(E2902,Valida!$A$2:$K$271,4,FALSE)</f>
        <v>Cash and equivalents</v>
      </c>
      <c r="W2902" s="185" t="s">
        <v>1900</v>
      </c>
      <c r="X2902" s="185"/>
      <c r="Y2902" s="185" t="s">
        <v>1789</v>
      </c>
      <c r="Z2902"/>
    </row>
    <row r="2903" spans="1:26">
      <c r="A2903" s="185" t="s">
        <v>3611</v>
      </c>
      <c r="B2903" s="185" t="s">
        <v>3637</v>
      </c>
      <c r="C2903" s="185" t="s">
        <v>1890</v>
      </c>
      <c r="D2903" s="185" t="s">
        <v>3638</v>
      </c>
      <c r="E2903" s="185">
        <v>250505</v>
      </c>
      <c r="F2903" s="185" t="s">
        <v>767</v>
      </c>
      <c r="G2903" s="185" t="s">
        <v>3630</v>
      </c>
      <c r="H2903" s="185" t="s">
        <v>1515</v>
      </c>
      <c r="I2903" s="258" t="str">
        <f t="shared" si="136"/>
        <v>2</v>
      </c>
      <c r="J2903" s="221">
        <f t="shared" si="137"/>
        <v>1520606</v>
      </c>
      <c r="K2903" s="258">
        <f t="shared" si="138"/>
        <v>10</v>
      </c>
      <c r="L2903" s="188">
        <v>1520606</v>
      </c>
      <c r="M2903" s="188">
        <v>0</v>
      </c>
      <c r="N2903" s="189">
        <v>1010101811</v>
      </c>
      <c r="O2903"/>
      <c r="P2903" s="187">
        <v>45226.407812500001</v>
      </c>
      <c r="Q2903" s="186">
        <v>14076</v>
      </c>
      <c r="R2903" s="185"/>
      <c r="S2903" s="185" t="s">
        <v>1528</v>
      </c>
      <c r="T2903"/>
      <c r="U2903" t="str">
        <f>IF($L2903&gt;0,VLOOKUP($E2903,Valida!$A$1:$G$270,6,FALSE),IF($M2903&gt;=0,VLOOKUP($E2903,Valida!$A$1:$G$270,7,FALSE)))</f>
        <v>(+/-) Ajustes por el incremento (disminución) de cuentas por pagar de origen comercial</v>
      </c>
      <c r="V2903" s="190" t="str">
        <f>VLOOKUP(E2903,Valida!$A$2:$K$271,4,FALSE)</f>
        <v>Trade and other payables</v>
      </c>
      <c r="W2903" s="185" t="s">
        <v>1967</v>
      </c>
      <c r="X2903" s="185"/>
      <c r="Y2903" s="185" t="s">
        <v>1789</v>
      </c>
      <c r="Z2903"/>
    </row>
    <row r="2904" spans="1:26">
      <c r="A2904" s="185" t="s">
        <v>3611</v>
      </c>
      <c r="B2904" s="185" t="s">
        <v>3637</v>
      </c>
      <c r="C2904" s="185" t="s">
        <v>1890</v>
      </c>
      <c r="D2904" s="185" t="s">
        <v>3638</v>
      </c>
      <c r="E2904" s="185">
        <v>112005</v>
      </c>
      <c r="F2904" s="185" t="s">
        <v>24</v>
      </c>
      <c r="G2904" s="185" t="s">
        <v>3630</v>
      </c>
      <c r="H2904" s="185" t="s">
        <v>1628</v>
      </c>
      <c r="I2904" s="258" t="str">
        <f t="shared" si="136"/>
        <v>1</v>
      </c>
      <c r="J2904" s="221">
        <f t="shared" si="137"/>
        <v>-1520606</v>
      </c>
      <c r="K2904" s="258">
        <f t="shared" si="138"/>
        <v>10</v>
      </c>
      <c r="L2904" s="188">
        <v>0</v>
      </c>
      <c r="M2904" s="188">
        <v>1520606</v>
      </c>
      <c r="N2904" s="189">
        <v>1010101811</v>
      </c>
      <c r="O2904"/>
      <c r="P2904" s="187">
        <v>45226.407812500001</v>
      </c>
      <c r="Q2904" s="186">
        <v>14077</v>
      </c>
      <c r="R2904" s="185"/>
      <c r="S2904" s="185" t="s">
        <v>1528</v>
      </c>
      <c r="T2904" t="s">
        <v>1894</v>
      </c>
      <c r="U2904" t="str">
        <f>IF($L2904&gt;0,VLOOKUP($E2904,Valida!$A$1:$G$270,6,FALSE),IF($M2904&gt;=0,VLOOKUP($E2904,Valida!$A$1:$G$270,7,FALSE)))</f>
        <v>Disponible</v>
      </c>
      <c r="V2904" s="190" t="str">
        <f>VLOOKUP(E2904,Valida!$A$2:$K$271,4,FALSE)</f>
        <v>Cash and equivalents</v>
      </c>
      <c r="W2904" s="185" t="s">
        <v>1967</v>
      </c>
      <c r="X2904" s="185"/>
      <c r="Y2904" s="185" t="s">
        <v>1789</v>
      </c>
      <c r="Z2904"/>
    </row>
    <row r="2905" spans="1:26">
      <c r="A2905" s="185" t="s">
        <v>3611</v>
      </c>
      <c r="B2905" s="185" t="s">
        <v>3639</v>
      </c>
      <c r="C2905" s="185" t="s">
        <v>1890</v>
      </c>
      <c r="D2905" s="185" t="s">
        <v>3640</v>
      </c>
      <c r="E2905" s="185">
        <v>250505</v>
      </c>
      <c r="F2905" s="185" t="s">
        <v>767</v>
      </c>
      <c r="G2905" s="185" t="s">
        <v>3630</v>
      </c>
      <c r="H2905" s="185" t="s">
        <v>1515</v>
      </c>
      <c r="I2905" s="258" t="str">
        <f t="shared" si="136"/>
        <v>2</v>
      </c>
      <c r="J2905" s="221">
        <f t="shared" si="137"/>
        <v>1207806</v>
      </c>
      <c r="K2905" s="258">
        <f t="shared" si="138"/>
        <v>10</v>
      </c>
      <c r="L2905" s="188">
        <v>1207806</v>
      </c>
      <c r="M2905" s="188">
        <v>0</v>
      </c>
      <c r="N2905" s="189">
        <v>1130744136</v>
      </c>
      <c r="O2905"/>
      <c r="P2905" s="187">
        <v>45226.408171296302</v>
      </c>
      <c r="Q2905" s="186">
        <v>14078</v>
      </c>
      <c r="R2905" s="185"/>
      <c r="S2905" s="185" t="s">
        <v>1538</v>
      </c>
      <c r="T2905"/>
      <c r="U2905" t="str">
        <f>IF($L2905&gt;0,VLOOKUP($E2905,Valida!$A$1:$G$270,6,FALSE),IF($M2905&gt;=0,VLOOKUP($E2905,Valida!$A$1:$G$270,7,FALSE)))</f>
        <v>(+/-) Ajustes por el incremento (disminución) de cuentas por pagar de origen comercial</v>
      </c>
      <c r="V2905" s="190" t="str">
        <f>VLOOKUP(E2905,Valida!$A$2:$K$271,4,FALSE)</f>
        <v>Trade and other payables</v>
      </c>
      <c r="W2905" s="185" t="s">
        <v>1909</v>
      </c>
      <c r="X2905" s="185" t="s">
        <v>1910</v>
      </c>
      <c r="Y2905" s="185" t="s">
        <v>1789</v>
      </c>
      <c r="Z2905"/>
    </row>
    <row r="2906" spans="1:26">
      <c r="A2906" s="185" t="s">
        <v>3611</v>
      </c>
      <c r="B2906" s="185" t="s">
        <v>3639</v>
      </c>
      <c r="C2906" s="185" t="s">
        <v>1890</v>
      </c>
      <c r="D2906" s="185" t="s">
        <v>3640</v>
      </c>
      <c r="E2906" s="185">
        <v>112005</v>
      </c>
      <c r="F2906" s="185" t="s">
        <v>24</v>
      </c>
      <c r="G2906" s="185" t="s">
        <v>3630</v>
      </c>
      <c r="H2906" s="185" t="s">
        <v>1628</v>
      </c>
      <c r="I2906" s="258" t="str">
        <f t="shared" si="136"/>
        <v>1</v>
      </c>
      <c r="J2906" s="221">
        <f t="shared" si="137"/>
        <v>-1207806</v>
      </c>
      <c r="K2906" s="258">
        <f t="shared" si="138"/>
        <v>10</v>
      </c>
      <c r="L2906" s="188">
        <v>0</v>
      </c>
      <c r="M2906" s="188">
        <v>1207806</v>
      </c>
      <c r="N2906" s="189">
        <v>1130744136</v>
      </c>
      <c r="O2906"/>
      <c r="P2906" s="187">
        <v>45226.408171296302</v>
      </c>
      <c r="Q2906" s="186">
        <v>14079</v>
      </c>
      <c r="R2906" s="185"/>
      <c r="S2906" s="185" t="s">
        <v>1538</v>
      </c>
      <c r="T2906" t="s">
        <v>1894</v>
      </c>
      <c r="U2906" t="str">
        <f>IF($L2906&gt;0,VLOOKUP($E2906,Valida!$A$1:$G$270,6,FALSE),IF($M2906&gt;=0,VLOOKUP($E2906,Valida!$A$1:$G$270,7,FALSE)))</f>
        <v>Disponible</v>
      </c>
      <c r="V2906" s="190" t="str">
        <f>VLOOKUP(E2906,Valida!$A$2:$K$271,4,FALSE)</f>
        <v>Cash and equivalents</v>
      </c>
      <c r="W2906" s="185" t="s">
        <v>1909</v>
      </c>
      <c r="X2906" s="185" t="s">
        <v>1910</v>
      </c>
      <c r="Y2906" s="185" t="s">
        <v>1789</v>
      </c>
      <c r="Z2906"/>
    </row>
    <row r="2907" spans="1:26">
      <c r="A2907" s="185" t="s">
        <v>3559</v>
      </c>
      <c r="B2907" s="185" t="s">
        <v>3641</v>
      </c>
      <c r="C2907" s="185" t="s">
        <v>1949</v>
      </c>
      <c r="D2907" s="185" t="s">
        <v>2610</v>
      </c>
      <c r="E2907" s="185">
        <v>112005</v>
      </c>
      <c r="F2907" s="185" t="s">
        <v>24</v>
      </c>
      <c r="G2907" s="185" t="s">
        <v>3642</v>
      </c>
      <c r="H2907" s="185" t="s">
        <v>1515</v>
      </c>
      <c r="I2907" s="258" t="str">
        <f t="shared" si="136"/>
        <v>1</v>
      </c>
      <c r="J2907" s="221">
        <f t="shared" si="137"/>
        <v>76918631</v>
      </c>
      <c r="K2907" s="258">
        <f t="shared" si="138"/>
        <v>10</v>
      </c>
      <c r="L2907" s="188">
        <v>76918631</v>
      </c>
      <c r="M2907" s="188">
        <v>0</v>
      </c>
      <c r="N2907" s="189">
        <v>374795</v>
      </c>
      <c r="O2907"/>
      <c r="P2907" s="187">
        <v>45226.4116319444</v>
      </c>
      <c r="Q2907" s="186">
        <v>14080</v>
      </c>
      <c r="R2907" s="185"/>
      <c r="S2907" s="185" t="s">
        <v>1544</v>
      </c>
      <c r="T2907" t="s">
        <v>1894</v>
      </c>
      <c r="U2907" t="str">
        <f>IF($L2907&gt;0,VLOOKUP($E2907,Valida!$A$1:$G$270,6,FALSE),IF($M2907&gt;=0,VLOOKUP($E2907,Valida!$A$1:$G$270,7,FALSE)))</f>
        <v>Disponible</v>
      </c>
      <c r="V2907" s="190" t="str">
        <f>VLOOKUP(E2907,Valida!$A$2:$K$271,4,FALSE)</f>
        <v>Cash and equivalents</v>
      </c>
      <c r="W2907" s="185" t="s">
        <v>1803</v>
      </c>
      <c r="X2907" s="185"/>
      <c r="Y2907" s="185"/>
      <c r="Z2907"/>
    </row>
    <row r="2908" spans="1:26">
      <c r="A2908" s="185" t="s">
        <v>3559</v>
      </c>
      <c r="B2908" s="185" t="s">
        <v>3641</v>
      </c>
      <c r="C2908" s="185" t="s">
        <v>1949</v>
      </c>
      <c r="D2908" s="185" t="s">
        <v>2610</v>
      </c>
      <c r="E2908" s="185">
        <v>130510</v>
      </c>
      <c r="F2908" s="185" t="s">
        <v>64</v>
      </c>
      <c r="G2908" s="185" t="s">
        <v>3642</v>
      </c>
      <c r="H2908" s="185" t="s">
        <v>1628</v>
      </c>
      <c r="I2908" s="258" t="str">
        <f t="shared" si="136"/>
        <v>1</v>
      </c>
      <c r="J2908" s="221">
        <f t="shared" si="137"/>
        <v>-75126480</v>
      </c>
      <c r="K2908" s="258">
        <f t="shared" si="138"/>
        <v>10</v>
      </c>
      <c r="L2908" s="188">
        <v>0</v>
      </c>
      <c r="M2908" s="188">
        <v>75126480</v>
      </c>
      <c r="N2908" s="189">
        <v>374795</v>
      </c>
      <c r="O2908"/>
      <c r="P2908" s="187">
        <v>45226.4116319444</v>
      </c>
      <c r="Q2908" s="186">
        <v>14081</v>
      </c>
      <c r="R2908" s="185"/>
      <c r="S2908" s="185" t="s">
        <v>1544</v>
      </c>
      <c r="T2908"/>
      <c r="U2908" t="str">
        <f>IF($L2908&gt;0,VLOOKUP($E2908,Valida!$A$1:$G$270,6,FALSE),IF($M2908&gt;=0,VLOOKUP($E2908,Valida!$A$1:$G$270,7,FALSE)))</f>
        <v>(+/-) Ajustes por la disminución (incremento) de cuentas por cobrar de origen comercial</v>
      </c>
      <c r="V2908" s="190" t="str">
        <f>VLOOKUP(E2908,Valida!$A$2:$K$271,4,FALSE)</f>
        <v>Trade and other receivables</v>
      </c>
      <c r="W2908" s="185" t="s">
        <v>1803</v>
      </c>
      <c r="X2908" s="185"/>
      <c r="Y2908" s="185"/>
      <c r="Z2908"/>
    </row>
    <row r="2909" spans="1:26">
      <c r="A2909" s="185" t="s">
        <v>3559</v>
      </c>
      <c r="B2909" s="185" t="s">
        <v>3641</v>
      </c>
      <c r="C2909" s="185" t="s">
        <v>1949</v>
      </c>
      <c r="D2909" s="185" t="s">
        <v>2610</v>
      </c>
      <c r="E2909" s="185">
        <v>53052501</v>
      </c>
      <c r="F2909" s="185" t="s">
        <v>1752</v>
      </c>
      <c r="G2909" s="185" t="s">
        <v>3642</v>
      </c>
      <c r="H2909" s="185" t="s">
        <v>1628</v>
      </c>
      <c r="I2909" s="258" t="str">
        <f t="shared" si="136"/>
        <v>5</v>
      </c>
      <c r="J2909" s="221">
        <f t="shared" si="137"/>
        <v>-1792151</v>
      </c>
      <c r="K2909" s="258">
        <f t="shared" si="138"/>
        <v>10</v>
      </c>
      <c r="L2909" s="188">
        <v>0</v>
      </c>
      <c r="M2909" s="188">
        <v>1792151</v>
      </c>
      <c r="N2909" s="189">
        <v>374795</v>
      </c>
      <c r="O2909"/>
      <c r="P2909" s="187">
        <v>45226.4116319444</v>
      </c>
      <c r="Q2909" s="186">
        <v>14082</v>
      </c>
      <c r="R2909" s="185"/>
      <c r="S2909" s="185" t="s">
        <v>1544</v>
      </c>
      <c r="T2909"/>
      <c r="U2909" t="str">
        <f>IF($L2909&gt;0,VLOOKUP($E2909,Valida!$A$1:$G$270,6,FALSE),IF($M2909&gt;=0,VLOOKUP($E2909,Valida!$A$1:$G$270,7,FALSE)))</f>
        <v>(+/-) Ganancia (pérdida)</v>
      </c>
      <c r="V2909" s="190" t="str">
        <f>VLOOKUP(E2909,Valida!$A$2:$K$271,4,FALSE)</f>
        <v>P&amp;L</v>
      </c>
      <c r="W2909" s="185" t="s">
        <v>1803</v>
      </c>
      <c r="X2909" s="185"/>
      <c r="Y2909" s="185"/>
      <c r="Z2909"/>
    </row>
    <row r="2910" spans="1:26">
      <c r="A2910" s="185" t="s">
        <v>3643</v>
      </c>
      <c r="B2910" s="185" t="s">
        <v>3644</v>
      </c>
      <c r="C2910" s="185" t="s">
        <v>1785</v>
      </c>
      <c r="D2910" s="185" t="s">
        <v>3096</v>
      </c>
      <c r="E2910" s="185">
        <v>237005</v>
      </c>
      <c r="F2910" s="185" t="s">
        <v>676</v>
      </c>
      <c r="G2910" s="185" t="s">
        <v>3645</v>
      </c>
      <c r="H2910" s="185" t="s">
        <v>1515</v>
      </c>
      <c r="I2910" s="258" t="str">
        <f t="shared" si="136"/>
        <v>2</v>
      </c>
      <c r="J2910" s="221">
        <f t="shared" si="137"/>
        <v>92800</v>
      </c>
      <c r="K2910" s="258">
        <f t="shared" si="138"/>
        <v>10</v>
      </c>
      <c r="L2910" s="188">
        <v>92800</v>
      </c>
      <c r="M2910" s="188">
        <v>0</v>
      </c>
      <c r="N2910" s="189">
        <v>800251440</v>
      </c>
      <c r="O2910"/>
      <c r="P2910" s="187">
        <v>45226.495543981502</v>
      </c>
      <c r="Q2910" s="186">
        <v>14083</v>
      </c>
      <c r="R2910" s="185" t="s">
        <v>1901</v>
      </c>
      <c r="S2910" s="185" t="s">
        <v>1560</v>
      </c>
      <c r="T2910"/>
      <c r="U2910" t="str">
        <f>IF($L2910&gt;0,VLOOKUP($E2910,Valida!$A$1:$G$270,6,FALSE),IF($M2910&gt;=0,VLOOKUP($E2910,Valida!$A$1:$G$270,7,FALSE)))</f>
        <v>(+/-) Ajustes por el incremento (disminución) de cuentas por pagar de origen comercial</v>
      </c>
      <c r="V2910" s="190" t="str">
        <f>VLOOKUP(E2910,Valida!$A$2:$K$271,4,FALSE)</f>
        <v>Trade and other payables</v>
      </c>
      <c r="W2910" s="185" t="s">
        <v>1902</v>
      </c>
      <c r="X2910" s="185" t="s">
        <v>1903</v>
      </c>
      <c r="Y2910" s="185" t="s">
        <v>1789</v>
      </c>
      <c r="Z2910"/>
    </row>
    <row r="2911" spans="1:26">
      <c r="A2911" s="185" t="s">
        <v>3643</v>
      </c>
      <c r="B2911" s="185" t="s">
        <v>3644</v>
      </c>
      <c r="C2911" s="185" t="s">
        <v>1785</v>
      </c>
      <c r="D2911" s="185" t="s">
        <v>3096</v>
      </c>
      <c r="E2911" s="185">
        <v>237005</v>
      </c>
      <c r="F2911" s="185" t="s">
        <v>676</v>
      </c>
      <c r="G2911" s="185" t="s">
        <v>3645</v>
      </c>
      <c r="H2911" s="185" t="s">
        <v>1515</v>
      </c>
      <c r="I2911" s="258" t="str">
        <f t="shared" si="136"/>
        <v>2</v>
      </c>
      <c r="J2911" s="221">
        <f t="shared" si="137"/>
        <v>51040</v>
      </c>
      <c r="K2911" s="258">
        <f t="shared" si="138"/>
        <v>10</v>
      </c>
      <c r="L2911" s="188">
        <v>51040</v>
      </c>
      <c r="M2911" s="188">
        <v>0</v>
      </c>
      <c r="N2911" s="189">
        <v>830003564</v>
      </c>
      <c r="O2911"/>
      <c r="P2911" s="187">
        <v>45226.495543981502</v>
      </c>
      <c r="Q2911" s="186">
        <v>14084</v>
      </c>
      <c r="R2911" s="185" t="s">
        <v>1814</v>
      </c>
      <c r="S2911" s="185" t="s">
        <v>1652</v>
      </c>
      <c r="T2911"/>
      <c r="U2911" t="str">
        <f>IF($L2911&gt;0,VLOOKUP($E2911,Valida!$A$1:$G$270,6,FALSE),IF($M2911&gt;=0,VLOOKUP($E2911,Valida!$A$1:$G$270,7,FALSE)))</f>
        <v>(+/-) Ajustes por el incremento (disminución) de cuentas por pagar de origen comercial</v>
      </c>
      <c r="V2911" s="190" t="str">
        <f>VLOOKUP(E2911,Valida!$A$2:$K$271,4,FALSE)</f>
        <v>Trade and other payables</v>
      </c>
      <c r="W2911" s="185" t="s">
        <v>1973</v>
      </c>
      <c r="X2911" s="185" t="s">
        <v>1974</v>
      </c>
      <c r="Y2911" s="185" t="s">
        <v>1789</v>
      </c>
      <c r="Z2911"/>
    </row>
    <row r="2912" spans="1:26">
      <c r="A2912" s="185" t="s">
        <v>3643</v>
      </c>
      <c r="B2912" s="185" t="s">
        <v>3644</v>
      </c>
      <c r="C2912" s="185" t="s">
        <v>1785</v>
      </c>
      <c r="D2912" s="185" t="s">
        <v>3096</v>
      </c>
      <c r="E2912" s="185">
        <v>237005</v>
      </c>
      <c r="F2912" s="185" t="s">
        <v>676</v>
      </c>
      <c r="G2912" s="185" t="s">
        <v>3645</v>
      </c>
      <c r="H2912" s="185" t="s">
        <v>1515</v>
      </c>
      <c r="I2912" s="258" t="str">
        <f t="shared" si="136"/>
        <v>2</v>
      </c>
      <c r="J2912" s="221">
        <f t="shared" si="137"/>
        <v>115100</v>
      </c>
      <c r="K2912" s="258">
        <f t="shared" si="138"/>
        <v>10</v>
      </c>
      <c r="L2912" s="188">
        <v>115100</v>
      </c>
      <c r="M2912" s="188">
        <v>0</v>
      </c>
      <c r="N2912" s="189">
        <v>860066942</v>
      </c>
      <c r="O2912"/>
      <c r="P2912" s="187">
        <v>45226.495543981502</v>
      </c>
      <c r="Q2912" s="186">
        <v>14085</v>
      </c>
      <c r="R2912" s="185" t="s">
        <v>1814</v>
      </c>
      <c r="S2912" s="185" t="s">
        <v>1574</v>
      </c>
      <c r="T2912"/>
      <c r="U2912" t="str">
        <f>IF($L2912&gt;0,VLOOKUP($E2912,Valida!$A$1:$G$270,6,FALSE),IF($M2912&gt;=0,VLOOKUP($E2912,Valida!$A$1:$G$270,7,FALSE)))</f>
        <v>(+/-) Ajustes por el incremento (disminución) de cuentas por pagar de origen comercial</v>
      </c>
      <c r="V2912" s="190" t="str">
        <f>VLOOKUP(E2912,Valida!$A$2:$K$271,4,FALSE)</f>
        <v>Trade and other payables</v>
      </c>
      <c r="W2912" s="185" t="s">
        <v>1914</v>
      </c>
      <c r="X2912" s="185" t="s">
        <v>1915</v>
      </c>
      <c r="Y2912" s="185" t="s">
        <v>1789</v>
      </c>
      <c r="Z2912"/>
    </row>
    <row r="2913" spans="1:26">
      <c r="A2913" s="185" t="s">
        <v>3643</v>
      </c>
      <c r="B2913" s="185" t="s">
        <v>3644</v>
      </c>
      <c r="C2913" s="185" t="s">
        <v>1785</v>
      </c>
      <c r="D2913" s="185" t="s">
        <v>3096</v>
      </c>
      <c r="E2913" s="185">
        <v>237005</v>
      </c>
      <c r="F2913" s="185" t="s">
        <v>676</v>
      </c>
      <c r="G2913" s="185" t="s">
        <v>3645</v>
      </c>
      <c r="H2913" s="185" t="s">
        <v>1515</v>
      </c>
      <c r="I2913" s="258" t="str">
        <f t="shared" si="136"/>
        <v>2</v>
      </c>
      <c r="J2913" s="221">
        <f t="shared" si="137"/>
        <v>89288</v>
      </c>
      <c r="K2913" s="258">
        <f t="shared" si="138"/>
        <v>10</v>
      </c>
      <c r="L2913" s="188">
        <v>89288</v>
      </c>
      <c r="M2913" s="188">
        <v>0</v>
      </c>
      <c r="N2913" s="189">
        <v>900156264</v>
      </c>
      <c r="O2913"/>
      <c r="P2913" s="187">
        <v>45226.495543981502</v>
      </c>
      <c r="Q2913" s="186">
        <v>14086</v>
      </c>
      <c r="R2913" s="185" t="s">
        <v>433</v>
      </c>
      <c r="S2913" s="185" t="s">
        <v>1654</v>
      </c>
      <c r="T2913"/>
      <c r="U2913" t="str">
        <f>IF($L2913&gt;0,VLOOKUP($E2913,Valida!$A$1:$G$270,6,FALSE),IF($M2913&gt;=0,VLOOKUP($E2913,Valida!$A$1:$G$270,7,FALSE)))</f>
        <v>(+/-) Ajustes por el incremento (disminución) de cuentas por pagar de origen comercial</v>
      </c>
      <c r="V2913" s="190" t="str">
        <f>VLOOKUP(E2913,Valida!$A$2:$K$271,4,FALSE)</f>
        <v>Trade and other payables</v>
      </c>
      <c r="W2913" s="185" t="s">
        <v>1926</v>
      </c>
      <c r="X2913" s="185" t="s">
        <v>1927</v>
      </c>
      <c r="Y2913" s="185" t="s">
        <v>1789</v>
      </c>
      <c r="Z2913"/>
    </row>
    <row r="2914" spans="1:26">
      <c r="A2914" s="185" t="s">
        <v>3643</v>
      </c>
      <c r="B2914" s="185" t="s">
        <v>3644</v>
      </c>
      <c r="C2914" s="185" t="s">
        <v>1785</v>
      </c>
      <c r="D2914" s="185" t="s">
        <v>3096</v>
      </c>
      <c r="E2914" s="185">
        <v>237095</v>
      </c>
      <c r="F2914" s="185" t="s">
        <v>150</v>
      </c>
      <c r="G2914" s="185" t="s">
        <v>3645</v>
      </c>
      <c r="H2914" s="185" t="s">
        <v>1628</v>
      </c>
      <c r="I2914" s="258" t="str">
        <f t="shared" si="136"/>
        <v>2</v>
      </c>
      <c r="J2914" s="221">
        <f t="shared" si="137"/>
        <v>-348228</v>
      </c>
      <c r="K2914" s="258">
        <f t="shared" si="138"/>
        <v>10</v>
      </c>
      <c r="L2914" s="188">
        <v>0</v>
      </c>
      <c r="M2914" s="188">
        <v>348228</v>
      </c>
      <c r="N2914" s="189">
        <v>860066942</v>
      </c>
      <c r="O2914"/>
      <c r="P2914" s="187">
        <v>45226.495543981502</v>
      </c>
      <c r="Q2914" s="186">
        <v>14087</v>
      </c>
      <c r="R2914" s="185" t="s">
        <v>1814</v>
      </c>
      <c r="S2914" s="185" t="s">
        <v>1574</v>
      </c>
      <c r="T2914"/>
      <c r="U2914" t="str">
        <f>IF($L2914&gt;0,VLOOKUP($E2914,Valida!$A$1:$G$270,6,FALSE),IF($M2914&gt;=0,VLOOKUP($E2914,Valida!$A$1:$G$270,7,FALSE)))</f>
        <v>(+/-) Ajustes por el incremento (disminución) de cuentas por pagar de origen comercial</v>
      </c>
      <c r="V2914" s="190" t="str">
        <f>VLOOKUP(E2914,Valida!$A$2:$K$271,4,FALSE)</f>
        <v>Trade and other payables</v>
      </c>
      <c r="W2914" s="185" t="s">
        <v>1914</v>
      </c>
      <c r="X2914" s="185" t="s">
        <v>1915</v>
      </c>
      <c r="Y2914" s="185" t="s">
        <v>1789</v>
      </c>
      <c r="Z2914"/>
    </row>
    <row r="2915" spans="1:26">
      <c r="A2915" s="185" t="s">
        <v>3643</v>
      </c>
      <c r="B2915" s="185" t="s">
        <v>3646</v>
      </c>
      <c r="C2915" s="185" t="s">
        <v>1785</v>
      </c>
      <c r="D2915" s="185" t="s">
        <v>3266</v>
      </c>
      <c r="E2915" s="185">
        <v>237006</v>
      </c>
      <c r="F2915" s="185" t="s">
        <v>680</v>
      </c>
      <c r="G2915" s="185" t="s">
        <v>3645</v>
      </c>
      <c r="H2915" s="185" t="s">
        <v>1515</v>
      </c>
      <c r="I2915" s="258" t="str">
        <f t="shared" si="136"/>
        <v>2</v>
      </c>
      <c r="J2915" s="221">
        <f t="shared" si="137"/>
        <v>39389</v>
      </c>
      <c r="K2915" s="258">
        <f t="shared" si="138"/>
        <v>10</v>
      </c>
      <c r="L2915" s="188">
        <v>39389</v>
      </c>
      <c r="M2915" s="188">
        <v>0</v>
      </c>
      <c r="N2915" s="189">
        <v>860002503</v>
      </c>
      <c r="O2915"/>
      <c r="P2915" s="187">
        <v>45226.4980671296</v>
      </c>
      <c r="Q2915" s="186">
        <v>14088</v>
      </c>
      <c r="R2915" s="185" t="s">
        <v>433</v>
      </c>
      <c r="S2915" s="185" t="s">
        <v>1656</v>
      </c>
      <c r="T2915"/>
      <c r="U2915" t="str">
        <f>IF($L2915&gt;0,VLOOKUP($E2915,Valida!$A$1:$G$270,6,FALSE),IF($M2915&gt;=0,VLOOKUP($E2915,Valida!$A$1:$G$270,7,FALSE)))</f>
        <v>(+/-) Ajustes por el incremento (disminución) de cuentas por pagar de origen comercial</v>
      </c>
      <c r="V2915" s="190" t="str">
        <f>VLOOKUP(E2915,Valida!$A$2:$K$271,4,FALSE)</f>
        <v>Trade and other payables</v>
      </c>
      <c r="W2915" s="185" t="s">
        <v>1912</v>
      </c>
      <c r="X2915" s="185" t="s">
        <v>1913</v>
      </c>
      <c r="Y2915" s="185" t="s">
        <v>1789</v>
      </c>
      <c r="Z2915"/>
    </row>
    <row r="2916" spans="1:26">
      <c r="A2916" s="185" t="s">
        <v>3643</v>
      </c>
      <c r="B2916" s="185" t="s">
        <v>3646</v>
      </c>
      <c r="C2916" s="185" t="s">
        <v>1785</v>
      </c>
      <c r="D2916" s="185" t="s">
        <v>3266</v>
      </c>
      <c r="E2916" s="185">
        <v>237010</v>
      </c>
      <c r="F2916" s="185" t="s">
        <v>683</v>
      </c>
      <c r="G2916" s="185" t="s">
        <v>3645</v>
      </c>
      <c r="H2916" s="185" t="s">
        <v>1515</v>
      </c>
      <c r="I2916" s="258" t="str">
        <f t="shared" si="136"/>
        <v>2</v>
      </c>
      <c r="J2916" s="221">
        <f t="shared" si="137"/>
        <v>226380</v>
      </c>
      <c r="K2916" s="258">
        <f t="shared" si="138"/>
        <v>10</v>
      </c>
      <c r="L2916" s="188">
        <v>226380</v>
      </c>
      <c r="M2916" s="188">
        <v>0</v>
      </c>
      <c r="N2916" s="189">
        <v>860066942</v>
      </c>
      <c r="O2916"/>
      <c r="P2916" s="187">
        <v>45226.4980671296</v>
      </c>
      <c r="Q2916" s="186">
        <v>14089</v>
      </c>
      <c r="R2916" s="185" t="s">
        <v>1814</v>
      </c>
      <c r="S2916" s="185" t="s">
        <v>1574</v>
      </c>
      <c r="T2916"/>
      <c r="U2916" t="str">
        <f>IF($L2916&gt;0,VLOOKUP($E2916,Valida!$A$1:$G$270,6,FALSE),IF($M2916&gt;=0,VLOOKUP($E2916,Valida!$A$1:$G$270,7,FALSE)))</f>
        <v>(+/-) Ajustes por el incremento (disminución) de cuentas por pagar de origen comercial</v>
      </c>
      <c r="V2916" s="190" t="str">
        <f>VLOOKUP(E2916,Valida!$A$2:$K$271,4,FALSE)</f>
        <v>Trade and other payables</v>
      </c>
      <c r="W2916" s="185" t="s">
        <v>1914</v>
      </c>
      <c r="X2916" s="185" t="s">
        <v>1915</v>
      </c>
      <c r="Y2916" s="185" t="s">
        <v>1789</v>
      </c>
      <c r="Z2916"/>
    </row>
    <row r="2917" spans="1:26">
      <c r="A2917" s="185" t="s">
        <v>3643</v>
      </c>
      <c r="B2917" s="185" t="s">
        <v>3646</v>
      </c>
      <c r="C2917" s="185" t="s">
        <v>1785</v>
      </c>
      <c r="D2917" s="185" t="s">
        <v>3266</v>
      </c>
      <c r="E2917" s="185">
        <v>237095</v>
      </c>
      <c r="F2917" s="185" t="s">
        <v>150</v>
      </c>
      <c r="G2917" s="185" t="s">
        <v>3645</v>
      </c>
      <c r="H2917" s="185" t="s">
        <v>1628</v>
      </c>
      <c r="I2917" s="258" t="str">
        <f t="shared" si="136"/>
        <v>2</v>
      </c>
      <c r="J2917" s="221">
        <f t="shared" si="137"/>
        <v>-265769</v>
      </c>
      <c r="K2917" s="258">
        <f t="shared" si="138"/>
        <v>10</v>
      </c>
      <c r="L2917" s="188">
        <v>0</v>
      </c>
      <c r="M2917" s="188">
        <v>265769</v>
      </c>
      <c r="N2917" s="189">
        <v>860066942</v>
      </c>
      <c r="O2917"/>
      <c r="P2917" s="187">
        <v>45226.4980671296</v>
      </c>
      <c r="Q2917" s="186">
        <v>14090</v>
      </c>
      <c r="R2917" s="185" t="s">
        <v>1814</v>
      </c>
      <c r="S2917" s="185" t="s">
        <v>1574</v>
      </c>
      <c r="T2917"/>
      <c r="U2917" t="str">
        <f>IF($L2917&gt;0,VLOOKUP($E2917,Valida!$A$1:$G$270,6,FALSE),IF($M2917&gt;=0,VLOOKUP($E2917,Valida!$A$1:$G$270,7,FALSE)))</f>
        <v>(+/-) Ajustes por el incremento (disminución) de cuentas por pagar de origen comercial</v>
      </c>
      <c r="V2917" s="190" t="str">
        <f>VLOOKUP(E2917,Valida!$A$2:$K$271,4,FALSE)</f>
        <v>Trade and other payables</v>
      </c>
      <c r="W2917" s="185" t="s">
        <v>1914</v>
      </c>
      <c r="X2917" s="185" t="s">
        <v>1915</v>
      </c>
      <c r="Y2917" s="185" t="s">
        <v>1789</v>
      </c>
      <c r="Z2917"/>
    </row>
    <row r="2918" spans="1:26">
      <c r="A2918" s="185" t="s">
        <v>3643</v>
      </c>
      <c r="B2918" s="185" t="s">
        <v>3647</v>
      </c>
      <c r="C2918" s="185" t="s">
        <v>1785</v>
      </c>
      <c r="D2918" s="185" t="s">
        <v>3269</v>
      </c>
      <c r="E2918" s="185">
        <v>238030</v>
      </c>
      <c r="F2918" s="185" t="s">
        <v>721</v>
      </c>
      <c r="G2918" s="185" t="s">
        <v>3645</v>
      </c>
      <c r="H2918" s="185" t="s">
        <v>1515</v>
      </c>
      <c r="I2918" s="258" t="str">
        <f t="shared" si="136"/>
        <v>2</v>
      </c>
      <c r="J2918" s="221">
        <f t="shared" si="137"/>
        <v>1188751</v>
      </c>
      <c r="K2918" s="258">
        <f t="shared" si="138"/>
        <v>10</v>
      </c>
      <c r="L2918" s="188">
        <v>1188751</v>
      </c>
      <c r="M2918" s="188">
        <v>0</v>
      </c>
      <c r="N2918" s="189">
        <v>800224808</v>
      </c>
      <c r="O2918"/>
      <c r="P2918" s="187">
        <v>45226.498703703699</v>
      </c>
      <c r="Q2918" s="186">
        <v>14091</v>
      </c>
      <c r="R2918" s="185" t="s">
        <v>1827</v>
      </c>
      <c r="S2918" s="185" t="s">
        <v>1662</v>
      </c>
      <c r="T2918"/>
      <c r="U2918" t="str">
        <f>IF($L2918&gt;0,VLOOKUP($E2918,Valida!$A$1:$G$270,6,FALSE),IF($M2918&gt;=0,VLOOKUP($E2918,Valida!$A$1:$G$270,7,FALSE)))</f>
        <v>(+/-) Ajustes por el incremento (disminución) de cuentas por pagar de origen comercial</v>
      </c>
      <c r="V2918" s="190" t="str">
        <f>VLOOKUP(E2918,Valida!$A$2:$K$271,4,FALSE)</f>
        <v>Trade and other payables</v>
      </c>
      <c r="W2918" s="185" t="s">
        <v>1911</v>
      </c>
      <c r="X2918" s="185"/>
      <c r="Y2918" s="185" t="s">
        <v>1789</v>
      </c>
      <c r="Z2918"/>
    </row>
    <row r="2919" spans="1:26">
      <c r="A2919" s="185" t="s">
        <v>3643</v>
      </c>
      <c r="B2919" s="185" t="s">
        <v>3647</v>
      </c>
      <c r="C2919" s="185" t="s">
        <v>1785</v>
      </c>
      <c r="D2919" s="185" t="s">
        <v>3269</v>
      </c>
      <c r="E2919" s="185">
        <v>238030</v>
      </c>
      <c r="F2919" s="185" t="s">
        <v>721</v>
      </c>
      <c r="G2919" s="185" t="s">
        <v>3645</v>
      </c>
      <c r="H2919" s="185" t="s">
        <v>1515</v>
      </c>
      <c r="I2919" s="258" t="str">
        <f t="shared" si="136"/>
        <v>2</v>
      </c>
      <c r="J2919" s="221">
        <f t="shared" si="137"/>
        <v>204160</v>
      </c>
      <c r="K2919" s="258">
        <f t="shared" si="138"/>
        <v>10</v>
      </c>
      <c r="L2919" s="188">
        <v>204160</v>
      </c>
      <c r="M2919" s="188">
        <v>0</v>
      </c>
      <c r="N2919" s="189">
        <v>800227940</v>
      </c>
      <c r="O2919"/>
      <c r="P2919" s="187">
        <v>45226.498715277798</v>
      </c>
      <c r="Q2919" s="186">
        <v>14092</v>
      </c>
      <c r="R2919" s="185"/>
      <c r="S2919" s="185" t="s">
        <v>1664</v>
      </c>
      <c r="T2919"/>
      <c r="U2919" t="str">
        <f>IF($L2919&gt;0,VLOOKUP($E2919,Valida!$A$1:$G$270,6,FALSE),IF($M2919&gt;=0,VLOOKUP($E2919,Valida!$A$1:$G$270,7,FALSE)))</f>
        <v>(+/-) Ajustes por el incremento (disminución) de cuentas por pagar de origen comercial</v>
      </c>
      <c r="V2919" s="190" t="str">
        <f>VLOOKUP(E2919,Valida!$A$2:$K$271,4,FALSE)</f>
        <v>Trade and other payables</v>
      </c>
      <c r="W2919" s="185"/>
      <c r="X2919" s="185"/>
      <c r="Y2919" s="185"/>
      <c r="Z2919"/>
    </row>
    <row r="2920" spans="1:26">
      <c r="A2920" s="185" t="s">
        <v>3643</v>
      </c>
      <c r="B2920" s="185" t="s">
        <v>3647</v>
      </c>
      <c r="C2920" s="185" t="s">
        <v>1785</v>
      </c>
      <c r="D2920" s="185" t="s">
        <v>3269</v>
      </c>
      <c r="E2920" s="185">
        <v>237095</v>
      </c>
      <c r="F2920" s="185" t="s">
        <v>150</v>
      </c>
      <c r="G2920" s="185" t="s">
        <v>3645</v>
      </c>
      <c r="H2920" s="185" t="s">
        <v>1628</v>
      </c>
      <c r="I2920" s="258" t="str">
        <f t="shared" si="136"/>
        <v>2</v>
      </c>
      <c r="J2920" s="221">
        <f t="shared" si="137"/>
        <v>-1392911</v>
      </c>
      <c r="K2920" s="258">
        <f t="shared" si="138"/>
        <v>10</v>
      </c>
      <c r="L2920" s="188">
        <v>0</v>
      </c>
      <c r="M2920" s="188">
        <v>1392911</v>
      </c>
      <c r="N2920" s="189">
        <v>860066942</v>
      </c>
      <c r="O2920"/>
      <c r="P2920" s="187">
        <v>45226.498715277798</v>
      </c>
      <c r="Q2920" s="186">
        <v>14093</v>
      </c>
      <c r="R2920" s="185" t="s">
        <v>1814</v>
      </c>
      <c r="S2920" s="185" t="s">
        <v>1574</v>
      </c>
      <c r="T2920"/>
      <c r="U2920" t="str">
        <f>IF($L2920&gt;0,VLOOKUP($E2920,Valida!$A$1:$G$270,6,FALSE),IF($M2920&gt;=0,VLOOKUP($E2920,Valida!$A$1:$G$270,7,FALSE)))</f>
        <v>(+/-) Ajustes por el incremento (disminución) de cuentas por pagar de origen comercial</v>
      </c>
      <c r="V2920" s="190" t="str">
        <f>VLOOKUP(E2920,Valida!$A$2:$K$271,4,FALSE)</f>
        <v>Trade and other payables</v>
      </c>
      <c r="W2920" s="185" t="s">
        <v>1914</v>
      </c>
      <c r="X2920" s="185" t="s">
        <v>1915</v>
      </c>
      <c r="Y2920" s="185" t="s">
        <v>1789</v>
      </c>
      <c r="Z2920"/>
    </row>
    <row r="2921" spans="1:26">
      <c r="A2921" s="185" t="s">
        <v>3648</v>
      </c>
      <c r="B2921" s="185" t="s">
        <v>3649</v>
      </c>
      <c r="C2921" s="185" t="s">
        <v>1785</v>
      </c>
      <c r="D2921" s="185" t="s">
        <v>3617</v>
      </c>
      <c r="E2921" s="185">
        <v>237095</v>
      </c>
      <c r="F2921" s="185" t="s">
        <v>150</v>
      </c>
      <c r="G2921" s="185" t="s">
        <v>1986</v>
      </c>
      <c r="H2921" s="185" t="s">
        <v>1628</v>
      </c>
      <c r="I2921" s="258" t="str">
        <f t="shared" si="136"/>
        <v>2</v>
      </c>
      <c r="J2921" s="221">
        <f t="shared" si="137"/>
        <v>-1350000</v>
      </c>
      <c r="K2921" s="258">
        <f t="shared" si="138"/>
        <v>11</v>
      </c>
      <c r="L2921" s="188">
        <v>0</v>
      </c>
      <c r="M2921" s="188">
        <v>1350000</v>
      </c>
      <c r="N2921" s="189">
        <v>860066942</v>
      </c>
      <c r="O2921"/>
      <c r="P2921" s="187">
        <v>45257.447893518503</v>
      </c>
      <c r="Q2921" s="186">
        <v>14566</v>
      </c>
      <c r="R2921" s="185" t="s">
        <v>1814</v>
      </c>
      <c r="S2921" s="185" t="s">
        <v>1574</v>
      </c>
      <c r="T2921"/>
      <c r="U2921" t="str">
        <f>IF($L2921&gt;0,VLOOKUP($E2921,Valida!$A$1:$G$270,6,FALSE),IF($M2921&gt;=0,VLOOKUP($E2921,Valida!$A$1:$G$270,7,FALSE)))</f>
        <v>(+/-) Ajustes por el incremento (disminución) de cuentas por pagar de origen comercial</v>
      </c>
      <c r="V2921" s="190" t="str">
        <f>VLOOKUP(E2921,Valida!$A$2:$K$271,4,FALSE)</f>
        <v>Trade and other payables</v>
      </c>
      <c r="W2921" s="185" t="s">
        <v>1914</v>
      </c>
      <c r="X2921" s="185" t="s">
        <v>1915</v>
      </c>
      <c r="Y2921" s="185" t="s">
        <v>1789</v>
      </c>
      <c r="Z2921"/>
    </row>
    <row r="2922" spans="1:26">
      <c r="A2922" s="185" t="s">
        <v>3648</v>
      </c>
      <c r="B2922" s="185" t="s">
        <v>3649</v>
      </c>
      <c r="C2922" s="185" t="s">
        <v>1785</v>
      </c>
      <c r="D2922" s="185" t="s">
        <v>3617</v>
      </c>
      <c r="E2922" s="185">
        <v>238030</v>
      </c>
      <c r="F2922" s="185" t="s">
        <v>721</v>
      </c>
      <c r="G2922" s="185" t="s">
        <v>1986</v>
      </c>
      <c r="H2922" s="185" t="s">
        <v>1515</v>
      </c>
      <c r="I2922" s="258" t="str">
        <f t="shared" si="136"/>
        <v>2</v>
      </c>
      <c r="J2922" s="221">
        <f t="shared" si="137"/>
        <v>1145749</v>
      </c>
      <c r="K2922" s="258">
        <f t="shared" si="138"/>
        <v>11</v>
      </c>
      <c r="L2922" s="188">
        <v>1145749</v>
      </c>
      <c r="M2922" s="188">
        <v>0</v>
      </c>
      <c r="N2922" s="189">
        <v>800224808</v>
      </c>
      <c r="O2922"/>
      <c r="P2922" s="187">
        <v>45257.447893518503</v>
      </c>
      <c r="Q2922" s="186">
        <v>14567</v>
      </c>
      <c r="R2922" s="185" t="s">
        <v>1827</v>
      </c>
      <c r="S2922" s="185" t="s">
        <v>1662</v>
      </c>
      <c r="T2922"/>
      <c r="U2922" t="str">
        <f>IF($L2922&gt;0,VLOOKUP($E2922,Valida!$A$1:$G$270,6,FALSE),IF($M2922&gt;=0,VLOOKUP($E2922,Valida!$A$1:$G$270,7,FALSE)))</f>
        <v>(+/-) Ajustes por el incremento (disminución) de cuentas por pagar de origen comercial</v>
      </c>
      <c r="V2922" s="190" t="str">
        <f>VLOOKUP(E2922,Valida!$A$2:$K$271,4,FALSE)</f>
        <v>Trade and other payables</v>
      </c>
      <c r="W2922" s="185" t="s">
        <v>1911</v>
      </c>
      <c r="X2922" s="185"/>
      <c r="Y2922" s="185" t="s">
        <v>1789</v>
      </c>
      <c r="Z2922"/>
    </row>
    <row r="2923" spans="1:26">
      <c r="A2923" s="185" t="s">
        <v>3648</v>
      </c>
      <c r="B2923" s="185" t="s">
        <v>3649</v>
      </c>
      <c r="C2923" s="185" t="s">
        <v>1785</v>
      </c>
      <c r="D2923" s="185" t="s">
        <v>3617</v>
      </c>
      <c r="E2923" s="185">
        <v>238030</v>
      </c>
      <c r="F2923" s="185" t="s">
        <v>721</v>
      </c>
      <c r="G2923" s="185" t="s">
        <v>1986</v>
      </c>
      <c r="H2923" s="185" t="s">
        <v>1515</v>
      </c>
      <c r="I2923" s="258" t="str">
        <f t="shared" si="136"/>
        <v>2</v>
      </c>
      <c r="J2923" s="221">
        <f t="shared" si="137"/>
        <v>204160</v>
      </c>
      <c r="K2923" s="258">
        <f t="shared" si="138"/>
        <v>11</v>
      </c>
      <c r="L2923" s="188">
        <v>204160</v>
      </c>
      <c r="M2923" s="188">
        <v>0</v>
      </c>
      <c r="N2923" s="189">
        <v>800227940</v>
      </c>
      <c r="O2923"/>
      <c r="P2923" s="187">
        <v>45257.447893518503</v>
      </c>
      <c r="Q2923" s="186">
        <v>14568</v>
      </c>
      <c r="R2923" s="185"/>
      <c r="S2923" s="185" t="s">
        <v>1664</v>
      </c>
      <c r="T2923"/>
      <c r="U2923" t="str">
        <f>IF($L2923&gt;0,VLOOKUP($E2923,Valida!$A$1:$G$270,6,FALSE),IF($M2923&gt;=0,VLOOKUP($E2923,Valida!$A$1:$G$270,7,FALSE)))</f>
        <v>(+/-) Ajustes por el incremento (disminución) de cuentas por pagar de origen comercial</v>
      </c>
      <c r="V2923" s="190" t="str">
        <f>VLOOKUP(E2923,Valida!$A$2:$K$271,4,FALSE)</f>
        <v>Trade and other payables</v>
      </c>
      <c r="W2923" s="185"/>
      <c r="X2923" s="185"/>
      <c r="Y2923" s="185"/>
      <c r="Z2923"/>
    </row>
    <row r="2924" spans="1:26">
      <c r="A2924" s="185" t="s">
        <v>3648</v>
      </c>
      <c r="B2924" s="185" t="s">
        <v>3649</v>
      </c>
      <c r="C2924" s="185" t="s">
        <v>1785</v>
      </c>
      <c r="D2924" s="185" t="s">
        <v>3617</v>
      </c>
      <c r="E2924" s="185">
        <v>53059510</v>
      </c>
      <c r="F2924" s="185" t="s">
        <v>1065</v>
      </c>
      <c r="G2924" s="185" t="s">
        <v>1986</v>
      </c>
      <c r="H2924" s="185" t="s">
        <v>1515</v>
      </c>
      <c r="I2924" s="258" t="str">
        <f t="shared" si="136"/>
        <v>5</v>
      </c>
      <c r="J2924" s="221">
        <f t="shared" si="137"/>
        <v>91</v>
      </c>
      <c r="K2924" s="258">
        <f t="shared" si="138"/>
        <v>11</v>
      </c>
      <c r="L2924" s="188">
        <v>91</v>
      </c>
      <c r="M2924" s="188">
        <v>0</v>
      </c>
      <c r="N2924" s="189">
        <v>860066942</v>
      </c>
      <c r="O2924"/>
      <c r="P2924" s="187">
        <v>45257.447893518503</v>
      </c>
      <c r="Q2924" s="186">
        <v>14569</v>
      </c>
      <c r="R2924" s="185" t="s">
        <v>1814</v>
      </c>
      <c r="S2924" s="185" t="s">
        <v>1574</v>
      </c>
      <c r="T2924"/>
      <c r="U2924" t="str">
        <f>IF($L2924&gt;0,VLOOKUP($E2924,Valida!$A$1:$G$270,6,FALSE),IF($M2924&gt;=0,VLOOKUP($E2924,Valida!$A$1:$G$270,7,FALSE)))</f>
        <v>(+/-) Ganancia (pérdida)</v>
      </c>
      <c r="V2924" s="190" t="str">
        <f>VLOOKUP(E2924,Valida!$A$2:$K$271,4,FALSE)</f>
        <v>P&amp;L</v>
      </c>
      <c r="W2924" s="185" t="s">
        <v>1914</v>
      </c>
      <c r="X2924" s="185" t="s">
        <v>1915</v>
      </c>
      <c r="Y2924" s="185" t="s">
        <v>1789</v>
      </c>
      <c r="Z2924"/>
    </row>
    <row r="2925" spans="1:26">
      <c r="A2925" s="185" t="s">
        <v>3648</v>
      </c>
      <c r="B2925" s="185" t="s">
        <v>3650</v>
      </c>
      <c r="C2925" s="185" t="s">
        <v>1785</v>
      </c>
      <c r="D2925" s="185" t="s">
        <v>3620</v>
      </c>
      <c r="E2925" s="185">
        <v>237095</v>
      </c>
      <c r="F2925" s="185" t="s">
        <v>150</v>
      </c>
      <c r="G2925" s="185" t="s">
        <v>2207</v>
      </c>
      <c r="H2925" s="185" t="s">
        <v>1628</v>
      </c>
      <c r="I2925" s="258" t="str">
        <f t="shared" si="136"/>
        <v>2</v>
      </c>
      <c r="J2925" s="221">
        <f t="shared" si="137"/>
        <v>-337600</v>
      </c>
      <c r="K2925" s="258">
        <f t="shared" si="138"/>
        <v>11</v>
      </c>
      <c r="L2925" s="188">
        <v>0</v>
      </c>
      <c r="M2925" s="188">
        <v>337600</v>
      </c>
      <c r="N2925" s="189">
        <v>860066942</v>
      </c>
      <c r="O2925"/>
      <c r="P2925" s="187">
        <v>45257.449780092596</v>
      </c>
      <c r="Q2925" s="186">
        <v>14570</v>
      </c>
      <c r="R2925" s="185" t="s">
        <v>1814</v>
      </c>
      <c r="S2925" s="185" t="s">
        <v>1574</v>
      </c>
      <c r="T2925"/>
      <c r="U2925" t="str">
        <f>IF($L2925&gt;0,VLOOKUP($E2925,Valida!$A$1:$G$270,6,FALSE),IF($M2925&gt;=0,VLOOKUP($E2925,Valida!$A$1:$G$270,7,FALSE)))</f>
        <v>(+/-) Ajustes por el incremento (disminución) de cuentas por pagar de origen comercial</v>
      </c>
      <c r="V2925" s="190" t="str">
        <f>VLOOKUP(E2925,Valida!$A$2:$K$271,4,FALSE)</f>
        <v>Trade and other payables</v>
      </c>
      <c r="W2925" s="185" t="s">
        <v>1914</v>
      </c>
      <c r="X2925" s="185" t="s">
        <v>1915</v>
      </c>
      <c r="Y2925" s="185" t="s">
        <v>1789</v>
      </c>
      <c r="Z2925"/>
    </row>
    <row r="2926" spans="1:26">
      <c r="A2926" s="185" t="s">
        <v>3648</v>
      </c>
      <c r="B2926" s="185" t="s">
        <v>3650</v>
      </c>
      <c r="C2926" s="185" t="s">
        <v>1785</v>
      </c>
      <c r="D2926" s="185" t="s">
        <v>3620</v>
      </c>
      <c r="E2926" s="185">
        <v>237005</v>
      </c>
      <c r="F2926" s="185" t="s">
        <v>676</v>
      </c>
      <c r="G2926" s="185" t="s">
        <v>2207</v>
      </c>
      <c r="H2926" s="185" t="s">
        <v>1515</v>
      </c>
      <c r="I2926" s="258" t="str">
        <f t="shared" si="136"/>
        <v>2</v>
      </c>
      <c r="J2926" s="221">
        <f t="shared" si="137"/>
        <v>92800</v>
      </c>
      <c r="K2926" s="258">
        <f t="shared" si="138"/>
        <v>11</v>
      </c>
      <c r="L2926" s="188">
        <v>92800</v>
      </c>
      <c r="M2926" s="188">
        <v>0</v>
      </c>
      <c r="N2926" s="189">
        <v>800251440</v>
      </c>
      <c r="O2926"/>
      <c r="P2926" s="187">
        <v>45257.449780092596</v>
      </c>
      <c r="Q2926" s="186">
        <v>14571</v>
      </c>
      <c r="R2926" s="185" t="s">
        <v>1901</v>
      </c>
      <c r="S2926" s="185" t="s">
        <v>1560</v>
      </c>
      <c r="T2926"/>
      <c r="U2926" t="str">
        <f>IF($L2926&gt;0,VLOOKUP($E2926,Valida!$A$1:$G$270,6,FALSE),IF($M2926&gt;=0,VLOOKUP($E2926,Valida!$A$1:$G$270,7,FALSE)))</f>
        <v>(+/-) Ajustes por el incremento (disminución) de cuentas por pagar de origen comercial</v>
      </c>
      <c r="V2926" s="190" t="str">
        <f>VLOOKUP(E2926,Valida!$A$2:$K$271,4,FALSE)</f>
        <v>Trade and other payables</v>
      </c>
      <c r="W2926" s="185" t="s">
        <v>1902</v>
      </c>
      <c r="X2926" s="185" t="s">
        <v>1903</v>
      </c>
      <c r="Y2926" s="185" t="s">
        <v>1789</v>
      </c>
      <c r="Z2926"/>
    </row>
    <row r="2927" spans="1:26">
      <c r="A2927" s="185" t="s">
        <v>3648</v>
      </c>
      <c r="B2927" s="185" t="s">
        <v>3650</v>
      </c>
      <c r="C2927" s="185" t="s">
        <v>1785</v>
      </c>
      <c r="D2927" s="185" t="s">
        <v>3620</v>
      </c>
      <c r="E2927" s="185">
        <v>237005</v>
      </c>
      <c r="F2927" s="185" t="s">
        <v>676</v>
      </c>
      <c r="G2927" s="185" t="s">
        <v>2207</v>
      </c>
      <c r="H2927" s="185" t="s">
        <v>1515</v>
      </c>
      <c r="I2927" s="258" t="str">
        <f t="shared" si="136"/>
        <v>2</v>
      </c>
      <c r="J2927" s="221">
        <f t="shared" si="137"/>
        <v>51040</v>
      </c>
      <c r="K2927" s="258">
        <f t="shared" si="138"/>
        <v>11</v>
      </c>
      <c r="L2927" s="188">
        <v>51040</v>
      </c>
      <c r="M2927" s="188">
        <v>0</v>
      </c>
      <c r="N2927" s="189">
        <v>830003564</v>
      </c>
      <c r="O2927"/>
      <c r="P2927" s="187">
        <v>45257.449780092596</v>
      </c>
      <c r="Q2927" s="186">
        <v>14572</v>
      </c>
      <c r="R2927" s="185" t="s">
        <v>1814</v>
      </c>
      <c r="S2927" s="185" t="s">
        <v>1652</v>
      </c>
      <c r="T2927"/>
      <c r="U2927" t="str">
        <f>IF($L2927&gt;0,VLOOKUP($E2927,Valida!$A$1:$G$270,6,FALSE),IF($M2927&gt;=0,VLOOKUP($E2927,Valida!$A$1:$G$270,7,FALSE)))</f>
        <v>(+/-) Ajustes por el incremento (disminución) de cuentas por pagar de origen comercial</v>
      </c>
      <c r="V2927" s="190" t="str">
        <f>VLOOKUP(E2927,Valida!$A$2:$K$271,4,FALSE)</f>
        <v>Trade and other payables</v>
      </c>
      <c r="W2927" s="185" t="s">
        <v>1973</v>
      </c>
      <c r="X2927" s="185" t="s">
        <v>1974</v>
      </c>
      <c r="Y2927" s="185" t="s">
        <v>1789</v>
      </c>
      <c r="Z2927"/>
    </row>
    <row r="2928" spans="1:26">
      <c r="A2928" s="185" t="s">
        <v>3648</v>
      </c>
      <c r="B2928" s="185" t="s">
        <v>3650</v>
      </c>
      <c r="C2928" s="185" t="s">
        <v>1785</v>
      </c>
      <c r="D2928" s="185" t="s">
        <v>3620</v>
      </c>
      <c r="E2928" s="185">
        <v>237005</v>
      </c>
      <c r="F2928" s="185" t="s">
        <v>676</v>
      </c>
      <c r="G2928" s="185" t="s">
        <v>2207</v>
      </c>
      <c r="H2928" s="185" t="s">
        <v>1515</v>
      </c>
      <c r="I2928" s="258" t="str">
        <f t="shared" si="136"/>
        <v>2</v>
      </c>
      <c r="J2928" s="221">
        <f t="shared" si="137"/>
        <v>119575</v>
      </c>
      <c r="K2928" s="258">
        <f t="shared" si="138"/>
        <v>11</v>
      </c>
      <c r="L2928" s="188">
        <v>119575</v>
      </c>
      <c r="M2928" s="188">
        <v>0</v>
      </c>
      <c r="N2928" s="189">
        <v>860066942</v>
      </c>
      <c r="O2928"/>
      <c r="P2928" s="187">
        <v>45257.449780092596</v>
      </c>
      <c r="Q2928" s="186">
        <v>14573</v>
      </c>
      <c r="R2928" s="185" t="s">
        <v>1814</v>
      </c>
      <c r="S2928" s="185" t="s">
        <v>1574</v>
      </c>
      <c r="T2928"/>
      <c r="U2928" t="str">
        <f>IF($L2928&gt;0,VLOOKUP($E2928,Valida!$A$1:$G$270,6,FALSE),IF($M2928&gt;=0,VLOOKUP($E2928,Valida!$A$1:$G$270,7,FALSE)))</f>
        <v>(+/-) Ajustes por el incremento (disminución) de cuentas por pagar de origen comercial</v>
      </c>
      <c r="V2928" s="190" t="str">
        <f>VLOOKUP(E2928,Valida!$A$2:$K$271,4,FALSE)</f>
        <v>Trade and other payables</v>
      </c>
      <c r="W2928" s="185" t="s">
        <v>1914</v>
      </c>
      <c r="X2928" s="185" t="s">
        <v>1915</v>
      </c>
      <c r="Y2928" s="185" t="s">
        <v>1789</v>
      </c>
      <c r="Z2928"/>
    </row>
    <row r="2929" spans="1:26">
      <c r="A2929" s="185" t="s">
        <v>3648</v>
      </c>
      <c r="B2929" s="185" t="s">
        <v>3650</v>
      </c>
      <c r="C2929" s="185" t="s">
        <v>1785</v>
      </c>
      <c r="D2929" s="185" t="s">
        <v>3620</v>
      </c>
      <c r="E2929" s="185">
        <v>237005</v>
      </c>
      <c r="F2929" s="185" t="s">
        <v>676</v>
      </c>
      <c r="G2929" s="185" t="s">
        <v>2207</v>
      </c>
      <c r="H2929" s="185" t="s">
        <v>1515</v>
      </c>
      <c r="I2929" s="258" t="str">
        <f t="shared" si="136"/>
        <v>2</v>
      </c>
      <c r="J2929" s="221">
        <f t="shared" si="137"/>
        <v>74062</v>
      </c>
      <c r="K2929" s="258">
        <f t="shared" si="138"/>
        <v>11</v>
      </c>
      <c r="L2929" s="188">
        <v>74062</v>
      </c>
      <c r="M2929" s="188">
        <v>0</v>
      </c>
      <c r="N2929" s="189">
        <v>900156264</v>
      </c>
      <c r="O2929"/>
      <c r="P2929" s="187">
        <v>45257.449780092596</v>
      </c>
      <c r="Q2929" s="186">
        <v>14574</v>
      </c>
      <c r="R2929" s="185" t="s">
        <v>433</v>
      </c>
      <c r="S2929" s="185" t="s">
        <v>1654</v>
      </c>
      <c r="T2929"/>
      <c r="U2929" t="str">
        <f>IF($L2929&gt;0,VLOOKUP($E2929,Valida!$A$1:$G$270,6,FALSE),IF($M2929&gt;=0,VLOOKUP($E2929,Valida!$A$1:$G$270,7,FALSE)))</f>
        <v>(+/-) Ajustes por el incremento (disminución) de cuentas por pagar de origen comercial</v>
      </c>
      <c r="V2929" s="190" t="str">
        <f>VLOOKUP(E2929,Valida!$A$2:$K$271,4,FALSE)</f>
        <v>Trade and other payables</v>
      </c>
      <c r="W2929" s="185" t="s">
        <v>1926</v>
      </c>
      <c r="X2929" s="185" t="s">
        <v>1927</v>
      </c>
      <c r="Y2929" s="185" t="s">
        <v>1789</v>
      </c>
      <c r="Z2929"/>
    </row>
    <row r="2930" spans="1:26">
      <c r="A2930" s="185" t="s">
        <v>3648</v>
      </c>
      <c r="B2930" s="185" t="s">
        <v>3650</v>
      </c>
      <c r="C2930" s="185" t="s">
        <v>1785</v>
      </c>
      <c r="D2930" s="185" t="s">
        <v>3620</v>
      </c>
      <c r="E2930" s="185">
        <v>53059510</v>
      </c>
      <c r="F2930" s="185" t="s">
        <v>1065</v>
      </c>
      <c r="G2930" s="185" t="s">
        <v>2207</v>
      </c>
      <c r="H2930" s="185" t="s">
        <v>1515</v>
      </c>
      <c r="I2930" s="258" t="str">
        <f t="shared" si="136"/>
        <v>5</v>
      </c>
      <c r="J2930" s="221">
        <f t="shared" si="137"/>
        <v>123</v>
      </c>
      <c r="K2930" s="258">
        <f t="shared" si="138"/>
        <v>11</v>
      </c>
      <c r="L2930" s="188">
        <v>123</v>
      </c>
      <c r="M2930" s="188">
        <v>0</v>
      </c>
      <c r="N2930" s="189">
        <v>860066942</v>
      </c>
      <c r="O2930"/>
      <c r="P2930" s="187">
        <v>45257.449780092596</v>
      </c>
      <c r="Q2930" s="186">
        <v>14575</v>
      </c>
      <c r="R2930" s="185" t="s">
        <v>1814</v>
      </c>
      <c r="S2930" s="185" t="s">
        <v>1574</v>
      </c>
      <c r="T2930"/>
      <c r="U2930" t="str">
        <f>IF($L2930&gt;0,VLOOKUP($E2930,Valida!$A$1:$G$270,6,FALSE),IF($M2930&gt;=0,VLOOKUP($E2930,Valida!$A$1:$G$270,7,FALSE)))</f>
        <v>(+/-) Ganancia (pérdida)</v>
      </c>
      <c r="V2930" s="190" t="str">
        <f>VLOOKUP(E2930,Valida!$A$2:$K$271,4,FALSE)</f>
        <v>P&amp;L</v>
      </c>
      <c r="W2930" s="185" t="s">
        <v>1914</v>
      </c>
      <c r="X2930" s="185" t="s">
        <v>1915</v>
      </c>
      <c r="Y2930" s="185" t="s">
        <v>1789</v>
      </c>
      <c r="Z2930"/>
    </row>
    <row r="2931" spans="1:26">
      <c r="A2931" s="185" t="s">
        <v>3648</v>
      </c>
      <c r="B2931" s="185" t="s">
        <v>3651</v>
      </c>
      <c r="C2931" s="185" t="s">
        <v>1785</v>
      </c>
      <c r="D2931" s="185" t="s">
        <v>3652</v>
      </c>
      <c r="E2931" s="185">
        <v>237010</v>
      </c>
      <c r="F2931" s="185" t="s">
        <v>683</v>
      </c>
      <c r="G2931" s="185" t="s">
        <v>1989</v>
      </c>
      <c r="H2931" s="185" t="s">
        <v>1515</v>
      </c>
      <c r="I2931" s="258" t="str">
        <f t="shared" si="136"/>
        <v>2</v>
      </c>
      <c r="J2931" s="221">
        <f t="shared" si="137"/>
        <v>218308</v>
      </c>
      <c r="K2931" s="258">
        <f t="shared" si="138"/>
        <v>11</v>
      </c>
      <c r="L2931" s="188">
        <v>218308</v>
      </c>
      <c r="M2931" s="188">
        <v>0</v>
      </c>
      <c r="N2931" s="189">
        <v>860066942</v>
      </c>
      <c r="O2931"/>
      <c r="P2931" s="187">
        <v>45257.454837963</v>
      </c>
      <c r="Q2931" s="186">
        <v>14576</v>
      </c>
      <c r="R2931" s="185" t="s">
        <v>1814</v>
      </c>
      <c r="S2931" s="185" t="s">
        <v>1574</v>
      </c>
      <c r="T2931"/>
      <c r="U2931" t="str">
        <f>IF($L2931&gt;0,VLOOKUP($E2931,Valida!$A$1:$G$270,6,FALSE),IF($M2931&gt;=0,VLOOKUP($E2931,Valida!$A$1:$G$270,7,FALSE)))</f>
        <v>(+/-) Ajustes por el incremento (disminución) de cuentas por pagar de origen comercial</v>
      </c>
      <c r="V2931" s="190" t="str">
        <f>VLOOKUP(E2931,Valida!$A$2:$K$271,4,FALSE)</f>
        <v>Trade and other payables</v>
      </c>
      <c r="W2931" s="185" t="s">
        <v>1914</v>
      </c>
      <c r="X2931" s="185" t="s">
        <v>1915</v>
      </c>
      <c r="Y2931" s="185" t="s">
        <v>1789</v>
      </c>
      <c r="Z2931"/>
    </row>
    <row r="2932" spans="1:26">
      <c r="A2932" s="185" t="s">
        <v>3648</v>
      </c>
      <c r="B2932" s="185" t="s">
        <v>3651</v>
      </c>
      <c r="C2932" s="185" t="s">
        <v>1785</v>
      </c>
      <c r="D2932" s="185" t="s">
        <v>3652</v>
      </c>
      <c r="E2932" s="185">
        <v>237006</v>
      </c>
      <c r="F2932" s="185" t="s">
        <v>680</v>
      </c>
      <c r="G2932" s="185" t="s">
        <v>1989</v>
      </c>
      <c r="H2932" s="185" t="s">
        <v>1515</v>
      </c>
      <c r="I2932" s="258" t="str">
        <f t="shared" si="136"/>
        <v>2</v>
      </c>
      <c r="J2932" s="221">
        <f t="shared" si="137"/>
        <v>37986</v>
      </c>
      <c r="K2932" s="258">
        <f t="shared" si="138"/>
        <v>11</v>
      </c>
      <c r="L2932" s="188">
        <v>37986</v>
      </c>
      <c r="M2932" s="188">
        <v>0</v>
      </c>
      <c r="N2932" s="189">
        <v>860002503</v>
      </c>
      <c r="O2932"/>
      <c r="P2932" s="187">
        <v>45257.454837963</v>
      </c>
      <c r="Q2932" s="186">
        <v>14577</v>
      </c>
      <c r="R2932" s="185" t="s">
        <v>433</v>
      </c>
      <c r="S2932" s="185" t="s">
        <v>1656</v>
      </c>
      <c r="T2932"/>
      <c r="U2932" t="str">
        <f>IF($L2932&gt;0,VLOOKUP($E2932,Valida!$A$1:$G$270,6,FALSE),IF($M2932&gt;=0,VLOOKUP($E2932,Valida!$A$1:$G$270,7,FALSE)))</f>
        <v>(+/-) Ajustes por el incremento (disminución) de cuentas por pagar de origen comercial</v>
      </c>
      <c r="V2932" s="190" t="str">
        <f>VLOOKUP(E2932,Valida!$A$2:$K$271,4,FALSE)</f>
        <v>Trade and other payables</v>
      </c>
      <c r="W2932" s="185" t="s">
        <v>1912</v>
      </c>
      <c r="X2932" s="185" t="s">
        <v>1913</v>
      </c>
      <c r="Y2932" s="185" t="s">
        <v>1789</v>
      </c>
      <c r="Z2932"/>
    </row>
    <row r="2933" spans="1:26">
      <c r="A2933" s="185" t="s">
        <v>3648</v>
      </c>
      <c r="B2933" s="185" t="s">
        <v>3651</v>
      </c>
      <c r="C2933" s="185" t="s">
        <v>1785</v>
      </c>
      <c r="D2933" s="185" t="s">
        <v>3652</v>
      </c>
      <c r="E2933" s="185">
        <v>237095</v>
      </c>
      <c r="F2933" s="185" t="s">
        <v>150</v>
      </c>
      <c r="G2933" s="185" t="s">
        <v>1989</v>
      </c>
      <c r="H2933" s="185" t="s">
        <v>1628</v>
      </c>
      <c r="I2933" s="258" t="str">
        <f t="shared" si="136"/>
        <v>2</v>
      </c>
      <c r="J2933" s="221">
        <f t="shared" si="137"/>
        <v>-256600</v>
      </c>
      <c r="K2933" s="258">
        <f t="shared" si="138"/>
        <v>11</v>
      </c>
      <c r="L2933" s="188">
        <v>0</v>
      </c>
      <c r="M2933" s="188">
        <v>256600</v>
      </c>
      <c r="N2933" s="189">
        <v>860066942</v>
      </c>
      <c r="O2933"/>
      <c r="P2933" s="187">
        <v>45257.454837963</v>
      </c>
      <c r="Q2933" s="186">
        <v>14578</v>
      </c>
      <c r="R2933" s="185" t="s">
        <v>1814</v>
      </c>
      <c r="S2933" s="185" t="s">
        <v>1574</v>
      </c>
      <c r="T2933"/>
      <c r="U2933" t="str">
        <f>IF($L2933&gt;0,VLOOKUP($E2933,Valida!$A$1:$G$270,6,FALSE),IF($M2933&gt;=0,VLOOKUP($E2933,Valida!$A$1:$G$270,7,FALSE)))</f>
        <v>(+/-) Ajustes por el incremento (disminución) de cuentas por pagar de origen comercial</v>
      </c>
      <c r="V2933" s="190" t="str">
        <f>VLOOKUP(E2933,Valida!$A$2:$K$271,4,FALSE)</f>
        <v>Trade and other payables</v>
      </c>
      <c r="W2933" s="185" t="s">
        <v>1914</v>
      </c>
      <c r="X2933" s="185" t="s">
        <v>1915</v>
      </c>
      <c r="Y2933" s="185" t="s">
        <v>1789</v>
      </c>
      <c r="Z2933"/>
    </row>
    <row r="2934" spans="1:26">
      <c r="A2934" s="185" t="s">
        <v>3648</v>
      </c>
      <c r="B2934" s="185" t="s">
        <v>3651</v>
      </c>
      <c r="C2934" s="185" t="s">
        <v>1785</v>
      </c>
      <c r="D2934" s="185" t="s">
        <v>3652</v>
      </c>
      <c r="E2934" s="185">
        <v>53059510</v>
      </c>
      <c r="F2934" s="185" t="s">
        <v>1065</v>
      </c>
      <c r="G2934" s="185" t="s">
        <v>1989</v>
      </c>
      <c r="H2934" s="185" t="s">
        <v>1515</v>
      </c>
      <c r="I2934" s="258" t="str">
        <f t="shared" si="136"/>
        <v>5</v>
      </c>
      <c r="J2934" s="221">
        <f t="shared" si="137"/>
        <v>306</v>
      </c>
      <c r="K2934" s="258">
        <f t="shared" si="138"/>
        <v>11</v>
      </c>
      <c r="L2934" s="188">
        <v>306</v>
      </c>
      <c r="M2934" s="188">
        <v>0</v>
      </c>
      <c r="N2934" s="189">
        <v>860066942</v>
      </c>
      <c r="O2934"/>
      <c r="P2934" s="187">
        <v>45257.454837963</v>
      </c>
      <c r="Q2934" s="186">
        <v>14579</v>
      </c>
      <c r="R2934" s="185" t="s">
        <v>1814</v>
      </c>
      <c r="S2934" s="185" t="s">
        <v>1574</v>
      </c>
      <c r="T2934"/>
      <c r="U2934" t="str">
        <f>IF($L2934&gt;0,VLOOKUP($E2934,Valida!$A$1:$G$270,6,FALSE),IF($M2934&gt;=0,VLOOKUP($E2934,Valida!$A$1:$G$270,7,FALSE)))</f>
        <v>(+/-) Ganancia (pérdida)</v>
      </c>
      <c r="V2934" s="190" t="str">
        <f>VLOOKUP(E2934,Valida!$A$2:$K$271,4,FALSE)</f>
        <v>P&amp;L</v>
      </c>
      <c r="W2934" s="185" t="s">
        <v>1914</v>
      </c>
      <c r="X2934" s="185" t="s">
        <v>1915</v>
      </c>
      <c r="Y2934" s="185" t="s">
        <v>1789</v>
      </c>
      <c r="Z2934"/>
    </row>
    <row r="2935" spans="1:26">
      <c r="A2935" s="185" t="s">
        <v>3653</v>
      </c>
      <c r="B2935" s="185" t="s">
        <v>3654</v>
      </c>
      <c r="C2935" s="185" t="s">
        <v>2045</v>
      </c>
      <c r="D2935" s="185" t="s">
        <v>3655</v>
      </c>
      <c r="E2935" s="185">
        <v>23354001</v>
      </c>
      <c r="F2935" s="185" t="s">
        <v>484</v>
      </c>
      <c r="G2935" s="185" t="s">
        <v>3656</v>
      </c>
      <c r="H2935" s="185" t="s">
        <v>1628</v>
      </c>
      <c r="I2935" s="258" t="str">
        <f t="shared" si="136"/>
        <v>2</v>
      </c>
      <c r="J2935" s="221">
        <f t="shared" si="137"/>
        <v>-3955088</v>
      </c>
      <c r="K2935" s="258">
        <f t="shared" si="138"/>
        <v>11</v>
      </c>
      <c r="L2935" s="188">
        <v>0</v>
      </c>
      <c r="M2935" s="188">
        <v>3955088</v>
      </c>
      <c r="N2935" s="189">
        <v>860044821</v>
      </c>
      <c r="O2935" t="s">
        <v>3657</v>
      </c>
      <c r="P2935" s="187">
        <v>45257.5065972222</v>
      </c>
      <c r="Q2935" s="186">
        <v>14580</v>
      </c>
      <c r="R2935" s="185" t="s">
        <v>6</v>
      </c>
      <c r="S2935" s="185" t="s">
        <v>1570</v>
      </c>
      <c r="T2935"/>
      <c r="U2935" t="str">
        <f>IF($L2935&gt;0,VLOOKUP($E2935,Valida!$A$1:$G$270,6,FALSE),IF($M2935&gt;=0,VLOOKUP($E2935,Valida!$A$1:$G$270,7,FALSE)))</f>
        <v>(+/-) Ajustes por el incremento (disminución) de cuentas por pagar de origen comercial</v>
      </c>
      <c r="V2935" s="190" t="str">
        <f>VLOOKUP(E2935,Valida!$A$2:$K$271,4,FALSE)</f>
        <v>Trade and other payables</v>
      </c>
      <c r="W2935" s="185" t="s">
        <v>2048</v>
      </c>
      <c r="X2935" s="185"/>
      <c r="Y2935" s="185" t="s">
        <v>1789</v>
      </c>
      <c r="Z2935"/>
    </row>
    <row r="2936" spans="1:26">
      <c r="A2936" s="185" t="s">
        <v>3653</v>
      </c>
      <c r="B2936" s="185" t="s">
        <v>3654</v>
      </c>
      <c r="C2936" s="185" t="s">
        <v>2045</v>
      </c>
      <c r="D2936" s="185" t="s">
        <v>3655</v>
      </c>
      <c r="E2936" s="185">
        <v>51359501</v>
      </c>
      <c r="F2936" s="185" t="s">
        <v>1290</v>
      </c>
      <c r="G2936" s="185" t="s">
        <v>3658</v>
      </c>
      <c r="H2936" s="185" t="s">
        <v>1515</v>
      </c>
      <c r="I2936" s="258" t="str">
        <f t="shared" si="136"/>
        <v>5</v>
      </c>
      <c r="J2936" s="221">
        <f t="shared" si="137"/>
        <v>3955088</v>
      </c>
      <c r="K2936" s="258">
        <f t="shared" si="138"/>
        <v>11</v>
      </c>
      <c r="L2936" s="188">
        <v>3955088</v>
      </c>
      <c r="M2936" s="188">
        <v>0</v>
      </c>
      <c r="N2936" s="189">
        <v>860044821</v>
      </c>
      <c r="O2936" t="s">
        <v>3657</v>
      </c>
      <c r="P2936" s="187">
        <v>45257.506608796299</v>
      </c>
      <c r="Q2936" s="186">
        <v>14581</v>
      </c>
      <c r="R2936" s="185" t="s">
        <v>6</v>
      </c>
      <c r="S2936" s="185" t="s">
        <v>1570</v>
      </c>
      <c r="T2936"/>
      <c r="U2936" t="str">
        <f>IF($L2936&gt;0,VLOOKUP($E2936,Valida!$A$1:$G$270,6,FALSE),IF($M2936&gt;=0,VLOOKUP($E2936,Valida!$A$1:$G$270,7,FALSE)))</f>
        <v>(+/-) Ganancia (pérdida)</v>
      </c>
      <c r="V2936" s="190" t="str">
        <f>VLOOKUP(E2936,Valida!$A$2:$K$271,4,FALSE)</f>
        <v>P&amp;L</v>
      </c>
      <c r="W2936" s="185" t="s">
        <v>2048</v>
      </c>
      <c r="X2936" s="185"/>
      <c r="Y2936" s="185" t="s">
        <v>1789</v>
      </c>
      <c r="Z2936"/>
    </row>
    <row r="2937" spans="1:26">
      <c r="A2937" s="185" t="s">
        <v>3659</v>
      </c>
      <c r="B2937" s="185" t="s">
        <v>3660</v>
      </c>
      <c r="C2937" s="185" t="s">
        <v>2045</v>
      </c>
      <c r="D2937" s="185" t="s">
        <v>3661</v>
      </c>
      <c r="E2937" s="185">
        <v>23352502</v>
      </c>
      <c r="F2937" s="185" t="s">
        <v>466</v>
      </c>
      <c r="G2937" s="185" t="s">
        <v>3662</v>
      </c>
      <c r="H2937" s="185" t="s">
        <v>1628</v>
      </c>
      <c r="I2937" s="258" t="str">
        <f t="shared" si="136"/>
        <v>2</v>
      </c>
      <c r="J2937" s="221">
        <f t="shared" si="137"/>
        <v>-31748</v>
      </c>
      <c r="K2937" s="258">
        <f t="shared" si="138"/>
        <v>11</v>
      </c>
      <c r="L2937" s="188">
        <v>0</v>
      </c>
      <c r="M2937" s="188">
        <v>31748</v>
      </c>
      <c r="N2937" s="189">
        <v>1012448875</v>
      </c>
      <c r="O2937" t="s">
        <v>3663</v>
      </c>
      <c r="P2937" s="187">
        <v>45257.508425925902</v>
      </c>
      <c r="Q2937" s="186">
        <v>14582</v>
      </c>
      <c r="R2937" s="185"/>
      <c r="S2937" s="185" t="s">
        <v>1530</v>
      </c>
      <c r="T2937"/>
      <c r="U2937" t="str">
        <f>IF($L2937&gt;0,VLOOKUP($E2937,Valida!$A$1:$G$270,6,FALSE),IF($M2937&gt;=0,VLOOKUP($E2937,Valida!$A$1:$G$270,7,FALSE)))</f>
        <v>(+/-) Ajustes por el incremento (disminución) de cuentas por pagar de origen comercial</v>
      </c>
      <c r="V2937" s="190" t="str">
        <f>VLOOKUP(E2937,Valida!$A$2:$K$271,4,FALSE)</f>
        <v>Trade and other payables</v>
      </c>
      <c r="W2937" s="185" t="s">
        <v>3573</v>
      </c>
      <c r="X2937" s="185"/>
      <c r="Y2937" s="185" t="s">
        <v>1789</v>
      </c>
      <c r="Z2937"/>
    </row>
    <row r="2938" spans="1:26">
      <c r="A2938" s="185" t="s">
        <v>3659</v>
      </c>
      <c r="B2938" s="185" t="s">
        <v>3660</v>
      </c>
      <c r="C2938" s="185" t="s">
        <v>2045</v>
      </c>
      <c r="D2938" s="185" t="s">
        <v>3661</v>
      </c>
      <c r="E2938" s="185">
        <v>23651502</v>
      </c>
      <c r="F2938" s="185" t="s">
        <v>244</v>
      </c>
      <c r="G2938" s="185" t="s">
        <v>3664</v>
      </c>
      <c r="H2938" s="185" t="s">
        <v>1628</v>
      </c>
      <c r="I2938" s="258" t="str">
        <f t="shared" si="136"/>
        <v>2</v>
      </c>
      <c r="J2938" s="221">
        <f t="shared" si="137"/>
        <v>-3973</v>
      </c>
      <c r="K2938" s="258">
        <f t="shared" si="138"/>
        <v>11</v>
      </c>
      <c r="L2938" s="188">
        <v>0</v>
      </c>
      <c r="M2938" s="188">
        <v>3973</v>
      </c>
      <c r="N2938" s="189">
        <v>1012448875</v>
      </c>
      <c r="O2938" t="s">
        <v>3663</v>
      </c>
      <c r="P2938" s="187">
        <v>45257.508425925902</v>
      </c>
      <c r="Q2938" s="186">
        <v>14583</v>
      </c>
      <c r="R2938" s="185"/>
      <c r="S2938" s="185" t="s">
        <v>1530</v>
      </c>
      <c r="T2938"/>
      <c r="U2938" t="str">
        <f>IF($L2938&gt;0,VLOOKUP($E2938,Valida!$A$1:$G$270,6,FALSE),IF($M2938&gt;=0,VLOOKUP($E2938,Valida!$A$1:$G$270,7,FALSE)))</f>
        <v>(+/-) Ajustes por el incremento (disminución) de cuentas por pagar de origen comercial</v>
      </c>
      <c r="V2938" s="190" t="str">
        <f>VLOOKUP(E2938,Valida!$A$2:$K$271,4,FALSE)</f>
        <v>Trade and other payables</v>
      </c>
      <c r="W2938" s="185" t="s">
        <v>3573</v>
      </c>
      <c r="X2938" s="185"/>
      <c r="Y2938" s="185" t="s">
        <v>1789</v>
      </c>
      <c r="Z2938"/>
    </row>
    <row r="2939" spans="1:26">
      <c r="A2939" s="185" t="s">
        <v>3659</v>
      </c>
      <c r="B2939" s="185" t="s">
        <v>3660</v>
      </c>
      <c r="C2939" s="185" t="s">
        <v>2045</v>
      </c>
      <c r="D2939" s="185" t="s">
        <v>3661</v>
      </c>
      <c r="E2939" s="185">
        <v>23680504</v>
      </c>
      <c r="F2939" s="185" t="s">
        <v>668</v>
      </c>
      <c r="G2939" s="185" t="s">
        <v>3665</v>
      </c>
      <c r="H2939" s="185" t="s">
        <v>1628</v>
      </c>
      <c r="I2939" s="258" t="str">
        <f t="shared" si="136"/>
        <v>2</v>
      </c>
      <c r="J2939" s="221">
        <f t="shared" si="137"/>
        <v>-399</v>
      </c>
      <c r="K2939" s="258">
        <f t="shared" si="138"/>
        <v>11</v>
      </c>
      <c r="L2939" s="188">
        <v>0</v>
      </c>
      <c r="M2939" s="188">
        <v>399</v>
      </c>
      <c r="N2939" s="189">
        <v>1012448875</v>
      </c>
      <c r="O2939" t="s">
        <v>3663</v>
      </c>
      <c r="P2939" s="187">
        <v>45257.508425925902</v>
      </c>
      <c r="Q2939" s="186">
        <v>14584</v>
      </c>
      <c r="R2939" s="185"/>
      <c r="S2939" s="185" t="s">
        <v>1530</v>
      </c>
      <c r="T2939"/>
      <c r="U2939" t="str">
        <f>IF($L2939&gt;0,VLOOKUP($E2939,Valida!$A$1:$G$270,6,FALSE),IF($M2939&gt;=0,VLOOKUP($E2939,Valida!$A$1:$G$270,7,FALSE)))</f>
        <v>(+/-) Ajustes por el incremento (disminución) de cuentas por pagar de origen comercial</v>
      </c>
      <c r="V2939" s="190" t="str">
        <f>VLOOKUP(E2939,Valida!$A$2:$K$271,4,FALSE)</f>
        <v>Trade and other payables</v>
      </c>
      <c r="W2939" s="185" t="s">
        <v>3573</v>
      </c>
      <c r="X2939" s="185"/>
      <c r="Y2939" s="185" t="s">
        <v>1789</v>
      </c>
      <c r="Z2939"/>
    </row>
    <row r="2940" spans="1:26">
      <c r="A2940" s="185" t="s">
        <v>3659</v>
      </c>
      <c r="B2940" s="185" t="s">
        <v>3660</v>
      </c>
      <c r="C2940" s="185" t="s">
        <v>2045</v>
      </c>
      <c r="D2940" s="185" t="s">
        <v>3661</v>
      </c>
      <c r="E2940" s="185">
        <v>51109501</v>
      </c>
      <c r="F2940" s="185" t="s">
        <v>468</v>
      </c>
      <c r="G2940" s="185" t="s">
        <v>3666</v>
      </c>
      <c r="H2940" s="185" t="s">
        <v>1515</v>
      </c>
      <c r="I2940" s="258" t="str">
        <f t="shared" si="136"/>
        <v>5</v>
      </c>
      <c r="J2940" s="221">
        <f t="shared" si="137"/>
        <v>36120</v>
      </c>
      <c r="K2940" s="258">
        <f t="shared" si="138"/>
        <v>11</v>
      </c>
      <c r="L2940" s="188">
        <v>36120</v>
      </c>
      <c r="M2940" s="188">
        <v>0</v>
      </c>
      <c r="N2940" s="189">
        <v>1012448875</v>
      </c>
      <c r="O2940" t="s">
        <v>3663</v>
      </c>
      <c r="P2940" s="187">
        <v>45257.508425925902</v>
      </c>
      <c r="Q2940" s="186">
        <v>14585</v>
      </c>
      <c r="R2940" s="185"/>
      <c r="S2940" s="185" t="s">
        <v>1530</v>
      </c>
      <c r="T2940"/>
      <c r="U2940" t="str">
        <f>IF($L2940&gt;0,VLOOKUP($E2940,Valida!$A$1:$G$270,6,FALSE),IF($M2940&gt;=0,VLOOKUP($E2940,Valida!$A$1:$G$270,7,FALSE)))</f>
        <v>(+/-) Ganancia (pérdida)</v>
      </c>
      <c r="V2940" s="190" t="str">
        <f>VLOOKUP(E2940,Valida!$A$2:$K$271,4,FALSE)</f>
        <v>P&amp;L</v>
      </c>
      <c r="W2940" s="185" t="s">
        <v>3573</v>
      </c>
      <c r="X2940" s="185"/>
      <c r="Y2940" s="185" t="s">
        <v>1789</v>
      </c>
      <c r="Z2940"/>
    </row>
    <row r="2941" spans="1:26">
      <c r="A2941" s="185" t="s">
        <v>3653</v>
      </c>
      <c r="B2941" s="185" t="s">
        <v>3667</v>
      </c>
      <c r="C2941" s="185" t="s">
        <v>1792</v>
      </c>
      <c r="D2941" s="185" t="s">
        <v>2542</v>
      </c>
      <c r="E2941" s="185">
        <v>51401002</v>
      </c>
      <c r="F2941" s="185" t="s">
        <v>1303</v>
      </c>
      <c r="G2941" s="185" t="s">
        <v>3668</v>
      </c>
      <c r="H2941" s="185" t="s">
        <v>1515</v>
      </c>
      <c r="I2941" s="258" t="str">
        <f t="shared" si="136"/>
        <v>5</v>
      </c>
      <c r="J2941" s="221">
        <f t="shared" si="137"/>
        <v>656600</v>
      </c>
      <c r="K2941" s="258">
        <f t="shared" si="138"/>
        <v>11</v>
      </c>
      <c r="L2941" s="188">
        <v>656600</v>
      </c>
      <c r="M2941" s="188">
        <v>0</v>
      </c>
      <c r="N2941" s="189">
        <v>860007322</v>
      </c>
      <c r="O2941" t="s">
        <v>3669</v>
      </c>
      <c r="P2941" s="187">
        <v>45257.510636574101</v>
      </c>
      <c r="Q2941" s="186">
        <v>14586</v>
      </c>
      <c r="R2941" s="185" t="s">
        <v>1841</v>
      </c>
      <c r="S2941" s="185" t="s">
        <v>1566</v>
      </c>
      <c r="T2941"/>
      <c r="U2941" t="str">
        <f>IF($L2941&gt;0,VLOOKUP($E2941,Valida!$A$1:$G$270,6,FALSE),IF($M2941&gt;=0,VLOOKUP($E2941,Valida!$A$1:$G$270,7,FALSE)))</f>
        <v>(+/-) Ganancia (pérdida)</v>
      </c>
      <c r="V2941" s="190" t="str">
        <f>VLOOKUP(E2941,Valida!$A$2:$K$271,4,FALSE)</f>
        <v>P&amp;L</v>
      </c>
      <c r="W2941" s="185" t="s">
        <v>2306</v>
      </c>
      <c r="X2941" s="185"/>
      <c r="Y2941" s="185" t="s">
        <v>1789</v>
      </c>
      <c r="Z2941"/>
    </row>
    <row r="2942" spans="1:26">
      <c r="A2942" s="185" t="s">
        <v>3653</v>
      </c>
      <c r="B2942" s="185" t="s">
        <v>3667</v>
      </c>
      <c r="C2942" s="185" t="s">
        <v>1792</v>
      </c>
      <c r="D2942" s="185" t="s">
        <v>2542</v>
      </c>
      <c r="E2942" s="185">
        <v>23351001</v>
      </c>
      <c r="F2942" s="185" t="s">
        <v>453</v>
      </c>
      <c r="G2942" s="185" t="s">
        <v>3668</v>
      </c>
      <c r="H2942" s="185" t="s">
        <v>1628</v>
      </c>
      <c r="I2942" s="258" t="str">
        <f t="shared" si="136"/>
        <v>2</v>
      </c>
      <c r="J2942" s="221">
        <f t="shared" si="137"/>
        <v>-656600</v>
      </c>
      <c r="K2942" s="258">
        <f t="shared" si="138"/>
        <v>11</v>
      </c>
      <c r="L2942" s="188">
        <v>0</v>
      </c>
      <c r="M2942" s="188">
        <v>656600</v>
      </c>
      <c r="N2942" s="189">
        <v>860007322</v>
      </c>
      <c r="O2942" t="s">
        <v>3669</v>
      </c>
      <c r="P2942" s="187">
        <v>45257.510648148098</v>
      </c>
      <c r="Q2942" s="186">
        <v>14587</v>
      </c>
      <c r="R2942" s="185" t="s">
        <v>1841</v>
      </c>
      <c r="S2942" s="185" t="s">
        <v>1566</v>
      </c>
      <c r="T2942"/>
      <c r="U2942" t="str">
        <f>IF($L2942&gt;0,VLOOKUP($E2942,Valida!$A$1:$G$270,6,FALSE),IF($M2942&gt;=0,VLOOKUP($E2942,Valida!$A$1:$G$270,7,FALSE)))</f>
        <v>(+/-) Ajustes por el incremento (disminución) de cuentas por pagar de origen comercial</v>
      </c>
      <c r="V2942" s="190" t="str">
        <f>VLOOKUP(E2942,Valida!$A$2:$K$271,4,FALSE)</f>
        <v>Trade and other payables</v>
      </c>
      <c r="W2942" s="185" t="s">
        <v>2306</v>
      </c>
      <c r="X2942" s="185"/>
      <c r="Y2942" s="185" t="s">
        <v>1789</v>
      </c>
      <c r="Z2942"/>
    </row>
    <row r="2943" spans="1:26">
      <c r="A2943" s="185" t="s">
        <v>3653</v>
      </c>
      <c r="B2943" s="185" t="s">
        <v>3670</v>
      </c>
      <c r="C2943" s="185" t="s">
        <v>1792</v>
      </c>
      <c r="D2943" s="185" t="s">
        <v>2544</v>
      </c>
      <c r="E2943" s="185">
        <v>51401002</v>
      </c>
      <c r="F2943" s="185" t="s">
        <v>1303</v>
      </c>
      <c r="G2943" s="185" t="s">
        <v>3668</v>
      </c>
      <c r="H2943" s="185" t="s">
        <v>1628</v>
      </c>
      <c r="I2943" s="258" t="str">
        <f t="shared" si="136"/>
        <v>5</v>
      </c>
      <c r="J2943" s="221">
        <f t="shared" si="137"/>
        <v>-653000</v>
      </c>
      <c r="K2943" s="258">
        <f t="shared" si="138"/>
        <v>11</v>
      </c>
      <c r="L2943" s="188">
        <v>0</v>
      </c>
      <c r="M2943" s="188">
        <v>653000</v>
      </c>
      <c r="N2943" s="189">
        <v>860007322</v>
      </c>
      <c r="O2943" t="s">
        <v>3671</v>
      </c>
      <c r="P2943" s="187">
        <v>45257.512141203697</v>
      </c>
      <c r="Q2943" s="186">
        <v>14588</v>
      </c>
      <c r="R2943" s="185" t="s">
        <v>1841</v>
      </c>
      <c r="S2943" s="185" t="s">
        <v>1566</v>
      </c>
      <c r="T2943"/>
      <c r="U2943" t="str">
        <f>IF($L2943&gt;0,VLOOKUP($E2943,Valida!$A$1:$G$270,6,FALSE),IF($M2943&gt;=0,VLOOKUP($E2943,Valida!$A$1:$G$270,7,FALSE)))</f>
        <v>(+/-) Ganancia (pérdida)</v>
      </c>
      <c r="V2943" s="190" t="str">
        <f>VLOOKUP(E2943,Valida!$A$2:$K$271,4,FALSE)</f>
        <v>P&amp;L</v>
      </c>
      <c r="W2943" s="185" t="s">
        <v>2306</v>
      </c>
      <c r="X2943" s="185"/>
      <c r="Y2943" s="185" t="s">
        <v>1789</v>
      </c>
      <c r="Z2943"/>
    </row>
    <row r="2944" spans="1:26">
      <c r="A2944" s="185" t="s">
        <v>3653</v>
      </c>
      <c r="B2944" s="185" t="s">
        <v>3670</v>
      </c>
      <c r="C2944" s="185" t="s">
        <v>1792</v>
      </c>
      <c r="D2944" s="185" t="s">
        <v>2544</v>
      </c>
      <c r="E2944" s="185">
        <v>23351001</v>
      </c>
      <c r="F2944" s="185" t="s">
        <v>453</v>
      </c>
      <c r="G2944" s="185" t="s">
        <v>3668</v>
      </c>
      <c r="H2944" s="185" t="s">
        <v>1515</v>
      </c>
      <c r="I2944" s="258" t="str">
        <f t="shared" si="136"/>
        <v>2</v>
      </c>
      <c r="J2944" s="221">
        <f t="shared" si="137"/>
        <v>653000</v>
      </c>
      <c r="K2944" s="258">
        <f t="shared" si="138"/>
        <v>11</v>
      </c>
      <c r="L2944" s="188">
        <v>653000</v>
      </c>
      <c r="M2944" s="188">
        <v>0</v>
      </c>
      <c r="N2944" s="189">
        <v>860007322</v>
      </c>
      <c r="O2944" t="s">
        <v>3671</v>
      </c>
      <c r="P2944" s="187">
        <v>45257.512141203697</v>
      </c>
      <c r="Q2944" s="186">
        <v>14589</v>
      </c>
      <c r="R2944" s="185" t="s">
        <v>1841</v>
      </c>
      <c r="S2944" s="185" t="s">
        <v>1566</v>
      </c>
      <c r="T2944"/>
      <c r="U2944" t="str">
        <f>IF($L2944&gt;0,VLOOKUP($E2944,Valida!$A$1:$G$270,6,FALSE),IF($M2944&gt;=0,VLOOKUP($E2944,Valida!$A$1:$G$270,7,FALSE)))</f>
        <v>(+/-) Ajustes por el incremento (disminución) de cuentas por pagar de origen comercial</v>
      </c>
      <c r="V2944" s="190" t="str">
        <f>VLOOKUP(E2944,Valida!$A$2:$K$271,4,FALSE)</f>
        <v>Trade and other payables</v>
      </c>
      <c r="W2944" s="185" t="s">
        <v>2306</v>
      </c>
      <c r="X2944" s="185"/>
      <c r="Y2944" s="185" t="s">
        <v>1789</v>
      </c>
      <c r="Z2944"/>
    </row>
    <row r="2945" spans="1:26">
      <c r="A2945" s="185" t="s">
        <v>3672</v>
      </c>
      <c r="B2945" s="185" t="s">
        <v>3673</v>
      </c>
      <c r="C2945" s="185" t="s">
        <v>1792</v>
      </c>
      <c r="D2945" s="185" t="s">
        <v>2546</v>
      </c>
      <c r="E2945" s="185">
        <v>51201001</v>
      </c>
      <c r="F2945" s="185" t="s">
        <v>1189</v>
      </c>
      <c r="G2945" s="185" t="s">
        <v>3674</v>
      </c>
      <c r="H2945" s="185" t="s">
        <v>1515</v>
      </c>
      <c r="I2945" s="258" t="str">
        <f t="shared" si="136"/>
        <v>5</v>
      </c>
      <c r="J2945" s="221">
        <f t="shared" si="137"/>
        <v>12750000</v>
      </c>
      <c r="K2945" s="258">
        <f t="shared" si="138"/>
        <v>11</v>
      </c>
      <c r="L2945" s="188">
        <v>12750000</v>
      </c>
      <c r="M2945" s="188">
        <v>0</v>
      </c>
      <c r="N2945" s="189">
        <v>900471482</v>
      </c>
      <c r="O2945" t="s">
        <v>3675</v>
      </c>
      <c r="P2945" s="187">
        <v>45257.529837962997</v>
      </c>
      <c r="Q2945" s="186">
        <v>14590</v>
      </c>
      <c r="R2945" s="185" t="s">
        <v>6</v>
      </c>
      <c r="S2945" s="185" t="s">
        <v>1600</v>
      </c>
      <c r="T2945"/>
      <c r="U2945" t="str">
        <f>IF($L2945&gt;0,VLOOKUP($E2945,Valida!$A$1:$G$270,6,FALSE),IF($M2945&gt;=0,VLOOKUP($E2945,Valida!$A$1:$G$270,7,FALSE)))</f>
        <v>(+/-) Ganancia (pérdida)</v>
      </c>
      <c r="V2945" s="190" t="str">
        <f>VLOOKUP(E2945,Valida!$A$2:$K$271,4,FALSE)</f>
        <v>P&amp;L</v>
      </c>
      <c r="W2945" s="185" t="s">
        <v>1853</v>
      </c>
      <c r="X2945" s="185" t="s">
        <v>1854</v>
      </c>
      <c r="Y2945" s="185" t="s">
        <v>1789</v>
      </c>
      <c r="Z2945"/>
    </row>
    <row r="2946" spans="1:26">
      <c r="A2946" s="185" t="s">
        <v>3672</v>
      </c>
      <c r="B2946" s="185" t="s">
        <v>3673</v>
      </c>
      <c r="C2946" s="185" t="s">
        <v>1792</v>
      </c>
      <c r="D2946" s="185" t="s">
        <v>2546</v>
      </c>
      <c r="E2946" s="185">
        <v>24081002</v>
      </c>
      <c r="F2946" s="185" t="s">
        <v>1687</v>
      </c>
      <c r="G2946" s="185" t="s">
        <v>3674</v>
      </c>
      <c r="H2946" s="185" t="s">
        <v>1515</v>
      </c>
      <c r="I2946" s="258" t="str">
        <f t="shared" si="136"/>
        <v>2</v>
      </c>
      <c r="J2946" s="221">
        <f t="shared" si="137"/>
        <v>2422500</v>
      </c>
      <c r="K2946" s="258">
        <f t="shared" si="138"/>
        <v>11</v>
      </c>
      <c r="L2946" s="188">
        <v>2422500</v>
      </c>
      <c r="M2946" s="188">
        <v>0</v>
      </c>
      <c r="N2946" s="189">
        <v>900471482</v>
      </c>
      <c r="O2946" t="s">
        <v>3675</v>
      </c>
      <c r="P2946" s="187">
        <v>45257.529837962997</v>
      </c>
      <c r="Q2946" s="186">
        <v>14591</v>
      </c>
      <c r="R2946" s="185" t="s">
        <v>6</v>
      </c>
      <c r="S2946" s="185" t="s">
        <v>1600</v>
      </c>
      <c r="T2946"/>
      <c r="U2946" t="str">
        <f>IF($L2946&gt;0,VLOOKUP($E2946,Valida!$A$1:$G$270,6,FALSE),IF($M2946&gt;=0,VLOOKUP($E2946,Valida!$A$1:$G$270,7,FALSE)))</f>
        <v>(+/-) Ajustes por el incremento (disminución) de cuentas por pagar de origen comercial</v>
      </c>
      <c r="V2946" s="190" t="str">
        <f>VLOOKUP(E2946,Valida!$A$2:$K$271,4,FALSE)</f>
        <v>Trade and other payables</v>
      </c>
      <c r="W2946" s="185" t="s">
        <v>1853</v>
      </c>
      <c r="X2946" s="185" t="s">
        <v>1854</v>
      </c>
      <c r="Y2946" s="185" t="s">
        <v>1789</v>
      </c>
      <c r="Z2946"/>
    </row>
    <row r="2947" spans="1:26">
      <c r="A2947" s="185" t="s">
        <v>3672</v>
      </c>
      <c r="B2947" s="185" t="s">
        <v>3673</v>
      </c>
      <c r="C2947" s="185" t="s">
        <v>1792</v>
      </c>
      <c r="D2947" s="185" t="s">
        <v>2546</v>
      </c>
      <c r="E2947" s="185">
        <v>23653001</v>
      </c>
      <c r="F2947" s="185" t="s">
        <v>611</v>
      </c>
      <c r="G2947" s="185" t="s">
        <v>3674</v>
      </c>
      <c r="H2947" s="185" t="s">
        <v>1628</v>
      </c>
      <c r="I2947" s="258" t="str">
        <f t="shared" ref="I2947:I3010" si="139">LEFT(E2947,1)</f>
        <v>2</v>
      </c>
      <c r="J2947" s="221">
        <f t="shared" ref="J2947:J3010" si="140">L2947-M2947</f>
        <v>-446250</v>
      </c>
      <c r="K2947" s="258">
        <f t="shared" ref="K2947:K3010" si="141">MONTH(A2947)</f>
        <v>11</v>
      </c>
      <c r="L2947" s="188">
        <v>0</v>
      </c>
      <c r="M2947" s="188">
        <v>446250</v>
      </c>
      <c r="N2947" s="189">
        <v>900471482</v>
      </c>
      <c r="O2947" t="s">
        <v>3675</v>
      </c>
      <c r="P2947" s="187">
        <v>45257.529837962997</v>
      </c>
      <c r="Q2947" s="186">
        <v>14592</v>
      </c>
      <c r="R2947" s="185" t="s">
        <v>6</v>
      </c>
      <c r="S2947" s="185" t="s">
        <v>1600</v>
      </c>
      <c r="T2947"/>
      <c r="U2947" t="str">
        <f>IF($L2947&gt;0,VLOOKUP($E2947,Valida!$A$1:$G$270,6,FALSE),IF($M2947&gt;=0,VLOOKUP($E2947,Valida!$A$1:$G$270,7,FALSE)))</f>
        <v>(+/-) Ajustes por el incremento (disminución) de cuentas por pagar de origen comercial</v>
      </c>
      <c r="V2947" s="190" t="str">
        <f>VLOOKUP(E2947,Valida!$A$2:$K$271,4,FALSE)</f>
        <v>Trade and other payables</v>
      </c>
      <c r="W2947" s="185" t="s">
        <v>1853</v>
      </c>
      <c r="X2947" s="185" t="s">
        <v>1854</v>
      </c>
      <c r="Y2947" s="185" t="s">
        <v>1789</v>
      </c>
      <c r="Z2947"/>
    </row>
    <row r="2948" spans="1:26">
      <c r="A2948" s="185" t="s">
        <v>3672</v>
      </c>
      <c r="B2948" s="185" t="s">
        <v>3673</v>
      </c>
      <c r="C2948" s="185" t="s">
        <v>1792</v>
      </c>
      <c r="D2948" s="185" t="s">
        <v>2546</v>
      </c>
      <c r="E2948" s="185">
        <v>23680503</v>
      </c>
      <c r="F2948" s="185" t="s">
        <v>665</v>
      </c>
      <c r="G2948" s="185" t="s">
        <v>3674</v>
      </c>
      <c r="H2948" s="185" t="s">
        <v>1628</v>
      </c>
      <c r="I2948" s="258" t="str">
        <f t="shared" si="139"/>
        <v>2</v>
      </c>
      <c r="J2948" s="221">
        <f t="shared" si="140"/>
        <v>-123165</v>
      </c>
      <c r="K2948" s="258">
        <f t="shared" si="141"/>
        <v>11</v>
      </c>
      <c r="L2948" s="188">
        <v>0</v>
      </c>
      <c r="M2948" s="188">
        <v>123165</v>
      </c>
      <c r="N2948" s="189">
        <v>900471482</v>
      </c>
      <c r="O2948" t="s">
        <v>3675</v>
      </c>
      <c r="P2948" s="187">
        <v>45257.529849537001</v>
      </c>
      <c r="Q2948" s="186">
        <v>14593</v>
      </c>
      <c r="R2948" s="185" t="s">
        <v>6</v>
      </c>
      <c r="S2948" s="185" t="s">
        <v>1600</v>
      </c>
      <c r="T2948"/>
      <c r="U2948" t="str">
        <f>IF($L2948&gt;0,VLOOKUP($E2948,Valida!$A$1:$G$270,6,FALSE),IF($M2948&gt;=0,VLOOKUP($E2948,Valida!$A$1:$G$270,7,FALSE)))</f>
        <v>(+/-) Ajustes por el incremento (disminución) de cuentas por pagar de origen comercial</v>
      </c>
      <c r="V2948" s="190" t="str">
        <f>VLOOKUP(E2948,Valida!$A$2:$K$271,4,FALSE)</f>
        <v>Trade and other payables</v>
      </c>
      <c r="W2948" s="185" t="s">
        <v>1853</v>
      </c>
      <c r="X2948" s="185" t="s">
        <v>1854</v>
      </c>
      <c r="Y2948" s="185" t="s">
        <v>1789</v>
      </c>
      <c r="Z2948"/>
    </row>
    <row r="2949" spans="1:26">
      <c r="A2949" s="185" t="s">
        <v>3672</v>
      </c>
      <c r="B2949" s="185" t="s">
        <v>3673</v>
      </c>
      <c r="C2949" s="185" t="s">
        <v>1792</v>
      </c>
      <c r="D2949" s="185" t="s">
        <v>2546</v>
      </c>
      <c r="E2949" s="185">
        <v>23354001</v>
      </c>
      <c r="F2949" s="185" t="s">
        <v>484</v>
      </c>
      <c r="G2949" s="185" t="s">
        <v>2796</v>
      </c>
      <c r="H2949" s="185" t="s">
        <v>1628</v>
      </c>
      <c r="I2949" s="258" t="str">
        <f t="shared" si="139"/>
        <v>2</v>
      </c>
      <c r="J2949" s="221">
        <f t="shared" si="140"/>
        <v>-14603085</v>
      </c>
      <c r="K2949" s="258">
        <f t="shared" si="141"/>
        <v>11</v>
      </c>
      <c r="L2949" s="188">
        <v>0</v>
      </c>
      <c r="M2949" s="188">
        <v>14603085</v>
      </c>
      <c r="N2949" s="189">
        <v>900471482</v>
      </c>
      <c r="O2949" t="s">
        <v>3675</v>
      </c>
      <c r="P2949" s="187">
        <v>45257.529849537001</v>
      </c>
      <c r="Q2949" s="186">
        <v>14594</v>
      </c>
      <c r="R2949" s="185" t="s">
        <v>6</v>
      </c>
      <c r="S2949" s="185" t="s">
        <v>1600</v>
      </c>
      <c r="T2949"/>
      <c r="U2949" t="str">
        <f>IF($L2949&gt;0,VLOOKUP($E2949,Valida!$A$1:$G$270,6,FALSE),IF($M2949&gt;=0,VLOOKUP($E2949,Valida!$A$1:$G$270,7,FALSE)))</f>
        <v>(+/-) Ajustes por el incremento (disminución) de cuentas por pagar de origen comercial</v>
      </c>
      <c r="V2949" s="190" t="str">
        <f>VLOOKUP(E2949,Valida!$A$2:$K$271,4,FALSE)</f>
        <v>Trade and other payables</v>
      </c>
      <c r="W2949" s="185" t="s">
        <v>1853</v>
      </c>
      <c r="X2949" s="185" t="s">
        <v>1854</v>
      </c>
      <c r="Y2949" s="185" t="s">
        <v>1789</v>
      </c>
      <c r="Z2949"/>
    </row>
    <row r="2950" spans="1:26">
      <c r="A2950" s="185" t="s">
        <v>3676</v>
      </c>
      <c r="B2950" s="185" t="s">
        <v>3677</v>
      </c>
      <c r="C2950" s="185" t="s">
        <v>1792</v>
      </c>
      <c r="D2950" s="185" t="s">
        <v>2568</v>
      </c>
      <c r="E2950" s="185">
        <v>51952502</v>
      </c>
      <c r="F2950" s="185" t="s">
        <v>1414</v>
      </c>
      <c r="G2950" s="185" t="s">
        <v>3678</v>
      </c>
      <c r="H2950" s="185" t="s">
        <v>1515</v>
      </c>
      <c r="I2950" s="258" t="str">
        <f t="shared" si="139"/>
        <v>5</v>
      </c>
      <c r="J2950" s="221">
        <f t="shared" si="140"/>
        <v>192640</v>
      </c>
      <c r="K2950" s="258">
        <f t="shared" si="141"/>
        <v>11</v>
      </c>
      <c r="L2950" s="188">
        <v>192640</v>
      </c>
      <c r="M2950" s="188">
        <v>0</v>
      </c>
      <c r="N2950" s="189">
        <v>900970641</v>
      </c>
      <c r="O2950" t="s">
        <v>3679</v>
      </c>
      <c r="P2950" s="187">
        <v>45257.534745370402</v>
      </c>
      <c r="Q2950" s="186">
        <v>14595</v>
      </c>
      <c r="R2950" s="185" t="s">
        <v>1814</v>
      </c>
      <c r="S2950" s="185" t="s">
        <v>1604</v>
      </c>
      <c r="T2950"/>
      <c r="U2950" t="str">
        <f>IF($L2950&gt;0,VLOOKUP($E2950,Valida!$A$1:$G$270,6,FALSE),IF($M2950&gt;=0,VLOOKUP($E2950,Valida!$A$1:$G$270,7,FALSE)))</f>
        <v>(+/-) Ganancia (pérdida)</v>
      </c>
      <c r="V2950" s="190" t="str">
        <f>VLOOKUP(E2950,Valida!$A$2:$K$271,4,FALSE)</f>
        <v>P&amp;L</v>
      </c>
      <c r="W2950" s="185" t="s">
        <v>3680</v>
      </c>
      <c r="X2950" s="185" t="s">
        <v>3681</v>
      </c>
      <c r="Y2950" s="185" t="s">
        <v>1789</v>
      </c>
      <c r="Z2950"/>
    </row>
    <row r="2951" spans="1:26">
      <c r="A2951" s="185" t="s">
        <v>3676</v>
      </c>
      <c r="B2951" s="185" t="s">
        <v>3677</v>
      </c>
      <c r="C2951" s="185" t="s">
        <v>1792</v>
      </c>
      <c r="D2951" s="185" t="s">
        <v>2568</v>
      </c>
      <c r="E2951" s="185">
        <v>24081001</v>
      </c>
      <c r="F2951" s="185" t="s">
        <v>1670</v>
      </c>
      <c r="G2951" s="185" t="s">
        <v>3678</v>
      </c>
      <c r="H2951" s="185" t="s">
        <v>1515</v>
      </c>
      <c r="I2951" s="258" t="str">
        <f t="shared" si="139"/>
        <v>2</v>
      </c>
      <c r="J2951" s="221">
        <f t="shared" si="140"/>
        <v>36602</v>
      </c>
      <c r="K2951" s="258">
        <f t="shared" si="141"/>
        <v>11</v>
      </c>
      <c r="L2951" s="188">
        <v>36602</v>
      </c>
      <c r="M2951" s="188">
        <v>0</v>
      </c>
      <c r="N2951" s="189">
        <v>900970641</v>
      </c>
      <c r="O2951" t="s">
        <v>3679</v>
      </c>
      <c r="P2951" s="187">
        <v>45257.534756944398</v>
      </c>
      <c r="Q2951" s="186">
        <v>14596</v>
      </c>
      <c r="R2951" s="185" t="s">
        <v>1814</v>
      </c>
      <c r="S2951" s="185" t="s">
        <v>1604</v>
      </c>
      <c r="T2951"/>
      <c r="U2951" t="str">
        <f>IF($L2951&gt;0,VLOOKUP($E2951,Valida!$A$1:$G$270,6,FALSE),IF($M2951&gt;=0,VLOOKUP($E2951,Valida!$A$1:$G$270,7,FALSE)))</f>
        <v>(+/-) Ajustes por el incremento (disminución) de cuentas por pagar de origen comercial</v>
      </c>
      <c r="V2951" s="190" t="str">
        <f>VLOOKUP(E2951,Valida!$A$2:$K$271,4,FALSE)</f>
        <v>Trade and other payables</v>
      </c>
      <c r="W2951" s="185" t="s">
        <v>3680</v>
      </c>
      <c r="X2951" s="185" t="s">
        <v>3681</v>
      </c>
      <c r="Y2951" s="185" t="s">
        <v>1789</v>
      </c>
      <c r="Z2951"/>
    </row>
    <row r="2952" spans="1:26">
      <c r="A2952" s="185" t="s">
        <v>3676</v>
      </c>
      <c r="B2952" s="185" t="s">
        <v>3677</v>
      </c>
      <c r="C2952" s="185" t="s">
        <v>1792</v>
      </c>
      <c r="D2952" s="185" t="s">
        <v>2568</v>
      </c>
      <c r="E2952" s="185">
        <v>51952502</v>
      </c>
      <c r="F2952" s="185" t="s">
        <v>1414</v>
      </c>
      <c r="G2952" s="185" t="s">
        <v>3678</v>
      </c>
      <c r="H2952" s="185" t="s">
        <v>1515</v>
      </c>
      <c r="I2952" s="258" t="str">
        <f t="shared" si="139"/>
        <v>5</v>
      </c>
      <c r="J2952" s="221">
        <f t="shared" si="140"/>
        <v>19264</v>
      </c>
      <c r="K2952" s="258">
        <f t="shared" si="141"/>
        <v>11</v>
      </c>
      <c r="L2952" s="188">
        <v>19264</v>
      </c>
      <c r="M2952" s="188">
        <v>0</v>
      </c>
      <c r="N2952" s="189">
        <v>900970641</v>
      </c>
      <c r="O2952" t="s">
        <v>3679</v>
      </c>
      <c r="P2952" s="187">
        <v>45257.534756944398</v>
      </c>
      <c r="Q2952" s="186">
        <v>14597</v>
      </c>
      <c r="R2952" s="185" t="s">
        <v>1814</v>
      </c>
      <c r="S2952" s="185" t="s">
        <v>1604</v>
      </c>
      <c r="T2952"/>
      <c r="U2952" t="str">
        <f>IF($L2952&gt;0,VLOOKUP($E2952,Valida!$A$1:$G$270,6,FALSE),IF($M2952&gt;=0,VLOOKUP($E2952,Valida!$A$1:$G$270,7,FALSE)))</f>
        <v>(+/-) Ganancia (pérdida)</v>
      </c>
      <c r="V2952" s="190" t="str">
        <f>VLOOKUP(E2952,Valida!$A$2:$K$271,4,FALSE)</f>
        <v>P&amp;L</v>
      </c>
      <c r="W2952" s="185" t="s">
        <v>3680</v>
      </c>
      <c r="X2952" s="185" t="s">
        <v>3681</v>
      </c>
      <c r="Y2952" s="185" t="s">
        <v>1789</v>
      </c>
      <c r="Z2952"/>
    </row>
    <row r="2953" spans="1:26">
      <c r="A2953" s="185" t="s">
        <v>3676</v>
      </c>
      <c r="B2953" s="185" t="s">
        <v>3677</v>
      </c>
      <c r="C2953" s="185" t="s">
        <v>1792</v>
      </c>
      <c r="D2953" s="185" t="s">
        <v>2568</v>
      </c>
      <c r="E2953" s="185">
        <v>23359502</v>
      </c>
      <c r="F2953" s="185" t="s">
        <v>547</v>
      </c>
      <c r="G2953" s="185" t="s">
        <v>3678</v>
      </c>
      <c r="H2953" s="185" t="s">
        <v>1628</v>
      </c>
      <c r="I2953" s="258" t="str">
        <f t="shared" si="139"/>
        <v>2</v>
      </c>
      <c r="J2953" s="221">
        <f t="shared" si="140"/>
        <v>-248506</v>
      </c>
      <c r="K2953" s="258">
        <f t="shared" si="141"/>
        <v>11</v>
      </c>
      <c r="L2953" s="188">
        <v>0</v>
      </c>
      <c r="M2953" s="188">
        <v>248506</v>
      </c>
      <c r="N2953" s="189">
        <v>900970641</v>
      </c>
      <c r="O2953" t="s">
        <v>3679</v>
      </c>
      <c r="P2953" s="187">
        <v>45257.534756944398</v>
      </c>
      <c r="Q2953" s="186">
        <v>14598</v>
      </c>
      <c r="R2953" s="185" t="s">
        <v>1814</v>
      </c>
      <c r="S2953" s="185" t="s">
        <v>1604</v>
      </c>
      <c r="T2953"/>
      <c r="U2953" t="str">
        <f>IF($L2953&gt;0,VLOOKUP($E2953,Valida!$A$1:$G$270,6,FALSE),IF($M2953&gt;=0,VLOOKUP($E2953,Valida!$A$1:$G$270,7,FALSE)))</f>
        <v>(+/-) Ajustes por el incremento (disminución) de cuentas por pagar de origen comercial</v>
      </c>
      <c r="V2953" s="190" t="str">
        <f>VLOOKUP(E2953,Valida!$A$2:$K$271,4,FALSE)</f>
        <v>Trade and other payables</v>
      </c>
      <c r="W2953" s="185" t="s">
        <v>3680</v>
      </c>
      <c r="X2953" s="185" t="s">
        <v>3681</v>
      </c>
      <c r="Y2953" s="185" t="s">
        <v>1789</v>
      </c>
      <c r="Z2953"/>
    </row>
    <row r="2954" spans="1:26">
      <c r="A2954" s="185" t="s">
        <v>3682</v>
      </c>
      <c r="B2954" s="185" t="s">
        <v>3683</v>
      </c>
      <c r="C2954" s="185" t="s">
        <v>1792</v>
      </c>
      <c r="D2954" s="185" t="s">
        <v>2571</v>
      </c>
      <c r="E2954" s="185">
        <v>51700503</v>
      </c>
      <c r="F2954" s="185" t="s">
        <v>1397</v>
      </c>
      <c r="G2954" s="185" t="s">
        <v>1818</v>
      </c>
      <c r="H2954" s="185" t="s">
        <v>1515</v>
      </c>
      <c r="I2954" s="258" t="str">
        <f t="shared" si="139"/>
        <v>5</v>
      </c>
      <c r="J2954" s="221">
        <f t="shared" si="140"/>
        <v>350000</v>
      </c>
      <c r="K2954" s="258">
        <f t="shared" si="141"/>
        <v>11</v>
      </c>
      <c r="L2954" s="188">
        <v>350000</v>
      </c>
      <c r="M2954" s="188">
        <v>0</v>
      </c>
      <c r="N2954" s="189">
        <v>800042928</v>
      </c>
      <c r="O2954" t="s">
        <v>3684</v>
      </c>
      <c r="P2954" s="187">
        <v>45257.723275463002</v>
      </c>
      <c r="Q2954" s="186">
        <v>14599</v>
      </c>
      <c r="R2954" s="185" t="s">
        <v>6</v>
      </c>
      <c r="S2954" s="185" t="s">
        <v>1554</v>
      </c>
      <c r="T2954"/>
      <c r="U2954" t="str">
        <f>IF($L2954&gt;0,VLOOKUP($E2954,Valida!$A$1:$G$270,6,FALSE),IF($M2954&gt;=0,VLOOKUP($E2954,Valida!$A$1:$G$270,7,FALSE)))</f>
        <v>(+/-) Ganancia (pérdida)</v>
      </c>
      <c r="V2954" s="190" t="str">
        <f>VLOOKUP(E2954,Valida!$A$2:$K$271,4,FALSE)</f>
        <v>P&amp;L</v>
      </c>
      <c r="W2954" s="185" t="s">
        <v>1820</v>
      </c>
      <c r="X2954" s="185" t="s">
        <v>1821</v>
      </c>
      <c r="Y2954" s="185" t="s">
        <v>1789</v>
      </c>
      <c r="Z2954"/>
    </row>
    <row r="2955" spans="1:26">
      <c r="A2955" s="185" t="s">
        <v>3682</v>
      </c>
      <c r="B2955" s="185" t="s">
        <v>3683</v>
      </c>
      <c r="C2955" s="185" t="s">
        <v>1792</v>
      </c>
      <c r="D2955" s="185" t="s">
        <v>2571</v>
      </c>
      <c r="E2955" s="185">
        <v>23359504</v>
      </c>
      <c r="F2955" s="185" t="s">
        <v>553</v>
      </c>
      <c r="G2955" s="185" t="s">
        <v>1818</v>
      </c>
      <c r="H2955" s="185" t="s">
        <v>1628</v>
      </c>
      <c r="I2955" s="258" t="str">
        <f t="shared" si="139"/>
        <v>2</v>
      </c>
      <c r="J2955" s="221">
        <f t="shared" si="140"/>
        <v>-350000</v>
      </c>
      <c r="K2955" s="258">
        <f t="shared" si="141"/>
        <v>11</v>
      </c>
      <c r="L2955" s="188">
        <v>0</v>
      </c>
      <c r="M2955" s="188">
        <v>350000</v>
      </c>
      <c r="N2955" s="189">
        <v>800042928</v>
      </c>
      <c r="O2955" t="s">
        <v>3684</v>
      </c>
      <c r="P2955" s="187">
        <v>45257.723275463002</v>
      </c>
      <c r="Q2955" s="186">
        <v>14600</v>
      </c>
      <c r="R2955" s="185" t="s">
        <v>6</v>
      </c>
      <c r="S2955" s="185" t="s">
        <v>1554</v>
      </c>
      <c r="T2955"/>
      <c r="U2955" t="str">
        <f>IF($L2955&gt;0,VLOOKUP($E2955,Valida!$A$1:$G$270,6,FALSE),IF($M2955&gt;=0,VLOOKUP($E2955,Valida!$A$1:$G$270,7,FALSE)))</f>
        <v>(+/-) Ajustes por el incremento (disminución) de cuentas por pagar de origen comercial</v>
      </c>
      <c r="V2955" s="190" t="str">
        <f>VLOOKUP(E2955,Valida!$A$2:$K$271,4,FALSE)</f>
        <v>Trade and other payables</v>
      </c>
      <c r="W2955" s="185" t="s">
        <v>1820</v>
      </c>
      <c r="X2955" s="185" t="s">
        <v>1821</v>
      </c>
      <c r="Y2955" s="185" t="s">
        <v>1789</v>
      </c>
      <c r="Z2955"/>
    </row>
    <row r="2956" spans="1:26">
      <c r="A2956" s="185" t="s">
        <v>3682</v>
      </c>
      <c r="B2956" s="185" t="s">
        <v>3685</v>
      </c>
      <c r="C2956" s="185" t="s">
        <v>1792</v>
      </c>
      <c r="D2956" s="185" t="s">
        <v>2573</v>
      </c>
      <c r="E2956" s="185">
        <v>51952502</v>
      </c>
      <c r="F2956" s="185" t="s">
        <v>1414</v>
      </c>
      <c r="G2956" s="185" t="s">
        <v>1862</v>
      </c>
      <c r="H2956" s="185" t="s">
        <v>1515</v>
      </c>
      <c r="I2956" s="258" t="str">
        <f t="shared" si="139"/>
        <v>5</v>
      </c>
      <c r="J2956" s="221">
        <f t="shared" si="140"/>
        <v>107000</v>
      </c>
      <c r="K2956" s="258">
        <f t="shared" si="141"/>
        <v>11</v>
      </c>
      <c r="L2956" s="188">
        <v>107000</v>
      </c>
      <c r="M2956" s="188">
        <v>0</v>
      </c>
      <c r="N2956" s="189">
        <v>900424409</v>
      </c>
      <c r="O2956" t="s">
        <v>3686</v>
      </c>
      <c r="P2956" s="187">
        <v>45257.724259259303</v>
      </c>
      <c r="Q2956" s="186">
        <v>14601</v>
      </c>
      <c r="R2956" s="185" t="s">
        <v>844</v>
      </c>
      <c r="S2956" s="185" t="s">
        <v>1598</v>
      </c>
      <c r="T2956"/>
      <c r="U2956" t="str">
        <f>IF($L2956&gt;0,VLOOKUP($E2956,Valida!$A$1:$G$270,6,FALSE),IF($M2956&gt;=0,VLOOKUP($E2956,Valida!$A$1:$G$270,7,FALSE)))</f>
        <v>(+/-) Ganancia (pérdida)</v>
      </c>
      <c r="V2956" s="190" t="str">
        <f>VLOOKUP(E2956,Valida!$A$2:$K$271,4,FALSE)</f>
        <v>P&amp;L</v>
      </c>
      <c r="W2956" s="185" t="s">
        <v>1864</v>
      </c>
      <c r="X2956" s="185" t="s">
        <v>1865</v>
      </c>
      <c r="Y2956" s="185" t="s">
        <v>1789</v>
      </c>
      <c r="Z2956"/>
    </row>
    <row r="2957" spans="1:26">
      <c r="A2957" s="185" t="s">
        <v>3682</v>
      </c>
      <c r="B2957" s="185" t="s">
        <v>3685</v>
      </c>
      <c r="C2957" s="185" t="s">
        <v>1792</v>
      </c>
      <c r="D2957" s="185" t="s">
        <v>2573</v>
      </c>
      <c r="E2957" s="185">
        <v>24081002</v>
      </c>
      <c r="F2957" s="185" t="s">
        <v>1687</v>
      </c>
      <c r="G2957" s="185" t="s">
        <v>1866</v>
      </c>
      <c r="H2957" s="185" t="s">
        <v>1515</v>
      </c>
      <c r="I2957" s="258" t="str">
        <f t="shared" si="139"/>
        <v>2</v>
      </c>
      <c r="J2957" s="221">
        <f t="shared" si="140"/>
        <v>20330</v>
      </c>
      <c r="K2957" s="258">
        <f t="shared" si="141"/>
        <v>11</v>
      </c>
      <c r="L2957" s="188">
        <v>20330</v>
      </c>
      <c r="M2957" s="188">
        <v>0</v>
      </c>
      <c r="N2957" s="189">
        <v>900424409</v>
      </c>
      <c r="O2957" t="s">
        <v>3686</v>
      </c>
      <c r="P2957" s="187">
        <v>45257.724259259303</v>
      </c>
      <c r="Q2957" s="186">
        <v>14602</v>
      </c>
      <c r="R2957" s="185" t="s">
        <v>844</v>
      </c>
      <c r="S2957" s="185" t="s">
        <v>1598</v>
      </c>
      <c r="T2957"/>
      <c r="U2957" t="str">
        <f>IF($L2957&gt;0,VLOOKUP($E2957,Valida!$A$1:$G$270,6,FALSE),IF($M2957&gt;=0,VLOOKUP($E2957,Valida!$A$1:$G$270,7,FALSE)))</f>
        <v>(+/-) Ajustes por el incremento (disminución) de cuentas por pagar de origen comercial</v>
      </c>
      <c r="V2957" s="190" t="str">
        <f>VLOOKUP(E2957,Valida!$A$2:$K$271,4,FALSE)</f>
        <v>Trade and other payables</v>
      </c>
      <c r="W2957" s="185" t="s">
        <v>1864</v>
      </c>
      <c r="X2957" s="185" t="s">
        <v>1865</v>
      </c>
      <c r="Y2957" s="185" t="s">
        <v>1789</v>
      </c>
      <c r="Z2957"/>
    </row>
    <row r="2958" spans="1:26">
      <c r="A2958" s="185" t="s">
        <v>3682</v>
      </c>
      <c r="B2958" s="185" t="s">
        <v>3685</v>
      </c>
      <c r="C2958" s="185" t="s">
        <v>1792</v>
      </c>
      <c r="D2958" s="185" t="s">
        <v>2573</v>
      </c>
      <c r="E2958" s="185">
        <v>23359502</v>
      </c>
      <c r="F2958" s="185" t="s">
        <v>547</v>
      </c>
      <c r="G2958" s="185" t="s">
        <v>1862</v>
      </c>
      <c r="H2958" s="185" t="s">
        <v>1628</v>
      </c>
      <c r="I2958" s="258" t="str">
        <f t="shared" si="139"/>
        <v>2</v>
      </c>
      <c r="J2958" s="221">
        <f t="shared" si="140"/>
        <v>-122016</v>
      </c>
      <c r="K2958" s="258">
        <f t="shared" si="141"/>
        <v>11</v>
      </c>
      <c r="L2958" s="188">
        <v>0</v>
      </c>
      <c r="M2958" s="188">
        <v>122016</v>
      </c>
      <c r="N2958" s="189">
        <v>900424409</v>
      </c>
      <c r="O2958" t="s">
        <v>3686</v>
      </c>
      <c r="P2958" s="187">
        <v>45257.724259259303</v>
      </c>
      <c r="Q2958" s="186">
        <v>14603</v>
      </c>
      <c r="R2958" s="185" t="s">
        <v>844</v>
      </c>
      <c r="S2958" s="185" t="s">
        <v>1598</v>
      </c>
      <c r="T2958"/>
      <c r="U2958" t="str">
        <f>IF($L2958&gt;0,VLOOKUP($E2958,Valida!$A$1:$G$270,6,FALSE),IF($M2958&gt;=0,VLOOKUP($E2958,Valida!$A$1:$G$270,7,FALSE)))</f>
        <v>(+/-) Ajustes por el incremento (disminución) de cuentas por pagar de origen comercial</v>
      </c>
      <c r="V2958" s="190" t="str">
        <f>VLOOKUP(E2958,Valida!$A$2:$K$271,4,FALSE)</f>
        <v>Trade and other payables</v>
      </c>
      <c r="W2958" s="185" t="s">
        <v>1864</v>
      </c>
      <c r="X2958" s="185" t="s">
        <v>1865</v>
      </c>
      <c r="Y2958" s="185" t="s">
        <v>1789</v>
      </c>
      <c r="Z2958"/>
    </row>
    <row r="2959" spans="1:26">
      <c r="A2959" s="185" t="s">
        <v>3682</v>
      </c>
      <c r="B2959" s="185" t="s">
        <v>3685</v>
      </c>
      <c r="C2959" s="185" t="s">
        <v>1792</v>
      </c>
      <c r="D2959" s="185" t="s">
        <v>2573</v>
      </c>
      <c r="E2959" s="185">
        <v>23653002</v>
      </c>
      <c r="F2959" s="185" t="s">
        <v>241</v>
      </c>
      <c r="G2959" s="185" t="s">
        <v>1867</v>
      </c>
      <c r="H2959" s="185" t="s">
        <v>1628</v>
      </c>
      <c r="I2959" s="258" t="str">
        <f t="shared" si="139"/>
        <v>2</v>
      </c>
      <c r="J2959" s="221">
        <f t="shared" si="140"/>
        <v>-4280</v>
      </c>
      <c r="K2959" s="258">
        <f t="shared" si="141"/>
        <v>11</v>
      </c>
      <c r="L2959" s="188">
        <v>0</v>
      </c>
      <c r="M2959" s="188">
        <v>4280</v>
      </c>
      <c r="N2959" s="189">
        <v>900424409</v>
      </c>
      <c r="O2959" t="s">
        <v>3686</v>
      </c>
      <c r="P2959" s="187">
        <v>45257.724259259303</v>
      </c>
      <c r="Q2959" s="186">
        <v>14604</v>
      </c>
      <c r="R2959" s="185" t="s">
        <v>844</v>
      </c>
      <c r="S2959" s="185" t="s">
        <v>1598</v>
      </c>
      <c r="T2959"/>
      <c r="U2959" t="str">
        <f>IF($L2959&gt;0,VLOOKUP($E2959,Valida!$A$1:$G$270,6,FALSE),IF($M2959&gt;=0,VLOOKUP($E2959,Valida!$A$1:$G$270,7,FALSE)))</f>
        <v>(+/-) Ajustes por el incremento (disminución) de cuentas por pagar de origen comercial</v>
      </c>
      <c r="V2959" s="190" t="str">
        <f>VLOOKUP(E2959,Valida!$A$2:$K$271,4,FALSE)</f>
        <v>Trade and other payables</v>
      </c>
      <c r="W2959" s="185" t="s">
        <v>1864</v>
      </c>
      <c r="X2959" s="185" t="s">
        <v>1865</v>
      </c>
      <c r="Y2959" s="185" t="s">
        <v>1789</v>
      </c>
      <c r="Z2959"/>
    </row>
    <row r="2960" spans="1:26">
      <c r="A2960" s="185" t="s">
        <v>3682</v>
      </c>
      <c r="B2960" s="185" t="s">
        <v>3685</v>
      </c>
      <c r="C2960" s="185" t="s">
        <v>1792</v>
      </c>
      <c r="D2960" s="185" t="s">
        <v>2573</v>
      </c>
      <c r="E2960" s="185">
        <v>23680503</v>
      </c>
      <c r="F2960" s="185" t="s">
        <v>665</v>
      </c>
      <c r="G2960" s="185" t="s">
        <v>1868</v>
      </c>
      <c r="H2960" s="185" t="s">
        <v>1628</v>
      </c>
      <c r="I2960" s="258" t="str">
        <f t="shared" si="139"/>
        <v>2</v>
      </c>
      <c r="J2960" s="221">
        <f t="shared" si="140"/>
        <v>-1034</v>
      </c>
      <c r="K2960" s="258">
        <f t="shared" si="141"/>
        <v>11</v>
      </c>
      <c r="L2960" s="188">
        <v>0</v>
      </c>
      <c r="M2960" s="188">
        <v>1034</v>
      </c>
      <c r="N2960" s="189">
        <v>900424409</v>
      </c>
      <c r="O2960" t="s">
        <v>3686</v>
      </c>
      <c r="P2960" s="187">
        <v>45257.724259259303</v>
      </c>
      <c r="Q2960" s="186">
        <v>14605</v>
      </c>
      <c r="R2960" s="185" t="s">
        <v>844</v>
      </c>
      <c r="S2960" s="185" t="s">
        <v>1598</v>
      </c>
      <c r="T2960"/>
      <c r="U2960" t="str">
        <f>IF($L2960&gt;0,VLOOKUP($E2960,Valida!$A$1:$G$270,6,FALSE),IF($M2960&gt;=0,VLOOKUP($E2960,Valida!$A$1:$G$270,7,FALSE)))</f>
        <v>(+/-) Ajustes por el incremento (disminución) de cuentas por pagar de origen comercial</v>
      </c>
      <c r="V2960" s="190" t="str">
        <f>VLOOKUP(E2960,Valida!$A$2:$K$271,4,FALSE)</f>
        <v>Trade and other payables</v>
      </c>
      <c r="W2960" s="185" t="s">
        <v>1864</v>
      </c>
      <c r="X2960" s="185" t="s">
        <v>1865</v>
      </c>
      <c r="Y2960" s="185" t="s">
        <v>1789</v>
      </c>
      <c r="Z2960"/>
    </row>
    <row r="2961" spans="1:26">
      <c r="A2961" s="185" t="s">
        <v>3687</v>
      </c>
      <c r="B2961" s="185" t="s">
        <v>3688</v>
      </c>
      <c r="C2961" s="185" t="s">
        <v>1792</v>
      </c>
      <c r="D2961" s="185" t="s">
        <v>2575</v>
      </c>
      <c r="E2961" s="185">
        <v>51350501</v>
      </c>
      <c r="F2961" s="185" t="s">
        <v>1256</v>
      </c>
      <c r="G2961" s="185" t="s">
        <v>1794</v>
      </c>
      <c r="H2961" s="185" t="s">
        <v>1515</v>
      </c>
      <c r="I2961" s="258" t="str">
        <f t="shared" si="139"/>
        <v>5</v>
      </c>
      <c r="J2961" s="221">
        <f t="shared" si="140"/>
        <v>1285970</v>
      </c>
      <c r="K2961" s="258">
        <f t="shared" si="141"/>
        <v>11</v>
      </c>
      <c r="L2961" s="188">
        <v>1285970</v>
      </c>
      <c r="M2961" s="188">
        <v>0</v>
      </c>
      <c r="N2961" s="189">
        <v>900736537</v>
      </c>
      <c r="O2961" t="s">
        <v>3689</v>
      </c>
      <c r="P2961" s="187">
        <v>45257.725636574098</v>
      </c>
      <c r="Q2961" s="186">
        <v>14606</v>
      </c>
      <c r="R2961" s="185" t="s">
        <v>1814</v>
      </c>
      <c r="S2961" s="185" t="s">
        <v>1602</v>
      </c>
      <c r="T2961"/>
      <c r="U2961" t="str">
        <f>IF($L2961&gt;0,VLOOKUP($E2961,Valida!$A$1:$G$270,6,FALSE),IF($M2961&gt;=0,VLOOKUP($E2961,Valida!$A$1:$G$270,7,FALSE)))</f>
        <v>(+/-) Ganancia (pérdida)</v>
      </c>
      <c r="V2961" s="190" t="str">
        <f>VLOOKUP(E2961,Valida!$A$2:$K$271,4,FALSE)</f>
        <v>P&amp;L</v>
      </c>
      <c r="W2961" s="185" t="s">
        <v>2985</v>
      </c>
      <c r="X2961" s="185" t="s">
        <v>2986</v>
      </c>
      <c r="Y2961" s="185" t="s">
        <v>1789</v>
      </c>
      <c r="Z2961"/>
    </row>
    <row r="2962" spans="1:26">
      <c r="A2962" s="185" t="s">
        <v>3687</v>
      </c>
      <c r="B2962" s="185" t="s">
        <v>3688</v>
      </c>
      <c r="C2962" s="185" t="s">
        <v>1792</v>
      </c>
      <c r="D2962" s="185" t="s">
        <v>2575</v>
      </c>
      <c r="E2962" s="185">
        <v>51350501</v>
      </c>
      <c r="F2962" s="185" t="s">
        <v>1256</v>
      </c>
      <c r="G2962" s="185" t="s">
        <v>1794</v>
      </c>
      <c r="H2962" s="185" t="s">
        <v>1515</v>
      </c>
      <c r="I2962" s="258" t="str">
        <f t="shared" si="139"/>
        <v>5</v>
      </c>
      <c r="J2962" s="221">
        <f t="shared" si="140"/>
        <v>128597</v>
      </c>
      <c r="K2962" s="258">
        <f t="shared" si="141"/>
        <v>11</v>
      </c>
      <c r="L2962" s="188">
        <v>128597</v>
      </c>
      <c r="M2962" s="188">
        <v>0</v>
      </c>
      <c r="N2962" s="189">
        <v>900736537</v>
      </c>
      <c r="O2962" t="s">
        <v>3689</v>
      </c>
      <c r="P2962" s="187">
        <v>45257.725636574098</v>
      </c>
      <c r="Q2962" s="186">
        <v>14607</v>
      </c>
      <c r="R2962" s="185" t="s">
        <v>1814</v>
      </c>
      <c r="S2962" s="185" t="s">
        <v>1602</v>
      </c>
      <c r="T2962"/>
      <c r="U2962" t="str">
        <f>IF($L2962&gt;0,VLOOKUP($E2962,Valida!$A$1:$G$270,6,FALSE),IF($M2962&gt;=0,VLOOKUP($E2962,Valida!$A$1:$G$270,7,FALSE)))</f>
        <v>(+/-) Ganancia (pérdida)</v>
      </c>
      <c r="V2962" s="190" t="str">
        <f>VLOOKUP(E2962,Valida!$A$2:$K$271,4,FALSE)</f>
        <v>P&amp;L</v>
      </c>
      <c r="W2962" s="185" t="s">
        <v>2985</v>
      </c>
      <c r="X2962" s="185" t="s">
        <v>2986</v>
      </c>
      <c r="Y2962" s="185" t="s">
        <v>1789</v>
      </c>
      <c r="Z2962"/>
    </row>
    <row r="2963" spans="1:26">
      <c r="A2963" s="185" t="s">
        <v>3687</v>
      </c>
      <c r="B2963" s="185" t="s">
        <v>3688</v>
      </c>
      <c r="C2963" s="185" t="s">
        <v>1792</v>
      </c>
      <c r="D2963" s="185" t="s">
        <v>2575</v>
      </c>
      <c r="E2963" s="185">
        <v>24081002</v>
      </c>
      <c r="F2963" s="185" t="s">
        <v>1687</v>
      </c>
      <c r="G2963" s="185" t="s">
        <v>1794</v>
      </c>
      <c r="H2963" s="185" t="s">
        <v>1515</v>
      </c>
      <c r="I2963" s="258" t="str">
        <f t="shared" si="139"/>
        <v>2</v>
      </c>
      <c r="J2963" s="221">
        <f t="shared" si="140"/>
        <v>24433</v>
      </c>
      <c r="K2963" s="258">
        <f t="shared" si="141"/>
        <v>11</v>
      </c>
      <c r="L2963" s="188">
        <v>24433</v>
      </c>
      <c r="M2963" s="188">
        <v>0</v>
      </c>
      <c r="N2963" s="189">
        <v>900736537</v>
      </c>
      <c r="O2963" t="s">
        <v>3689</v>
      </c>
      <c r="P2963" s="187">
        <v>45257.725636574098</v>
      </c>
      <c r="Q2963" s="186">
        <v>14608</v>
      </c>
      <c r="R2963" s="185" t="s">
        <v>1814</v>
      </c>
      <c r="S2963" s="185" t="s">
        <v>1602</v>
      </c>
      <c r="T2963"/>
      <c r="U2963" t="str">
        <f>IF($L2963&gt;0,VLOOKUP($E2963,Valida!$A$1:$G$270,6,FALSE),IF($M2963&gt;=0,VLOOKUP($E2963,Valida!$A$1:$G$270,7,FALSE)))</f>
        <v>(+/-) Ajustes por el incremento (disminución) de cuentas por pagar de origen comercial</v>
      </c>
      <c r="V2963" s="190" t="str">
        <f>VLOOKUP(E2963,Valida!$A$2:$K$271,4,FALSE)</f>
        <v>Trade and other payables</v>
      </c>
      <c r="W2963" s="185" t="s">
        <v>2985</v>
      </c>
      <c r="X2963" s="185" t="s">
        <v>2986</v>
      </c>
      <c r="Y2963" s="185" t="s">
        <v>1789</v>
      </c>
      <c r="Z2963"/>
    </row>
    <row r="2964" spans="1:26">
      <c r="A2964" s="185" t="s">
        <v>3687</v>
      </c>
      <c r="B2964" s="185" t="s">
        <v>3688</v>
      </c>
      <c r="C2964" s="185" t="s">
        <v>1792</v>
      </c>
      <c r="D2964" s="185" t="s">
        <v>2575</v>
      </c>
      <c r="E2964" s="185">
        <v>23355004</v>
      </c>
      <c r="F2964" s="185" t="s">
        <v>513</v>
      </c>
      <c r="G2964" s="185" t="s">
        <v>1794</v>
      </c>
      <c r="H2964" s="185" t="s">
        <v>1628</v>
      </c>
      <c r="I2964" s="258" t="str">
        <f t="shared" si="139"/>
        <v>2</v>
      </c>
      <c r="J2964" s="221">
        <f t="shared" si="140"/>
        <v>-1439000</v>
      </c>
      <c r="K2964" s="258">
        <f t="shared" si="141"/>
        <v>11</v>
      </c>
      <c r="L2964" s="188">
        <v>0</v>
      </c>
      <c r="M2964" s="188">
        <v>1439000</v>
      </c>
      <c r="N2964" s="189">
        <v>900736537</v>
      </c>
      <c r="O2964" t="s">
        <v>3689</v>
      </c>
      <c r="P2964" s="187">
        <v>45257.725636574098</v>
      </c>
      <c r="Q2964" s="186">
        <v>14609</v>
      </c>
      <c r="R2964" s="185" t="s">
        <v>1814</v>
      </c>
      <c r="S2964" s="185" t="s">
        <v>1602</v>
      </c>
      <c r="T2964"/>
      <c r="U2964" t="str">
        <f>IF($L2964&gt;0,VLOOKUP($E2964,Valida!$A$1:$G$270,6,FALSE),IF($M2964&gt;=0,VLOOKUP($E2964,Valida!$A$1:$G$270,7,FALSE)))</f>
        <v>(+/-) Ajustes por el incremento (disminución) de cuentas por pagar de origen comercial</v>
      </c>
      <c r="V2964" s="190" t="str">
        <f>VLOOKUP(E2964,Valida!$A$2:$K$271,4,FALSE)</f>
        <v>Trade and other payables</v>
      </c>
      <c r="W2964" s="185" t="s">
        <v>2985</v>
      </c>
      <c r="X2964" s="185" t="s">
        <v>2986</v>
      </c>
      <c r="Y2964" s="185" t="s">
        <v>1789</v>
      </c>
      <c r="Z2964"/>
    </row>
    <row r="2965" spans="1:26">
      <c r="A2965" s="185" t="s">
        <v>3690</v>
      </c>
      <c r="B2965" s="185" t="s">
        <v>3691</v>
      </c>
      <c r="C2965" s="185" t="s">
        <v>1792</v>
      </c>
      <c r="D2965" s="185" t="s">
        <v>2577</v>
      </c>
      <c r="E2965" s="185">
        <v>51352002</v>
      </c>
      <c r="F2965" s="185" t="s">
        <v>1270</v>
      </c>
      <c r="G2965" s="185" t="s">
        <v>1825</v>
      </c>
      <c r="H2965" s="185" t="s">
        <v>1515</v>
      </c>
      <c r="I2965" s="258" t="str">
        <f t="shared" si="139"/>
        <v>5</v>
      </c>
      <c r="J2965" s="221">
        <f t="shared" si="140"/>
        <v>2500000</v>
      </c>
      <c r="K2965" s="258">
        <f t="shared" si="141"/>
        <v>11</v>
      </c>
      <c r="L2965" s="188">
        <v>2500000</v>
      </c>
      <c r="M2965" s="188">
        <v>0</v>
      </c>
      <c r="N2965" s="189">
        <v>800153993</v>
      </c>
      <c r="O2965" t="s">
        <v>3692</v>
      </c>
      <c r="P2965" s="187">
        <v>45257.727199074099</v>
      </c>
      <c r="Q2965" s="186">
        <v>14610</v>
      </c>
      <c r="R2965" s="185" t="s">
        <v>1814</v>
      </c>
      <c r="S2965" s="185" t="s">
        <v>1556</v>
      </c>
      <c r="T2965"/>
      <c r="U2965" t="str">
        <f>IF($L2965&gt;0,VLOOKUP($E2965,Valida!$A$1:$G$270,6,FALSE),IF($M2965&gt;=0,VLOOKUP($E2965,Valida!$A$1:$G$270,7,FALSE)))</f>
        <v>(+/-) Ganancia (pérdida)</v>
      </c>
      <c r="V2965" s="190" t="str">
        <f>VLOOKUP(E2965,Valida!$A$2:$K$271,4,FALSE)</f>
        <v>P&amp;L</v>
      </c>
      <c r="W2965" s="185" t="s">
        <v>1815</v>
      </c>
      <c r="X2965" s="185"/>
      <c r="Y2965" s="185" t="s">
        <v>1789</v>
      </c>
      <c r="Z2965"/>
    </row>
    <row r="2966" spans="1:26">
      <c r="A2966" s="185" t="s">
        <v>3690</v>
      </c>
      <c r="B2966" s="185" t="s">
        <v>3691</v>
      </c>
      <c r="C2966" s="185" t="s">
        <v>1792</v>
      </c>
      <c r="D2966" s="185" t="s">
        <v>2577</v>
      </c>
      <c r="E2966" s="185">
        <v>24081002</v>
      </c>
      <c r="F2966" s="185" t="s">
        <v>1687</v>
      </c>
      <c r="G2966" s="185" t="s">
        <v>1830</v>
      </c>
      <c r="H2966" s="185" t="s">
        <v>1515</v>
      </c>
      <c r="I2966" s="258" t="str">
        <f t="shared" si="139"/>
        <v>2</v>
      </c>
      <c r="J2966" s="221">
        <f t="shared" si="140"/>
        <v>475000</v>
      </c>
      <c r="K2966" s="258">
        <f t="shared" si="141"/>
        <v>11</v>
      </c>
      <c r="L2966" s="188">
        <v>475000</v>
      </c>
      <c r="M2966" s="188">
        <v>0</v>
      </c>
      <c r="N2966" s="189">
        <v>800153993</v>
      </c>
      <c r="O2966" t="s">
        <v>3692</v>
      </c>
      <c r="P2966" s="187">
        <v>45257.727199074099</v>
      </c>
      <c r="Q2966" s="186">
        <v>14611</v>
      </c>
      <c r="R2966" s="185" t="s">
        <v>1814</v>
      </c>
      <c r="S2966" s="185" t="s">
        <v>1556</v>
      </c>
      <c r="T2966"/>
      <c r="U2966" t="str">
        <f>IF($L2966&gt;0,VLOOKUP($E2966,Valida!$A$1:$G$270,6,FALSE),IF($M2966&gt;=0,VLOOKUP($E2966,Valida!$A$1:$G$270,7,FALSE)))</f>
        <v>(+/-) Ajustes por el incremento (disminución) de cuentas por pagar de origen comercial</v>
      </c>
      <c r="V2966" s="190" t="str">
        <f>VLOOKUP(E2966,Valida!$A$2:$K$271,4,FALSE)</f>
        <v>Trade and other payables</v>
      </c>
      <c r="W2966" s="185" t="s">
        <v>1815</v>
      </c>
      <c r="X2966" s="185"/>
      <c r="Y2966" s="185" t="s">
        <v>1789</v>
      </c>
      <c r="Z2966"/>
    </row>
    <row r="2967" spans="1:26">
      <c r="A2967" s="185" t="s">
        <v>3690</v>
      </c>
      <c r="B2967" s="185" t="s">
        <v>3691</v>
      </c>
      <c r="C2967" s="185" t="s">
        <v>1792</v>
      </c>
      <c r="D2967" s="185" t="s">
        <v>2577</v>
      </c>
      <c r="E2967" s="185">
        <v>23355006</v>
      </c>
      <c r="F2967" s="185" t="s">
        <v>519</v>
      </c>
      <c r="G2967" s="185" t="s">
        <v>1825</v>
      </c>
      <c r="H2967" s="185" t="s">
        <v>1628</v>
      </c>
      <c r="I2967" s="258" t="str">
        <f t="shared" si="139"/>
        <v>2</v>
      </c>
      <c r="J2967" s="221">
        <f t="shared" si="140"/>
        <v>-2975000</v>
      </c>
      <c r="K2967" s="258">
        <f t="shared" si="141"/>
        <v>11</v>
      </c>
      <c r="L2967" s="188">
        <v>0</v>
      </c>
      <c r="M2967" s="188">
        <v>2975000</v>
      </c>
      <c r="N2967" s="189">
        <v>800153993</v>
      </c>
      <c r="O2967" t="s">
        <v>3692</v>
      </c>
      <c r="P2967" s="187">
        <v>45257.727210648103</v>
      </c>
      <c r="Q2967" s="186">
        <v>14612</v>
      </c>
      <c r="R2967" s="185" t="s">
        <v>1814</v>
      </c>
      <c r="S2967" s="185" t="s">
        <v>1556</v>
      </c>
      <c r="T2967"/>
      <c r="U2967" t="str">
        <f>IF($L2967&gt;0,VLOOKUP($E2967,Valida!$A$1:$G$270,6,FALSE),IF($M2967&gt;=0,VLOOKUP($E2967,Valida!$A$1:$G$270,7,FALSE)))</f>
        <v>(+/-) Ajustes por el incremento (disminución) de cuentas por pagar de origen comercial</v>
      </c>
      <c r="V2967" s="190" t="str">
        <f>VLOOKUP(E2967,Valida!$A$2:$K$271,4,FALSE)</f>
        <v>Trade and other payables</v>
      </c>
      <c r="W2967" s="185" t="s">
        <v>1815</v>
      </c>
      <c r="X2967" s="185"/>
      <c r="Y2967" s="185" t="s">
        <v>1789</v>
      </c>
      <c r="Z2967"/>
    </row>
    <row r="2968" spans="1:26">
      <c r="A2968" s="185" t="s">
        <v>3690</v>
      </c>
      <c r="B2968" s="185" t="s">
        <v>3693</v>
      </c>
      <c r="C2968" s="185" t="s">
        <v>1792</v>
      </c>
      <c r="D2968" s="185" t="s">
        <v>2579</v>
      </c>
      <c r="E2968" s="185">
        <v>51353001</v>
      </c>
      <c r="F2968" s="185" t="s">
        <v>516</v>
      </c>
      <c r="G2968" s="185" t="s">
        <v>1833</v>
      </c>
      <c r="H2968" s="185" t="s">
        <v>1515</v>
      </c>
      <c r="I2968" s="258" t="str">
        <f t="shared" si="139"/>
        <v>5</v>
      </c>
      <c r="J2968" s="221">
        <f t="shared" si="140"/>
        <v>6995110</v>
      </c>
      <c r="K2968" s="258">
        <f t="shared" si="141"/>
        <v>11</v>
      </c>
      <c r="L2968" s="188">
        <v>6995110</v>
      </c>
      <c r="M2968" s="188">
        <v>0</v>
      </c>
      <c r="N2968" s="189">
        <v>860063875</v>
      </c>
      <c r="O2968" t="s">
        <v>3694</v>
      </c>
      <c r="P2968" s="187">
        <v>45257.734525462998</v>
      </c>
      <c r="Q2968" s="186">
        <v>14613</v>
      </c>
      <c r="R2968" s="185" t="s">
        <v>1827</v>
      </c>
      <c r="S2968" s="185" t="s">
        <v>1572</v>
      </c>
      <c r="T2968"/>
      <c r="U2968" t="str">
        <f>IF($L2968&gt;0,VLOOKUP($E2968,Valida!$A$1:$G$270,6,FALSE),IF($M2968&gt;=0,VLOOKUP($E2968,Valida!$A$1:$G$270,7,FALSE)))</f>
        <v>(+/-) Ganancia (pérdida)</v>
      </c>
      <c r="V2968" s="190" t="str">
        <f>VLOOKUP(E2968,Valida!$A$2:$K$271,4,FALSE)</f>
        <v>P&amp;L</v>
      </c>
      <c r="W2968" s="185" t="s">
        <v>1835</v>
      </c>
      <c r="X2968" s="185"/>
      <c r="Y2968" s="185" t="s">
        <v>1789</v>
      </c>
      <c r="Z2968"/>
    </row>
    <row r="2969" spans="1:26">
      <c r="A2969" s="185" t="s">
        <v>3690</v>
      </c>
      <c r="B2969" s="185" t="s">
        <v>3693</v>
      </c>
      <c r="C2969" s="185" t="s">
        <v>1792</v>
      </c>
      <c r="D2969" s="185" t="s">
        <v>2579</v>
      </c>
      <c r="E2969" s="185">
        <v>51350502</v>
      </c>
      <c r="F2969" s="185" t="s">
        <v>1738</v>
      </c>
      <c r="G2969" s="185" t="s">
        <v>1833</v>
      </c>
      <c r="H2969" s="185" t="s">
        <v>1515</v>
      </c>
      <c r="I2969" s="258" t="str">
        <f t="shared" si="139"/>
        <v>5</v>
      </c>
      <c r="J2969" s="221">
        <f t="shared" si="140"/>
        <v>43730</v>
      </c>
      <c r="K2969" s="258">
        <f t="shared" si="141"/>
        <v>11</v>
      </c>
      <c r="L2969" s="188">
        <v>43730</v>
      </c>
      <c r="M2969" s="188">
        <v>0</v>
      </c>
      <c r="N2969" s="189">
        <v>901145808</v>
      </c>
      <c r="O2969" t="s">
        <v>3694</v>
      </c>
      <c r="P2969" s="187">
        <v>45257.734525462998</v>
      </c>
      <c r="Q2969" s="186">
        <v>14614</v>
      </c>
      <c r="R2969" s="185" t="s">
        <v>1067</v>
      </c>
      <c r="S2969" s="185" t="s">
        <v>1740</v>
      </c>
      <c r="T2969"/>
      <c r="U2969" t="str">
        <f>IF($L2969&gt;0,VLOOKUP($E2969,Valida!$A$1:$G$270,6,FALSE),IF($M2969&gt;=0,VLOOKUP($E2969,Valida!$A$1:$G$270,7,FALSE)))</f>
        <v>(+/-) Ganancia (pérdida)</v>
      </c>
      <c r="V2969" s="190" t="str">
        <f>VLOOKUP(E2969,Valida!$A$2:$K$271,4,FALSE)</f>
        <v>P&amp;L</v>
      </c>
      <c r="W2969" s="185" t="s">
        <v>1836</v>
      </c>
      <c r="X2969" s="185" t="s">
        <v>1837</v>
      </c>
      <c r="Y2969" s="185" t="s">
        <v>1789</v>
      </c>
      <c r="Z2969"/>
    </row>
    <row r="2970" spans="1:26">
      <c r="A2970" s="185" t="s">
        <v>3690</v>
      </c>
      <c r="B2970" s="185" t="s">
        <v>3693</v>
      </c>
      <c r="C2970" s="185" t="s">
        <v>1792</v>
      </c>
      <c r="D2970" s="185" t="s">
        <v>2579</v>
      </c>
      <c r="E2970" s="185">
        <v>23355005</v>
      </c>
      <c r="F2970" s="185" t="s">
        <v>516</v>
      </c>
      <c r="G2970" s="185" t="s">
        <v>1833</v>
      </c>
      <c r="H2970" s="185" t="s">
        <v>1628</v>
      </c>
      <c r="I2970" s="258" t="str">
        <f t="shared" si="139"/>
        <v>2</v>
      </c>
      <c r="J2970" s="221">
        <f t="shared" si="140"/>
        <v>-7038840</v>
      </c>
      <c r="K2970" s="258">
        <f t="shared" si="141"/>
        <v>11</v>
      </c>
      <c r="L2970" s="188">
        <v>0</v>
      </c>
      <c r="M2970" s="188">
        <v>7038840</v>
      </c>
      <c r="N2970" s="189">
        <v>860063875</v>
      </c>
      <c r="O2970" t="s">
        <v>3694</v>
      </c>
      <c r="P2970" s="187">
        <v>45257.734525462998</v>
      </c>
      <c r="Q2970" s="186">
        <v>14615</v>
      </c>
      <c r="R2970" s="185" t="s">
        <v>1827</v>
      </c>
      <c r="S2970" s="185" t="s">
        <v>1572</v>
      </c>
      <c r="T2970"/>
      <c r="U2970" t="str">
        <f>IF($L2970&gt;0,VLOOKUP($E2970,Valida!$A$1:$G$270,6,FALSE),IF($M2970&gt;=0,VLOOKUP($E2970,Valida!$A$1:$G$270,7,FALSE)))</f>
        <v>(+/-) Ajustes por el incremento (disminución) de cuentas por pagar de origen comercial</v>
      </c>
      <c r="V2970" s="190" t="str">
        <f>VLOOKUP(E2970,Valida!$A$2:$K$271,4,FALSE)</f>
        <v>Trade and other payables</v>
      </c>
      <c r="W2970" s="185" t="s">
        <v>1835</v>
      </c>
      <c r="X2970" s="185"/>
      <c r="Y2970" s="185" t="s">
        <v>1789</v>
      </c>
      <c r="Z2970"/>
    </row>
    <row r="2971" spans="1:26">
      <c r="A2971" s="185" t="s">
        <v>3690</v>
      </c>
      <c r="B2971" s="185" t="s">
        <v>3693</v>
      </c>
      <c r="C2971" s="185" t="s">
        <v>1792</v>
      </c>
      <c r="D2971" s="185" t="s">
        <v>2579</v>
      </c>
      <c r="E2971" s="185">
        <v>53059510</v>
      </c>
      <c r="F2971" s="185" t="s">
        <v>1065</v>
      </c>
      <c r="G2971" s="185" t="s">
        <v>1833</v>
      </c>
      <c r="H2971" s="185" t="s">
        <v>1628</v>
      </c>
      <c r="I2971" s="258" t="str">
        <f t="shared" si="139"/>
        <v>5</v>
      </c>
      <c r="J2971" s="221">
        <f t="shared" si="140"/>
        <v>0</v>
      </c>
      <c r="K2971" s="258">
        <f t="shared" si="141"/>
        <v>11</v>
      </c>
      <c r="L2971" s="188">
        <v>0</v>
      </c>
      <c r="M2971" s="188">
        <v>0</v>
      </c>
      <c r="N2971" s="189">
        <v>860063875</v>
      </c>
      <c r="O2971" t="s">
        <v>3694</v>
      </c>
      <c r="P2971" s="187">
        <v>45257.734525462998</v>
      </c>
      <c r="Q2971" s="186">
        <v>14616</v>
      </c>
      <c r="R2971" s="185" t="s">
        <v>1827</v>
      </c>
      <c r="S2971" s="185" t="s">
        <v>1572</v>
      </c>
      <c r="T2971"/>
      <c r="U2971" t="str">
        <f>IF($L2971&gt;0,VLOOKUP($E2971,Valida!$A$1:$G$270,6,FALSE),IF($M2971&gt;=0,VLOOKUP($E2971,Valida!$A$1:$G$270,7,FALSE)))</f>
        <v>(+/-) Ganancia (pérdida)</v>
      </c>
      <c r="V2971" s="190" t="str">
        <f>VLOOKUP(E2971,Valida!$A$2:$K$271,4,FALSE)</f>
        <v>P&amp;L</v>
      </c>
      <c r="W2971" s="185" t="s">
        <v>1835</v>
      </c>
      <c r="X2971" s="185"/>
      <c r="Y2971" s="185" t="s">
        <v>1789</v>
      </c>
      <c r="Z2971"/>
    </row>
    <row r="2972" spans="1:26">
      <c r="A2972" s="185" t="s">
        <v>3695</v>
      </c>
      <c r="B2972" s="185" t="s">
        <v>3696</v>
      </c>
      <c r="C2972" s="185" t="s">
        <v>1792</v>
      </c>
      <c r="D2972" s="185" t="s">
        <v>2630</v>
      </c>
      <c r="E2972" s="185">
        <v>51350501</v>
      </c>
      <c r="F2972" s="185" t="s">
        <v>1256</v>
      </c>
      <c r="G2972" s="185" t="s">
        <v>1794</v>
      </c>
      <c r="H2972" s="185" t="s">
        <v>1515</v>
      </c>
      <c r="I2972" s="258" t="str">
        <f t="shared" si="139"/>
        <v>5</v>
      </c>
      <c r="J2972" s="221">
        <f t="shared" si="140"/>
        <v>2432649</v>
      </c>
      <c r="K2972" s="258">
        <f t="shared" si="141"/>
        <v>11</v>
      </c>
      <c r="L2972" s="188">
        <v>2432649</v>
      </c>
      <c r="M2972" s="188">
        <v>0</v>
      </c>
      <c r="N2972" s="189">
        <v>900994552</v>
      </c>
      <c r="O2972" t="s">
        <v>3697</v>
      </c>
      <c r="P2972" s="187">
        <v>45257.737627314797</v>
      </c>
      <c r="Q2972" s="186">
        <v>14617</v>
      </c>
      <c r="R2972" s="185" t="s">
        <v>844</v>
      </c>
      <c r="S2972" s="185" t="s">
        <v>1606</v>
      </c>
      <c r="T2972"/>
      <c r="U2972" t="str">
        <f>IF($L2972&gt;0,VLOOKUP($E2972,Valida!$A$1:$G$270,6,FALSE),IF($M2972&gt;=0,VLOOKUP($E2972,Valida!$A$1:$G$270,7,FALSE)))</f>
        <v>(+/-) Ganancia (pérdida)</v>
      </c>
      <c r="V2972" s="190" t="str">
        <f>VLOOKUP(E2972,Valida!$A$2:$K$271,4,FALSE)</f>
        <v>P&amp;L</v>
      </c>
      <c r="W2972" s="185" t="s">
        <v>1796</v>
      </c>
      <c r="X2972" s="185" t="s">
        <v>1797</v>
      </c>
      <c r="Y2972" s="185" t="s">
        <v>1789</v>
      </c>
      <c r="Z2972"/>
    </row>
    <row r="2973" spans="1:26">
      <c r="A2973" s="185" t="s">
        <v>3695</v>
      </c>
      <c r="B2973" s="185" t="s">
        <v>3696</v>
      </c>
      <c r="C2973" s="185" t="s">
        <v>1792</v>
      </c>
      <c r="D2973" s="185" t="s">
        <v>2630</v>
      </c>
      <c r="E2973" s="185">
        <v>51350501</v>
      </c>
      <c r="F2973" s="185" t="s">
        <v>1256</v>
      </c>
      <c r="G2973" s="185" t="s">
        <v>1794</v>
      </c>
      <c r="H2973" s="185" t="s">
        <v>1515</v>
      </c>
      <c r="I2973" s="258" t="str">
        <f t="shared" si="139"/>
        <v>5</v>
      </c>
      <c r="J2973" s="221">
        <f t="shared" si="140"/>
        <v>243265</v>
      </c>
      <c r="K2973" s="258">
        <f t="shared" si="141"/>
        <v>11</v>
      </c>
      <c r="L2973" s="188">
        <v>243265</v>
      </c>
      <c r="M2973" s="188">
        <v>0</v>
      </c>
      <c r="N2973" s="189">
        <v>900994552</v>
      </c>
      <c r="O2973" t="s">
        <v>3697</v>
      </c>
      <c r="P2973" s="187">
        <v>45257.737627314797</v>
      </c>
      <c r="Q2973" s="186">
        <v>14618</v>
      </c>
      <c r="R2973" s="185" t="s">
        <v>844</v>
      </c>
      <c r="S2973" s="185" t="s">
        <v>1606</v>
      </c>
      <c r="T2973"/>
      <c r="U2973" t="str">
        <f>IF($L2973&gt;0,VLOOKUP($E2973,Valida!$A$1:$G$270,6,FALSE),IF($M2973&gt;=0,VLOOKUP($E2973,Valida!$A$1:$G$270,7,FALSE)))</f>
        <v>(+/-) Ganancia (pérdida)</v>
      </c>
      <c r="V2973" s="190" t="str">
        <f>VLOOKUP(E2973,Valida!$A$2:$K$271,4,FALSE)</f>
        <v>P&amp;L</v>
      </c>
      <c r="W2973" s="185" t="s">
        <v>1796</v>
      </c>
      <c r="X2973" s="185" t="s">
        <v>1797</v>
      </c>
      <c r="Y2973" s="185" t="s">
        <v>1789</v>
      </c>
      <c r="Z2973"/>
    </row>
    <row r="2974" spans="1:26">
      <c r="A2974" s="185" t="s">
        <v>3695</v>
      </c>
      <c r="B2974" s="185" t="s">
        <v>3696</v>
      </c>
      <c r="C2974" s="185" t="s">
        <v>1792</v>
      </c>
      <c r="D2974" s="185" t="s">
        <v>2630</v>
      </c>
      <c r="E2974" s="185">
        <v>24081002</v>
      </c>
      <c r="F2974" s="185" t="s">
        <v>1687</v>
      </c>
      <c r="G2974" s="185" t="s">
        <v>1794</v>
      </c>
      <c r="H2974" s="185" t="s">
        <v>1515</v>
      </c>
      <c r="I2974" s="258" t="str">
        <f t="shared" si="139"/>
        <v>2</v>
      </c>
      <c r="J2974" s="221">
        <f t="shared" si="140"/>
        <v>46221</v>
      </c>
      <c r="K2974" s="258">
        <f t="shared" si="141"/>
        <v>11</v>
      </c>
      <c r="L2974" s="188">
        <v>46221</v>
      </c>
      <c r="M2974" s="188">
        <v>0</v>
      </c>
      <c r="N2974" s="189">
        <v>900994552</v>
      </c>
      <c r="O2974" t="s">
        <v>3697</v>
      </c>
      <c r="P2974" s="187">
        <v>45257.737627314797</v>
      </c>
      <c r="Q2974" s="186">
        <v>14619</v>
      </c>
      <c r="R2974" s="185" t="s">
        <v>844</v>
      </c>
      <c r="S2974" s="185" t="s">
        <v>1606</v>
      </c>
      <c r="T2974"/>
      <c r="U2974" t="str">
        <f>IF($L2974&gt;0,VLOOKUP($E2974,Valida!$A$1:$G$270,6,FALSE),IF($M2974&gt;=0,VLOOKUP($E2974,Valida!$A$1:$G$270,7,FALSE)))</f>
        <v>(+/-) Ajustes por el incremento (disminución) de cuentas por pagar de origen comercial</v>
      </c>
      <c r="V2974" s="190" t="str">
        <f>VLOOKUP(E2974,Valida!$A$2:$K$271,4,FALSE)</f>
        <v>Trade and other payables</v>
      </c>
      <c r="W2974" s="185" t="s">
        <v>1796</v>
      </c>
      <c r="X2974" s="185" t="s">
        <v>1797</v>
      </c>
      <c r="Y2974" s="185" t="s">
        <v>1789</v>
      </c>
      <c r="Z2974"/>
    </row>
    <row r="2975" spans="1:26">
      <c r="A2975" s="185" t="s">
        <v>3695</v>
      </c>
      <c r="B2975" s="185" t="s">
        <v>3696</v>
      </c>
      <c r="C2975" s="185" t="s">
        <v>1792</v>
      </c>
      <c r="D2975" s="185" t="s">
        <v>2630</v>
      </c>
      <c r="E2975" s="185">
        <v>23355004</v>
      </c>
      <c r="F2975" s="185" t="s">
        <v>513</v>
      </c>
      <c r="G2975" s="185" t="s">
        <v>1794</v>
      </c>
      <c r="H2975" s="185" t="s">
        <v>1628</v>
      </c>
      <c r="I2975" s="258" t="str">
        <f t="shared" si="139"/>
        <v>2</v>
      </c>
      <c r="J2975" s="221">
        <f t="shared" si="140"/>
        <v>-2722135</v>
      </c>
      <c r="K2975" s="258">
        <f t="shared" si="141"/>
        <v>11</v>
      </c>
      <c r="L2975" s="188">
        <v>0</v>
      </c>
      <c r="M2975" s="188">
        <v>2722135</v>
      </c>
      <c r="N2975" s="189">
        <v>900994552</v>
      </c>
      <c r="O2975" t="s">
        <v>3697</v>
      </c>
      <c r="P2975" s="187">
        <v>45257.737627314797</v>
      </c>
      <c r="Q2975" s="186">
        <v>14620</v>
      </c>
      <c r="R2975" s="185" t="s">
        <v>844</v>
      </c>
      <c r="S2975" s="185" t="s">
        <v>1606</v>
      </c>
      <c r="T2975"/>
      <c r="U2975" t="str">
        <f>IF($L2975&gt;0,VLOOKUP($E2975,Valida!$A$1:$G$270,6,FALSE),IF($M2975&gt;=0,VLOOKUP($E2975,Valida!$A$1:$G$270,7,FALSE)))</f>
        <v>(+/-) Ajustes por el incremento (disminución) de cuentas por pagar de origen comercial</v>
      </c>
      <c r="V2975" s="190" t="str">
        <f>VLOOKUP(E2975,Valida!$A$2:$K$271,4,FALSE)</f>
        <v>Trade and other payables</v>
      </c>
      <c r="W2975" s="185" t="s">
        <v>1796</v>
      </c>
      <c r="X2975" s="185" t="s">
        <v>1797</v>
      </c>
      <c r="Y2975" s="185" t="s">
        <v>1789</v>
      </c>
      <c r="Z2975"/>
    </row>
    <row r="2976" spans="1:26">
      <c r="A2976" s="185" t="s">
        <v>3698</v>
      </c>
      <c r="B2976" s="185" t="s">
        <v>3699</v>
      </c>
      <c r="C2976" s="185" t="s">
        <v>1792</v>
      </c>
      <c r="D2976" s="185" t="s">
        <v>2682</v>
      </c>
      <c r="E2976" s="185">
        <v>51352002</v>
      </c>
      <c r="F2976" s="185" t="s">
        <v>1270</v>
      </c>
      <c r="G2976" s="185" t="s">
        <v>1825</v>
      </c>
      <c r="H2976" s="185" t="s">
        <v>1515</v>
      </c>
      <c r="I2976" s="258" t="str">
        <f t="shared" si="139"/>
        <v>5</v>
      </c>
      <c r="J2976" s="221">
        <f t="shared" si="140"/>
        <v>1350946</v>
      </c>
      <c r="K2976" s="258">
        <f t="shared" si="141"/>
        <v>11</v>
      </c>
      <c r="L2976" s="188">
        <v>1350946</v>
      </c>
      <c r="M2976" s="188">
        <v>0</v>
      </c>
      <c r="N2976" s="189">
        <v>900092385</v>
      </c>
      <c r="O2976"/>
      <c r="P2976" s="187">
        <v>45258.455671296302</v>
      </c>
      <c r="Q2976" s="186">
        <v>14621</v>
      </c>
      <c r="R2976" s="185" t="s">
        <v>1841</v>
      </c>
      <c r="S2976" s="185" t="s">
        <v>1590</v>
      </c>
      <c r="T2976"/>
      <c r="U2976" t="str">
        <f>IF($L2976&gt;0,VLOOKUP($E2976,Valida!$A$1:$G$270,6,FALSE),IF($M2976&gt;=0,VLOOKUP($E2976,Valida!$A$1:$G$270,7,FALSE)))</f>
        <v>(+/-) Ganancia (pérdida)</v>
      </c>
      <c r="V2976" s="190" t="str">
        <f>VLOOKUP(E2976,Valida!$A$2:$K$271,4,FALSE)</f>
        <v>P&amp;L</v>
      </c>
      <c r="W2976" s="185" t="s">
        <v>1842</v>
      </c>
      <c r="X2976" s="185" t="s">
        <v>1843</v>
      </c>
      <c r="Y2976" s="185" t="s">
        <v>1844</v>
      </c>
      <c r="Z2976"/>
    </row>
    <row r="2977" spans="1:26">
      <c r="A2977" s="185" t="s">
        <v>3698</v>
      </c>
      <c r="B2977" s="185" t="s">
        <v>3699</v>
      </c>
      <c r="C2977" s="185" t="s">
        <v>1792</v>
      </c>
      <c r="D2977" s="185" t="s">
        <v>2682</v>
      </c>
      <c r="E2977" s="185">
        <v>53052001</v>
      </c>
      <c r="F2977" s="185" t="s">
        <v>1749</v>
      </c>
      <c r="G2977" s="185" t="s">
        <v>1825</v>
      </c>
      <c r="H2977" s="185" t="s">
        <v>1515</v>
      </c>
      <c r="I2977" s="258" t="str">
        <f t="shared" si="139"/>
        <v>5</v>
      </c>
      <c r="J2977" s="221">
        <f t="shared" si="140"/>
        <v>84546</v>
      </c>
      <c r="K2977" s="258">
        <f t="shared" si="141"/>
        <v>11</v>
      </c>
      <c r="L2977" s="188">
        <v>84546</v>
      </c>
      <c r="M2977" s="188">
        <v>0</v>
      </c>
      <c r="N2977" s="189">
        <v>900092385</v>
      </c>
      <c r="O2977"/>
      <c r="P2977" s="187">
        <v>45258.455671296302</v>
      </c>
      <c r="Q2977" s="186">
        <v>14622</v>
      </c>
      <c r="R2977" s="185" t="s">
        <v>1841</v>
      </c>
      <c r="S2977" s="185" t="s">
        <v>1590</v>
      </c>
      <c r="T2977"/>
      <c r="U2977" t="str">
        <f>IF($L2977&gt;0,VLOOKUP($E2977,Valida!$A$1:$G$270,6,FALSE),IF($M2977&gt;=0,VLOOKUP($E2977,Valida!$A$1:$G$270,7,FALSE)))</f>
        <v>(+/-) Ganancia (pérdida)</v>
      </c>
      <c r="V2977" s="190" t="str">
        <f>VLOOKUP(E2977,Valida!$A$2:$K$271,4,FALSE)</f>
        <v>P&amp;L</v>
      </c>
      <c r="W2977" s="185" t="s">
        <v>1842</v>
      </c>
      <c r="X2977" s="185" t="s">
        <v>1843</v>
      </c>
      <c r="Y2977" s="185" t="s">
        <v>1844</v>
      </c>
      <c r="Z2977"/>
    </row>
    <row r="2978" spans="1:26">
      <c r="A2978" s="185" t="s">
        <v>3698</v>
      </c>
      <c r="B2978" s="185" t="s">
        <v>3699</v>
      </c>
      <c r="C2978" s="185" t="s">
        <v>1792</v>
      </c>
      <c r="D2978" s="185" t="s">
        <v>2682</v>
      </c>
      <c r="E2978" s="185">
        <v>23355006</v>
      </c>
      <c r="F2978" s="185" t="s">
        <v>519</v>
      </c>
      <c r="G2978" s="185" t="s">
        <v>1825</v>
      </c>
      <c r="H2978" s="185" t="s">
        <v>1628</v>
      </c>
      <c r="I2978" s="258" t="str">
        <f t="shared" si="139"/>
        <v>2</v>
      </c>
      <c r="J2978" s="221">
        <f t="shared" si="140"/>
        <v>-1435492</v>
      </c>
      <c r="K2978" s="258">
        <f t="shared" si="141"/>
        <v>11</v>
      </c>
      <c r="L2978" s="188">
        <v>0</v>
      </c>
      <c r="M2978" s="188">
        <v>1435492</v>
      </c>
      <c r="N2978" s="189">
        <v>900092385</v>
      </c>
      <c r="O2978"/>
      <c r="P2978" s="187">
        <v>45258.455671296302</v>
      </c>
      <c r="Q2978" s="186">
        <v>14623</v>
      </c>
      <c r="R2978" s="185" t="s">
        <v>1841</v>
      </c>
      <c r="S2978" s="185" t="s">
        <v>1590</v>
      </c>
      <c r="T2978"/>
      <c r="U2978" t="str">
        <f>IF($L2978&gt;0,VLOOKUP($E2978,Valida!$A$1:$G$270,6,FALSE),IF($M2978&gt;=0,VLOOKUP($E2978,Valida!$A$1:$G$270,7,FALSE)))</f>
        <v>(+/-) Ajustes por el incremento (disminución) de cuentas por pagar de origen comercial</v>
      </c>
      <c r="V2978" s="190" t="str">
        <f>VLOOKUP(E2978,Valida!$A$2:$K$271,4,FALSE)</f>
        <v>Trade and other payables</v>
      </c>
      <c r="W2978" s="185" t="s">
        <v>1842</v>
      </c>
      <c r="X2978" s="185" t="s">
        <v>1843</v>
      </c>
      <c r="Y2978" s="185" t="s">
        <v>1844</v>
      </c>
      <c r="Z2978"/>
    </row>
    <row r="2979" spans="1:26">
      <c r="A2979" s="185" t="s">
        <v>3700</v>
      </c>
      <c r="B2979" s="185" t="s">
        <v>3701</v>
      </c>
      <c r="C2979" s="185" t="s">
        <v>1792</v>
      </c>
      <c r="D2979" s="185" t="s">
        <v>2684</v>
      </c>
      <c r="E2979" s="185">
        <v>51952501</v>
      </c>
      <c r="F2979" s="185" t="s">
        <v>1412</v>
      </c>
      <c r="G2979" s="185" t="s">
        <v>1412</v>
      </c>
      <c r="H2979" s="185" t="s">
        <v>1515</v>
      </c>
      <c r="I2979" s="258" t="str">
        <f t="shared" si="139"/>
        <v>5</v>
      </c>
      <c r="J2979" s="221">
        <f t="shared" si="140"/>
        <v>1652996</v>
      </c>
      <c r="K2979" s="258">
        <f t="shared" si="141"/>
        <v>11</v>
      </c>
      <c r="L2979" s="188">
        <v>1652996</v>
      </c>
      <c r="M2979" s="188">
        <v>0</v>
      </c>
      <c r="N2979" s="189">
        <v>830062853</v>
      </c>
      <c r="O2979" t="s">
        <v>3702</v>
      </c>
      <c r="P2979" s="187">
        <v>45258.486585648097</v>
      </c>
      <c r="Q2979" s="186">
        <v>14624</v>
      </c>
      <c r="R2979" s="185" t="s">
        <v>433</v>
      </c>
      <c r="S2979" s="185" t="s">
        <v>1564</v>
      </c>
      <c r="T2979"/>
      <c r="U2979" t="str">
        <f>IF($L2979&gt;0,VLOOKUP($E2979,Valida!$A$1:$G$270,6,FALSE),IF($M2979&gt;=0,VLOOKUP($E2979,Valida!$A$1:$G$270,7,FALSE)))</f>
        <v>(+/-) Ganancia (pérdida)</v>
      </c>
      <c r="V2979" s="190" t="str">
        <f>VLOOKUP(E2979,Valida!$A$2:$K$271,4,FALSE)</f>
        <v>P&amp;L</v>
      </c>
      <c r="W2979" s="185" t="s">
        <v>2024</v>
      </c>
      <c r="X2979" s="185" t="s">
        <v>2025</v>
      </c>
      <c r="Y2979" s="185" t="s">
        <v>1789</v>
      </c>
      <c r="Z2979"/>
    </row>
    <row r="2980" spans="1:26">
      <c r="A2980" s="185" t="s">
        <v>3700</v>
      </c>
      <c r="B2980" s="185" t="s">
        <v>3701</v>
      </c>
      <c r="C2980" s="185" t="s">
        <v>1792</v>
      </c>
      <c r="D2980" s="185" t="s">
        <v>2684</v>
      </c>
      <c r="E2980" s="185">
        <v>24081002</v>
      </c>
      <c r="F2980" s="185" t="s">
        <v>1687</v>
      </c>
      <c r="G2980" s="185" t="s">
        <v>1412</v>
      </c>
      <c r="H2980" s="185" t="s">
        <v>1515</v>
      </c>
      <c r="I2980" s="258" t="str">
        <f t="shared" si="139"/>
        <v>2</v>
      </c>
      <c r="J2980" s="221">
        <f t="shared" si="140"/>
        <v>314069</v>
      </c>
      <c r="K2980" s="258">
        <f t="shared" si="141"/>
        <v>11</v>
      </c>
      <c r="L2980" s="188">
        <v>314069</v>
      </c>
      <c r="M2980" s="188">
        <v>0</v>
      </c>
      <c r="N2980" s="189">
        <v>830062853</v>
      </c>
      <c r="O2980" t="s">
        <v>3702</v>
      </c>
      <c r="P2980" s="187">
        <v>45258.486585648097</v>
      </c>
      <c r="Q2980" s="186">
        <v>14625</v>
      </c>
      <c r="R2980" s="185" t="s">
        <v>433</v>
      </c>
      <c r="S2980" s="185" t="s">
        <v>1564</v>
      </c>
      <c r="T2980"/>
      <c r="U2980" t="str">
        <f>IF($L2980&gt;0,VLOOKUP($E2980,Valida!$A$1:$G$270,6,FALSE),IF($M2980&gt;=0,VLOOKUP($E2980,Valida!$A$1:$G$270,7,FALSE)))</f>
        <v>(+/-) Ajustes por el incremento (disminución) de cuentas por pagar de origen comercial</v>
      </c>
      <c r="V2980" s="190" t="str">
        <f>VLOOKUP(E2980,Valida!$A$2:$K$271,4,FALSE)</f>
        <v>Trade and other payables</v>
      </c>
      <c r="W2980" s="185" t="s">
        <v>2024</v>
      </c>
      <c r="X2980" s="185" t="s">
        <v>2025</v>
      </c>
      <c r="Y2980" s="185" t="s">
        <v>1789</v>
      </c>
      <c r="Z2980"/>
    </row>
    <row r="2981" spans="1:26">
      <c r="A2981" s="185" t="s">
        <v>3700</v>
      </c>
      <c r="B2981" s="185" t="s">
        <v>3701</v>
      </c>
      <c r="C2981" s="185" t="s">
        <v>1792</v>
      </c>
      <c r="D2981" s="185" t="s">
        <v>2684</v>
      </c>
      <c r="E2981" s="185">
        <v>51952502</v>
      </c>
      <c r="F2981" s="185" t="s">
        <v>1414</v>
      </c>
      <c r="G2981" s="185" t="s">
        <v>1414</v>
      </c>
      <c r="H2981" s="185" t="s">
        <v>1515</v>
      </c>
      <c r="I2981" s="258" t="str">
        <f t="shared" si="139"/>
        <v>5</v>
      </c>
      <c r="J2981" s="221">
        <f t="shared" si="140"/>
        <v>2612995</v>
      </c>
      <c r="K2981" s="258">
        <f t="shared" si="141"/>
        <v>11</v>
      </c>
      <c r="L2981" s="188">
        <v>2612995</v>
      </c>
      <c r="M2981" s="188">
        <v>0</v>
      </c>
      <c r="N2981" s="189">
        <v>830062853</v>
      </c>
      <c r="O2981" t="s">
        <v>3702</v>
      </c>
      <c r="P2981" s="187">
        <v>45258.486585648097</v>
      </c>
      <c r="Q2981" s="186">
        <v>14626</v>
      </c>
      <c r="R2981" s="185" t="s">
        <v>433</v>
      </c>
      <c r="S2981" s="185" t="s">
        <v>1564</v>
      </c>
      <c r="T2981"/>
      <c r="U2981" t="str">
        <f>IF($L2981&gt;0,VLOOKUP($E2981,Valida!$A$1:$G$270,6,FALSE),IF($M2981&gt;=0,VLOOKUP($E2981,Valida!$A$1:$G$270,7,FALSE)))</f>
        <v>(+/-) Ganancia (pérdida)</v>
      </c>
      <c r="V2981" s="190" t="str">
        <f>VLOOKUP(E2981,Valida!$A$2:$K$271,4,FALSE)</f>
        <v>P&amp;L</v>
      </c>
      <c r="W2981" s="185" t="s">
        <v>2024</v>
      </c>
      <c r="X2981" s="185" t="s">
        <v>2025</v>
      </c>
      <c r="Y2981" s="185" t="s">
        <v>1789</v>
      </c>
      <c r="Z2981"/>
    </row>
    <row r="2982" spans="1:26">
      <c r="A2982" s="185" t="s">
        <v>3700</v>
      </c>
      <c r="B2982" s="185" t="s">
        <v>3701</v>
      </c>
      <c r="C2982" s="185" t="s">
        <v>1792</v>
      </c>
      <c r="D2982" s="185" t="s">
        <v>2684</v>
      </c>
      <c r="E2982" s="185">
        <v>24081005</v>
      </c>
      <c r="F2982" s="185" t="s">
        <v>1688</v>
      </c>
      <c r="G2982" s="185" t="s">
        <v>1414</v>
      </c>
      <c r="H2982" s="185" t="s">
        <v>1515</v>
      </c>
      <c r="I2982" s="258" t="str">
        <f t="shared" si="139"/>
        <v>2</v>
      </c>
      <c r="J2982" s="221">
        <f t="shared" si="140"/>
        <v>130650</v>
      </c>
      <c r="K2982" s="258">
        <f t="shared" si="141"/>
        <v>11</v>
      </c>
      <c r="L2982" s="188">
        <v>130650</v>
      </c>
      <c r="M2982" s="188">
        <v>0</v>
      </c>
      <c r="N2982" s="189">
        <v>830062853</v>
      </c>
      <c r="O2982" t="s">
        <v>3702</v>
      </c>
      <c r="P2982" s="187">
        <v>45258.486585648097</v>
      </c>
      <c r="Q2982" s="186">
        <v>14627</v>
      </c>
      <c r="R2982" s="185" t="s">
        <v>433</v>
      </c>
      <c r="S2982" s="185" t="s">
        <v>1564</v>
      </c>
      <c r="T2982"/>
      <c r="U2982" t="str">
        <f>IF($L2982&gt;0,VLOOKUP($E2982,Valida!$A$1:$G$270,6,FALSE),IF($M2982&gt;=0,VLOOKUP($E2982,Valida!$A$1:$G$270,7,FALSE)))</f>
        <v>(+/-) Ajustes por el incremento (disminución) de cuentas por pagar de origen comercial</v>
      </c>
      <c r="V2982" s="190" t="str">
        <f>VLOOKUP(E2982,Valida!$A$2:$K$271,4,FALSE)</f>
        <v>Trade and other payables</v>
      </c>
      <c r="W2982" s="185" t="s">
        <v>2024</v>
      </c>
      <c r="X2982" s="185" t="s">
        <v>2025</v>
      </c>
      <c r="Y2982" s="185" t="s">
        <v>1789</v>
      </c>
      <c r="Z2982"/>
    </row>
    <row r="2983" spans="1:26">
      <c r="A2983" s="185" t="s">
        <v>3700</v>
      </c>
      <c r="B2983" s="185" t="s">
        <v>3701</v>
      </c>
      <c r="C2983" s="185" t="s">
        <v>1792</v>
      </c>
      <c r="D2983" s="185" t="s">
        <v>2684</v>
      </c>
      <c r="E2983" s="185">
        <v>51952502</v>
      </c>
      <c r="F2983" s="185" t="s">
        <v>1414</v>
      </c>
      <c r="G2983" s="185" t="s">
        <v>1414</v>
      </c>
      <c r="H2983" s="185" t="s">
        <v>1515</v>
      </c>
      <c r="I2983" s="258" t="str">
        <f t="shared" si="139"/>
        <v>5</v>
      </c>
      <c r="J2983" s="221">
        <f t="shared" si="140"/>
        <v>324783</v>
      </c>
      <c r="K2983" s="258">
        <f t="shared" si="141"/>
        <v>11</v>
      </c>
      <c r="L2983" s="188">
        <v>324783</v>
      </c>
      <c r="M2983" s="188">
        <v>0</v>
      </c>
      <c r="N2983" s="189">
        <v>830062853</v>
      </c>
      <c r="O2983" t="s">
        <v>3702</v>
      </c>
      <c r="P2983" s="187">
        <v>45258.486585648097</v>
      </c>
      <c r="Q2983" s="186">
        <v>14628</v>
      </c>
      <c r="R2983" s="185" t="s">
        <v>433</v>
      </c>
      <c r="S2983" s="185" t="s">
        <v>1564</v>
      </c>
      <c r="T2983"/>
      <c r="U2983" t="str">
        <f>IF($L2983&gt;0,VLOOKUP($E2983,Valida!$A$1:$G$270,6,FALSE),IF($M2983&gt;=0,VLOOKUP($E2983,Valida!$A$1:$G$270,7,FALSE)))</f>
        <v>(+/-) Ganancia (pérdida)</v>
      </c>
      <c r="V2983" s="190" t="str">
        <f>VLOOKUP(E2983,Valida!$A$2:$K$271,4,FALSE)</f>
        <v>P&amp;L</v>
      </c>
      <c r="W2983" s="185" t="s">
        <v>2024</v>
      </c>
      <c r="X2983" s="185" t="s">
        <v>2025</v>
      </c>
      <c r="Y2983" s="185" t="s">
        <v>1789</v>
      </c>
      <c r="Z2983"/>
    </row>
    <row r="2984" spans="1:26">
      <c r="A2984" s="185" t="s">
        <v>3700</v>
      </c>
      <c r="B2984" s="185" t="s">
        <v>3701</v>
      </c>
      <c r="C2984" s="185" t="s">
        <v>1792</v>
      </c>
      <c r="D2984" s="185" t="s">
        <v>2684</v>
      </c>
      <c r="E2984" s="185">
        <v>24081002</v>
      </c>
      <c r="F2984" s="185" t="s">
        <v>1687</v>
      </c>
      <c r="G2984" s="185" t="s">
        <v>1414</v>
      </c>
      <c r="H2984" s="185" t="s">
        <v>1515</v>
      </c>
      <c r="I2984" s="258" t="str">
        <f t="shared" si="139"/>
        <v>2</v>
      </c>
      <c r="J2984" s="221">
        <f t="shared" si="140"/>
        <v>61709</v>
      </c>
      <c r="K2984" s="258">
        <f t="shared" si="141"/>
        <v>11</v>
      </c>
      <c r="L2984" s="188">
        <v>61709</v>
      </c>
      <c r="M2984" s="188">
        <v>0</v>
      </c>
      <c r="N2984" s="189">
        <v>830062853</v>
      </c>
      <c r="O2984" t="s">
        <v>3702</v>
      </c>
      <c r="P2984" s="187">
        <v>45258.486585648097</v>
      </c>
      <c r="Q2984" s="186">
        <v>14629</v>
      </c>
      <c r="R2984" s="185" t="s">
        <v>433</v>
      </c>
      <c r="S2984" s="185" t="s">
        <v>1564</v>
      </c>
      <c r="T2984"/>
      <c r="U2984" t="str">
        <f>IF($L2984&gt;0,VLOOKUP($E2984,Valida!$A$1:$G$270,6,FALSE),IF($M2984&gt;=0,VLOOKUP($E2984,Valida!$A$1:$G$270,7,FALSE)))</f>
        <v>(+/-) Ajustes por el incremento (disminución) de cuentas por pagar de origen comercial</v>
      </c>
      <c r="V2984" s="190" t="str">
        <f>VLOOKUP(E2984,Valida!$A$2:$K$271,4,FALSE)</f>
        <v>Trade and other payables</v>
      </c>
      <c r="W2984" s="185" t="s">
        <v>2024</v>
      </c>
      <c r="X2984" s="185" t="s">
        <v>2025</v>
      </c>
      <c r="Y2984" s="185" t="s">
        <v>1789</v>
      </c>
      <c r="Z2984"/>
    </row>
    <row r="2985" spans="1:26">
      <c r="A2985" s="185" t="s">
        <v>3700</v>
      </c>
      <c r="B2985" s="185" t="s">
        <v>3701</v>
      </c>
      <c r="C2985" s="185" t="s">
        <v>1792</v>
      </c>
      <c r="D2985" s="185" t="s">
        <v>2684</v>
      </c>
      <c r="E2985" s="185">
        <v>23654001</v>
      </c>
      <c r="F2985" s="185" t="s">
        <v>622</v>
      </c>
      <c r="G2985" s="185" t="s">
        <v>547</v>
      </c>
      <c r="H2985" s="185" t="s">
        <v>1628</v>
      </c>
      <c r="I2985" s="258" t="str">
        <f t="shared" si="139"/>
        <v>2</v>
      </c>
      <c r="J2985" s="221">
        <f t="shared" si="140"/>
        <v>-114769</v>
      </c>
      <c r="K2985" s="258">
        <f t="shared" si="141"/>
        <v>11</v>
      </c>
      <c r="L2985" s="188">
        <v>0</v>
      </c>
      <c r="M2985" s="188">
        <v>114769</v>
      </c>
      <c r="N2985" s="189">
        <v>830062853</v>
      </c>
      <c r="O2985" t="s">
        <v>3702</v>
      </c>
      <c r="P2985" s="187">
        <v>45258.486585648097</v>
      </c>
      <c r="Q2985" s="186">
        <v>14630</v>
      </c>
      <c r="R2985" s="185" t="s">
        <v>433</v>
      </c>
      <c r="S2985" s="185" t="s">
        <v>1564</v>
      </c>
      <c r="T2985"/>
      <c r="U2985" t="str">
        <f>IF($L2985&gt;0,VLOOKUP($E2985,Valida!$A$1:$G$270,6,FALSE),IF($M2985&gt;=0,VLOOKUP($E2985,Valida!$A$1:$G$270,7,FALSE)))</f>
        <v>(+/-) Ajustes por el incremento (disminución) de cuentas por pagar de origen comercial</v>
      </c>
      <c r="V2985" s="190" t="str">
        <f>VLOOKUP(E2985,Valida!$A$2:$K$271,4,FALSE)</f>
        <v>Trade and other payables</v>
      </c>
      <c r="W2985" s="185" t="s">
        <v>2024</v>
      </c>
      <c r="X2985" s="185" t="s">
        <v>2025</v>
      </c>
      <c r="Y2985" s="185" t="s">
        <v>1789</v>
      </c>
      <c r="Z2985"/>
    </row>
    <row r="2986" spans="1:26">
      <c r="A2986" s="185" t="s">
        <v>3700</v>
      </c>
      <c r="B2986" s="185" t="s">
        <v>3701</v>
      </c>
      <c r="C2986" s="185" t="s">
        <v>1792</v>
      </c>
      <c r="D2986" s="185" t="s">
        <v>2684</v>
      </c>
      <c r="E2986" s="185">
        <v>23680504</v>
      </c>
      <c r="F2986" s="185" t="s">
        <v>668</v>
      </c>
      <c r="G2986" s="185" t="s">
        <v>547</v>
      </c>
      <c r="H2986" s="185" t="s">
        <v>1628</v>
      </c>
      <c r="I2986" s="258" t="str">
        <f t="shared" si="139"/>
        <v>2</v>
      </c>
      <c r="J2986" s="221">
        <f t="shared" si="140"/>
        <v>-50682</v>
      </c>
      <c r="K2986" s="258">
        <f t="shared" si="141"/>
        <v>11</v>
      </c>
      <c r="L2986" s="188">
        <v>0</v>
      </c>
      <c r="M2986" s="188">
        <v>50682</v>
      </c>
      <c r="N2986" s="189">
        <v>830062853</v>
      </c>
      <c r="O2986" t="s">
        <v>3702</v>
      </c>
      <c r="P2986" s="187">
        <v>45258.486597222203</v>
      </c>
      <c r="Q2986" s="186">
        <v>14631</v>
      </c>
      <c r="R2986" s="185" t="s">
        <v>433</v>
      </c>
      <c r="S2986" s="185" t="s">
        <v>1564</v>
      </c>
      <c r="T2986"/>
      <c r="U2986" t="str">
        <f>IF($L2986&gt;0,VLOOKUP($E2986,Valida!$A$1:$G$270,6,FALSE),IF($M2986&gt;=0,VLOOKUP($E2986,Valida!$A$1:$G$270,7,FALSE)))</f>
        <v>(+/-) Ajustes por el incremento (disminución) de cuentas por pagar de origen comercial</v>
      </c>
      <c r="V2986" s="190" t="str">
        <f>VLOOKUP(E2986,Valida!$A$2:$K$271,4,FALSE)</f>
        <v>Trade and other payables</v>
      </c>
      <c r="W2986" s="185" t="s">
        <v>2024</v>
      </c>
      <c r="X2986" s="185" t="s">
        <v>2025</v>
      </c>
      <c r="Y2986" s="185" t="s">
        <v>1789</v>
      </c>
      <c r="Z2986"/>
    </row>
    <row r="2987" spans="1:26">
      <c r="A2987" s="185" t="s">
        <v>3700</v>
      </c>
      <c r="B2987" s="185" t="s">
        <v>3701</v>
      </c>
      <c r="C2987" s="185" t="s">
        <v>1792</v>
      </c>
      <c r="D2987" s="185" t="s">
        <v>2684</v>
      </c>
      <c r="E2987" s="185">
        <v>23359502</v>
      </c>
      <c r="F2987" s="185" t="s">
        <v>547</v>
      </c>
      <c r="G2987" s="185" t="s">
        <v>547</v>
      </c>
      <c r="H2987" s="185" t="s">
        <v>1628</v>
      </c>
      <c r="I2987" s="258" t="str">
        <f t="shared" si="139"/>
        <v>2</v>
      </c>
      <c r="J2987" s="221">
        <f t="shared" si="140"/>
        <v>-4931751</v>
      </c>
      <c r="K2987" s="258">
        <f t="shared" si="141"/>
        <v>11</v>
      </c>
      <c r="L2987" s="188">
        <v>0</v>
      </c>
      <c r="M2987" s="188">
        <v>4931751</v>
      </c>
      <c r="N2987" s="189">
        <v>830062853</v>
      </c>
      <c r="O2987" t="s">
        <v>3702</v>
      </c>
      <c r="P2987" s="187">
        <v>45258.486597222203</v>
      </c>
      <c r="Q2987" s="186">
        <v>14632</v>
      </c>
      <c r="R2987" s="185" t="s">
        <v>433</v>
      </c>
      <c r="S2987" s="185" t="s">
        <v>1564</v>
      </c>
      <c r="T2987"/>
      <c r="U2987" t="str">
        <f>IF($L2987&gt;0,VLOOKUP($E2987,Valida!$A$1:$G$270,6,FALSE),IF($M2987&gt;=0,VLOOKUP($E2987,Valida!$A$1:$G$270,7,FALSE)))</f>
        <v>(+/-) Ajustes por el incremento (disminución) de cuentas por pagar de origen comercial</v>
      </c>
      <c r="V2987" s="190" t="str">
        <f>VLOOKUP(E2987,Valida!$A$2:$K$271,4,FALSE)</f>
        <v>Trade and other payables</v>
      </c>
      <c r="W2987" s="185" t="s">
        <v>2024</v>
      </c>
      <c r="X2987" s="185" t="s">
        <v>2025</v>
      </c>
      <c r="Y2987" s="185" t="s">
        <v>1789</v>
      </c>
      <c r="Z2987"/>
    </row>
    <row r="2988" spans="1:26">
      <c r="A2988" s="185" t="s">
        <v>3703</v>
      </c>
      <c r="B2988" s="185" t="s">
        <v>3704</v>
      </c>
      <c r="C2988" s="185" t="s">
        <v>1949</v>
      </c>
      <c r="D2988" s="185" t="s">
        <v>2613</v>
      </c>
      <c r="E2988" s="185">
        <v>112005</v>
      </c>
      <c r="F2988" s="185" t="s">
        <v>24</v>
      </c>
      <c r="G2988" s="185" t="s">
        <v>3705</v>
      </c>
      <c r="H2988" s="185" t="s">
        <v>1515</v>
      </c>
      <c r="I2988" s="258" t="str">
        <f t="shared" si="139"/>
        <v>1</v>
      </c>
      <c r="J2988" s="221">
        <f t="shared" si="140"/>
        <v>7879000</v>
      </c>
      <c r="K2988" s="258">
        <f t="shared" si="141"/>
        <v>11</v>
      </c>
      <c r="L2988" s="188">
        <v>7879000</v>
      </c>
      <c r="M2988" s="188">
        <v>0</v>
      </c>
      <c r="N2988" s="189">
        <v>800197268</v>
      </c>
      <c r="O2988"/>
      <c r="P2988" s="187">
        <v>45258.497858796298</v>
      </c>
      <c r="Q2988" s="186">
        <v>14633</v>
      </c>
      <c r="R2988" s="185" t="s">
        <v>983</v>
      </c>
      <c r="S2988" s="185" t="s">
        <v>1558</v>
      </c>
      <c r="T2988" t="s">
        <v>1894</v>
      </c>
      <c r="U2988" t="str">
        <f>IF($L2988&gt;0,VLOOKUP($E2988,Valida!$A$1:$G$270,6,FALSE),IF($M2988&gt;=0,VLOOKUP($E2988,Valida!$A$1:$G$270,7,FALSE)))</f>
        <v>Disponible</v>
      </c>
      <c r="V2988" s="190" t="str">
        <f>VLOOKUP(E2988,Valida!$A$2:$K$271,4,FALSE)</f>
        <v>Cash and equivalents</v>
      </c>
      <c r="W2988" s="185" t="s">
        <v>1944</v>
      </c>
      <c r="X2988" s="185"/>
      <c r="Y2988" s="185" t="s">
        <v>1789</v>
      </c>
      <c r="Z2988"/>
    </row>
    <row r="2989" spans="1:26">
      <c r="A2989" s="185" t="s">
        <v>3653</v>
      </c>
      <c r="B2989" s="185" t="s">
        <v>3667</v>
      </c>
      <c r="C2989" s="185" t="s">
        <v>1792</v>
      </c>
      <c r="D2989" s="185" t="s">
        <v>2542</v>
      </c>
      <c r="E2989" s="185">
        <v>51401002</v>
      </c>
      <c r="F2989" s="185" t="s">
        <v>1303</v>
      </c>
      <c r="G2989" s="185" t="s">
        <v>3706</v>
      </c>
      <c r="H2989" s="185" t="s">
        <v>1515</v>
      </c>
      <c r="I2989" s="258" t="str">
        <f t="shared" si="139"/>
        <v>5</v>
      </c>
      <c r="J2989" s="221">
        <f t="shared" si="140"/>
        <v>7200</v>
      </c>
      <c r="K2989" s="258">
        <f t="shared" si="141"/>
        <v>11</v>
      </c>
      <c r="L2989" s="188">
        <v>7200</v>
      </c>
      <c r="M2989" s="188">
        <v>0</v>
      </c>
      <c r="N2989" s="189">
        <v>860007322</v>
      </c>
      <c r="O2989" t="s">
        <v>3669</v>
      </c>
      <c r="P2989" s="187">
        <v>45258</v>
      </c>
      <c r="Q2989" s="186">
        <v>14640</v>
      </c>
      <c r="R2989" s="185" t="s">
        <v>1841</v>
      </c>
      <c r="S2989" s="185" t="s">
        <v>1566</v>
      </c>
      <c r="T2989"/>
      <c r="U2989" t="str">
        <f>IF($L2989&gt;0,VLOOKUP($E2989,Valida!$A$1:$G$270,6,FALSE),IF($M2989&gt;=0,VLOOKUP($E2989,Valida!$A$1:$G$270,7,FALSE)))</f>
        <v>(+/-) Ganancia (pérdida)</v>
      </c>
      <c r="V2989" s="190" t="str">
        <f>VLOOKUP(E2989,Valida!$A$2:$K$271,4,FALSE)</f>
        <v>P&amp;L</v>
      </c>
      <c r="W2989" s="185" t="s">
        <v>2306</v>
      </c>
      <c r="X2989" s="185"/>
      <c r="Y2989" s="185" t="s">
        <v>1789</v>
      </c>
      <c r="Z2989"/>
    </row>
    <row r="2990" spans="1:26">
      <c r="A2990" s="185" t="s">
        <v>3703</v>
      </c>
      <c r="B2990" s="185" t="s">
        <v>3704</v>
      </c>
      <c r="C2990" s="185" t="s">
        <v>1949</v>
      </c>
      <c r="D2990" s="185" t="s">
        <v>2613</v>
      </c>
      <c r="E2990" s="185">
        <v>13552001</v>
      </c>
      <c r="F2990" s="185" t="s">
        <v>276</v>
      </c>
      <c r="G2990" s="185" t="s">
        <v>3705</v>
      </c>
      <c r="H2990" s="185" t="s">
        <v>1628</v>
      </c>
      <c r="I2990" s="258" t="str">
        <f t="shared" si="139"/>
        <v>1</v>
      </c>
      <c r="J2990" s="221">
        <f t="shared" si="140"/>
        <v>-7879000</v>
      </c>
      <c r="K2990" s="258">
        <f t="shared" si="141"/>
        <v>11</v>
      </c>
      <c r="L2990" s="188">
        <v>0</v>
      </c>
      <c r="M2990" s="188">
        <v>7879000</v>
      </c>
      <c r="N2990" s="189">
        <v>800197268</v>
      </c>
      <c r="O2990"/>
      <c r="P2990" s="187">
        <v>45258.497858796298</v>
      </c>
      <c r="Q2990" s="186">
        <v>14634</v>
      </c>
      <c r="R2990" s="185" t="s">
        <v>983</v>
      </c>
      <c r="S2990" s="185" t="s">
        <v>1558</v>
      </c>
      <c r="T2990"/>
      <c r="U2990" t="str">
        <f>IF($L2990&gt;0,VLOOKUP($E2990,Valida!$A$1:$G$270,6,FALSE),IF($M2990&gt;=0,VLOOKUP($E2990,Valida!$A$1:$G$270,7,FALSE)))</f>
        <v>(+/-) Ajustes por disminuciones (incrementos) en otras cuentas por cobrar derivadas de las actividades de operación</v>
      </c>
      <c r="V2990" s="190" t="str">
        <f>VLOOKUP(E2990,Valida!$A$2:$K$271,4,FALSE)</f>
        <v>Trade and other receivables</v>
      </c>
      <c r="W2990" s="185" t="s">
        <v>1944</v>
      </c>
      <c r="X2990" s="185"/>
      <c r="Y2990" s="185" t="s">
        <v>1789</v>
      </c>
      <c r="Z2990"/>
    </row>
    <row r="2991" spans="1:26">
      <c r="A2991" s="185" t="s">
        <v>3707</v>
      </c>
      <c r="B2991" s="185" t="s">
        <v>3708</v>
      </c>
      <c r="C2991" s="185" t="s">
        <v>1949</v>
      </c>
      <c r="D2991" s="185" t="s">
        <v>2619</v>
      </c>
      <c r="E2991" s="185">
        <v>112005</v>
      </c>
      <c r="F2991" s="185" t="s">
        <v>24</v>
      </c>
      <c r="G2991" s="185" t="s">
        <v>3709</v>
      </c>
      <c r="H2991" s="185" t="s">
        <v>1515</v>
      </c>
      <c r="I2991" s="258" t="str">
        <f t="shared" si="139"/>
        <v>1</v>
      </c>
      <c r="J2991" s="221">
        <f t="shared" si="140"/>
        <v>68042800</v>
      </c>
      <c r="K2991" s="258">
        <f t="shared" si="141"/>
        <v>11</v>
      </c>
      <c r="L2991" s="188">
        <v>68042800</v>
      </c>
      <c r="M2991" s="188">
        <v>0</v>
      </c>
      <c r="N2991" s="189">
        <v>374795</v>
      </c>
      <c r="O2991"/>
      <c r="P2991" s="187">
        <v>45258.499872685199</v>
      </c>
      <c r="Q2991" s="186">
        <v>14635</v>
      </c>
      <c r="R2991" s="185"/>
      <c r="S2991" s="185" t="s">
        <v>1544</v>
      </c>
      <c r="T2991" t="s">
        <v>1894</v>
      </c>
      <c r="U2991" t="str">
        <f>IF($L2991&gt;0,VLOOKUP($E2991,Valida!$A$1:$G$270,6,FALSE),IF($M2991&gt;=0,VLOOKUP($E2991,Valida!$A$1:$G$270,7,FALSE)))</f>
        <v>Disponible</v>
      </c>
      <c r="V2991" s="190" t="str">
        <f>VLOOKUP(E2991,Valida!$A$2:$K$271,4,FALSE)</f>
        <v>Cash and equivalents</v>
      </c>
      <c r="W2991" s="185" t="s">
        <v>1803</v>
      </c>
      <c r="X2991" s="185"/>
      <c r="Y2991" s="185"/>
      <c r="Z2991"/>
    </row>
    <row r="2992" spans="1:26">
      <c r="A2992" s="185" t="s">
        <v>3707</v>
      </c>
      <c r="B2992" s="185" t="s">
        <v>3708</v>
      </c>
      <c r="C2992" s="185" t="s">
        <v>1949</v>
      </c>
      <c r="D2992" s="185" t="s">
        <v>2619</v>
      </c>
      <c r="E2992" s="185">
        <v>130510</v>
      </c>
      <c r="F2992" s="185" t="s">
        <v>64</v>
      </c>
      <c r="G2992" s="185" t="s">
        <v>3709</v>
      </c>
      <c r="H2992" s="185" t="s">
        <v>1628</v>
      </c>
      <c r="I2992" s="258" t="str">
        <f t="shared" si="139"/>
        <v>1</v>
      </c>
      <c r="J2992" s="221">
        <f t="shared" si="140"/>
        <v>-70441140</v>
      </c>
      <c r="K2992" s="258">
        <f t="shared" si="141"/>
        <v>11</v>
      </c>
      <c r="L2992" s="188">
        <v>0</v>
      </c>
      <c r="M2992" s="188">
        <v>70441140</v>
      </c>
      <c r="N2992" s="189">
        <v>374795</v>
      </c>
      <c r="O2992"/>
      <c r="P2992" s="187">
        <v>45258.499872685199</v>
      </c>
      <c r="Q2992" s="186">
        <v>14636</v>
      </c>
      <c r="R2992" s="185"/>
      <c r="S2992" s="185" t="s">
        <v>1544</v>
      </c>
      <c r="T2992"/>
      <c r="U2992" t="str">
        <f>IF($L2992&gt;0,VLOOKUP($E2992,Valida!$A$1:$G$270,6,FALSE),IF($M2992&gt;=0,VLOOKUP($E2992,Valida!$A$1:$G$270,7,FALSE)))</f>
        <v>(+/-) Ajustes por la disminución (incremento) de cuentas por cobrar de origen comercial</v>
      </c>
      <c r="V2992" s="190" t="str">
        <f>VLOOKUP(E2992,Valida!$A$2:$K$271,4,FALSE)</f>
        <v>Trade and other receivables</v>
      </c>
      <c r="W2992" s="185" t="s">
        <v>1803</v>
      </c>
      <c r="X2992" s="185"/>
      <c r="Y2992" s="185"/>
      <c r="Z2992"/>
    </row>
    <row r="2993" spans="1:26">
      <c r="A2993" s="185" t="s">
        <v>3707</v>
      </c>
      <c r="B2993" s="185" t="s">
        <v>3708</v>
      </c>
      <c r="C2993" s="185" t="s">
        <v>1949</v>
      </c>
      <c r="D2993" s="185" t="s">
        <v>2619</v>
      </c>
      <c r="E2993" s="185">
        <v>53052501</v>
      </c>
      <c r="F2993" s="185" t="s">
        <v>1752</v>
      </c>
      <c r="G2993" s="185" t="s">
        <v>3709</v>
      </c>
      <c r="H2993" s="185" t="s">
        <v>1515</v>
      </c>
      <c r="I2993" s="258" t="str">
        <f t="shared" si="139"/>
        <v>5</v>
      </c>
      <c r="J2993" s="221">
        <f t="shared" si="140"/>
        <v>2398340</v>
      </c>
      <c r="K2993" s="258">
        <f t="shared" si="141"/>
        <v>11</v>
      </c>
      <c r="L2993" s="188">
        <v>2398340</v>
      </c>
      <c r="M2993" s="188">
        <v>0</v>
      </c>
      <c r="N2993" s="189">
        <v>374795</v>
      </c>
      <c r="O2993"/>
      <c r="P2993" s="187">
        <v>45258.499872685199</v>
      </c>
      <c r="Q2993" s="186">
        <v>14637</v>
      </c>
      <c r="R2993" s="185"/>
      <c r="S2993" s="185" t="s">
        <v>1544</v>
      </c>
      <c r="T2993"/>
      <c r="U2993" t="str">
        <f>IF($L2993&gt;0,VLOOKUP($E2993,Valida!$A$1:$G$270,6,FALSE),IF($M2993&gt;=0,VLOOKUP($E2993,Valida!$A$1:$G$270,7,FALSE)))</f>
        <v>(+/-) Ganancia (pérdida)</v>
      </c>
      <c r="V2993" s="190" t="str">
        <f>VLOOKUP(E2993,Valida!$A$2:$K$271,4,FALSE)</f>
        <v>P&amp;L</v>
      </c>
      <c r="W2993" s="185" t="s">
        <v>1803</v>
      </c>
      <c r="X2993" s="185"/>
      <c r="Y2993" s="185"/>
      <c r="Z2993"/>
    </row>
    <row r="2994" spans="1:26">
      <c r="A2994" s="185" t="s">
        <v>3695</v>
      </c>
      <c r="B2994" s="185" t="s">
        <v>3710</v>
      </c>
      <c r="C2994" s="185" t="s">
        <v>1949</v>
      </c>
      <c r="D2994" s="185" t="s">
        <v>2622</v>
      </c>
      <c r="E2994" s="185">
        <v>112005</v>
      </c>
      <c r="F2994" s="185" t="s">
        <v>24</v>
      </c>
      <c r="G2994" s="185" t="s">
        <v>3711</v>
      </c>
      <c r="H2994" s="185" t="s">
        <v>1515</v>
      </c>
      <c r="I2994" s="258" t="str">
        <f t="shared" si="139"/>
        <v>1</v>
      </c>
      <c r="J2994" s="221">
        <f t="shared" si="140"/>
        <v>4562666</v>
      </c>
      <c r="K2994" s="258">
        <f t="shared" si="141"/>
        <v>11</v>
      </c>
      <c r="L2994" s="188">
        <v>4562666</v>
      </c>
      <c r="M2994" s="188">
        <v>0</v>
      </c>
      <c r="N2994" s="189">
        <v>800251440</v>
      </c>
      <c r="O2994"/>
      <c r="P2994" s="187">
        <v>45258.501250000001</v>
      </c>
      <c r="Q2994" s="186">
        <v>14638</v>
      </c>
      <c r="R2994" s="185" t="s">
        <v>1901</v>
      </c>
      <c r="S2994" s="185" t="s">
        <v>1560</v>
      </c>
      <c r="T2994" t="s">
        <v>1894</v>
      </c>
      <c r="U2994" t="str">
        <f>IF($L2994&gt;0,VLOOKUP($E2994,Valida!$A$1:$G$270,6,FALSE),IF($M2994&gt;=0,VLOOKUP($E2994,Valida!$A$1:$G$270,7,FALSE)))</f>
        <v>Disponible</v>
      </c>
      <c r="V2994" s="190" t="str">
        <f>VLOOKUP(E2994,Valida!$A$2:$K$271,4,FALSE)</f>
        <v>Cash and equivalents</v>
      </c>
      <c r="W2994" s="185" t="s">
        <v>1902</v>
      </c>
      <c r="X2994" s="185" t="s">
        <v>1903</v>
      </c>
      <c r="Y2994" s="185" t="s">
        <v>1789</v>
      </c>
      <c r="Z2994"/>
    </row>
    <row r="2995" spans="1:26">
      <c r="A2995" s="185" t="s">
        <v>3695</v>
      </c>
      <c r="B2995" s="185" t="s">
        <v>3710</v>
      </c>
      <c r="C2995" s="185" t="s">
        <v>1949</v>
      </c>
      <c r="D2995" s="185" t="s">
        <v>2622</v>
      </c>
      <c r="E2995" s="185">
        <v>510506</v>
      </c>
      <c r="F2995" s="185" t="s">
        <v>1076</v>
      </c>
      <c r="G2995" s="185" t="s">
        <v>3711</v>
      </c>
      <c r="H2995" s="185" t="s">
        <v>1628</v>
      </c>
      <c r="I2995" s="258" t="str">
        <f t="shared" si="139"/>
        <v>5</v>
      </c>
      <c r="J2995" s="221">
        <f t="shared" si="140"/>
        <v>-4562666</v>
      </c>
      <c r="K2995" s="258">
        <f t="shared" si="141"/>
        <v>11</v>
      </c>
      <c r="L2995" s="188">
        <v>0</v>
      </c>
      <c r="M2995" s="188">
        <v>4562666</v>
      </c>
      <c r="N2995" s="189">
        <v>800251440</v>
      </c>
      <c r="O2995"/>
      <c r="P2995" s="187">
        <v>45258.501250000001</v>
      </c>
      <c r="Q2995" s="186">
        <v>14639</v>
      </c>
      <c r="R2995" s="185" t="s">
        <v>1901</v>
      </c>
      <c r="S2995" s="185" t="s">
        <v>1560</v>
      </c>
      <c r="T2995"/>
      <c r="U2995" t="str">
        <f>IF($L2995&gt;0,VLOOKUP($E2995,Valida!$A$1:$G$270,6,FALSE),IF($M2995&gt;=0,VLOOKUP($E2995,Valida!$A$1:$G$270,7,FALSE)))</f>
        <v>(+/-) Ganancia (pérdida)</v>
      </c>
      <c r="V2995" s="190" t="str">
        <f>VLOOKUP(E2995,Valida!$A$2:$K$271,4,FALSE)</f>
        <v>P&amp;L</v>
      </c>
      <c r="W2995" s="185" t="s">
        <v>1902</v>
      </c>
      <c r="X2995" s="185" t="s">
        <v>1903</v>
      </c>
      <c r="Y2995" s="185" t="s">
        <v>1789</v>
      </c>
      <c r="Z2995"/>
    </row>
    <row r="2996" spans="1:26">
      <c r="A2996" s="185" t="s">
        <v>3653</v>
      </c>
      <c r="B2996" s="185" t="s">
        <v>3667</v>
      </c>
      <c r="C2996" s="185" t="s">
        <v>1792</v>
      </c>
      <c r="D2996" s="185" t="s">
        <v>2542</v>
      </c>
      <c r="E2996" s="185">
        <v>23351001</v>
      </c>
      <c r="F2996" s="185" t="s">
        <v>453</v>
      </c>
      <c r="G2996" s="185" t="s">
        <v>3706</v>
      </c>
      <c r="H2996" s="185" t="s">
        <v>1628</v>
      </c>
      <c r="I2996" s="258" t="str">
        <f t="shared" si="139"/>
        <v>2</v>
      </c>
      <c r="J2996" s="221">
        <f t="shared" si="140"/>
        <v>-7200</v>
      </c>
      <c r="K2996" s="258">
        <f t="shared" si="141"/>
        <v>11</v>
      </c>
      <c r="L2996" s="188">
        <v>0</v>
      </c>
      <c r="M2996" s="188">
        <v>7200</v>
      </c>
      <c r="N2996" s="189">
        <v>860007322</v>
      </c>
      <c r="O2996" t="s">
        <v>3669</v>
      </c>
      <c r="P2996" s="187">
        <v>45258</v>
      </c>
      <c r="Q2996" s="186">
        <v>14641</v>
      </c>
      <c r="R2996" s="185" t="s">
        <v>1841</v>
      </c>
      <c r="S2996" s="185" t="s">
        <v>1566</v>
      </c>
      <c r="T2996"/>
      <c r="U2996" t="str">
        <f>IF($L2996&gt;0,VLOOKUP($E2996,Valida!$A$1:$G$270,6,FALSE),IF($M2996&gt;=0,VLOOKUP($E2996,Valida!$A$1:$G$270,7,FALSE)))</f>
        <v>(+/-) Ajustes por el incremento (disminución) de cuentas por pagar de origen comercial</v>
      </c>
      <c r="V2996" s="190" t="str">
        <f>VLOOKUP(E2996,Valida!$A$2:$K$271,4,FALSE)</f>
        <v>Trade and other payables</v>
      </c>
      <c r="W2996" s="185" t="s">
        <v>2306</v>
      </c>
      <c r="X2996" s="185"/>
      <c r="Y2996" s="185" t="s">
        <v>1789</v>
      </c>
      <c r="Z2996"/>
    </row>
    <row r="2997" spans="1:26">
      <c r="A2997" s="185" t="s">
        <v>3712</v>
      </c>
      <c r="B2997" s="185" t="s">
        <v>3713</v>
      </c>
      <c r="C2997" s="185" t="s">
        <v>2045</v>
      </c>
      <c r="D2997" s="185" t="s">
        <v>3714</v>
      </c>
      <c r="E2997" s="185">
        <v>23355002</v>
      </c>
      <c r="F2997" s="185" t="s">
        <v>506</v>
      </c>
      <c r="G2997" s="185" t="s">
        <v>3715</v>
      </c>
      <c r="H2997" s="185" t="s">
        <v>1628</v>
      </c>
      <c r="I2997" s="258" t="str">
        <f t="shared" si="139"/>
        <v>2</v>
      </c>
      <c r="J2997" s="221">
        <f t="shared" si="140"/>
        <v>-260476.79999999999</v>
      </c>
      <c r="K2997" s="258">
        <f t="shared" si="141"/>
        <v>11</v>
      </c>
      <c r="L2997" s="188">
        <v>0</v>
      </c>
      <c r="M2997" s="188">
        <v>260476.79999999999</v>
      </c>
      <c r="N2997" s="189">
        <v>444444441</v>
      </c>
      <c r="O2997" t="s">
        <v>3716</v>
      </c>
      <c r="P2997" s="187">
        <v>45258.516458333303</v>
      </c>
      <c r="Q2997" s="186">
        <v>14642</v>
      </c>
      <c r="R2997" s="185"/>
      <c r="S2997" s="185" t="s">
        <v>1550</v>
      </c>
      <c r="T2997"/>
      <c r="U2997" t="str">
        <f>IF($L2997&gt;0,VLOOKUP($E2997,Valida!$A$1:$G$270,6,FALSE),IF($M2997&gt;=0,VLOOKUP($E2997,Valida!$A$1:$G$270,7,FALSE)))</f>
        <v>(+/-) Ajustes por el incremento (disminución) de cuentas por pagar de origen comercial</v>
      </c>
      <c r="V2997" s="190" t="str">
        <f>VLOOKUP(E2997,Valida!$A$2:$K$271,4,FALSE)</f>
        <v>Trade and other payables</v>
      </c>
      <c r="W2997" s="185"/>
      <c r="X2997" s="185"/>
      <c r="Y2997" s="185"/>
      <c r="Z2997"/>
    </row>
    <row r="2998" spans="1:26">
      <c r="A2998" s="185" t="s">
        <v>3712</v>
      </c>
      <c r="B2998" s="185" t="s">
        <v>3713</v>
      </c>
      <c r="C2998" s="185" t="s">
        <v>2045</v>
      </c>
      <c r="D2998" s="185" t="s">
        <v>3714</v>
      </c>
      <c r="E2998" s="185">
        <v>51352001</v>
      </c>
      <c r="F2998" s="185" t="s">
        <v>1267</v>
      </c>
      <c r="G2998" s="185" t="s">
        <v>3717</v>
      </c>
      <c r="H2998" s="185" t="s">
        <v>1515</v>
      </c>
      <c r="I2998" s="258" t="str">
        <f t="shared" si="139"/>
        <v>5</v>
      </c>
      <c r="J2998" s="221">
        <f t="shared" si="140"/>
        <v>260476.79999999999</v>
      </c>
      <c r="K2998" s="258">
        <f t="shared" si="141"/>
        <v>11</v>
      </c>
      <c r="L2998" s="188">
        <v>260476.79999999999</v>
      </c>
      <c r="M2998" s="188">
        <v>0</v>
      </c>
      <c r="N2998" s="189">
        <v>444444441</v>
      </c>
      <c r="O2998" t="s">
        <v>3716</v>
      </c>
      <c r="P2998" s="187">
        <v>45258.516458333303</v>
      </c>
      <c r="Q2998" s="186">
        <v>14643</v>
      </c>
      <c r="R2998" s="185"/>
      <c r="S2998" s="185" t="s">
        <v>1550</v>
      </c>
      <c r="T2998"/>
      <c r="U2998" t="str">
        <f>IF($L2998&gt;0,VLOOKUP($E2998,Valida!$A$1:$G$270,6,FALSE),IF($M2998&gt;=0,VLOOKUP($E2998,Valida!$A$1:$G$270,7,FALSE)))</f>
        <v>(+/-) Ganancia (pérdida)</v>
      </c>
      <c r="V2998" s="190" t="str">
        <f>VLOOKUP(E2998,Valida!$A$2:$K$271,4,FALSE)</f>
        <v>P&amp;L</v>
      </c>
      <c r="W2998" s="185"/>
      <c r="X2998" s="185"/>
      <c r="Y2998" s="185"/>
      <c r="Z2998"/>
    </row>
    <row r="2999" spans="1:26">
      <c r="A2999" s="185" t="s">
        <v>3653</v>
      </c>
      <c r="B2999" s="185" t="s">
        <v>3718</v>
      </c>
      <c r="C2999" s="185" t="s">
        <v>1890</v>
      </c>
      <c r="D2999" s="185" t="s">
        <v>3719</v>
      </c>
      <c r="E2999" s="185">
        <v>23351001</v>
      </c>
      <c r="F2999" s="185" t="s">
        <v>453</v>
      </c>
      <c r="G2999" s="185" t="s">
        <v>1921</v>
      </c>
      <c r="H2999" s="185" t="s">
        <v>1515</v>
      </c>
      <c r="I2999" s="258" t="str">
        <f t="shared" si="139"/>
        <v>2</v>
      </c>
      <c r="J2999" s="221">
        <f t="shared" si="140"/>
        <v>7200</v>
      </c>
      <c r="K2999" s="258">
        <f t="shared" si="141"/>
        <v>11</v>
      </c>
      <c r="L2999" s="188">
        <v>7200</v>
      </c>
      <c r="M2999" s="188">
        <v>0</v>
      </c>
      <c r="N2999" s="189">
        <v>860007322</v>
      </c>
      <c r="O2999"/>
      <c r="P2999" s="187">
        <v>45258.519201388903</v>
      </c>
      <c r="Q2999" s="186">
        <v>14644</v>
      </c>
      <c r="R2999" s="185" t="s">
        <v>1841</v>
      </c>
      <c r="S2999" s="185" t="s">
        <v>1566</v>
      </c>
      <c r="T2999"/>
      <c r="U2999" t="str">
        <f>IF($L2999&gt;0,VLOOKUP($E2999,Valida!$A$1:$G$270,6,FALSE),IF($M2999&gt;=0,VLOOKUP($E2999,Valida!$A$1:$G$270,7,FALSE)))</f>
        <v>(+/-) Ajustes por el incremento (disminución) de cuentas por pagar de origen comercial</v>
      </c>
      <c r="V2999" s="190" t="str">
        <f>VLOOKUP(E2999,Valida!$A$2:$K$271,4,FALSE)</f>
        <v>Trade and other payables</v>
      </c>
      <c r="W2999" s="185" t="s">
        <v>2306</v>
      </c>
      <c r="X2999" s="185"/>
      <c r="Y2999" s="185" t="s">
        <v>1789</v>
      </c>
      <c r="Z2999"/>
    </row>
    <row r="3000" spans="1:26">
      <c r="A3000" s="185" t="s">
        <v>3653</v>
      </c>
      <c r="B3000" s="185" t="s">
        <v>3718</v>
      </c>
      <c r="C3000" s="185" t="s">
        <v>1890</v>
      </c>
      <c r="D3000" s="185" t="s">
        <v>3719</v>
      </c>
      <c r="E3000" s="185">
        <v>112005</v>
      </c>
      <c r="F3000" s="185" t="s">
        <v>24</v>
      </c>
      <c r="G3000" s="185" t="s">
        <v>1921</v>
      </c>
      <c r="H3000" s="185" t="s">
        <v>1628</v>
      </c>
      <c r="I3000" s="258" t="str">
        <f t="shared" si="139"/>
        <v>1</v>
      </c>
      <c r="J3000" s="221">
        <f t="shared" si="140"/>
        <v>-7200</v>
      </c>
      <c r="K3000" s="258">
        <f t="shared" si="141"/>
        <v>11</v>
      </c>
      <c r="L3000" s="188">
        <v>0</v>
      </c>
      <c r="M3000" s="188">
        <v>7200</v>
      </c>
      <c r="N3000" s="189">
        <v>860007322</v>
      </c>
      <c r="O3000"/>
      <c r="P3000" s="187">
        <v>45258.519201388903</v>
      </c>
      <c r="Q3000" s="186">
        <v>14645</v>
      </c>
      <c r="R3000" s="185" t="s">
        <v>1841</v>
      </c>
      <c r="S3000" s="185" t="s">
        <v>1566</v>
      </c>
      <c r="T3000" t="s">
        <v>1894</v>
      </c>
      <c r="U3000" t="str">
        <f>IF($L3000&gt;0,VLOOKUP($E3000,Valida!$A$1:$G$270,6,FALSE),IF($M3000&gt;=0,VLOOKUP($E3000,Valida!$A$1:$G$270,7,FALSE)))</f>
        <v>Disponible</v>
      </c>
      <c r="V3000" s="190" t="str">
        <f>VLOOKUP(E3000,Valida!$A$2:$K$271,4,FALSE)</f>
        <v>Cash and equivalents</v>
      </c>
      <c r="W3000" s="185" t="s">
        <v>2306</v>
      </c>
      <c r="X3000" s="185"/>
      <c r="Y3000" s="185" t="s">
        <v>1789</v>
      </c>
      <c r="Z3000"/>
    </row>
    <row r="3001" spans="1:26">
      <c r="A3001" s="185" t="s">
        <v>3653</v>
      </c>
      <c r="B3001" s="185" t="s">
        <v>3720</v>
      </c>
      <c r="C3001" s="185" t="s">
        <v>1890</v>
      </c>
      <c r="D3001" s="185" t="s">
        <v>3721</v>
      </c>
      <c r="E3001" s="185">
        <v>112005</v>
      </c>
      <c r="F3001" s="185" t="s">
        <v>24</v>
      </c>
      <c r="G3001" s="185" t="s">
        <v>1921</v>
      </c>
      <c r="H3001" s="185" t="s">
        <v>1628</v>
      </c>
      <c r="I3001" s="258" t="str">
        <f t="shared" si="139"/>
        <v>1</v>
      </c>
      <c r="J3001" s="221">
        <f t="shared" si="140"/>
        <v>-3600</v>
      </c>
      <c r="K3001" s="258">
        <f t="shared" si="141"/>
        <v>11</v>
      </c>
      <c r="L3001" s="188">
        <v>0</v>
      </c>
      <c r="M3001" s="188">
        <v>3600</v>
      </c>
      <c r="N3001" s="189">
        <v>860007322</v>
      </c>
      <c r="O3001"/>
      <c r="P3001" s="187">
        <v>45258.519525463002</v>
      </c>
      <c r="Q3001" s="186">
        <v>14646</v>
      </c>
      <c r="R3001" s="185" t="s">
        <v>1841</v>
      </c>
      <c r="S3001" s="185" t="s">
        <v>1566</v>
      </c>
      <c r="T3001" t="s">
        <v>1894</v>
      </c>
      <c r="U3001" t="str">
        <f>IF($L3001&gt;0,VLOOKUP($E3001,Valida!$A$1:$G$270,6,FALSE),IF($M3001&gt;=0,VLOOKUP($E3001,Valida!$A$1:$G$270,7,FALSE)))</f>
        <v>Disponible</v>
      </c>
      <c r="V3001" s="190" t="str">
        <f>VLOOKUP(E3001,Valida!$A$2:$K$271,4,FALSE)</f>
        <v>Cash and equivalents</v>
      </c>
      <c r="W3001" s="185" t="s">
        <v>2306</v>
      </c>
      <c r="X3001" s="185"/>
      <c r="Y3001" s="185" t="s">
        <v>1789</v>
      </c>
      <c r="Z3001"/>
    </row>
    <row r="3002" spans="1:26">
      <c r="A3002" s="185" t="s">
        <v>3653</v>
      </c>
      <c r="B3002" s="185" t="s">
        <v>3720</v>
      </c>
      <c r="C3002" s="185" t="s">
        <v>1890</v>
      </c>
      <c r="D3002" s="185" t="s">
        <v>3721</v>
      </c>
      <c r="E3002" s="185">
        <v>23351001</v>
      </c>
      <c r="F3002" s="185" t="s">
        <v>453</v>
      </c>
      <c r="G3002" s="185" t="s">
        <v>1921</v>
      </c>
      <c r="H3002" s="185" t="s">
        <v>1515</v>
      </c>
      <c r="I3002" s="258" t="str">
        <f t="shared" si="139"/>
        <v>2</v>
      </c>
      <c r="J3002" s="221">
        <f t="shared" si="140"/>
        <v>3600</v>
      </c>
      <c r="K3002" s="258">
        <f t="shared" si="141"/>
        <v>11</v>
      </c>
      <c r="L3002" s="188">
        <v>3600</v>
      </c>
      <c r="M3002" s="188">
        <v>0</v>
      </c>
      <c r="N3002" s="189">
        <v>860007322</v>
      </c>
      <c r="O3002"/>
      <c r="P3002" s="187">
        <v>45258.519525463002</v>
      </c>
      <c r="Q3002" s="186">
        <v>14647</v>
      </c>
      <c r="R3002" s="185" t="s">
        <v>1841</v>
      </c>
      <c r="S3002" s="185" t="s">
        <v>1566</v>
      </c>
      <c r="T3002"/>
      <c r="U3002" t="str">
        <f>IF($L3002&gt;0,VLOOKUP($E3002,Valida!$A$1:$G$270,6,FALSE),IF($M3002&gt;=0,VLOOKUP($E3002,Valida!$A$1:$G$270,7,FALSE)))</f>
        <v>(+/-) Ajustes por el incremento (disminución) de cuentas por pagar de origen comercial</v>
      </c>
      <c r="V3002" s="190" t="str">
        <f>VLOOKUP(E3002,Valida!$A$2:$K$271,4,FALSE)</f>
        <v>Trade and other payables</v>
      </c>
      <c r="W3002" s="185" t="s">
        <v>2306</v>
      </c>
      <c r="X3002" s="185"/>
      <c r="Y3002" s="185" t="s">
        <v>1789</v>
      </c>
      <c r="Z3002"/>
    </row>
    <row r="3003" spans="1:26">
      <c r="A3003" s="185" t="s">
        <v>3653</v>
      </c>
      <c r="B3003" s="185" t="s">
        <v>3722</v>
      </c>
      <c r="C3003" s="185" t="s">
        <v>1890</v>
      </c>
      <c r="D3003" s="185" t="s">
        <v>3723</v>
      </c>
      <c r="E3003" s="185">
        <v>112005</v>
      </c>
      <c r="F3003" s="185" t="s">
        <v>24</v>
      </c>
      <c r="G3003" s="185" t="s">
        <v>1921</v>
      </c>
      <c r="H3003" s="185" t="s">
        <v>1628</v>
      </c>
      <c r="I3003" s="258" t="str">
        <f t="shared" si="139"/>
        <v>1</v>
      </c>
      <c r="J3003" s="221">
        <f t="shared" si="140"/>
        <v>-99195.53</v>
      </c>
      <c r="K3003" s="258">
        <f t="shared" si="141"/>
        <v>11</v>
      </c>
      <c r="L3003" s="188">
        <v>0</v>
      </c>
      <c r="M3003" s="188">
        <v>99195.53</v>
      </c>
      <c r="N3003" s="189">
        <v>440493581</v>
      </c>
      <c r="O3003"/>
      <c r="P3003" s="187">
        <v>45258.521215277797</v>
      </c>
      <c r="Q3003" s="186">
        <v>14648</v>
      </c>
      <c r="R3003" s="185"/>
      <c r="S3003" s="185" t="s">
        <v>1546</v>
      </c>
      <c r="T3003" t="s">
        <v>1894</v>
      </c>
      <c r="U3003" t="str">
        <f>IF($L3003&gt;0,VLOOKUP($E3003,Valida!$A$1:$G$270,6,FALSE),IF($M3003&gt;=0,VLOOKUP($E3003,Valida!$A$1:$G$270,7,FALSE)))</f>
        <v>Disponible</v>
      </c>
      <c r="V3003" s="190" t="str">
        <f>VLOOKUP(E3003,Valida!$A$2:$K$271,4,FALSE)</f>
        <v>Cash and equivalents</v>
      </c>
      <c r="W3003" s="185" t="s">
        <v>1808</v>
      </c>
      <c r="X3003" s="185"/>
      <c r="Y3003" s="185"/>
      <c r="Z3003"/>
    </row>
    <row r="3004" spans="1:26">
      <c r="A3004" s="185" t="s">
        <v>3653</v>
      </c>
      <c r="B3004" s="185" t="s">
        <v>3722</v>
      </c>
      <c r="C3004" s="185" t="s">
        <v>1890</v>
      </c>
      <c r="D3004" s="185" t="s">
        <v>3723</v>
      </c>
      <c r="E3004" s="185">
        <v>23355002</v>
      </c>
      <c r="F3004" s="185" t="s">
        <v>506</v>
      </c>
      <c r="G3004" s="185" t="s">
        <v>1921</v>
      </c>
      <c r="H3004" s="185" t="s">
        <v>1515</v>
      </c>
      <c r="I3004" s="258" t="str">
        <f t="shared" si="139"/>
        <v>2</v>
      </c>
      <c r="J3004" s="221">
        <f t="shared" si="140"/>
        <v>97459.92</v>
      </c>
      <c r="K3004" s="258">
        <f t="shared" si="141"/>
        <v>11</v>
      </c>
      <c r="L3004" s="188">
        <v>97459.92</v>
      </c>
      <c r="M3004" s="188">
        <v>0</v>
      </c>
      <c r="N3004" s="189">
        <v>440493581</v>
      </c>
      <c r="O3004"/>
      <c r="P3004" s="187">
        <v>45258.521215277797</v>
      </c>
      <c r="Q3004" s="186">
        <v>14649</v>
      </c>
      <c r="R3004" s="185"/>
      <c r="S3004" s="185" t="s">
        <v>1546</v>
      </c>
      <c r="T3004"/>
      <c r="U3004" t="str">
        <f>IF($L3004&gt;0,VLOOKUP($E3004,Valida!$A$1:$G$270,6,FALSE),IF($M3004&gt;=0,VLOOKUP($E3004,Valida!$A$1:$G$270,7,FALSE)))</f>
        <v>(+/-) Ajustes por el incremento (disminución) de cuentas por pagar de origen comercial</v>
      </c>
      <c r="V3004" s="190" t="str">
        <f>VLOOKUP(E3004,Valida!$A$2:$K$271,4,FALSE)</f>
        <v>Trade and other payables</v>
      </c>
      <c r="W3004" s="185" t="s">
        <v>1808</v>
      </c>
      <c r="X3004" s="185"/>
      <c r="Y3004" s="185"/>
      <c r="Z3004"/>
    </row>
    <row r="3005" spans="1:26">
      <c r="A3005" s="185" t="s">
        <v>3653</v>
      </c>
      <c r="B3005" s="185" t="s">
        <v>3722</v>
      </c>
      <c r="C3005" s="185" t="s">
        <v>1890</v>
      </c>
      <c r="D3005" s="185" t="s">
        <v>3723</v>
      </c>
      <c r="E3005" s="185">
        <v>53052501</v>
      </c>
      <c r="F3005" s="185" t="s">
        <v>1752</v>
      </c>
      <c r="G3005" s="185" t="s">
        <v>1921</v>
      </c>
      <c r="H3005" s="185" t="s">
        <v>1515</v>
      </c>
      <c r="I3005" s="258" t="str">
        <f t="shared" si="139"/>
        <v>5</v>
      </c>
      <c r="J3005" s="221">
        <f t="shared" si="140"/>
        <v>1735.61</v>
      </c>
      <c r="K3005" s="258">
        <f t="shared" si="141"/>
        <v>11</v>
      </c>
      <c r="L3005" s="188">
        <v>1735.61</v>
      </c>
      <c r="M3005" s="188">
        <v>0</v>
      </c>
      <c r="N3005" s="189">
        <v>440493581</v>
      </c>
      <c r="O3005"/>
      <c r="P3005" s="187">
        <v>45258.521215277797</v>
      </c>
      <c r="Q3005" s="186">
        <v>14650</v>
      </c>
      <c r="R3005" s="185"/>
      <c r="S3005" s="185" t="s">
        <v>1546</v>
      </c>
      <c r="T3005"/>
      <c r="U3005" t="str">
        <f>IF($L3005&gt;0,VLOOKUP($E3005,Valida!$A$1:$G$270,6,FALSE),IF($M3005&gt;=0,VLOOKUP($E3005,Valida!$A$1:$G$270,7,FALSE)))</f>
        <v>(+/-) Ganancia (pérdida)</v>
      </c>
      <c r="V3005" s="190" t="str">
        <f>VLOOKUP(E3005,Valida!$A$2:$K$271,4,FALSE)</f>
        <v>P&amp;L</v>
      </c>
      <c r="W3005" s="185" t="s">
        <v>1808</v>
      </c>
      <c r="X3005" s="185"/>
      <c r="Y3005" s="185"/>
      <c r="Z3005"/>
    </row>
    <row r="3006" spans="1:26">
      <c r="A3006" s="185" t="s">
        <v>3698</v>
      </c>
      <c r="B3006" s="185" t="s">
        <v>3724</v>
      </c>
      <c r="C3006" s="185" t="s">
        <v>2045</v>
      </c>
      <c r="D3006" s="185" t="s">
        <v>3725</v>
      </c>
      <c r="E3006" s="185">
        <v>23355007</v>
      </c>
      <c r="F3006" s="185" t="s">
        <v>1638</v>
      </c>
      <c r="G3006" s="185" t="s">
        <v>3726</v>
      </c>
      <c r="H3006" s="185" t="s">
        <v>1628</v>
      </c>
      <c r="I3006" s="258" t="str">
        <f t="shared" si="139"/>
        <v>2</v>
      </c>
      <c r="J3006" s="221">
        <f t="shared" si="140"/>
        <v>-195151.64</v>
      </c>
      <c r="K3006" s="258">
        <f t="shared" si="141"/>
        <v>11</v>
      </c>
      <c r="L3006" s="188">
        <v>0</v>
      </c>
      <c r="M3006" s="188">
        <v>195151.64</v>
      </c>
      <c r="N3006" s="189">
        <v>444444001</v>
      </c>
      <c r="O3006" t="s">
        <v>3727</v>
      </c>
      <c r="P3006" s="187">
        <v>45258.529687499999</v>
      </c>
      <c r="Q3006" s="186">
        <v>14651</v>
      </c>
      <c r="R3006" s="185"/>
      <c r="S3006" s="185" t="s">
        <v>1548</v>
      </c>
      <c r="T3006"/>
      <c r="U3006" t="str">
        <f>IF($L3006&gt;0,VLOOKUP($E3006,Valida!$A$1:$G$270,6,FALSE),IF($M3006&gt;=0,VLOOKUP($E3006,Valida!$A$1:$G$270,7,FALSE)))</f>
        <v>(+/-) Ajustes por el incremento (disminución) de cuentas por pagar de origen comercial</v>
      </c>
      <c r="V3006" s="190" t="str">
        <f>VLOOKUP(E3006,Valida!$A$2:$K$271,4,FALSE)</f>
        <v>Trade and other payables</v>
      </c>
      <c r="W3006" s="185"/>
      <c r="X3006" s="185"/>
      <c r="Y3006" s="185"/>
      <c r="Z3006"/>
    </row>
    <row r="3007" spans="1:26">
      <c r="A3007" s="185" t="s">
        <v>3698</v>
      </c>
      <c r="B3007" s="185" t="s">
        <v>3724</v>
      </c>
      <c r="C3007" s="185" t="s">
        <v>2045</v>
      </c>
      <c r="D3007" s="185" t="s">
        <v>3725</v>
      </c>
      <c r="E3007" s="185">
        <v>51350504</v>
      </c>
      <c r="F3007" s="185" t="s">
        <v>1638</v>
      </c>
      <c r="G3007" s="185" t="s">
        <v>3728</v>
      </c>
      <c r="H3007" s="185" t="s">
        <v>1515</v>
      </c>
      <c r="I3007" s="258" t="str">
        <f t="shared" si="139"/>
        <v>5</v>
      </c>
      <c r="J3007" s="221">
        <f t="shared" si="140"/>
        <v>195151.64</v>
      </c>
      <c r="K3007" s="258">
        <f t="shared" si="141"/>
        <v>11</v>
      </c>
      <c r="L3007" s="188">
        <v>195151.64</v>
      </c>
      <c r="M3007" s="188">
        <v>0</v>
      </c>
      <c r="N3007" s="189">
        <v>444444001</v>
      </c>
      <c r="O3007" t="s">
        <v>3727</v>
      </c>
      <c r="P3007" s="187">
        <v>45258.529687499999</v>
      </c>
      <c r="Q3007" s="186">
        <v>14652</v>
      </c>
      <c r="R3007" s="185"/>
      <c r="S3007" s="185" t="s">
        <v>1548</v>
      </c>
      <c r="T3007"/>
      <c r="U3007" t="str">
        <f>IF($L3007&gt;0,VLOOKUP($E3007,Valida!$A$1:$G$270,6,FALSE),IF($M3007&gt;=0,VLOOKUP($E3007,Valida!$A$1:$G$270,7,FALSE)))</f>
        <v>(+/-) Ganancia (pérdida)</v>
      </c>
      <c r="V3007" s="190" t="str">
        <f>VLOOKUP(E3007,Valida!$A$2:$K$271,4,FALSE)</f>
        <v>P&amp;L</v>
      </c>
      <c r="W3007" s="185"/>
      <c r="X3007" s="185"/>
      <c r="Y3007" s="185"/>
      <c r="Z3007"/>
    </row>
    <row r="3008" spans="1:26">
      <c r="A3008" s="185" t="s">
        <v>3698</v>
      </c>
      <c r="B3008" s="185" t="s">
        <v>3729</v>
      </c>
      <c r="C3008" s="185" t="s">
        <v>2045</v>
      </c>
      <c r="D3008" s="185" t="s">
        <v>1069</v>
      </c>
      <c r="E3008" s="185">
        <v>23355007</v>
      </c>
      <c r="F3008" s="185" t="s">
        <v>1638</v>
      </c>
      <c r="G3008" s="185" t="s">
        <v>3730</v>
      </c>
      <c r="H3008" s="185" t="s">
        <v>1628</v>
      </c>
      <c r="I3008" s="258" t="str">
        <f t="shared" si="139"/>
        <v>2</v>
      </c>
      <c r="J3008" s="221">
        <f t="shared" si="140"/>
        <v>-244511.77</v>
      </c>
      <c r="K3008" s="258">
        <f t="shared" si="141"/>
        <v>11</v>
      </c>
      <c r="L3008" s="188">
        <v>0</v>
      </c>
      <c r="M3008" s="188">
        <v>244511.77</v>
      </c>
      <c r="N3008" s="189">
        <v>444444001</v>
      </c>
      <c r="O3008" t="s">
        <v>3731</v>
      </c>
      <c r="P3008" s="187">
        <v>45258.530821759297</v>
      </c>
      <c r="Q3008" s="186">
        <v>14653</v>
      </c>
      <c r="R3008" s="185"/>
      <c r="S3008" s="185" t="s">
        <v>1548</v>
      </c>
      <c r="T3008"/>
      <c r="U3008" t="str">
        <f>IF($L3008&gt;0,VLOOKUP($E3008,Valida!$A$1:$G$270,6,FALSE),IF($M3008&gt;=0,VLOOKUP($E3008,Valida!$A$1:$G$270,7,FALSE)))</f>
        <v>(+/-) Ajustes por el incremento (disminución) de cuentas por pagar de origen comercial</v>
      </c>
      <c r="V3008" s="190" t="str">
        <f>VLOOKUP(E3008,Valida!$A$2:$K$271,4,FALSE)</f>
        <v>Trade and other payables</v>
      </c>
      <c r="W3008" s="185"/>
      <c r="X3008" s="185"/>
      <c r="Y3008" s="185"/>
      <c r="Z3008"/>
    </row>
    <row r="3009" spans="1:26">
      <c r="A3009" s="185" t="s">
        <v>3698</v>
      </c>
      <c r="B3009" s="185" t="s">
        <v>3729</v>
      </c>
      <c r="C3009" s="185" t="s">
        <v>2045</v>
      </c>
      <c r="D3009" s="185" t="s">
        <v>1069</v>
      </c>
      <c r="E3009" s="185">
        <v>51350504</v>
      </c>
      <c r="F3009" s="185" t="s">
        <v>1638</v>
      </c>
      <c r="G3009" s="185" t="s">
        <v>3732</v>
      </c>
      <c r="H3009" s="185" t="s">
        <v>1515</v>
      </c>
      <c r="I3009" s="258" t="str">
        <f t="shared" si="139"/>
        <v>5</v>
      </c>
      <c r="J3009" s="221">
        <f t="shared" si="140"/>
        <v>244511.77</v>
      </c>
      <c r="K3009" s="258">
        <f t="shared" si="141"/>
        <v>11</v>
      </c>
      <c r="L3009" s="188">
        <v>244511.77</v>
      </c>
      <c r="M3009" s="188">
        <v>0</v>
      </c>
      <c r="N3009" s="189">
        <v>444444001</v>
      </c>
      <c r="O3009" t="s">
        <v>3731</v>
      </c>
      <c r="P3009" s="187">
        <v>45258.530821759297</v>
      </c>
      <c r="Q3009" s="186">
        <v>14654</v>
      </c>
      <c r="R3009" s="185"/>
      <c r="S3009" s="185" t="s">
        <v>1548</v>
      </c>
      <c r="T3009"/>
      <c r="U3009" t="str">
        <f>IF($L3009&gt;0,VLOOKUP($E3009,Valida!$A$1:$G$270,6,FALSE),IF($M3009&gt;=0,VLOOKUP($E3009,Valida!$A$1:$G$270,7,FALSE)))</f>
        <v>(+/-) Ganancia (pérdida)</v>
      </c>
      <c r="V3009" s="190" t="str">
        <f>VLOOKUP(E3009,Valida!$A$2:$K$271,4,FALSE)</f>
        <v>P&amp;L</v>
      </c>
      <c r="W3009" s="185"/>
      <c r="X3009" s="185"/>
      <c r="Y3009" s="185"/>
      <c r="Z3009"/>
    </row>
    <row r="3010" spans="1:26">
      <c r="A3010" s="185" t="s">
        <v>3698</v>
      </c>
      <c r="B3010" s="185" t="s">
        <v>3733</v>
      </c>
      <c r="C3010" s="185" t="s">
        <v>2045</v>
      </c>
      <c r="D3010" s="185" t="s">
        <v>3734</v>
      </c>
      <c r="E3010" s="185">
        <v>23355007</v>
      </c>
      <c r="F3010" s="185" t="s">
        <v>1638</v>
      </c>
      <c r="G3010" s="185" t="s">
        <v>3735</v>
      </c>
      <c r="H3010" s="185" t="s">
        <v>1628</v>
      </c>
      <c r="I3010" s="258" t="str">
        <f t="shared" si="139"/>
        <v>2</v>
      </c>
      <c r="J3010" s="221">
        <f t="shared" si="140"/>
        <v>-565214.73</v>
      </c>
      <c r="K3010" s="258">
        <f t="shared" si="141"/>
        <v>11</v>
      </c>
      <c r="L3010" s="188">
        <v>0</v>
      </c>
      <c r="M3010" s="188">
        <v>565214.73</v>
      </c>
      <c r="N3010" s="189">
        <v>444444001</v>
      </c>
      <c r="O3010" t="s">
        <v>3727</v>
      </c>
      <c r="P3010" s="187">
        <v>45258.5317476852</v>
      </c>
      <c r="Q3010" s="186">
        <v>14655</v>
      </c>
      <c r="R3010" s="185"/>
      <c r="S3010" s="185" t="s">
        <v>1548</v>
      </c>
      <c r="T3010"/>
      <c r="U3010" t="str">
        <f>IF($L3010&gt;0,VLOOKUP($E3010,Valida!$A$1:$G$270,6,FALSE),IF($M3010&gt;=0,VLOOKUP($E3010,Valida!$A$1:$G$270,7,FALSE)))</f>
        <v>(+/-) Ajustes por el incremento (disminución) de cuentas por pagar de origen comercial</v>
      </c>
      <c r="V3010" s="190" t="str">
        <f>VLOOKUP(E3010,Valida!$A$2:$K$271,4,FALSE)</f>
        <v>Trade and other payables</v>
      </c>
      <c r="W3010" s="185"/>
      <c r="X3010" s="185"/>
      <c r="Y3010" s="185"/>
      <c r="Z3010"/>
    </row>
    <row r="3011" spans="1:26">
      <c r="A3011" s="185" t="s">
        <v>3698</v>
      </c>
      <c r="B3011" s="185" t="s">
        <v>3733</v>
      </c>
      <c r="C3011" s="185" t="s">
        <v>2045</v>
      </c>
      <c r="D3011" s="185" t="s">
        <v>3734</v>
      </c>
      <c r="E3011" s="185">
        <v>51350504</v>
      </c>
      <c r="F3011" s="185" t="s">
        <v>1638</v>
      </c>
      <c r="G3011" s="185" t="s">
        <v>3736</v>
      </c>
      <c r="H3011" s="185" t="s">
        <v>1515</v>
      </c>
      <c r="I3011" s="258" t="str">
        <f t="shared" ref="I3011:I3074" si="142">LEFT(E3011,1)</f>
        <v>5</v>
      </c>
      <c r="J3011" s="221">
        <f t="shared" ref="J3011:J3074" si="143">L3011-M3011</f>
        <v>565214.73</v>
      </c>
      <c r="K3011" s="258">
        <f t="shared" ref="K3011:K3074" si="144">MONTH(A3011)</f>
        <v>11</v>
      </c>
      <c r="L3011" s="188">
        <v>565214.73</v>
      </c>
      <c r="M3011" s="188">
        <v>0</v>
      </c>
      <c r="N3011" s="189">
        <v>444444001</v>
      </c>
      <c r="O3011" t="s">
        <v>3727</v>
      </c>
      <c r="P3011" s="187">
        <v>45258.5317476852</v>
      </c>
      <c r="Q3011" s="186">
        <v>14656</v>
      </c>
      <c r="R3011" s="185"/>
      <c r="S3011" s="185" t="s">
        <v>1548</v>
      </c>
      <c r="T3011"/>
      <c r="U3011" t="str">
        <f>IF($L3011&gt;0,VLOOKUP($E3011,Valida!$A$1:$G$270,6,FALSE),IF($M3011&gt;=0,VLOOKUP($E3011,Valida!$A$1:$G$270,7,FALSE)))</f>
        <v>(+/-) Ganancia (pérdida)</v>
      </c>
      <c r="V3011" s="190" t="str">
        <f>VLOOKUP(E3011,Valida!$A$2:$K$271,4,FALSE)</f>
        <v>P&amp;L</v>
      </c>
      <c r="W3011" s="185"/>
      <c r="X3011" s="185"/>
      <c r="Y3011" s="185"/>
      <c r="Z3011"/>
    </row>
    <row r="3012" spans="1:26">
      <c r="A3012" s="185" t="s">
        <v>3737</v>
      </c>
      <c r="B3012" s="185" t="s">
        <v>3738</v>
      </c>
      <c r="C3012" s="185" t="s">
        <v>1890</v>
      </c>
      <c r="D3012" s="185" t="s">
        <v>3739</v>
      </c>
      <c r="E3012" s="185">
        <v>112005</v>
      </c>
      <c r="F3012" s="185" t="s">
        <v>24</v>
      </c>
      <c r="G3012" s="185" t="s">
        <v>1921</v>
      </c>
      <c r="H3012" s="185" t="s">
        <v>1628</v>
      </c>
      <c r="I3012" s="258" t="str">
        <f t="shared" si="142"/>
        <v>1</v>
      </c>
      <c r="J3012" s="221">
        <f t="shared" si="143"/>
        <v>-195151.64</v>
      </c>
      <c r="K3012" s="258">
        <f t="shared" si="144"/>
        <v>11</v>
      </c>
      <c r="L3012" s="188">
        <v>0</v>
      </c>
      <c r="M3012" s="188">
        <v>195151.64</v>
      </c>
      <c r="N3012" s="189">
        <v>444444001</v>
      </c>
      <c r="O3012"/>
      <c r="P3012" s="187">
        <v>45258.6163773148</v>
      </c>
      <c r="Q3012" s="186">
        <v>14657</v>
      </c>
      <c r="R3012" s="185"/>
      <c r="S3012" s="185" t="s">
        <v>1548</v>
      </c>
      <c r="T3012" t="s">
        <v>1894</v>
      </c>
      <c r="U3012" t="str">
        <f>IF($L3012&gt;0,VLOOKUP($E3012,Valida!$A$1:$G$270,6,FALSE),IF($M3012&gt;=0,VLOOKUP($E3012,Valida!$A$1:$G$270,7,FALSE)))</f>
        <v>Disponible</v>
      </c>
      <c r="V3012" s="190" t="str">
        <f>VLOOKUP(E3012,Valida!$A$2:$K$271,4,FALSE)</f>
        <v>Cash and equivalents</v>
      </c>
      <c r="W3012" s="185"/>
      <c r="X3012" s="185"/>
      <c r="Y3012" s="185"/>
      <c r="Z3012"/>
    </row>
    <row r="3013" spans="1:26">
      <c r="A3013" s="185" t="s">
        <v>3737</v>
      </c>
      <c r="B3013" s="185" t="s">
        <v>3738</v>
      </c>
      <c r="C3013" s="185" t="s">
        <v>1890</v>
      </c>
      <c r="D3013" s="185" t="s">
        <v>3739</v>
      </c>
      <c r="E3013" s="185">
        <v>23355007</v>
      </c>
      <c r="F3013" s="185" t="s">
        <v>1638</v>
      </c>
      <c r="G3013" s="185" t="s">
        <v>1921</v>
      </c>
      <c r="H3013" s="185" t="s">
        <v>1515</v>
      </c>
      <c r="I3013" s="258" t="str">
        <f t="shared" si="142"/>
        <v>2</v>
      </c>
      <c r="J3013" s="221">
        <f t="shared" si="143"/>
        <v>195151.64</v>
      </c>
      <c r="K3013" s="258">
        <f t="shared" si="144"/>
        <v>11</v>
      </c>
      <c r="L3013" s="188">
        <v>195151.64</v>
      </c>
      <c r="M3013" s="188">
        <v>0</v>
      </c>
      <c r="N3013" s="189">
        <v>444444001</v>
      </c>
      <c r="O3013"/>
      <c r="P3013" s="187">
        <v>45258.6163773148</v>
      </c>
      <c r="Q3013" s="186">
        <v>14658</v>
      </c>
      <c r="R3013" s="185"/>
      <c r="S3013" s="185" t="s">
        <v>1548</v>
      </c>
      <c r="T3013"/>
      <c r="U3013" t="str">
        <f>IF($L3013&gt;0,VLOOKUP($E3013,Valida!$A$1:$G$270,6,FALSE),IF($M3013&gt;=0,VLOOKUP($E3013,Valida!$A$1:$G$270,7,FALSE)))</f>
        <v>(+/-) Ajustes por el incremento (disminución) de cuentas por pagar de origen comercial</v>
      </c>
      <c r="V3013" s="190" t="str">
        <f>VLOOKUP(E3013,Valida!$A$2:$K$271,4,FALSE)</f>
        <v>Trade and other payables</v>
      </c>
      <c r="W3013" s="185"/>
      <c r="X3013" s="185"/>
      <c r="Y3013" s="185"/>
      <c r="Z3013"/>
    </row>
    <row r="3014" spans="1:26">
      <c r="A3014" s="185" t="s">
        <v>3676</v>
      </c>
      <c r="B3014" s="185" t="s">
        <v>3740</v>
      </c>
      <c r="C3014" s="185" t="s">
        <v>1792</v>
      </c>
      <c r="D3014" s="185" t="s">
        <v>2688</v>
      </c>
      <c r="E3014" s="185">
        <v>51401002</v>
      </c>
      <c r="F3014" s="185" t="s">
        <v>1303</v>
      </c>
      <c r="G3014" s="185" t="s">
        <v>3741</v>
      </c>
      <c r="H3014" s="185" t="s">
        <v>1515</v>
      </c>
      <c r="I3014" s="258" t="str">
        <f t="shared" si="142"/>
        <v>5</v>
      </c>
      <c r="J3014" s="221">
        <f t="shared" si="143"/>
        <v>37000</v>
      </c>
      <c r="K3014" s="258">
        <f t="shared" si="144"/>
        <v>11</v>
      </c>
      <c r="L3014" s="188">
        <v>37000</v>
      </c>
      <c r="M3014" s="188">
        <v>0</v>
      </c>
      <c r="N3014" s="189">
        <v>900180739</v>
      </c>
      <c r="O3014"/>
      <c r="P3014" s="187">
        <v>45258.617418981499</v>
      </c>
      <c r="Q3014" s="186">
        <v>14659</v>
      </c>
      <c r="R3014" s="185" t="s">
        <v>6</v>
      </c>
      <c r="S3014" s="185" t="s">
        <v>1594</v>
      </c>
      <c r="T3014"/>
      <c r="U3014" t="str">
        <f>IF($L3014&gt;0,VLOOKUP($E3014,Valida!$A$1:$G$270,6,FALSE),IF($M3014&gt;=0,VLOOKUP($E3014,Valida!$A$1:$G$270,7,FALSE)))</f>
        <v>(+/-) Ganancia (pérdida)</v>
      </c>
      <c r="V3014" s="190" t="str">
        <f>VLOOKUP(E3014,Valida!$A$2:$K$271,4,FALSE)</f>
        <v>P&amp;L</v>
      </c>
      <c r="W3014" s="185"/>
      <c r="X3014" s="185"/>
      <c r="Y3014" s="185"/>
      <c r="Z3014"/>
    </row>
    <row r="3015" spans="1:26">
      <c r="A3015" s="185" t="s">
        <v>3676</v>
      </c>
      <c r="B3015" s="185" t="s">
        <v>3740</v>
      </c>
      <c r="C3015" s="185" t="s">
        <v>1792</v>
      </c>
      <c r="D3015" s="185" t="s">
        <v>2688</v>
      </c>
      <c r="E3015" s="185">
        <v>23351001</v>
      </c>
      <c r="F3015" s="185" t="s">
        <v>453</v>
      </c>
      <c r="G3015" s="185" t="s">
        <v>3741</v>
      </c>
      <c r="H3015" s="185" t="s">
        <v>1628</v>
      </c>
      <c r="I3015" s="258" t="str">
        <f t="shared" si="142"/>
        <v>2</v>
      </c>
      <c r="J3015" s="221">
        <f t="shared" si="143"/>
        <v>-37000</v>
      </c>
      <c r="K3015" s="258">
        <f t="shared" si="144"/>
        <v>11</v>
      </c>
      <c r="L3015" s="188">
        <v>0</v>
      </c>
      <c r="M3015" s="188">
        <v>37000</v>
      </c>
      <c r="N3015" s="189">
        <v>900180739</v>
      </c>
      <c r="O3015"/>
      <c r="P3015" s="187">
        <v>45258.617418981499</v>
      </c>
      <c r="Q3015" s="186">
        <v>14660</v>
      </c>
      <c r="R3015" s="185" t="s">
        <v>6</v>
      </c>
      <c r="S3015" s="185" t="s">
        <v>1594</v>
      </c>
      <c r="T3015"/>
      <c r="U3015" t="str">
        <f>IF($L3015&gt;0,VLOOKUP($E3015,Valida!$A$1:$G$270,6,FALSE),IF($M3015&gt;=0,VLOOKUP($E3015,Valida!$A$1:$G$270,7,FALSE)))</f>
        <v>(+/-) Ajustes por el incremento (disminución) de cuentas por pagar de origen comercial</v>
      </c>
      <c r="V3015" s="190" t="str">
        <f>VLOOKUP(E3015,Valida!$A$2:$K$271,4,FALSE)</f>
        <v>Trade and other payables</v>
      </c>
      <c r="W3015" s="185"/>
      <c r="X3015" s="185"/>
      <c r="Y3015" s="185"/>
      <c r="Z3015"/>
    </row>
    <row r="3016" spans="1:26">
      <c r="A3016" s="185" t="s">
        <v>3676</v>
      </c>
      <c r="B3016" s="185" t="s">
        <v>3742</v>
      </c>
      <c r="C3016" s="185" t="s">
        <v>1890</v>
      </c>
      <c r="D3016" s="185" t="s">
        <v>3743</v>
      </c>
      <c r="E3016" s="185">
        <v>23351001</v>
      </c>
      <c r="F3016" s="185" t="s">
        <v>453</v>
      </c>
      <c r="G3016" s="185" t="s">
        <v>3741</v>
      </c>
      <c r="H3016" s="185" t="s">
        <v>1515</v>
      </c>
      <c r="I3016" s="258" t="str">
        <f t="shared" si="142"/>
        <v>2</v>
      </c>
      <c r="J3016" s="221">
        <f t="shared" si="143"/>
        <v>37000</v>
      </c>
      <c r="K3016" s="258">
        <f t="shared" si="144"/>
        <v>11</v>
      </c>
      <c r="L3016" s="188">
        <v>37000</v>
      </c>
      <c r="M3016" s="188">
        <v>0</v>
      </c>
      <c r="N3016" s="189">
        <v>900180739</v>
      </c>
      <c r="O3016"/>
      <c r="P3016" s="187">
        <v>45258.617766203701</v>
      </c>
      <c r="Q3016" s="186">
        <v>14661</v>
      </c>
      <c r="R3016" s="185" t="s">
        <v>6</v>
      </c>
      <c r="S3016" s="185" t="s">
        <v>1594</v>
      </c>
      <c r="T3016"/>
      <c r="U3016" t="str">
        <f>IF($L3016&gt;0,VLOOKUP($E3016,Valida!$A$1:$G$270,6,FALSE),IF($M3016&gt;=0,VLOOKUP($E3016,Valida!$A$1:$G$270,7,FALSE)))</f>
        <v>(+/-) Ajustes por el incremento (disminución) de cuentas por pagar de origen comercial</v>
      </c>
      <c r="V3016" s="190" t="str">
        <f>VLOOKUP(E3016,Valida!$A$2:$K$271,4,FALSE)</f>
        <v>Trade and other payables</v>
      </c>
      <c r="W3016" s="185"/>
      <c r="X3016" s="185"/>
      <c r="Y3016" s="185"/>
      <c r="Z3016"/>
    </row>
    <row r="3017" spans="1:26">
      <c r="A3017" s="185" t="s">
        <v>3676</v>
      </c>
      <c r="B3017" s="185" t="s">
        <v>3742</v>
      </c>
      <c r="C3017" s="185" t="s">
        <v>1890</v>
      </c>
      <c r="D3017" s="185" t="s">
        <v>3743</v>
      </c>
      <c r="E3017" s="185">
        <v>112005</v>
      </c>
      <c r="F3017" s="185" t="s">
        <v>24</v>
      </c>
      <c r="G3017" s="185" t="s">
        <v>3741</v>
      </c>
      <c r="H3017" s="185" t="s">
        <v>1628</v>
      </c>
      <c r="I3017" s="258" t="str">
        <f t="shared" si="142"/>
        <v>1</v>
      </c>
      <c r="J3017" s="221">
        <f t="shared" si="143"/>
        <v>-37000</v>
      </c>
      <c r="K3017" s="258">
        <f t="shared" si="144"/>
        <v>11</v>
      </c>
      <c r="L3017" s="188">
        <v>0</v>
      </c>
      <c r="M3017" s="188">
        <v>37000</v>
      </c>
      <c r="N3017" s="189">
        <v>900180739</v>
      </c>
      <c r="O3017"/>
      <c r="P3017" s="187">
        <v>45258.617766203701</v>
      </c>
      <c r="Q3017" s="186">
        <v>14662</v>
      </c>
      <c r="R3017" s="185" t="s">
        <v>6</v>
      </c>
      <c r="S3017" s="185" t="s">
        <v>1594</v>
      </c>
      <c r="T3017" t="s">
        <v>1894</v>
      </c>
      <c r="U3017" t="str">
        <f>IF($L3017&gt;0,VLOOKUP($E3017,Valida!$A$1:$G$270,6,FALSE),IF($M3017&gt;=0,VLOOKUP($E3017,Valida!$A$1:$G$270,7,FALSE)))</f>
        <v>Disponible</v>
      </c>
      <c r="V3017" s="190" t="str">
        <f>VLOOKUP(E3017,Valida!$A$2:$K$271,4,FALSE)</f>
        <v>Cash and equivalents</v>
      </c>
      <c r="W3017" s="185"/>
      <c r="X3017" s="185"/>
      <c r="Y3017" s="185"/>
      <c r="Z3017"/>
    </row>
    <row r="3018" spans="1:26">
      <c r="A3018" s="185" t="s">
        <v>3682</v>
      </c>
      <c r="B3018" s="185" t="s">
        <v>3744</v>
      </c>
      <c r="C3018" s="185" t="s">
        <v>1890</v>
      </c>
      <c r="D3018" s="185" t="s">
        <v>3745</v>
      </c>
      <c r="E3018" s="185">
        <v>23359502</v>
      </c>
      <c r="F3018" s="185" t="s">
        <v>547</v>
      </c>
      <c r="G3018" s="185" t="s">
        <v>1921</v>
      </c>
      <c r="H3018" s="185" t="s">
        <v>1515</v>
      </c>
      <c r="I3018" s="258" t="str">
        <f t="shared" si="142"/>
        <v>2</v>
      </c>
      <c r="J3018" s="221">
        <f t="shared" si="143"/>
        <v>248506</v>
      </c>
      <c r="K3018" s="258">
        <f t="shared" si="144"/>
        <v>11</v>
      </c>
      <c r="L3018" s="188">
        <v>248506</v>
      </c>
      <c r="M3018" s="188">
        <v>0</v>
      </c>
      <c r="N3018" s="189">
        <v>900970641</v>
      </c>
      <c r="O3018"/>
      <c r="P3018" s="187">
        <v>45258.618576388901</v>
      </c>
      <c r="Q3018" s="186">
        <v>14663</v>
      </c>
      <c r="R3018" s="185" t="s">
        <v>1814</v>
      </c>
      <c r="S3018" s="185" t="s">
        <v>1604</v>
      </c>
      <c r="T3018"/>
      <c r="U3018" t="str">
        <f>IF($L3018&gt;0,VLOOKUP($E3018,Valida!$A$1:$G$270,6,FALSE),IF($M3018&gt;=0,VLOOKUP($E3018,Valida!$A$1:$G$270,7,FALSE)))</f>
        <v>(+/-) Ajustes por el incremento (disminución) de cuentas por pagar de origen comercial</v>
      </c>
      <c r="V3018" s="190" t="str">
        <f>VLOOKUP(E3018,Valida!$A$2:$K$271,4,FALSE)</f>
        <v>Trade and other payables</v>
      </c>
      <c r="W3018" s="185" t="s">
        <v>3680</v>
      </c>
      <c r="X3018" s="185" t="s">
        <v>3681</v>
      </c>
      <c r="Y3018" s="185" t="s">
        <v>1789</v>
      </c>
      <c r="Z3018"/>
    </row>
    <row r="3019" spans="1:26">
      <c r="A3019" s="185" t="s">
        <v>3682</v>
      </c>
      <c r="B3019" s="185" t="s">
        <v>3744</v>
      </c>
      <c r="C3019" s="185" t="s">
        <v>1890</v>
      </c>
      <c r="D3019" s="185" t="s">
        <v>3745</v>
      </c>
      <c r="E3019" s="185">
        <v>112005</v>
      </c>
      <c r="F3019" s="185" t="s">
        <v>24</v>
      </c>
      <c r="G3019" s="185" t="s">
        <v>1921</v>
      </c>
      <c r="H3019" s="185" t="s">
        <v>1628</v>
      </c>
      <c r="I3019" s="258" t="str">
        <f t="shared" si="142"/>
        <v>1</v>
      </c>
      <c r="J3019" s="221">
        <f t="shared" si="143"/>
        <v>-248506</v>
      </c>
      <c r="K3019" s="258">
        <f t="shared" si="144"/>
        <v>11</v>
      </c>
      <c r="L3019" s="188">
        <v>0</v>
      </c>
      <c r="M3019" s="188">
        <v>248506</v>
      </c>
      <c r="N3019" s="189">
        <v>900970641</v>
      </c>
      <c r="O3019"/>
      <c r="P3019" s="187">
        <v>45258.618576388901</v>
      </c>
      <c r="Q3019" s="186">
        <v>14664</v>
      </c>
      <c r="R3019" s="185" t="s">
        <v>1814</v>
      </c>
      <c r="S3019" s="185" t="s">
        <v>1604</v>
      </c>
      <c r="T3019" t="s">
        <v>1894</v>
      </c>
      <c r="U3019" t="str">
        <f>IF($L3019&gt;0,VLOOKUP($E3019,Valida!$A$1:$G$270,6,FALSE),IF($M3019&gt;=0,VLOOKUP($E3019,Valida!$A$1:$G$270,7,FALSE)))</f>
        <v>Disponible</v>
      </c>
      <c r="V3019" s="190" t="str">
        <f>VLOOKUP(E3019,Valida!$A$2:$K$271,4,FALSE)</f>
        <v>Cash and equivalents</v>
      </c>
      <c r="W3019" s="185" t="s">
        <v>3680</v>
      </c>
      <c r="X3019" s="185" t="s">
        <v>3681</v>
      </c>
      <c r="Y3019" s="185" t="s">
        <v>1789</v>
      </c>
      <c r="Z3019"/>
    </row>
    <row r="3020" spans="1:26">
      <c r="A3020" s="185" t="s">
        <v>3707</v>
      </c>
      <c r="B3020" s="185" t="s">
        <v>3746</v>
      </c>
      <c r="C3020" s="185" t="s">
        <v>1792</v>
      </c>
      <c r="D3020" s="185" t="s">
        <v>2691</v>
      </c>
      <c r="E3020" s="185">
        <v>51952501</v>
      </c>
      <c r="F3020" s="185" t="s">
        <v>1412</v>
      </c>
      <c r="G3020" s="185" t="s">
        <v>1412</v>
      </c>
      <c r="H3020" s="185" t="s">
        <v>1515</v>
      </c>
      <c r="I3020" s="258" t="str">
        <f t="shared" si="142"/>
        <v>5</v>
      </c>
      <c r="J3020" s="221">
        <f t="shared" si="143"/>
        <v>422000</v>
      </c>
      <c r="K3020" s="258">
        <f t="shared" si="144"/>
        <v>11</v>
      </c>
      <c r="L3020" s="188">
        <v>422000</v>
      </c>
      <c r="M3020" s="188">
        <v>0</v>
      </c>
      <c r="N3020" s="189">
        <v>901636211</v>
      </c>
      <c r="O3020" t="s">
        <v>3747</v>
      </c>
      <c r="P3020" s="187">
        <v>45258.621585648201</v>
      </c>
      <c r="Q3020" s="186">
        <v>14665</v>
      </c>
      <c r="R3020" s="185" t="s">
        <v>1901</v>
      </c>
      <c r="S3020" s="185" t="s">
        <v>1612</v>
      </c>
      <c r="T3020"/>
      <c r="U3020" t="str">
        <f>IF($L3020&gt;0,VLOOKUP($E3020,Valida!$A$1:$G$270,6,FALSE),IF($M3020&gt;=0,VLOOKUP($E3020,Valida!$A$1:$G$270,7,FALSE)))</f>
        <v>(+/-) Ganancia (pérdida)</v>
      </c>
      <c r="V3020" s="190" t="str">
        <f>VLOOKUP(E3020,Valida!$A$2:$K$271,4,FALSE)</f>
        <v>P&amp;L</v>
      </c>
      <c r="W3020" s="185" t="s">
        <v>3316</v>
      </c>
      <c r="X3020" s="185"/>
      <c r="Y3020" s="185" t="s">
        <v>1789</v>
      </c>
      <c r="Z3020"/>
    </row>
    <row r="3021" spans="1:26">
      <c r="A3021" s="185" t="s">
        <v>3707</v>
      </c>
      <c r="B3021" s="185" t="s">
        <v>3746</v>
      </c>
      <c r="C3021" s="185" t="s">
        <v>1792</v>
      </c>
      <c r="D3021" s="185" t="s">
        <v>2691</v>
      </c>
      <c r="E3021" s="185">
        <v>24081002</v>
      </c>
      <c r="F3021" s="185" t="s">
        <v>1687</v>
      </c>
      <c r="G3021" s="185" t="s">
        <v>1412</v>
      </c>
      <c r="H3021" s="185" t="s">
        <v>1515</v>
      </c>
      <c r="I3021" s="258" t="str">
        <f t="shared" si="142"/>
        <v>2</v>
      </c>
      <c r="J3021" s="221">
        <f t="shared" si="143"/>
        <v>80180</v>
      </c>
      <c r="K3021" s="258">
        <f t="shared" si="144"/>
        <v>11</v>
      </c>
      <c r="L3021" s="188">
        <v>80180</v>
      </c>
      <c r="M3021" s="188">
        <v>0</v>
      </c>
      <c r="N3021" s="189">
        <v>901636211</v>
      </c>
      <c r="O3021" t="s">
        <v>3747</v>
      </c>
      <c r="P3021" s="187">
        <v>45258.621585648201</v>
      </c>
      <c r="Q3021" s="186">
        <v>14666</v>
      </c>
      <c r="R3021" s="185" t="s">
        <v>1901</v>
      </c>
      <c r="S3021" s="185" t="s">
        <v>1612</v>
      </c>
      <c r="T3021"/>
      <c r="U3021" t="str">
        <f>IF($L3021&gt;0,VLOOKUP($E3021,Valida!$A$1:$G$270,6,FALSE),IF($M3021&gt;=0,VLOOKUP($E3021,Valida!$A$1:$G$270,7,FALSE)))</f>
        <v>(+/-) Ajustes por el incremento (disminución) de cuentas por pagar de origen comercial</v>
      </c>
      <c r="V3021" s="190" t="str">
        <f>VLOOKUP(E3021,Valida!$A$2:$K$271,4,FALSE)</f>
        <v>Trade and other payables</v>
      </c>
      <c r="W3021" s="185" t="s">
        <v>3316</v>
      </c>
      <c r="X3021" s="185"/>
      <c r="Y3021" s="185" t="s">
        <v>1789</v>
      </c>
      <c r="Z3021"/>
    </row>
    <row r="3022" spans="1:26">
      <c r="A3022" s="185" t="s">
        <v>3707</v>
      </c>
      <c r="B3022" s="185" t="s">
        <v>3746</v>
      </c>
      <c r="C3022" s="185" t="s">
        <v>1792</v>
      </c>
      <c r="D3022" s="185" t="s">
        <v>2691</v>
      </c>
      <c r="E3022" s="185">
        <v>23359502</v>
      </c>
      <c r="F3022" s="185" t="s">
        <v>547</v>
      </c>
      <c r="G3022" s="185" t="s">
        <v>547</v>
      </c>
      <c r="H3022" s="185" t="s">
        <v>1628</v>
      </c>
      <c r="I3022" s="258" t="str">
        <f t="shared" si="142"/>
        <v>2</v>
      </c>
      <c r="J3022" s="221">
        <f t="shared" si="143"/>
        <v>-502180</v>
      </c>
      <c r="K3022" s="258">
        <f t="shared" si="144"/>
        <v>11</v>
      </c>
      <c r="L3022" s="188">
        <v>0</v>
      </c>
      <c r="M3022" s="188">
        <v>502180</v>
      </c>
      <c r="N3022" s="189">
        <v>901636211</v>
      </c>
      <c r="O3022" t="s">
        <v>3747</v>
      </c>
      <c r="P3022" s="187">
        <v>45258.621585648201</v>
      </c>
      <c r="Q3022" s="186">
        <v>14667</v>
      </c>
      <c r="R3022" s="185" t="s">
        <v>1901</v>
      </c>
      <c r="S3022" s="185" t="s">
        <v>1612</v>
      </c>
      <c r="T3022"/>
      <c r="U3022" t="str">
        <f>IF($L3022&gt;0,VLOOKUP($E3022,Valida!$A$1:$G$270,6,FALSE),IF($M3022&gt;=0,VLOOKUP($E3022,Valida!$A$1:$G$270,7,FALSE)))</f>
        <v>(+/-) Ajustes por el incremento (disminución) de cuentas por pagar de origen comercial</v>
      </c>
      <c r="V3022" s="190" t="str">
        <f>VLOOKUP(E3022,Valida!$A$2:$K$271,4,FALSE)</f>
        <v>Trade and other payables</v>
      </c>
      <c r="W3022" s="185" t="s">
        <v>3316</v>
      </c>
      <c r="X3022" s="185"/>
      <c r="Y3022" s="185" t="s">
        <v>1789</v>
      </c>
      <c r="Z3022"/>
    </row>
    <row r="3023" spans="1:26">
      <c r="A3023" s="185" t="s">
        <v>3687</v>
      </c>
      <c r="B3023" s="185" t="s">
        <v>3748</v>
      </c>
      <c r="C3023" s="185" t="s">
        <v>1890</v>
      </c>
      <c r="D3023" s="185" t="s">
        <v>3749</v>
      </c>
      <c r="E3023" s="185">
        <v>112005</v>
      </c>
      <c r="F3023" s="185" t="s">
        <v>24</v>
      </c>
      <c r="G3023" s="185" t="s">
        <v>2174</v>
      </c>
      <c r="H3023" s="185" t="s">
        <v>1628</v>
      </c>
      <c r="I3023" s="258" t="str">
        <f t="shared" si="142"/>
        <v>1</v>
      </c>
      <c r="J3023" s="221">
        <f t="shared" si="143"/>
        <v>-1455000</v>
      </c>
      <c r="K3023" s="258">
        <f t="shared" si="144"/>
        <v>11</v>
      </c>
      <c r="L3023" s="188">
        <v>0</v>
      </c>
      <c r="M3023" s="188">
        <v>1455000</v>
      </c>
      <c r="N3023" s="189">
        <v>800197268</v>
      </c>
      <c r="O3023"/>
      <c r="P3023" s="187">
        <v>45258.622118055602</v>
      </c>
      <c r="Q3023" s="186">
        <v>14668</v>
      </c>
      <c r="R3023" s="185" t="s">
        <v>983</v>
      </c>
      <c r="S3023" s="185" t="s">
        <v>1558</v>
      </c>
      <c r="T3023" t="s">
        <v>1894</v>
      </c>
      <c r="U3023" t="str">
        <f>IF($L3023&gt;0,VLOOKUP($E3023,Valida!$A$1:$G$270,6,FALSE),IF($M3023&gt;=0,VLOOKUP($E3023,Valida!$A$1:$G$270,7,FALSE)))</f>
        <v>Disponible</v>
      </c>
      <c r="V3023" s="190" t="str">
        <f>VLOOKUP(E3023,Valida!$A$2:$K$271,4,FALSE)</f>
        <v>Cash and equivalents</v>
      </c>
      <c r="W3023" s="185" t="s">
        <v>1944</v>
      </c>
      <c r="X3023" s="185"/>
      <c r="Y3023" s="185" t="s">
        <v>1789</v>
      </c>
      <c r="Z3023"/>
    </row>
    <row r="3024" spans="1:26">
      <c r="A3024" s="185" t="s">
        <v>3687</v>
      </c>
      <c r="B3024" s="185" t="s">
        <v>3748</v>
      </c>
      <c r="C3024" s="185" t="s">
        <v>1890</v>
      </c>
      <c r="D3024" s="185" t="s">
        <v>3749</v>
      </c>
      <c r="E3024" s="185">
        <v>236595</v>
      </c>
      <c r="F3024" s="185" t="s">
        <v>648</v>
      </c>
      <c r="G3024" s="185" t="s">
        <v>2174</v>
      </c>
      <c r="H3024" s="185" t="s">
        <v>1515</v>
      </c>
      <c r="I3024" s="258" t="str">
        <f t="shared" si="142"/>
        <v>2</v>
      </c>
      <c r="J3024" s="221">
        <f t="shared" si="143"/>
        <v>1455000</v>
      </c>
      <c r="K3024" s="258">
        <f t="shared" si="144"/>
        <v>11</v>
      </c>
      <c r="L3024" s="188">
        <v>1455000</v>
      </c>
      <c r="M3024" s="188">
        <v>0</v>
      </c>
      <c r="N3024" s="189">
        <v>800197268</v>
      </c>
      <c r="O3024"/>
      <c r="P3024" s="187">
        <v>45258.622118055602</v>
      </c>
      <c r="Q3024" s="186">
        <v>14669</v>
      </c>
      <c r="R3024" s="185" t="s">
        <v>983</v>
      </c>
      <c r="S3024" s="185" t="s">
        <v>1558</v>
      </c>
      <c r="T3024"/>
      <c r="U3024" t="str">
        <f>IF($L3024&gt;0,VLOOKUP($E3024,Valida!$A$1:$G$270,6,FALSE),IF($M3024&gt;=0,VLOOKUP($E3024,Valida!$A$1:$G$270,7,FALSE)))</f>
        <v>(+/-) Ajustes por el incremento (disminución) de cuentas por pagar de origen comercial</v>
      </c>
      <c r="V3024" s="190" t="str">
        <f>VLOOKUP(E3024,Valida!$A$2:$K$271,4,FALSE)</f>
        <v>Trade and other payables</v>
      </c>
      <c r="W3024" s="185" t="s">
        <v>1944</v>
      </c>
      <c r="X3024" s="185"/>
      <c r="Y3024" s="185" t="s">
        <v>1789</v>
      </c>
      <c r="Z3024"/>
    </row>
    <row r="3025" spans="1:26">
      <c r="A3025" s="185" t="s">
        <v>3690</v>
      </c>
      <c r="B3025" s="185" t="s">
        <v>3750</v>
      </c>
      <c r="C3025" s="185" t="s">
        <v>1890</v>
      </c>
      <c r="D3025" s="185" t="s">
        <v>3751</v>
      </c>
      <c r="E3025" s="185">
        <v>23355007</v>
      </c>
      <c r="F3025" s="185" t="s">
        <v>1638</v>
      </c>
      <c r="G3025" s="185" t="s">
        <v>1921</v>
      </c>
      <c r="H3025" s="185" t="s">
        <v>1515</v>
      </c>
      <c r="I3025" s="258" t="str">
        <f t="shared" si="142"/>
        <v>2</v>
      </c>
      <c r="J3025" s="221">
        <f t="shared" si="143"/>
        <v>244511.77</v>
      </c>
      <c r="K3025" s="258">
        <f t="shared" si="144"/>
        <v>11</v>
      </c>
      <c r="L3025" s="188">
        <v>244511.77</v>
      </c>
      <c r="M3025" s="188">
        <v>0</v>
      </c>
      <c r="N3025" s="189">
        <v>444444001</v>
      </c>
      <c r="O3025"/>
      <c r="P3025" s="187">
        <v>45258.622870370396</v>
      </c>
      <c r="Q3025" s="186">
        <v>14670</v>
      </c>
      <c r="R3025" s="185"/>
      <c r="S3025" s="185" t="s">
        <v>1548</v>
      </c>
      <c r="T3025"/>
      <c r="U3025" t="str">
        <f>IF($L3025&gt;0,VLOOKUP($E3025,Valida!$A$1:$G$270,6,FALSE),IF($M3025&gt;=0,VLOOKUP($E3025,Valida!$A$1:$G$270,7,FALSE)))</f>
        <v>(+/-) Ajustes por el incremento (disminución) de cuentas por pagar de origen comercial</v>
      </c>
      <c r="V3025" s="190" t="str">
        <f>VLOOKUP(E3025,Valida!$A$2:$K$271,4,FALSE)</f>
        <v>Trade and other payables</v>
      </c>
      <c r="W3025" s="185"/>
      <c r="X3025" s="185"/>
      <c r="Y3025" s="185"/>
      <c r="Z3025"/>
    </row>
    <row r="3026" spans="1:26">
      <c r="A3026" s="185" t="s">
        <v>3690</v>
      </c>
      <c r="B3026" s="185" t="s">
        <v>3750</v>
      </c>
      <c r="C3026" s="185" t="s">
        <v>1890</v>
      </c>
      <c r="D3026" s="185" t="s">
        <v>3751</v>
      </c>
      <c r="E3026" s="185">
        <v>112005</v>
      </c>
      <c r="F3026" s="185" t="s">
        <v>24</v>
      </c>
      <c r="G3026" s="185" t="s">
        <v>1921</v>
      </c>
      <c r="H3026" s="185" t="s">
        <v>1628</v>
      </c>
      <c r="I3026" s="258" t="str">
        <f t="shared" si="142"/>
        <v>1</v>
      </c>
      <c r="J3026" s="221">
        <f t="shared" si="143"/>
        <v>-244511.77</v>
      </c>
      <c r="K3026" s="258">
        <f t="shared" si="144"/>
        <v>11</v>
      </c>
      <c r="L3026" s="188">
        <v>0</v>
      </c>
      <c r="M3026" s="188">
        <v>244511.77</v>
      </c>
      <c r="N3026" s="189">
        <v>0</v>
      </c>
      <c r="O3026"/>
      <c r="P3026" s="187">
        <v>45258.622870370396</v>
      </c>
      <c r="Q3026" s="186">
        <v>14671</v>
      </c>
      <c r="R3026" s="185"/>
      <c r="S3026" s="185" t="s">
        <v>1520</v>
      </c>
      <c r="T3026" t="s">
        <v>1894</v>
      </c>
      <c r="U3026" t="str">
        <f>IF($L3026&gt;0,VLOOKUP($E3026,Valida!$A$1:$G$270,6,FALSE),IF($M3026&gt;=0,VLOOKUP($E3026,Valida!$A$1:$G$270,7,FALSE)))</f>
        <v>Disponible</v>
      </c>
      <c r="V3026" s="190" t="str">
        <f>VLOOKUP(E3026,Valida!$A$2:$K$271,4,FALSE)</f>
        <v>Cash and equivalents</v>
      </c>
      <c r="W3026" s="185"/>
      <c r="X3026" s="185"/>
      <c r="Y3026" s="185"/>
      <c r="Z3026"/>
    </row>
    <row r="3027" spans="1:26">
      <c r="A3027" s="185" t="s">
        <v>3752</v>
      </c>
      <c r="B3027" s="185" t="s">
        <v>3753</v>
      </c>
      <c r="C3027" s="185" t="s">
        <v>1890</v>
      </c>
      <c r="D3027" s="185" t="s">
        <v>3754</v>
      </c>
      <c r="E3027" s="185">
        <v>23359505</v>
      </c>
      <c r="F3027" s="185" t="s">
        <v>557</v>
      </c>
      <c r="G3027" s="185" t="s">
        <v>3755</v>
      </c>
      <c r="H3027" s="185" t="s">
        <v>1515</v>
      </c>
      <c r="I3027" s="258" t="str">
        <f t="shared" si="142"/>
        <v>2</v>
      </c>
      <c r="J3027" s="221">
        <f t="shared" si="143"/>
        <v>81529</v>
      </c>
      <c r="K3027" s="258">
        <f t="shared" si="144"/>
        <v>11</v>
      </c>
      <c r="L3027" s="188">
        <v>81529</v>
      </c>
      <c r="M3027" s="188">
        <v>0</v>
      </c>
      <c r="N3027" s="189">
        <v>901051438</v>
      </c>
      <c r="O3027"/>
      <c r="P3027" s="187">
        <v>45258.624571759297</v>
      </c>
      <c r="Q3027" s="186">
        <v>14672</v>
      </c>
      <c r="R3027" s="185" t="s">
        <v>1841</v>
      </c>
      <c r="S3027" s="185" t="s">
        <v>1608</v>
      </c>
      <c r="T3027"/>
      <c r="U3027" t="str">
        <f>IF($L3027&gt;0,VLOOKUP($E3027,Valida!$A$1:$G$270,6,FALSE),IF($M3027&gt;=0,VLOOKUP($E3027,Valida!$A$1:$G$270,7,FALSE)))</f>
        <v>(+/-) Ajustes por el incremento (disminución) de cuentas por pagar de origen comercial</v>
      </c>
      <c r="V3027" s="190" t="str">
        <f>VLOOKUP(E3027,Valida!$A$2:$K$271,4,FALSE)</f>
        <v>Trade and other payables</v>
      </c>
      <c r="W3027" s="185" t="s">
        <v>1878</v>
      </c>
      <c r="X3027" s="185" t="s">
        <v>1879</v>
      </c>
      <c r="Y3027" s="185" t="s">
        <v>1789</v>
      </c>
      <c r="Z3027"/>
    </row>
    <row r="3028" spans="1:26">
      <c r="A3028" s="185" t="s">
        <v>3752</v>
      </c>
      <c r="B3028" s="185" t="s">
        <v>3753</v>
      </c>
      <c r="C3028" s="185" t="s">
        <v>1890</v>
      </c>
      <c r="D3028" s="185" t="s">
        <v>3754</v>
      </c>
      <c r="E3028" s="185">
        <v>112005</v>
      </c>
      <c r="F3028" s="185" t="s">
        <v>24</v>
      </c>
      <c r="G3028" s="185" t="s">
        <v>3755</v>
      </c>
      <c r="H3028" s="185" t="s">
        <v>1628</v>
      </c>
      <c r="I3028" s="258" t="str">
        <f t="shared" si="142"/>
        <v>1</v>
      </c>
      <c r="J3028" s="221">
        <f t="shared" si="143"/>
        <v>-81529</v>
      </c>
      <c r="K3028" s="258">
        <f t="shared" si="144"/>
        <v>11</v>
      </c>
      <c r="L3028" s="188">
        <v>0</v>
      </c>
      <c r="M3028" s="188">
        <v>81529</v>
      </c>
      <c r="N3028" s="189">
        <v>901051438</v>
      </c>
      <c r="O3028"/>
      <c r="P3028" s="187">
        <v>45258.624571759297</v>
      </c>
      <c r="Q3028" s="186">
        <v>14673</v>
      </c>
      <c r="R3028" s="185" t="s">
        <v>1841</v>
      </c>
      <c r="S3028" s="185" t="s">
        <v>1608</v>
      </c>
      <c r="T3028" t="s">
        <v>1894</v>
      </c>
      <c r="U3028" t="str">
        <f>IF($L3028&gt;0,VLOOKUP($E3028,Valida!$A$1:$G$270,6,FALSE),IF($M3028&gt;=0,VLOOKUP($E3028,Valida!$A$1:$G$270,7,FALSE)))</f>
        <v>Disponible</v>
      </c>
      <c r="V3028" s="190" t="str">
        <f>VLOOKUP(E3028,Valida!$A$2:$K$271,4,FALSE)</f>
        <v>Cash and equivalents</v>
      </c>
      <c r="W3028" s="185" t="s">
        <v>1878</v>
      </c>
      <c r="X3028" s="185" t="s">
        <v>1879</v>
      </c>
      <c r="Y3028" s="185" t="s">
        <v>1789</v>
      </c>
      <c r="Z3028"/>
    </row>
    <row r="3029" spans="1:26">
      <c r="A3029" s="185" t="s">
        <v>3752</v>
      </c>
      <c r="B3029" s="185" t="s">
        <v>3756</v>
      </c>
      <c r="C3029" s="185" t="s">
        <v>1890</v>
      </c>
      <c r="D3029" s="185" t="s">
        <v>3757</v>
      </c>
      <c r="E3029" s="185">
        <v>23354001</v>
      </c>
      <c r="F3029" s="185" t="s">
        <v>484</v>
      </c>
      <c r="G3029" s="185" t="s">
        <v>1921</v>
      </c>
      <c r="H3029" s="185" t="s">
        <v>1515</v>
      </c>
      <c r="I3029" s="258" t="str">
        <f t="shared" si="142"/>
        <v>2</v>
      </c>
      <c r="J3029" s="221">
        <f t="shared" si="143"/>
        <v>3955088</v>
      </c>
      <c r="K3029" s="258">
        <f t="shared" si="144"/>
        <v>11</v>
      </c>
      <c r="L3029" s="188">
        <v>3955088</v>
      </c>
      <c r="M3029" s="188">
        <v>0</v>
      </c>
      <c r="N3029" s="189">
        <v>860044821</v>
      </c>
      <c r="O3029"/>
      <c r="P3029" s="187">
        <v>45258.625034722201</v>
      </c>
      <c r="Q3029" s="186">
        <v>14674</v>
      </c>
      <c r="R3029" s="185" t="s">
        <v>6</v>
      </c>
      <c r="S3029" s="185" t="s">
        <v>1570</v>
      </c>
      <c r="T3029"/>
      <c r="U3029" t="str">
        <f>IF($L3029&gt;0,VLOOKUP($E3029,Valida!$A$1:$G$270,6,FALSE),IF($M3029&gt;=0,VLOOKUP($E3029,Valida!$A$1:$G$270,7,FALSE)))</f>
        <v>(+/-) Ajustes por el incremento (disminución) de cuentas por pagar de origen comercial</v>
      </c>
      <c r="V3029" s="190" t="str">
        <f>VLOOKUP(E3029,Valida!$A$2:$K$271,4,FALSE)</f>
        <v>Trade and other payables</v>
      </c>
      <c r="W3029" s="185" t="s">
        <v>2048</v>
      </c>
      <c r="X3029" s="185"/>
      <c r="Y3029" s="185" t="s">
        <v>1789</v>
      </c>
      <c r="Z3029"/>
    </row>
    <row r="3030" spans="1:26">
      <c r="A3030" s="185" t="s">
        <v>3752</v>
      </c>
      <c r="B3030" s="185" t="s">
        <v>3756</v>
      </c>
      <c r="C3030" s="185" t="s">
        <v>1890</v>
      </c>
      <c r="D3030" s="185" t="s">
        <v>3757</v>
      </c>
      <c r="E3030" s="185">
        <v>112005</v>
      </c>
      <c r="F3030" s="185" t="s">
        <v>24</v>
      </c>
      <c r="G3030" s="185" t="s">
        <v>1921</v>
      </c>
      <c r="H3030" s="185" t="s">
        <v>1628</v>
      </c>
      <c r="I3030" s="258" t="str">
        <f t="shared" si="142"/>
        <v>1</v>
      </c>
      <c r="J3030" s="221">
        <f t="shared" si="143"/>
        <v>-3955088</v>
      </c>
      <c r="K3030" s="258">
        <f t="shared" si="144"/>
        <v>11</v>
      </c>
      <c r="L3030" s="188">
        <v>0</v>
      </c>
      <c r="M3030" s="188">
        <v>3955088</v>
      </c>
      <c r="N3030" s="189">
        <v>860044821</v>
      </c>
      <c r="O3030"/>
      <c r="P3030" s="187">
        <v>45258.625034722201</v>
      </c>
      <c r="Q3030" s="186">
        <v>14675</v>
      </c>
      <c r="R3030" s="185" t="s">
        <v>6</v>
      </c>
      <c r="S3030" s="185" t="s">
        <v>1570</v>
      </c>
      <c r="T3030" t="s">
        <v>1894</v>
      </c>
      <c r="U3030" t="str">
        <f>IF($L3030&gt;0,VLOOKUP($E3030,Valida!$A$1:$G$270,6,FALSE),IF($M3030&gt;=0,VLOOKUP($E3030,Valida!$A$1:$G$270,7,FALSE)))</f>
        <v>Disponible</v>
      </c>
      <c r="V3030" s="190" t="str">
        <f>VLOOKUP(E3030,Valida!$A$2:$K$271,4,FALSE)</f>
        <v>Cash and equivalents</v>
      </c>
      <c r="W3030" s="185" t="s">
        <v>2048</v>
      </c>
      <c r="X3030" s="185"/>
      <c r="Y3030" s="185" t="s">
        <v>1789</v>
      </c>
      <c r="Z3030"/>
    </row>
    <row r="3031" spans="1:26">
      <c r="A3031" s="185" t="s">
        <v>3752</v>
      </c>
      <c r="B3031" s="185" t="s">
        <v>3758</v>
      </c>
      <c r="C3031" s="185" t="s">
        <v>1890</v>
      </c>
      <c r="D3031" s="185" t="s">
        <v>3759</v>
      </c>
      <c r="E3031" s="185">
        <v>23354001</v>
      </c>
      <c r="F3031" s="185" t="s">
        <v>484</v>
      </c>
      <c r="G3031" s="185" t="s">
        <v>1921</v>
      </c>
      <c r="H3031" s="185" t="s">
        <v>1515</v>
      </c>
      <c r="I3031" s="258" t="str">
        <f t="shared" si="142"/>
        <v>2</v>
      </c>
      <c r="J3031" s="221">
        <f t="shared" si="143"/>
        <v>14603085</v>
      </c>
      <c r="K3031" s="258">
        <f t="shared" si="144"/>
        <v>11</v>
      </c>
      <c r="L3031" s="188">
        <v>14603085</v>
      </c>
      <c r="M3031" s="188">
        <v>0</v>
      </c>
      <c r="N3031" s="189">
        <v>900471482</v>
      </c>
      <c r="O3031"/>
      <c r="P3031" s="187">
        <v>45258.625729166699</v>
      </c>
      <c r="Q3031" s="186">
        <v>14676</v>
      </c>
      <c r="R3031" s="185" t="s">
        <v>6</v>
      </c>
      <c r="S3031" s="185" t="s">
        <v>1600</v>
      </c>
      <c r="T3031"/>
      <c r="U3031" t="str">
        <f>IF($L3031&gt;0,VLOOKUP($E3031,Valida!$A$1:$G$270,6,FALSE),IF($M3031&gt;=0,VLOOKUP($E3031,Valida!$A$1:$G$270,7,FALSE)))</f>
        <v>(+/-) Ajustes por el incremento (disminución) de cuentas por pagar de origen comercial</v>
      </c>
      <c r="V3031" s="190" t="str">
        <f>VLOOKUP(E3031,Valida!$A$2:$K$271,4,FALSE)</f>
        <v>Trade and other payables</v>
      </c>
      <c r="W3031" s="185" t="s">
        <v>1853</v>
      </c>
      <c r="X3031" s="185" t="s">
        <v>1854</v>
      </c>
      <c r="Y3031" s="185" t="s">
        <v>1789</v>
      </c>
      <c r="Z3031"/>
    </row>
    <row r="3032" spans="1:26">
      <c r="A3032" s="185" t="s">
        <v>3752</v>
      </c>
      <c r="B3032" s="185" t="s">
        <v>3758</v>
      </c>
      <c r="C3032" s="185" t="s">
        <v>1890</v>
      </c>
      <c r="D3032" s="185" t="s">
        <v>3759</v>
      </c>
      <c r="E3032" s="185">
        <v>112005</v>
      </c>
      <c r="F3032" s="185" t="s">
        <v>24</v>
      </c>
      <c r="G3032" s="185" t="s">
        <v>1921</v>
      </c>
      <c r="H3032" s="185" t="s">
        <v>1628</v>
      </c>
      <c r="I3032" s="258" t="str">
        <f t="shared" si="142"/>
        <v>1</v>
      </c>
      <c r="J3032" s="221">
        <f t="shared" si="143"/>
        <v>-14603085</v>
      </c>
      <c r="K3032" s="258">
        <f t="shared" si="144"/>
        <v>11</v>
      </c>
      <c r="L3032" s="188">
        <v>0</v>
      </c>
      <c r="M3032" s="188">
        <v>14603085</v>
      </c>
      <c r="N3032" s="189">
        <v>900471482</v>
      </c>
      <c r="O3032"/>
      <c r="P3032" s="187">
        <v>45258.625729166699</v>
      </c>
      <c r="Q3032" s="186">
        <v>14677</v>
      </c>
      <c r="R3032" s="185" t="s">
        <v>6</v>
      </c>
      <c r="S3032" s="185" t="s">
        <v>1600</v>
      </c>
      <c r="T3032" t="s">
        <v>1894</v>
      </c>
      <c r="U3032" t="str">
        <f>IF($L3032&gt;0,VLOOKUP($E3032,Valida!$A$1:$G$270,6,FALSE),IF($M3032&gt;=0,VLOOKUP($E3032,Valida!$A$1:$G$270,7,FALSE)))</f>
        <v>Disponible</v>
      </c>
      <c r="V3032" s="190" t="str">
        <f>VLOOKUP(E3032,Valida!$A$2:$K$271,4,FALSE)</f>
        <v>Cash and equivalents</v>
      </c>
      <c r="W3032" s="185" t="s">
        <v>1853</v>
      </c>
      <c r="X3032" s="185" t="s">
        <v>1854</v>
      </c>
      <c r="Y3032" s="185" t="s">
        <v>1789</v>
      </c>
      <c r="Z3032"/>
    </row>
    <row r="3033" spans="1:26">
      <c r="A3033" s="185" t="s">
        <v>3752</v>
      </c>
      <c r="B3033" s="185" t="s">
        <v>3760</v>
      </c>
      <c r="C3033" s="185" t="s">
        <v>1890</v>
      </c>
      <c r="D3033" s="185" t="s">
        <v>3761</v>
      </c>
      <c r="E3033" s="185">
        <v>23355005</v>
      </c>
      <c r="F3033" s="185" t="s">
        <v>516</v>
      </c>
      <c r="G3033" s="185" t="s">
        <v>1921</v>
      </c>
      <c r="H3033" s="185" t="s">
        <v>1515</v>
      </c>
      <c r="I3033" s="258" t="str">
        <f t="shared" si="142"/>
        <v>2</v>
      </c>
      <c r="J3033" s="221">
        <f t="shared" si="143"/>
        <v>7038840</v>
      </c>
      <c r="K3033" s="258">
        <f t="shared" si="144"/>
        <v>11</v>
      </c>
      <c r="L3033" s="188">
        <v>7038840</v>
      </c>
      <c r="M3033" s="188">
        <v>0</v>
      </c>
      <c r="N3033" s="189">
        <v>860063875</v>
      </c>
      <c r="O3033"/>
      <c r="P3033" s="187">
        <v>45258.626111111102</v>
      </c>
      <c r="Q3033" s="186">
        <v>14678</v>
      </c>
      <c r="R3033" s="185" t="s">
        <v>1827</v>
      </c>
      <c r="S3033" s="185" t="s">
        <v>1572</v>
      </c>
      <c r="T3033"/>
      <c r="U3033" t="str">
        <f>IF($L3033&gt;0,VLOOKUP($E3033,Valida!$A$1:$G$270,6,FALSE),IF($M3033&gt;=0,VLOOKUP($E3033,Valida!$A$1:$G$270,7,FALSE)))</f>
        <v>(+/-) Ajustes por el incremento (disminución) de cuentas por pagar de origen comercial</v>
      </c>
      <c r="V3033" s="190" t="str">
        <f>VLOOKUP(E3033,Valida!$A$2:$K$271,4,FALSE)</f>
        <v>Trade and other payables</v>
      </c>
      <c r="W3033" s="185" t="s">
        <v>1835</v>
      </c>
      <c r="X3033" s="185"/>
      <c r="Y3033" s="185" t="s">
        <v>1789</v>
      </c>
      <c r="Z3033"/>
    </row>
    <row r="3034" spans="1:26">
      <c r="A3034" s="185" t="s">
        <v>3752</v>
      </c>
      <c r="B3034" s="185" t="s">
        <v>3760</v>
      </c>
      <c r="C3034" s="185" t="s">
        <v>1890</v>
      </c>
      <c r="D3034" s="185" t="s">
        <v>3761</v>
      </c>
      <c r="E3034" s="185">
        <v>112005</v>
      </c>
      <c r="F3034" s="185" t="s">
        <v>24</v>
      </c>
      <c r="G3034" s="185" t="s">
        <v>1921</v>
      </c>
      <c r="H3034" s="185" t="s">
        <v>1628</v>
      </c>
      <c r="I3034" s="258" t="str">
        <f t="shared" si="142"/>
        <v>1</v>
      </c>
      <c r="J3034" s="221">
        <f t="shared" si="143"/>
        <v>-7038840</v>
      </c>
      <c r="K3034" s="258">
        <f t="shared" si="144"/>
        <v>11</v>
      </c>
      <c r="L3034" s="188">
        <v>0</v>
      </c>
      <c r="M3034" s="188">
        <v>7038840</v>
      </c>
      <c r="N3034" s="189">
        <v>860063875</v>
      </c>
      <c r="O3034"/>
      <c r="P3034" s="187">
        <v>45258.6261226852</v>
      </c>
      <c r="Q3034" s="186">
        <v>14679</v>
      </c>
      <c r="R3034" s="185" t="s">
        <v>1827</v>
      </c>
      <c r="S3034" s="185" t="s">
        <v>1572</v>
      </c>
      <c r="T3034" t="s">
        <v>1894</v>
      </c>
      <c r="U3034" t="str">
        <f>IF($L3034&gt;0,VLOOKUP($E3034,Valida!$A$1:$G$270,6,FALSE),IF($M3034&gt;=0,VLOOKUP($E3034,Valida!$A$1:$G$270,7,FALSE)))</f>
        <v>Disponible</v>
      </c>
      <c r="V3034" s="190" t="str">
        <f>VLOOKUP(E3034,Valida!$A$2:$K$271,4,FALSE)</f>
        <v>Cash and equivalents</v>
      </c>
      <c r="W3034" s="185" t="s">
        <v>1835</v>
      </c>
      <c r="X3034" s="185"/>
      <c r="Y3034" s="185" t="s">
        <v>1789</v>
      </c>
      <c r="Z3034"/>
    </row>
    <row r="3035" spans="1:26">
      <c r="A3035" s="185" t="s">
        <v>3752</v>
      </c>
      <c r="B3035" s="185" t="s">
        <v>3762</v>
      </c>
      <c r="C3035" s="185" t="s">
        <v>1792</v>
      </c>
      <c r="D3035" s="185" t="s">
        <v>2693</v>
      </c>
      <c r="E3035" s="185">
        <v>51352002</v>
      </c>
      <c r="F3035" s="185" t="s">
        <v>1270</v>
      </c>
      <c r="G3035" s="185" t="s">
        <v>1825</v>
      </c>
      <c r="H3035" s="185" t="s">
        <v>1515</v>
      </c>
      <c r="I3035" s="258" t="str">
        <f t="shared" si="142"/>
        <v>5</v>
      </c>
      <c r="J3035" s="221">
        <f t="shared" si="143"/>
        <v>1224400</v>
      </c>
      <c r="K3035" s="258">
        <f t="shared" si="144"/>
        <v>11</v>
      </c>
      <c r="L3035" s="188">
        <v>1224400</v>
      </c>
      <c r="M3035" s="188">
        <v>0</v>
      </c>
      <c r="N3035" s="189">
        <v>899999115</v>
      </c>
      <c r="O3035" t="s">
        <v>3763</v>
      </c>
      <c r="P3035" s="187">
        <v>45258.629710648202</v>
      </c>
      <c r="Q3035" s="186">
        <v>14680</v>
      </c>
      <c r="R3035" s="185" t="s">
        <v>1827</v>
      </c>
      <c r="S3035" s="185" t="s">
        <v>1586</v>
      </c>
      <c r="T3035"/>
      <c r="U3035" t="str">
        <f>IF($L3035&gt;0,VLOOKUP($E3035,Valida!$A$1:$G$270,6,FALSE),IF($M3035&gt;=0,VLOOKUP($E3035,Valida!$A$1:$G$270,7,FALSE)))</f>
        <v>(+/-) Ganancia (pérdida)</v>
      </c>
      <c r="V3035" s="190" t="str">
        <f>VLOOKUP(E3035,Valida!$A$2:$K$271,4,FALSE)</f>
        <v>P&amp;L</v>
      </c>
      <c r="W3035" s="185" t="s">
        <v>1828</v>
      </c>
      <c r="X3035" s="185" t="s">
        <v>1829</v>
      </c>
      <c r="Y3035" s="185" t="s">
        <v>1789</v>
      </c>
      <c r="Z3035"/>
    </row>
    <row r="3036" spans="1:26">
      <c r="A3036" s="185" t="s">
        <v>3752</v>
      </c>
      <c r="B3036" s="185" t="s">
        <v>3762</v>
      </c>
      <c r="C3036" s="185" t="s">
        <v>1792</v>
      </c>
      <c r="D3036" s="185" t="s">
        <v>2693</v>
      </c>
      <c r="E3036" s="185">
        <v>24081002</v>
      </c>
      <c r="F3036" s="185" t="s">
        <v>1687</v>
      </c>
      <c r="G3036" s="185" t="s">
        <v>1830</v>
      </c>
      <c r="H3036" s="185" t="s">
        <v>1515</v>
      </c>
      <c r="I3036" s="258" t="str">
        <f t="shared" si="142"/>
        <v>2</v>
      </c>
      <c r="J3036" s="221">
        <f t="shared" si="143"/>
        <v>232636</v>
      </c>
      <c r="K3036" s="258">
        <f t="shared" si="144"/>
        <v>11</v>
      </c>
      <c r="L3036" s="188">
        <v>232636</v>
      </c>
      <c r="M3036" s="188">
        <v>0</v>
      </c>
      <c r="N3036" s="189">
        <v>899999115</v>
      </c>
      <c r="O3036" t="s">
        <v>3763</v>
      </c>
      <c r="P3036" s="187">
        <v>45258.629710648202</v>
      </c>
      <c r="Q3036" s="186">
        <v>14681</v>
      </c>
      <c r="R3036" s="185" t="s">
        <v>1827</v>
      </c>
      <c r="S3036" s="185" t="s">
        <v>1586</v>
      </c>
      <c r="T3036"/>
      <c r="U3036" t="str">
        <f>IF($L3036&gt;0,VLOOKUP($E3036,Valida!$A$1:$G$270,6,FALSE),IF($M3036&gt;=0,VLOOKUP($E3036,Valida!$A$1:$G$270,7,FALSE)))</f>
        <v>(+/-) Ajustes por el incremento (disminución) de cuentas por pagar de origen comercial</v>
      </c>
      <c r="V3036" s="190" t="str">
        <f>VLOOKUP(E3036,Valida!$A$2:$K$271,4,FALSE)</f>
        <v>Trade and other payables</v>
      </c>
      <c r="W3036" s="185" t="s">
        <v>1828</v>
      </c>
      <c r="X3036" s="185" t="s">
        <v>1829</v>
      </c>
      <c r="Y3036" s="185" t="s">
        <v>1789</v>
      </c>
      <c r="Z3036"/>
    </row>
    <row r="3037" spans="1:26">
      <c r="A3037" s="185" t="s">
        <v>3752</v>
      </c>
      <c r="B3037" s="185" t="s">
        <v>3762</v>
      </c>
      <c r="C3037" s="185" t="s">
        <v>1792</v>
      </c>
      <c r="D3037" s="185" t="s">
        <v>2693</v>
      </c>
      <c r="E3037" s="185">
        <v>23355006</v>
      </c>
      <c r="F3037" s="185" t="s">
        <v>519</v>
      </c>
      <c r="G3037" s="185" t="s">
        <v>1825</v>
      </c>
      <c r="H3037" s="185" t="s">
        <v>1628</v>
      </c>
      <c r="I3037" s="258" t="str">
        <f t="shared" si="142"/>
        <v>2</v>
      </c>
      <c r="J3037" s="221">
        <f t="shared" si="143"/>
        <v>-1457040</v>
      </c>
      <c r="K3037" s="258">
        <f t="shared" si="144"/>
        <v>11</v>
      </c>
      <c r="L3037" s="188">
        <v>0</v>
      </c>
      <c r="M3037" s="188">
        <v>1457040</v>
      </c>
      <c r="N3037" s="189">
        <v>899999115</v>
      </c>
      <c r="O3037" t="s">
        <v>3763</v>
      </c>
      <c r="P3037" s="187">
        <v>45258.629710648202</v>
      </c>
      <c r="Q3037" s="186">
        <v>14682</v>
      </c>
      <c r="R3037" s="185" t="s">
        <v>1827</v>
      </c>
      <c r="S3037" s="185" t="s">
        <v>1586</v>
      </c>
      <c r="T3037"/>
      <c r="U3037" t="str">
        <f>IF($L3037&gt;0,VLOOKUP($E3037,Valida!$A$1:$G$270,6,FALSE),IF($M3037&gt;=0,VLOOKUP($E3037,Valida!$A$1:$G$270,7,FALSE)))</f>
        <v>(+/-) Ajustes por el incremento (disminución) de cuentas por pagar de origen comercial</v>
      </c>
      <c r="V3037" s="190" t="str">
        <f>VLOOKUP(E3037,Valida!$A$2:$K$271,4,FALSE)</f>
        <v>Trade and other payables</v>
      </c>
      <c r="W3037" s="185" t="s">
        <v>1828</v>
      </c>
      <c r="X3037" s="185" t="s">
        <v>1829</v>
      </c>
      <c r="Y3037" s="185" t="s">
        <v>1789</v>
      </c>
      <c r="Z3037"/>
    </row>
    <row r="3038" spans="1:26">
      <c r="A3038" s="185" t="s">
        <v>3752</v>
      </c>
      <c r="B3038" s="185" t="s">
        <v>3762</v>
      </c>
      <c r="C3038" s="185" t="s">
        <v>1792</v>
      </c>
      <c r="D3038" s="185" t="s">
        <v>2693</v>
      </c>
      <c r="E3038" s="185">
        <v>53059510</v>
      </c>
      <c r="F3038" s="185" t="s">
        <v>1065</v>
      </c>
      <c r="G3038" s="185" t="s">
        <v>1825</v>
      </c>
      <c r="H3038" s="185" t="s">
        <v>1515</v>
      </c>
      <c r="I3038" s="258" t="str">
        <f t="shared" si="142"/>
        <v>5</v>
      </c>
      <c r="J3038" s="221">
        <f t="shared" si="143"/>
        <v>4</v>
      </c>
      <c r="K3038" s="258">
        <f t="shared" si="144"/>
        <v>11</v>
      </c>
      <c r="L3038" s="188">
        <v>4</v>
      </c>
      <c r="M3038" s="188">
        <v>0</v>
      </c>
      <c r="N3038" s="189">
        <v>899999115</v>
      </c>
      <c r="O3038" t="s">
        <v>3763</v>
      </c>
      <c r="P3038" s="187">
        <v>45258.629722222198</v>
      </c>
      <c r="Q3038" s="186">
        <v>14683</v>
      </c>
      <c r="R3038" s="185" t="s">
        <v>1827</v>
      </c>
      <c r="S3038" s="185" t="s">
        <v>1586</v>
      </c>
      <c r="T3038"/>
      <c r="U3038" t="str">
        <f>IF($L3038&gt;0,VLOOKUP($E3038,Valida!$A$1:$G$270,6,FALSE),IF($M3038&gt;=0,VLOOKUP($E3038,Valida!$A$1:$G$270,7,FALSE)))</f>
        <v>(+/-) Ganancia (pérdida)</v>
      </c>
      <c r="V3038" s="190" t="str">
        <f>VLOOKUP(E3038,Valida!$A$2:$K$271,4,FALSE)</f>
        <v>P&amp;L</v>
      </c>
      <c r="W3038" s="185" t="s">
        <v>1828</v>
      </c>
      <c r="X3038" s="185" t="s">
        <v>1829</v>
      </c>
      <c r="Y3038" s="185" t="s">
        <v>1789</v>
      </c>
      <c r="Z3038"/>
    </row>
    <row r="3039" spans="1:26">
      <c r="A3039" s="185" t="s">
        <v>3752</v>
      </c>
      <c r="B3039" s="185" t="s">
        <v>3764</v>
      </c>
      <c r="C3039" s="185" t="s">
        <v>1890</v>
      </c>
      <c r="D3039" s="185" t="s">
        <v>3765</v>
      </c>
      <c r="E3039" s="185">
        <v>23355006</v>
      </c>
      <c r="F3039" s="185" t="s">
        <v>519</v>
      </c>
      <c r="G3039" s="185" t="s">
        <v>1825</v>
      </c>
      <c r="H3039" s="185" t="s">
        <v>1515</v>
      </c>
      <c r="I3039" s="258" t="str">
        <f t="shared" si="142"/>
        <v>2</v>
      </c>
      <c r="J3039" s="221">
        <f t="shared" si="143"/>
        <v>1457040</v>
      </c>
      <c r="K3039" s="258">
        <f t="shared" si="144"/>
        <v>11</v>
      </c>
      <c r="L3039" s="188">
        <v>1457040</v>
      </c>
      <c r="M3039" s="188">
        <v>0</v>
      </c>
      <c r="N3039" s="189">
        <v>899999115</v>
      </c>
      <c r="O3039"/>
      <c r="P3039" s="187">
        <v>45258.631111111099</v>
      </c>
      <c r="Q3039" s="186">
        <v>14684</v>
      </c>
      <c r="R3039" s="185" t="s">
        <v>1827</v>
      </c>
      <c r="S3039" s="185" t="s">
        <v>1586</v>
      </c>
      <c r="T3039"/>
      <c r="U3039" t="str">
        <f>IF($L3039&gt;0,VLOOKUP($E3039,Valida!$A$1:$G$270,6,FALSE),IF($M3039&gt;=0,VLOOKUP($E3039,Valida!$A$1:$G$270,7,FALSE)))</f>
        <v>(+/-) Ajustes por el incremento (disminución) de cuentas por pagar de origen comercial</v>
      </c>
      <c r="V3039" s="190" t="str">
        <f>VLOOKUP(E3039,Valida!$A$2:$K$271,4,FALSE)</f>
        <v>Trade and other payables</v>
      </c>
      <c r="W3039" s="185" t="s">
        <v>1828</v>
      </c>
      <c r="X3039" s="185" t="s">
        <v>1829</v>
      </c>
      <c r="Y3039" s="185" t="s">
        <v>1789</v>
      </c>
      <c r="Z3039"/>
    </row>
    <row r="3040" spans="1:26">
      <c r="A3040" s="185" t="s">
        <v>3752</v>
      </c>
      <c r="B3040" s="185" t="s">
        <v>3764</v>
      </c>
      <c r="C3040" s="185" t="s">
        <v>1890</v>
      </c>
      <c r="D3040" s="185" t="s">
        <v>3765</v>
      </c>
      <c r="E3040" s="185">
        <v>112005</v>
      </c>
      <c r="F3040" s="185" t="s">
        <v>24</v>
      </c>
      <c r="G3040" s="185" t="s">
        <v>1825</v>
      </c>
      <c r="H3040" s="185" t="s">
        <v>1628</v>
      </c>
      <c r="I3040" s="258" t="str">
        <f t="shared" si="142"/>
        <v>1</v>
      </c>
      <c r="J3040" s="221">
        <f t="shared" si="143"/>
        <v>-1457040</v>
      </c>
      <c r="K3040" s="258">
        <f t="shared" si="144"/>
        <v>11</v>
      </c>
      <c r="L3040" s="188">
        <v>0</v>
      </c>
      <c r="M3040" s="188">
        <v>1457040</v>
      </c>
      <c r="N3040" s="189">
        <v>899999115</v>
      </c>
      <c r="O3040"/>
      <c r="P3040" s="187">
        <v>45258.631122685198</v>
      </c>
      <c r="Q3040" s="186">
        <v>14685</v>
      </c>
      <c r="R3040" s="185" t="s">
        <v>1827</v>
      </c>
      <c r="S3040" s="185" t="s">
        <v>1586</v>
      </c>
      <c r="T3040" t="s">
        <v>1894</v>
      </c>
      <c r="U3040" t="str">
        <f>IF($L3040&gt;0,VLOOKUP($E3040,Valida!$A$1:$G$270,6,FALSE),IF($M3040&gt;=0,VLOOKUP($E3040,Valida!$A$1:$G$270,7,FALSE)))</f>
        <v>Disponible</v>
      </c>
      <c r="V3040" s="190" t="str">
        <f>VLOOKUP(E3040,Valida!$A$2:$K$271,4,FALSE)</f>
        <v>Cash and equivalents</v>
      </c>
      <c r="W3040" s="185" t="s">
        <v>1828</v>
      </c>
      <c r="X3040" s="185" t="s">
        <v>1829</v>
      </c>
      <c r="Y3040" s="185" t="s">
        <v>1789</v>
      </c>
      <c r="Z3040"/>
    </row>
    <row r="3041" spans="1:26">
      <c r="A3041" s="185" t="s">
        <v>3752</v>
      </c>
      <c r="B3041" s="185" t="s">
        <v>3766</v>
      </c>
      <c r="C3041" s="185" t="s">
        <v>1890</v>
      </c>
      <c r="D3041" s="185" t="s">
        <v>3767</v>
      </c>
      <c r="E3041" s="185">
        <v>23355006</v>
      </c>
      <c r="F3041" s="185" t="s">
        <v>519</v>
      </c>
      <c r="G3041" s="185" t="s">
        <v>1921</v>
      </c>
      <c r="H3041" s="185" t="s">
        <v>1515</v>
      </c>
      <c r="I3041" s="258" t="str">
        <f t="shared" si="142"/>
        <v>2</v>
      </c>
      <c r="J3041" s="221">
        <f t="shared" si="143"/>
        <v>2975000</v>
      </c>
      <c r="K3041" s="258">
        <f t="shared" si="144"/>
        <v>11</v>
      </c>
      <c r="L3041" s="188">
        <v>2975000</v>
      </c>
      <c r="M3041" s="188">
        <v>0</v>
      </c>
      <c r="N3041" s="189">
        <v>800153993</v>
      </c>
      <c r="O3041"/>
      <c r="P3041" s="187">
        <v>45258.631770833301</v>
      </c>
      <c r="Q3041" s="186">
        <v>14686</v>
      </c>
      <c r="R3041" s="185" t="s">
        <v>1814</v>
      </c>
      <c r="S3041" s="185" t="s">
        <v>1556</v>
      </c>
      <c r="T3041"/>
      <c r="U3041" t="str">
        <f>IF($L3041&gt;0,VLOOKUP($E3041,Valida!$A$1:$G$270,6,FALSE),IF($M3041&gt;=0,VLOOKUP($E3041,Valida!$A$1:$G$270,7,FALSE)))</f>
        <v>(+/-) Ajustes por el incremento (disminución) de cuentas por pagar de origen comercial</v>
      </c>
      <c r="V3041" s="190" t="str">
        <f>VLOOKUP(E3041,Valida!$A$2:$K$271,4,FALSE)</f>
        <v>Trade and other payables</v>
      </c>
      <c r="W3041" s="185" t="s">
        <v>1815</v>
      </c>
      <c r="X3041" s="185"/>
      <c r="Y3041" s="185" t="s">
        <v>1789</v>
      </c>
      <c r="Z3041"/>
    </row>
    <row r="3042" spans="1:26">
      <c r="A3042" s="185" t="s">
        <v>3752</v>
      </c>
      <c r="B3042" s="185" t="s">
        <v>3766</v>
      </c>
      <c r="C3042" s="185" t="s">
        <v>1890</v>
      </c>
      <c r="D3042" s="185" t="s">
        <v>3767</v>
      </c>
      <c r="E3042" s="185">
        <v>112005</v>
      </c>
      <c r="F3042" s="185" t="s">
        <v>24</v>
      </c>
      <c r="G3042" s="185" t="s">
        <v>1921</v>
      </c>
      <c r="H3042" s="185" t="s">
        <v>1628</v>
      </c>
      <c r="I3042" s="258" t="str">
        <f t="shared" si="142"/>
        <v>1</v>
      </c>
      <c r="J3042" s="221">
        <f t="shared" si="143"/>
        <v>-2975000</v>
      </c>
      <c r="K3042" s="258">
        <f t="shared" si="144"/>
        <v>11</v>
      </c>
      <c r="L3042" s="188">
        <v>0</v>
      </c>
      <c r="M3042" s="188">
        <v>2975000</v>
      </c>
      <c r="N3042" s="189">
        <v>800153993</v>
      </c>
      <c r="O3042"/>
      <c r="P3042" s="187">
        <v>45258.631770833301</v>
      </c>
      <c r="Q3042" s="186">
        <v>14687</v>
      </c>
      <c r="R3042" s="185" t="s">
        <v>1814</v>
      </c>
      <c r="S3042" s="185" t="s">
        <v>1556</v>
      </c>
      <c r="T3042" t="s">
        <v>1894</v>
      </c>
      <c r="U3042" t="str">
        <f>IF($L3042&gt;0,VLOOKUP($E3042,Valida!$A$1:$G$270,6,FALSE),IF($M3042&gt;=0,VLOOKUP($E3042,Valida!$A$1:$G$270,7,FALSE)))</f>
        <v>Disponible</v>
      </c>
      <c r="V3042" s="190" t="str">
        <f>VLOOKUP(E3042,Valida!$A$2:$K$271,4,FALSE)</f>
        <v>Cash and equivalents</v>
      </c>
      <c r="W3042" s="185" t="s">
        <v>1815</v>
      </c>
      <c r="X3042" s="185"/>
      <c r="Y3042" s="185" t="s">
        <v>1789</v>
      </c>
      <c r="Z3042"/>
    </row>
    <row r="3043" spans="1:26">
      <c r="A3043" s="185" t="s">
        <v>3752</v>
      </c>
      <c r="B3043" s="185" t="s">
        <v>3768</v>
      </c>
      <c r="C3043" s="185" t="s">
        <v>1890</v>
      </c>
      <c r="D3043" s="185" t="s">
        <v>3769</v>
      </c>
      <c r="E3043" s="185">
        <v>236890</v>
      </c>
      <c r="F3043" s="185" t="s">
        <v>1648</v>
      </c>
      <c r="G3043" s="185" t="s">
        <v>2174</v>
      </c>
      <c r="H3043" s="185" t="s">
        <v>1515</v>
      </c>
      <c r="I3043" s="258" t="str">
        <f t="shared" si="142"/>
        <v>2</v>
      </c>
      <c r="J3043" s="221">
        <f t="shared" si="143"/>
        <v>417000</v>
      </c>
      <c r="K3043" s="258">
        <f t="shared" si="144"/>
        <v>11</v>
      </c>
      <c r="L3043" s="188">
        <v>417000</v>
      </c>
      <c r="M3043" s="188">
        <v>0</v>
      </c>
      <c r="N3043" s="189">
        <v>899999061</v>
      </c>
      <c r="O3043"/>
      <c r="P3043" s="187">
        <v>45258.632118055597</v>
      </c>
      <c r="Q3043" s="186">
        <v>14688</v>
      </c>
      <c r="R3043" s="185"/>
      <c r="S3043" s="185" t="s">
        <v>1584</v>
      </c>
      <c r="T3043"/>
      <c r="U3043" t="str">
        <f>IF($L3043&gt;0,VLOOKUP($E3043,Valida!$A$1:$G$270,6,FALSE),IF($M3043&gt;=0,VLOOKUP($E3043,Valida!$A$1:$G$270,7,FALSE)))</f>
        <v>(+/-) Ajustes por el incremento (disminución) de cuentas por pagar de origen comercial</v>
      </c>
      <c r="V3043" s="190" t="str">
        <f>VLOOKUP(E3043,Valida!$A$2:$K$271,4,FALSE)</f>
        <v>Trade and other payables</v>
      </c>
      <c r="W3043" s="185" t="s">
        <v>1893</v>
      </c>
      <c r="X3043" s="185"/>
      <c r="Y3043" s="185" t="s">
        <v>1789</v>
      </c>
      <c r="Z3043"/>
    </row>
    <row r="3044" spans="1:26">
      <c r="A3044" s="185" t="s">
        <v>3752</v>
      </c>
      <c r="B3044" s="185" t="s">
        <v>3768</v>
      </c>
      <c r="C3044" s="185" t="s">
        <v>1890</v>
      </c>
      <c r="D3044" s="185" t="s">
        <v>3769</v>
      </c>
      <c r="E3044" s="185">
        <v>112005</v>
      </c>
      <c r="F3044" s="185" t="s">
        <v>24</v>
      </c>
      <c r="G3044" s="185" t="s">
        <v>2174</v>
      </c>
      <c r="H3044" s="185" t="s">
        <v>1628</v>
      </c>
      <c r="I3044" s="258" t="str">
        <f t="shared" si="142"/>
        <v>1</v>
      </c>
      <c r="J3044" s="221">
        <f t="shared" si="143"/>
        <v>-417000</v>
      </c>
      <c r="K3044" s="258">
        <f t="shared" si="144"/>
        <v>11</v>
      </c>
      <c r="L3044" s="188">
        <v>0</v>
      </c>
      <c r="M3044" s="188">
        <v>417000</v>
      </c>
      <c r="N3044" s="189">
        <v>899999061</v>
      </c>
      <c r="O3044"/>
      <c r="P3044" s="187">
        <v>45258.632118055597</v>
      </c>
      <c r="Q3044" s="186">
        <v>14689</v>
      </c>
      <c r="R3044" s="185"/>
      <c r="S3044" s="185" t="s">
        <v>1584</v>
      </c>
      <c r="T3044" t="s">
        <v>1894</v>
      </c>
      <c r="U3044" t="str">
        <f>IF($L3044&gt;0,VLOOKUP($E3044,Valida!$A$1:$G$270,6,FALSE),IF($M3044&gt;=0,VLOOKUP($E3044,Valida!$A$1:$G$270,7,FALSE)))</f>
        <v>Disponible</v>
      </c>
      <c r="V3044" s="190" t="str">
        <f>VLOOKUP(E3044,Valida!$A$2:$K$271,4,FALSE)</f>
        <v>Cash and equivalents</v>
      </c>
      <c r="W3044" s="185" t="s">
        <v>1893</v>
      </c>
      <c r="X3044" s="185"/>
      <c r="Y3044" s="185" t="s">
        <v>1789</v>
      </c>
      <c r="Z3044"/>
    </row>
    <row r="3045" spans="1:26">
      <c r="A3045" s="185" t="s">
        <v>3752</v>
      </c>
      <c r="B3045" s="185" t="s">
        <v>3770</v>
      </c>
      <c r="C3045" s="185" t="s">
        <v>1890</v>
      </c>
      <c r="D3045" s="185" t="s">
        <v>3771</v>
      </c>
      <c r="E3045" s="185">
        <v>23359502</v>
      </c>
      <c r="F3045" s="185" t="s">
        <v>547</v>
      </c>
      <c r="G3045" s="185" t="s">
        <v>1921</v>
      </c>
      <c r="H3045" s="185" t="s">
        <v>1515</v>
      </c>
      <c r="I3045" s="258" t="str">
        <f t="shared" si="142"/>
        <v>2</v>
      </c>
      <c r="J3045" s="221">
        <f t="shared" si="143"/>
        <v>122016</v>
      </c>
      <c r="K3045" s="258">
        <f t="shared" si="144"/>
        <v>11</v>
      </c>
      <c r="L3045" s="188">
        <v>122016</v>
      </c>
      <c r="M3045" s="188">
        <v>0</v>
      </c>
      <c r="N3045" s="189">
        <v>900424409</v>
      </c>
      <c r="O3045"/>
      <c r="P3045" s="187">
        <v>45258.632488425901</v>
      </c>
      <c r="Q3045" s="186">
        <v>14690</v>
      </c>
      <c r="R3045" s="185" t="s">
        <v>844</v>
      </c>
      <c r="S3045" s="185" t="s">
        <v>1598</v>
      </c>
      <c r="T3045"/>
      <c r="U3045" t="str">
        <f>IF($L3045&gt;0,VLOOKUP($E3045,Valida!$A$1:$G$270,6,FALSE),IF($M3045&gt;=0,VLOOKUP($E3045,Valida!$A$1:$G$270,7,FALSE)))</f>
        <v>(+/-) Ajustes por el incremento (disminución) de cuentas por pagar de origen comercial</v>
      </c>
      <c r="V3045" s="190" t="str">
        <f>VLOOKUP(E3045,Valida!$A$2:$K$271,4,FALSE)</f>
        <v>Trade and other payables</v>
      </c>
      <c r="W3045" s="185" t="s">
        <v>1864</v>
      </c>
      <c r="X3045" s="185" t="s">
        <v>1865</v>
      </c>
      <c r="Y3045" s="185" t="s">
        <v>1789</v>
      </c>
      <c r="Z3045"/>
    </row>
    <row r="3046" spans="1:26">
      <c r="A3046" s="185" t="s">
        <v>3752</v>
      </c>
      <c r="B3046" s="185" t="s">
        <v>3770</v>
      </c>
      <c r="C3046" s="185" t="s">
        <v>1890</v>
      </c>
      <c r="D3046" s="185" t="s">
        <v>3771</v>
      </c>
      <c r="E3046" s="185">
        <v>112005</v>
      </c>
      <c r="F3046" s="185" t="s">
        <v>24</v>
      </c>
      <c r="G3046" s="185" t="s">
        <v>1921</v>
      </c>
      <c r="H3046" s="185" t="s">
        <v>1628</v>
      </c>
      <c r="I3046" s="258" t="str">
        <f t="shared" si="142"/>
        <v>1</v>
      </c>
      <c r="J3046" s="221">
        <f t="shared" si="143"/>
        <v>-122016</v>
      </c>
      <c r="K3046" s="258">
        <f t="shared" si="144"/>
        <v>11</v>
      </c>
      <c r="L3046" s="188">
        <v>0</v>
      </c>
      <c r="M3046" s="188">
        <v>122016</v>
      </c>
      <c r="N3046" s="189">
        <v>900424409</v>
      </c>
      <c r="O3046"/>
      <c r="P3046" s="187">
        <v>45258.632488425901</v>
      </c>
      <c r="Q3046" s="186">
        <v>14691</v>
      </c>
      <c r="R3046" s="185" t="s">
        <v>844</v>
      </c>
      <c r="S3046" s="185" t="s">
        <v>1598</v>
      </c>
      <c r="T3046" t="s">
        <v>1894</v>
      </c>
      <c r="U3046" t="str">
        <f>IF($L3046&gt;0,VLOOKUP($E3046,Valida!$A$1:$G$270,6,FALSE),IF($M3046&gt;=0,VLOOKUP($E3046,Valida!$A$1:$G$270,7,FALSE)))</f>
        <v>Disponible</v>
      </c>
      <c r="V3046" s="190" t="str">
        <f>VLOOKUP(E3046,Valida!$A$2:$K$271,4,FALSE)</f>
        <v>Cash and equivalents</v>
      </c>
      <c r="W3046" s="185" t="s">
        <v>1864</v>
      </c>
      <c r="X3046" s="185" t="s">
        <v>1865</v>
      </c>
      <c r="Y3046" s="185" t="s">
        <v>1789</v>
      </c>
      <c r="Z3046"/>
    </row>
    <row r="3047" spans="1:26">
      <c r="A3047" s="185" t="s">
        <v>3752</v>
      </c>
      <c r="B3047" s="185" t="s">
        <v>3772</v>
      </c>
      <c r="C3047" s="185" t="s">
        <v>1890</v>
      </c>
      <c r="D3047" s="185" t="s">
        <v>3773</v>
      </c>
      <c r="E3047" s="185">
        <v>23359504</v>
      </c>
      <c r="F3047" s="185" t="s">
        <v>553</v>
      </c>
      <c r="G3047" s="185" t="s">
        <v>1921</v>
      </c>
      <c r="H3047" s="185" t="s">
        <v>1515</v>
      </c>
      <c r="I3047" s="258" t="str">
        <f t="shared" si="142"/>
        <v>2</v>
      </c>
      <c r="J3047" s="221">
        <f t="shared" si="143"/>
        <v>350000</v>
      </c>
      <c r="K3047" s="258">
        <f t="shared" si="144"/>
        <v>11</v>
      </c>
      <c r="L3047" s="188">
        <v>350000</v>
      </c>
      <c r="M3047" s="188">
        <v>0</v>
      </c>
      <c r="N3047" s="189">
        <v>800042928</v>
      </c>
      <c r="O3047"/>
      <c r="P3047" s="187">
        <v>45258.632835648103</v>
      </c>
      <c r="Q3047" s="186">
        <v>14692</v>
      </c>
      <c r="R3047" s="185" t="s">
        <v>6</v>
      </c>
      <c r="S3047" s="185" t="s">
        <v>1554</v>
      </c>
      <c r="T3047"/>
      <c r="U3047" t="str">
        <f>IF($L3047&gt;0,VLOOKUP($E3047,Valida!$A$1:$G$270,6,FALSE),IF($M3047&gt;=0,VLOOKUP($E3047,Valida!$A$1:$G$270,7,FALSE)))</f>
        <v>(+/-) Ajustes por el incremento (disminución) de cuentas por pagar de origen comercial</v>
      </c>
      <c r="V3047" s="190" t="str">
        <f>VLOOKUP(E3047,Valida!$A$2:$K$271,4,FALSE)</f>
        <v>Trade and other payables</v>
      </c>
      <c r="W3047" s="185" t="s">
        <v>1820</v>
      </c>
      <c r="X3047" s="185" t="s">
        <v>1821</v>
      </c>
      <c r="Y3047" s="185" t="s">
        <v>1789</v>
      </c>
      <c r="Z3047"/>
    </row>
    <row r="3048" spans="1:26">
      <c r="A3048" s="185" t="s">
        <v>3752</v>
      </c>
      <c r="B3048" s="185" t="s">
        <v>3772</v>
      </c>
      <c r="C3048" s="185" t="s">
        <v>1890</v>
      </c>
      <c r="D3048" s="185" t="s">
        <v>3773</v>
      </c>
      <c r="E3048" s="185">
        <v>112005</v>
      </c>
      <c r="F3048" s="185" t="s">
        <v>24</v>
      </c>
      <c r="G3048" s="185" t="s">
        <v>1921</v>
      </c>
      <c r="H3048" s="185" t="s">
        <v>1628</v>
      </c>
      <c r="I3048" s="258" t="str">
        <f t="shared" si="142"/>
        <v>1</v>
      </c>
      <c r="J3048" s="221">
        <f t="shared" si="143"/>
        <v>-350000</v>
      </c>
      <c r="K3048" s="258">
        <f t="shared" si="144"/>
        <v>11</v>
      </c>
      <c r="L3048" s="188">
        <v>0</v>
      </c>
      <c r="M3048" s="188">
        <v>350000</v>
      </c>
      <c r="N3048" s="189">
        <v>800042928</v>
      </c>
      <c r="O3048"/>
      <c r="P3048" s="187">
        <v>45258.632835648103</v>
      </c>
      <c r="Q3048" s="186">
        <v>14693</v>
      </c>
      <c r="R3048" s="185" t="s">
        <v>6</v>
      </c>
      <c r="S3048" s="185" t="s">
        <v>1554</v>
      </c>
      <c r="T3048" t="s">
        <v>1894</v>
      </c>
      <c r="U3048" t="str">
        <f>IF($L3048&gt;0,VLOOKUP($E3048,Valida!$A$1:$G$270,6,FALSE),IF($M3048&gt;=0,VLOOKUP($E3048,Valida!$A$1:$G$270,7,FALSE)))</f>
        <v>Disponible</v>
      </c>
      <c r="V3048" s="190" t="str">
        <f>VLOOKUP(E3048,Valida!$A$2:$K$271,4,FALSE)</f>
        <v>Cash and equivalents</v>
      </c>
      <c r="W3048" s="185" t="s">
        <v>1820</v>
      </c>
      <c r="X3048" s="185" t="s">
        <v>1821</v>
      </c>
      <c r="Y3048" s="185" t="s">
        <v>1789</v>
      </c>
      <c r="Z3048"/>
    </row>
    <row r="3049" spans="1:26">
      <c r="A3049" s="185" t="s">
        <v>3752</v>
      </c>
      <c r="B3049" s="185" t="s">
        <v>3774</v>
      </c>
      <c r="C3049" s="185" t="s">
        <v>1890</v>
      </c>
      <c r="D3049" s="185" t="s">
        <v>3775</v>
      </c>
      <c r="E3049" s="185">
        <v>23359502</v>
      </c>
      <c r="F3049" s="185" t="s">
        <v>547</v>
      </c>
      <c r="G3049" s="185" t="s">
        <v>1921</v>
      </c>
      <c r="H3049" s="185" t="s">
        <v>1515</v>
      </c>
      <c r="I3049" s="258" t="str">
        <f t="shared" si="142"/>
        <v>2</v>
      </c>
      <c r="J3049" s="221">
        <f t="shared" si="143"/>
        <v>502180</v>
      </c>
      <c r="K3049" s="258">
        <f t="shared" si="144"/>
        <v>11</v>
      </c>
      <c r="L3049" s="188">
        <v>502180</v>
      </c>
      <c r="M3049" s="188">
        <v>0</v>
      </c>
      <c r="N3049" s="189">
        <v>901636211</v>
      </c>
      <c r="O3049"/>
      <c r="P3049" s="187">
        <v>45258.633240740703</v>
      </c>
      <c r="Q3049" s="186">
        <v>14694</v>
      </c>
      <c r="R3049" s="185" t="s">
        <v>1901</v>
      </c>
      <c r="S3049" s="185" t="s">
        <v>1612</v>
      </c>
      <c r="T3049"/>
      <c r="U3049" t="str">
        <f>IF($L3049&gt;0,VLOOKUP($E3049,Valida!$A$1:$G$270,6,FALSE),IF($M3049&gt;=0,VLOOKUP($E3049,Valida!$A$1:$G$270,7,FALSE)))</f>
        <v>(+/-) Ajustes por el incremento (disminución) de cuentas por pagar de origen comercial</v>
      </c>
      <c r="V3049" s="190" t="str">
        <f>VLOOKUP(E3049,Valida!$A$2:$K$271,4,FALSE)</f>
        <v>Trade and other payables</v>
      </c>
      <c r="W3049" s="185" t="s">
        <v>3316</v>
      </c>
      <c r="X3049" s="185"/>
      <c r="Y3049" s="185" t="s">
        <v>1789</v>
      </c>
      <c r="Z3049"/>
    </row>
    <row r="3050" spans="1:26">
      <c r="A3050" s="185" t="s">
        <v>3752</v>
      </c>
      <c r="B3050" s="185" t="s">
        <v>3774</v>
      </c>
      <c r="C3050" s="185" t="s">
        <v>1890</v>
      </c>
      <c r="D3050" s="185" t="s">
        <v>3775</v>
      </c>
      <c r="E3050" s="185">
        <v>112005</v>
      </c>
      <c r="F3050" s="185" t="s">
        <v>24</v>
      </c>
      <c r="G3050" s="185" t="s">
        <v>1921</v>
      </c>
      <c r="H3050" s="185" t="s">
        <v>1628</v>
      </c>
      <c r="I3050" s="258" t="str">
        <f t="shared" si="142"/>
        <v>1</v>
      </c>
      <c r="J3050" s="221">
        <f t="shared" si="143"/>
        <v>-502180</v>
      </c>
      <c r="K3050" s="258">
        <f t="shared" si="144"/>
        <v>11</v>
      </c>
      <c r="L3050" s="188">
        <v>0</v>
      </c>
      <c r="M3050" s="188">
        <v>502180</v>
      </c>
      <c r="N3050" s="189">
        <v>901636211</v>
      </c>
      <c r="O3050"/>
      <c r="P3050" s="187">
        <v>45258.633240740703</v>
      </c>
      <c r="Q3050" s="186">
        <v>14695</v>
      </c>
      <c r="R3050" s="185" t="s">
        <v>1901</v>
      </c>
      <c r="S3050" s="185" t="s">
        <v>1612</v>
      </c>
      <c r="T3050" t="s">
        <v>1894</v>
      </c>
      <c r="U3050" t="str">
        <f>IF($L3050&gt;0,VLOOKUP($E3050,Valida!$A$1:$G$270,6,FALSE),IF($M3050&gt;=0,VLOOKUP($E3050,Valida!$A$1:$G$270,7,FALSE)))</f>
        <v>Disponible</v>
      </c>
      <c r="V3050" s="190" t="str">
        <f>VLOOKUP(E3050,Valida!$A$2:$K$271,4,FALSE)</f>
        <v>Cash and equivalents</v>
      </c>
      <c r="W3050" s="185" t="s">
        <v>3316</v>
      </c>
      <c r="X3050" s="185"/>
      <c r="Y3050" s="185" t="s">
        <v>1789</v>
      </c>
      <c r="Z3050"/>
    </row>
    <row r="3051" spans="1:26">
      <c r="A3051" s="185" t="s">
        <v>3776</v>
      </c>
      <c r="B3051" s="185" t="s">
        <v>3777</v>
      </c>
      <c r="C3051" s="185" t="s">
        <v>1890</v>
      </c>
      <c r="D3051" s="185" t="s">
        <v>3778</v>
      </c>
      <c r="E3051" s="185">
        <v>23355007</v>
      </c>
      <c r="F3051" s="185" t="s">
        <v>1638</v>
      </c>
      <c r="G3051" s="185" t="s">
        <v>1921</v>
      </c>
      <c r="H3051" s="185" t="s">
        <v>1515</v>
      </c>
      <c r="I3051" s="258" t="str">
        <f t="shared" si="142"/>
        <v>2</v>
      </c>
      <c r="J3051" s="221">
        <f t="shared" si="143"/>
        <v>565214.73</v>
      </c>
      <c r="K3051" s="258">
        <f t="shared" si="144"/>
        <v>11</v>
      </c>
      <c r="L3051" s="188">
        <v>565214.73</v>
      </c>
      <c r="M3051" s="188">
        <v>0</v>
      </c>
      <c r="N3051" s="189">
        <v>444444001</v>
      </c>
      <c r="O3051"/>
      <c r="P3051" s="187">
        <v>45258.633946759299</v>
      </c>
      <c r="Q3051" s="186">
        <v>14696</v>
      </c>
      <c r="R3051" s="185"/>
      <c r="S3051" s="185" t="s">
        <v>1548</v>
      </c>
      <c r="T3051"/>
      <c r="U3051" t="str">
        <f>IF($L3051&gt;0,VLOOKUP($E3051,Valida!$A$1:$G$270,6,FALSE),IF($M3051&gt;=0,VLOOKUP($E3051,Valida!$A$1:$G$270,7,FALSE)))</f>
        <v>(+/-) Ajustes por el incremento (disminución) de cuentas por pagar de origen comercial</v>
      </c>
      <c r="V3051" s="190" t="str">
        <f>VLOOKUP(E3051,Valida!$A$2:$K$271,4,FALSE)</f>
        <v>Trade and other payables</v>
      </c>
      <c r="W3051" s="185"/>
      <c r="X3051" s="185"/>
      <c r="Y3051" s="185"/>
      <c r="Z3051"/>
    </row>
    <row r="3052" spans="1:26">
      <c r="A3052" s="185" t="s">
        <v>3776</v>
      </c>
      <c r="B3052" s="185" t="s">
        <v>3777</v>
      </c>
      <c r="C3052" s="185" t="s">
        <v>1890</v>
      </c>
      <c r="D3052" s="185" t="s">
        <v>3778</v>
      </c>
      <c r="E3052" s="185">
        <v>112005</v>
      </c>
      <c r="F3052" s="185" t="s">
        <v>24</v>
      </c>
      <c r="G3052" s="185" t="s">
        <v>1921</v>
      </c>
      <c r="H3052" s="185" t="s">
        <v>1628</v>
      </c>
      <c r="I3052" s="258" t="str">
        <f t="shared" si="142"/>
        <v>1</v>
      </c>
      <c r="J3052" s="221">
        <f t="shared" si="143"/>
        <v>-565214.73</v>
      </c>
      <c r="K3052" s="258">
        <f t="shared" si="144"/>
        <v>11</v>
      </c>
      <c r="L3052" s="188">
        <v>0</v>
      </c>
      <c r="M3052" s="188">
        <v>565214.73</v>
      </c>
      <c r="N3052" s="189">
        <v>444444001</v>
      </c>
      <c r="O3052"/>
      <c r="P3052" s="187">
        <v>45258.633958333303</v>
      </c>
      <c r="Q3052" s="186">
        <v>14697</v>
      </c>
      <c r="R3052" s="185"/>
      <c r="S3052" s="185" t="s">
        <v>1548</v>
      </c>
      <c r="T3052" t="s">
        <v>1894</v>
      </c>
      <c r="U3052" t="str">
        <f>IF($L3052&gt;0,VLOOKUP($E3052,Valida!$A$1:$G$270,6,FALSE),IF($M3052&gt;=0,VLOOKUP($E3052,Valida!$A$1:$G$270,7,FALSE)))</f>
        <v>Disponible</v>
      </c>
      <c r="V3052" s="190" t="str">
        <f>VLOOKUP(E3052,Valida!$A$2:$K$271,4,FALSE)</f>
        <v>Cash and equivalents</v>
      </c>
      <c r="W3052" s="185"/>
      <c r="X3052" s="185"/>
      <c r="Y3052" s="185"/>
      <c r="Z3052"/>
    </row>
    <row r="3053" spans="1:26">
      <c r="A3053" s="185" t="s">
        <v>3698</v>
      </c>
      <c r="B3053" s="185" t="s">
        <v>3779</v>
      </c>
      <c r="C3053" s="185" t="s">
        <v>1890</v>
      </c>
      <c r="D3053" s="185" t="s">
        <v>3780</v>
      </c>
      <c r="E3053" s="185">
        <v>250505</v>
      </c>
      <c r="F3053" s="185" t="s">
        <v>767</v>
      </c>
      <c r="G3053" s="185" t="s">
        <v>3781</v>
      </c>
      <c r="H3053" s="185" t="s">
        <v>1515</v>
      </c>
      <c r="I3053" s="258" t="str">
        <f t="shared" si="142"/>
        <v>2</v>
      </c>
      <c r="J3053" s="221">
        <f t="shared" si="143"/>
        <v>1894044</v>
      </c>
      <c r="K3053" s="258">
        <f t="shared" si="144"/>
        <v>11</v>
      </c>
      <c r="L3053" s="188">
        <v>1894044</v>
      </c>
      <c r="M3053" s="188">
        <v>0</v>
      </c>
      <c r="N3053" s="189">
        <v>1000036375</v>
      </c>
      <c r="O3053"/>
      <c r="P3053" s="187">
        <v>45258.634618055599</v>
      </c>
      <c r="Q3053" s="186">
        <v>14698</v>
      </c>
      <c r="R3053" s="185"/>
      <c r="S3053" s="185" t="s">
        <v>1524</v>
      </c>
      <c r="T3053"/>
      <c r="U3053" t="str">
        <f>IF($L3053&gt;0,VLOOKUP($E3053,Valida!$A$1:$G$270,6,FALSE),IF($M3053&gt;=0,VLOOKUP($E3053,Valida!$A$1:$G$270,7,FALSE)))</f>
        <v>(+/-) Ajustes por el incremento (disminución) de cuentas por pagar de origen comercial</v>
      </c>
      <c r="V3053" s="190" t="str">
        <f>VLOOKUP(E3053,Valida!$A$2:$K$271,4,FALSE)</f>
        <v>Trade and other payables</v>
      </c>
      <c r="W3053" s="185" t="s">
        <v>1983</v>
      </c>
      <c r="X3053" s="185"/>
      <c r="Y3053" s="185" t="s">
        <v>1789</v>
      </c>
      <c r="Z3053"/>
    </row>
    <row r="3054" spans="1:26">
      <c r="A3054" s="185" t="s">
        <v>3698</v>
      </c>
      <c r="B3054" s="185" t="s">
        <v>3779</v>
      </c>
      <c r="C3054" s="185" t="s">
        <v>1890</v>
      </c>
      <c r="D3054" s="185" t="s">
        <v>3780</v>
      </c>
      <c r="E3054" s="185">
        <v>112005</v>
      </c>
      <c r="F3054" s="185" t="s">
        <v>24</v>
      </c>
      <c r="G3054" s="185" t="s">
        <v>3781</v>
      </c>
      <c r="H3054" s="185" t="s">
        <v>1628</v>
      </c>
      <c r="I3054" s="258" t="str">
        <f t="shared" si="142"/>
        <v>1</v>
      </c>
      <c r="J3054" s="221">
        <f t="shared" si="143"/>
        <v>-1894044</v>
      </c>
      <c r="K3054" s="258">
        <f t="shared" si="144"/>
        <v>11</v>
      </c>
      <c r="L3054" s="188">
        <v>0</v>
      </c>
      <c r="M3054" s="188">
        <v>1894044</v>
      </c>
      <c r="N3054" s="189">
        <v>1000036375</v>
      </c>
      <c r="O3054"/>
      <c r="P3054" s="187">
        <v>45258.634618055599</v>
      </c>
      <c r="Q3054" s="186">
        <v>14699</v>
      </c>
      <c r="R3054" s="185"/>
      <c r="S3054" s="185" t="s">
        <v>1524</v>
      </c>
      <c r="T3054" t="s">
        <v>1894</v>
      </c>
      <c r="U3054" t="str">
        <f>IF($L3054&gt;0,VLOOKUP($E3054,Valida!$A$1:$G$270,6,FALSE),IF($M3054&gt;=0,VLOOKUP($E3054,Valida!$A$1:$G$270,7,FALSE)))</f>
        <v>Disponible</v>
      </c>
      <c r="V3054" s="190" t="str">
        <f>VLOOKUP(E3054,Valida!$A$2:$K$271,4,FALSE)</f>
        <v>Cash and equivalents</v>
      </c>
      <c r="W3054" s="185" t="s">
        <v>1983</v>
      </c>
      <c r="X3054" s="185"/>
      <c r="Y3054" s="185" t="s">
        <v>1789</v>
      </c>
      <c r="Z3054"/>
    </row>
    <row r="3055" spans="1:26">
      <c r="A3055" s="185" t="s">
        <v>3698</v>
      </c>
      <c r="B3055" s="185" t="s">
        <v>3782</v>
      </c>
      <c r="C3055" s="185" t="s">
        <v>1890</v>
      </c>
      <c r="D3055" s="185" t="s">
        <v>3783</v>
      </c>
      <c r="E3055" s="185">
        <v>250505</v>
      </c>
      <c r="F3055" s="185" t="s">
        <v>767</v>
      </c>
      <c r="G3055" s="185" t="s">
        <v>3781</v>
      </c>
      <c r="H3055" s="185" t="s">
        <v>1515</v>
      </c>
      <c r="I3055" s="258" t="str">
        <f t="shared" si="142"/>
        <v>2</v>
      </c>
      <c r="J3055" s="221">
        <f t="shared" si="143"/>
        <v>1314526</v>
      </c>
      <c r="K3055" s="258">
        <f t="shared" si="144"/>
        <v>11</v>
      </c>
      <c r="L3055" s="188">
        <v>1314526</v>
      </c>
      <c r="M3055" s="188">
        <v>0</v>
      </c>
      <c r="N3055" s="189">
        <v>1000018061</v>
      </c>
      <c r="O3055"/>
      <c r="P3055" s="187">
        <v>45258.6348842593</v>
      </c>
      <c r="Q3055" s="186">
        <v>14700</v>
      </c>
      <c r="R3055" s="185"/>
      <c r="S3055" s="185" t="s">
        <v>1522</v>
      </c>
      <c r="T3055"/>
      <c r="U3055" t="str">
        <f>IF($L3055&gt;0,VLOOKUP($E3055,Valida!$A$1:$G$270,6,FALSE),IF($M3055&gt;=0,VLOOKUP($E3055,Valida!$A$1:$G$270,7,FALSE)))</f>
        <v>(+/-) Ajustes por el incremento (disminución) de cuentas por pagar de origen comercial</v>
      </c>
      <c r="V3055" s="190" t="str">
        <f>VLOOKUP(E3055,Valida!$A$2:$K$271,4,FALSE)</f>
        <v>Trade and other payables</v>
      </c>
      <c r="W3055" s="185" t="s">
        <v>1978</v>
      </c>
      <c r="X3055" s="185"/>
      <c r="Y3055" s="185" t="s">
        <v>1789</v>
      </c>
      <c r="Z3055"/>
    </row>
    <row r="3056" spans="1:26">
      <c r="A3056" s="185" t="s">
        <v>3698</v>
      </c>
      <c r="B3056" s="185" t="s">
        <v>3782</v>
      </c>
      <c r="C3056" s="185" t="s">
        <v>1890</v>
      </c>
      <c r="D3056" s="185" t="s">
        <v>3783</v>
      </c>
      <c r="E3056" s="185">
        <v>112005</v>
      </c>
      <c r="F3056" s="185" t="s">
        <v>24</v>
      </c>
      <c r="G3056" s="185" t="s">
        <v>3781</v>
      </c>
      <c r="H3056" s="185" t="s">
        <v>1628</v>
      </c>
      <c r="I3056" s="258" t="str">
        <f t="shared" si="142"/>
        <v>1</v>
      </c>
      <c r="J3056" s="221">
        <f t="shared" si="143"/>
        <v>-1314526</v>
      </c>
      <c r="K3056" s="258">
        <f t="shared" si="144"/>
        <v>11</v>
      </c>
      <c r="L3056" s="188">
        <v>0</v>
      </c>
      <c r="M3056" s="188">
        <v>1314526</v>
      </c>
      <c r="N3056" s="189">
        <v>1000018061</v>
      </c>
      <c r="O3056"/>
      <c r="P3056" s="187">
        <v>45258.6348842593</v>
      </c>
      <c r="Q3056" s="186">
        <v>14701</v>
      </c>
      <c r="R3056" s="185"/>
      <c r="S3056" s="185" t="s">
        <v>1522</v>
      </c>
      <c r="T3056" t="s">
        <v>1894</v>
      </c>
      <c r="U3056" t="str">
        <f>IF($L3056&gt;0,VLOOKUP($E3056,Valida!$A$1:$G$270,6,FALSE),IF($M3056&gt;=0,VLOOKUP($E3056,Valida!$A$1:$G$270,7,FALSE)))</f>
        <v>Disponible</v>
      </c>
      <c r="V3056" s="190" t="str">
        <f>VLOOKUP(E3056,Valida!$A$2:$K$271,4,FALSE)</f>
        <v>Cash and equivalents</v>
      </c>
      <c r="W3056" s="185" t="s">
        <v>1978</v>
      </c>
      <c r="X3056" s="185"/>
      <c r="Y3056" s="185" t="s">
        <v>1789</v>
      </c>
      <c r="Z3056"/>
    </row>
    <row r="3057" spans="1:26">
      <c r="A3057" s="185" t="s">
        <v>3698</v>
      </c>
      <c r="B3057" s="185" t="s">
        <v>3784</v>
      </c>
      <c r="C3057" s="185" t="s">
        <v>1890</v>
      </c>
      <c r="D3057" s="185" t="s">
        <v>3785</v>
      </c>
      <c r="E3057" s="185">
        <v>250505</v>
      </c>
      <c r="F3057" s="185" t="s">
        <v>767</v>
      </c>
      <c r="G3057" s="185" t="s">
        <v>3781</v>
      </c>
      <c r="H3057" s="185" t="s">
        <v>1515</v>
      </c>
      <c r="I3057" s="258" t="str">
        <f t="shared" si="142"/>
        <v>2</v>
      </c>
      <c r="J3057" s="221">
        <f t="shared" si="143"/>
        <v>1510831</v>
      </c>
      <c r="K3057" s="258">
        <f t="shared" si="144"/>
        <v>11</v>
      </c>
      <c r="L3057" s="188">
        <v>1510831</v>
      </c>
      <c r="M3057" s="188">
        <v>0</v>
      </c>
      <c r="N3057" s="189">
        <v>1001284057</v>
      </c>
      <c r="O3057"/>
      <c r="P3057" s="187">
        <v>45258.635486111103</v>
      </c>
      <c r="Q3057" s="186">
        <v>14702</v>
      </c>
      <c r="R3057" s="185"/>
      <c r="S3057" s="185" t="s">
        <v>1526</v>
      </c>
      <c r="T3057"/>
      <c r="U3057" t="str">
        <f>IF($L3057&gt;0,VLOOKUP($E3057,Valida!$A$1:$G$270,6,FALSE),IF($M3057&gt;=0,VLOOKUP($E3057,Valida!$A$1:$G$270,7,FALSE)))</f>
        <v>(+/-) Ajustes por el incremento (disminución) de cuentas por pagar de origen comercial</v>
      </c>
      <c r="V3057" s="190" t="str">
        <f>VLOOKUP(E3057,Valida!$A$2:$K$271,4,FALSE)</f>
        <v>Trade and other payables</v>
      </c>
      <c r="W3057" s="185" t="s">
        <v>3454</v>
      </c>
      <c r="X3057" s="185" t="s">
        <v>3455</v>
      </c>
      <c r="Y3057" s="185" t="s">
        <v>1789</v>
      </c>
      <c r="Z3057"/>
    </row>
    <row r="3058" spans="1:26">
      <c r="A3058" s="185" t="s">
        <v>3698</v>
      </c>
      <c r="B3058" s="185" t="s">
        <v>3784</v>
      </c>
      <c r="C3058" s="185" t="s">
        <v>1890</v>
      </c>
      <c r="D3058" s="185" t="s">
        <v>3785</v>
      </c>
      <c r="E3058" s="185">
        <v>112005</v>
      </c>
      <c r="F3058" s="185" t="s">
        <v>24</v>
      </c>
      <c r="G3058" s="185" t="s">
        <v>3781</v>
      </c>
      <c r="H3058" s="185" t="s">
        <v>1628</v>
      </c>
      <c r="I3058" s="258" t="str">
        <f t="shared" si="142"/>
        <v>1</v>
      </c>
      <c r="J3058" s="221">
        <f t="shared" si="143"/>
        <v>-1510831</v>
      </c>
      <c r="K3058" s="258">
        <f t="shared" si="144"/>
        <v>11</v>
      </c>
      <c r="L3058" s="188">
        <v>0</v>
      </c>
      <c r="M3058" s="188">
        <v>1510831</v>
      </c>
      <c r="N3058" s="189">
        <v>1001284057</v>
      </c>
      <c r="O3058"/>
      <c r="P3058" s="187">
        <v>45258.635486111103</v>
      </c>
      <c r="Q3058" s="186">
        <v>14703</v>
      </c>
      <c r="R3058" s="185"/>
      <c r="S3058" s="185" t="s">
        <v>1526</v>
      </c>
      <c r="T3058" t="s">
        <v>1894</v>
      </c>
      <c r="U3058" t="str">
        <f>IF($L3058&gt;0,VLOOKUP($E3058,Valida!$A$1:$G$270,6,FALSE),IF($M3058&gt;=0,VLOOKUP($E3058,Valida!$A$1:$G$270,7,FALSE)))</f>
        <v>Disponible</v>
      </c>
      <c r="V3058" s="190" t="str">
        <f>VLOOKUP(E3058,Valida!$A$2:$K$271,4,FALSE)</f>
        <v>Cash and equivalents</v>
      </c>
      <c r="W3058" s="185" t="s">
        <v>3454</v>
      </c>
      <c r="X3058" s="185" t="s">
        <v>3455</v>
      </c>
      <c r="Y3058" s="185" t="s">
        <v>1789</v>
      </c>
      <c r="Z3058"/>
    </row>
    <row r="3059" spans="1:26">
      <c r="A3059" s="185" t="s">
        <v>3698</v>
      </c>
      <c r="B3059" s="185" t="s">
        <v>3786</v>
      </c>
      <c r="C3059" s="185" t="s">
        <v>1890</v>
      </c>
      <c r="D3059" s="185" t="s">
        <v>3787</v>
      </c>
      <c r="E3059" s="185">
        <v>250505</v>
      </c>
      <c r="F3059" s="185" t="s">
        <v>767</v>
      </c>
      <c r="G3059" s="185" t="s">
        <v>3781</v>
      </c>
      <c r="H3059" s="185" t="s">
        <v>1515</v>
      </c>
      <c r="I3059" s="258" t="str">
        <f t="shared" si="142"/>
        <v>2</v>
      </c>
      <c r="J3059" s="221">
        <f t="shared" si="143"/>
        <v>1067200</v>
      </c>
      <c r="K3059" s="258">
        <f t="shared" si="144"/>
        <v>11</v>
      </c>
      <c r="L3059" s="188">
        <v>1067200</v>
      </c>
      <c r="M3059" s="188">
        <v>0</v>
      </c>
      <c r="N3059" s="189">
        <v>1020842223</v>
      </c>
      <c r="O3059"/>
      <c r="P3059" s="187">
        <v>45258.636006944398</v>
      </c>
      <c r="Q3059" s="186">
        <v>14704</v>
      </c>
      <c r="R3059" s="185"/>
      <c r="S3059" s="185" t="s">
        <v>1532</v>
      </c>
      <c r="T3059"/>
      <c r="U3059" t="str">
        <f>IF($L3059&gt;0,VLOOKUP($E3059,Valida!$A$1:$G$270,6,FALSE),IF($M3059&gt;=0,VLOOKUP($E3059,Valida!$A$1:$G$270,7,FALSE)))</f>
        <v>(+/-) Ajustes por el incremento (disminución) de cuentas por pagar de origen comercial</v>
      </c>
      <c r="V3059" s="190" t="str">
        <f>VLOOKUP(E3059,Valida!$A$2:$K$271,4,FALSE)</f>
        <v>Trade and other payables</v>
      </c>
      <c r="W3059" s="185" t="s">
        <v>1900</v>
      </c>
      <c r="X3059" s="185"/>
      <c r="Y3059" s="185" t="s">
        <v>1789</v>
      </c>
      <c r="Z3059"/>
    </row>
    <row r="3060" spans="1:26">
      <c r="A3060" s="185" t="s">
        <v>3698</v>
      </c>
      <c r="B3060" s="185" t="s">
        <v>3786</v>
      </c>
      <c r="C3060" s="185" t="s">
        <v>1890</v>
      </c>
      <c r="D3060" s="185" t="s">
        <v>3787</v>
      </c>
      <c r="E3060" s="185">
        <v>112005</v>
      </c>
      <c r="F3060" s="185" t="s">
        <v>24</v>
      </c>
      <c r="G3060" s="185" t="s">
        <v>3781</v>
      </c>
      <c r="H3060" s="185" t="s">
        <v>1628</v>
      </c>
      <c r="I3060" s="258" t="str">
        <f t="shared" si="142"/>
        <v>1</v>
      </c>
      <c r="J3060" s="221">
        <f t="shared" si="143"/>
        <v>-1067200</v>
      </c>
      <c r="K3060" s="258">
        <f t="shared" si="144"/>
        <v>11</v>
      </c>
      <c r="L3060" s="188">
        <v>0</v>
      </c>
      <c r="M3060" s="188">
        <v>1067200</v>
      </c>
      <c r="N3060" s="189">
        <v>1020842223</v>
      </c>
      <c r="O3060"/>
      <c r="P3060" s="187">
        <v>45258.636006944398</v>
      </c>
      <c r="Q3060" s="186">
        <v>14705</v>
      </c>
      <c r="R3060" s="185"/>
      <c r="S3060" s="185" t="s">
        <v>1532</v>
      </c>
      <c r="T3060" t="s">
        <v>1894</v>
      </c>
      <c r="U3060" t="str">
        <f>IF($L3060&gt;0,VLOOKUP($E3060,Valida!$A$1:$G$270,6,FALSE),IF($M3060&gt;=0,VLOOKUP($E3060,Valida!$A$1:$G$270,7,FALSE)))</f>
        <v>Disponible</v>
      </c>
      <c r="V3060" s="190" t="str">
        <f>VLOOKUP(E3060,Valida!$A$2:$K$271,4,FALSE)</f>
        <v>Cash and equivalents</v>
      </c>
      <c r="W3060" s="185" t="s">
        <v>1900</v>
      </c>
      <c r="X3060" s="185"/>
      <c r="Y3060" s="185" t="s">
        <v>1789</v>
      </c>
      <c r="Z3060"/>
    </row>
    <row r="3061" spans="1:26">
      <c r="A3061" s="185" t="s">
        <v>3698</v>
      </c>
      <c r="B3061" s="185" t="s">
        <v>3788</v>
      </c>
      <c r="C3061" s="185" t="s">
        <v>1890</v>
      </c>
      <c r="D3061" s="185" t="s">
        <v>3789</v>
      </c>
      <c r="E3061" s="185">
        <v>250505</v>
      </c>
      <c r="F3061" s="185" t="s">
        <v>767</v>
      </c>
      <c r="G3061" s="185" t="s">
        <v>3781</v>
      </c>
      <c r="H3061" s="185" t="s">
        <v>1515</v>
      </c>
      <c r="I3061" s="258" t="str">
        <f t="shared" si="142"/>
        <v>2</v>
      </c>
      <c r="J3061" s="221">
        <f t="shared" si="143"/>
        <v>1207806</v>
      </c>
      <c r="K3061" s="258">
        <f t="shared" si="144"/>
        <v>11</v>
      </c>
      <c r="L3061" s="188">
        <v>1207806</v>
      </c>
      <c r="M3061" s="188">
        <v>0</v>
      </c>
      <c r="N3061" s="189">
        <v>1130744136</v>
      </c>
      <c r="O3061"/>
      <c r="P3061" s="187">
        <v>45258.636377314797</v>
      </c>
      <c r="Q3061" s="186">
        <v>14706</v>
      </c>
      <c r="R3061" s="185"/>
      <c r="S3061" s="185" t="s">
        <v>1538</v>
      </c>
      <c r="T3061"/>
      <c r="U3061" t="str">
        <f>IF($L3061&gt;0,VLOOKUP($E3061,Valida!$A$1:$G$270,6,FALSE),IF($M3061&gt;=0,VLOOKUP($E3061,Valida!$A$1:$G$270,7,FALSE)))</f>
        <v>(+/-) Ajustes por el incremento (disminución) de cuentas por pagar de origen comercial</v>
      </c>
      <c r="V3061" s="190" t="str">
        <f>VLOOKUP(E3061,Valida!$A$2:$K$271,4,FALSE)</f>
        <v>Trade and other payables</v>
      </c>
      <c r="W3061" s="185" t="s">
        <v>1909</v>
      </c>
      <c r="X3061" s="185" t="s">
        <v>1910</v>
      </c>
      <c r="Y3061" s="185" t="s">
        <v>1789</v>
      </c>
      <c r="Z3061"/>
    </row>
    <row r="3062" spans="1:26">
      <c r="A3062" s="185" t="s">
        <v>3698</v>
      </c>
      <c r="B3062" s="185" t="s">
        <v>3788</v>
      </c>
      <c r="C3062" s="185" t="s">
        <v>1890</v>
      </c>
      <c r="D3062" s="185" t="s">
        <v>3789</v>
      </c>
      <c r="E3062" s="185">
        <v>112005</v>
      </c>
      <c r="F3062" s="185" t="s">
        <v>24</v>
      </c>
      <c r="G3062" s="185" t="s">
        <v>3781</v>
      </c>
      <c r="H3062" s="185" t="s">
        <v>1628</v>
      </c>
      <c r="I3062" s="258" t="str">
        <f t="shared" si="142"/>
        <v>1</v>
      </c>
      <c r="J3062" s="221">
        <f t="shared" si="143"/>
        <v>-1207806</v>
      </c>
      <c r="K3062" s="258">
        <f t="shared" si="144"/>
        <v>11</v>
      </c>
      <c r="L3062" s="188">
        <v>0</v>
      </c>
      <c r="M3062" s="188">
        <v>1207806</v>
      </c>
      <c r="N3062" s="189">
        <v>1130744136</v>
      </c>
      <c r="O3062"/>
      <c r="P3062" s="187">
        <v>45258.636377314797</v>
      </c>
      <c r="Q3062" s="186">
        <v>14707</v>
      </c>
      <c r="R3062" s="185"/>
      <c r="S3062" s="185" t="s">
        <v>1538</v>
      </c>
      <c r="T3062" t="s">
        <v>1894</v>
      </c>
      <c r="U3062" t="str">
        <f>IF($L3062&gt;0,VLOOKUP($E3062,Valida!$A$1:$G$270,6,FALSE),IF($M3062&gt;=0,VLOOKUP($E3062,Valida!$A$1:$G$270,7,FALSE)))</f>
        <v>Disponible</v>
      </c>
      <c r="V3062" s="190" t="str">
        <f>VLOOKUP(E3062,Valida!$A$2:$K$271,4,FALSE)</f>
        <v>Cash and equivalents</v>
      </c>
      <c r="W3062" s="185" t="s">
        <v>1909</v>
      </c>
      <c r="X3062" s="185" t="s">
        <v>1910</v>
      </c>
      <c r="Y3062" s="185" t="s">
        <v>1789</v>
      </c>
      <c r="Z3062"/>
    </row>
    <row r="3063" spans="1:26">
      <c r="A3063" s="185" t="s">
        <v>3698</v>
      </c>
      <c r="B3063" s="185" t="s">
        <v>3790</v>
      </c>
      <c r="C3063" s="185" t="s">
        <v>1890</v>
      </c>
      <c r="D3063" s="185" t="s">
        <v>3791</v>
      </c>
      <c r="E3063" s="185">
        <v>250505</v>
      </c>
      <c r="F3063" s="185" t="s">
        <v>767</v>
      </c>
      <c r="G3063" s="185" t="s">
        <v>3781</v>
      </c>
      <c r="H3063" s="185" t="s">
        <v>1515</v>
      </c>
      <c r="I3063" s="258" t="str">
        <f t="shared" si="142"/>
        <v>2</v>
      </c>
      <c r="J3063" s="221">
        <f t="shared" si="143"/>
        <v>1520606</v>
      </c>
      <c r="K3063" s="258">
        <f t="shared" si="144"/>
        <v>11</v>
      </c>
      <c r="L3063" s="188">
        <v>1520606</v>
      </c>
      <c r="M3063" s="188">
        <v>0</v>
      </c>
      <c r="N3063" s="189">
        <v>1010101811</v>
      </c>
      <c r="O3063"/>
      <c r="P3063" s="187">
        <v>45258.636678240699</v>
      </c>
      <c r="Q3063" s="186">
        <v>14708</v>
      </c>
      <c r="R3063" s="185"/>
      <c r="S3063" s="185" t="s">
        <v>1528</v>
      </c>
      <c r="T3063"/>
      <c r="U3063" t="str">
        <f>IF($L3063&gt;0,VLOOKUP($E3063,Valida!$A$1:$G$270,6,FALSE),IF($M3063&gt;=0,VLOOKUP($E3063,Valida!$A$1:$G$270,7,FALSE)))</f>
        <v>(+/-) Ajustes por el incremento (disminución) de cuentas por pagar de origen comercial</v>
      </c>
      <c r="V3063" s="190" t="str">
        <f>VLOOKUP(E3063,Valida!$A$2:$K$271,4,FALSE)</f>
        <v>Trade and other payables</v>
      </c>
      <c r="W3063" s="185" t="s">
        <v>1967</v>
      </c>
      <c r="X3063" s="185"/>
      <c r="Y3063" s="185" t="s">
        <v>1789</v>
      </c>
      <c r="Z3063"/>
    </row>
    <row r="3064" spans="1:26">
      <c r="A3064" s="185" t="s">
        <v>3698</v>
      </c>
      <c r="B3064" s="185" t="s">
        <v>3790</v>
      </c>
      <c r="C3064" s="185" t="s">
        <v>1890</v>
      </c>
      <c r="D3064" s="185" t="s">
        <v>3791</v>
      </c>
      <c r="E3064" s="185">
        <v>112005</v>
      </c>
      <c r="F3064" s="185" t="s">
        <v>24</v>
      </c>
      <c r="G3064" s="185" t="s">
        <v>3781</v>
      </c>
      <c r="H3064" s="185" t="s">
        <v>1628</v>
      </c>
      <c r="I3064" s="258" t="str">
        <f t="shared" si="142"/>
        <v>1</v>
      </c>
      <c r="J3064" s="221">
        <f t="shared" si="143"/>
        <v>-1520606</v>
      </c>
      <c r="K3064" s="258">
        <f t="shared" si="144"/>
        <v>11</v>
      </c>
      <c r="L3064" s="188">
        <v>0</v>
      </c>
      <c r="M3064" s="188">
        <v>1520606</v>
      </c>
      <c r="N3064" s="189">
        <v>1010101811</v>
      </c>
      <c r="O3064"/>
      <c r="P3064" s="187">
        <v>45258.636678240699</v>
      </c>
      <c r="Q3064" s="186">
        <v>14709</v>
      </c>
      <c r="R3064" s="185"/>
      <c r="S3064" s="185" t="s">
        <v>1528</v>
      </c>
      <c r="T3064" t="s">
        <v>1894</v>
      </c>
      <c r="U3064" t="str">
        <f>IF($L3064&gt;0,VLOOKUP($E3064,Valida!$A$1:$G$270,6,FALSE),IF($M3064&gt;=0,VLOOKUP($E3064,Valida!$A$1:$G$270,7,FALSE)))</f>
        <v>Disponible</v>
      </c>
      <c r="V3064" s="190" t="str">
        <f>VLOOKUP(E3064,Valida!$A$2:$K$271,4,FALSE)</f>
        <v>Cash and equivalents</v>
      </c>
      <c r="W3064" s="185" t="s">
        <v>1967</v>
      </c>
      <c r="X3064" s="185"/>
      <c r="Y3064" s="185" t="s">
        <v>1789</v>
      </c>
      <c r="Z3064"/>
    </row>
    <row r="3065" spans="1:26">
      <c r="A3065" s="185" t="s">
        <v>3698</v>
      </c>
      <c r="B3065" s="185" t="s">
        <v>3792</v>
      </c>
      <c r="C3065" s="185" t="s">
        <v>1890</v>
      </c>
      <c r="D3065" s="185" t="s">
        <v>3793</v>
      </c>
      <c r="E3065" s="185">
        <v>23355006</v>
      </c>
      <c r="F3065" s="185" t="s">
        <v>519</v>
      </c>
      <c r="G3065" s="185" t="s">
        <v>1921</v>
      </c>
      <c r="H3065" s="185" t="s">
        <v>1515</v>
      </c>
      <c r="I3065" s="258" t="str">
        <f t="shared" si="142"/>
        <v>2</v>
      </c>
      <c r="J3065" s="221">
        <f t="shared" si="143"/>
        <v>1435492</v>
      </c>
      <c r="K3065" s="258">
        <f t="shared" si="144"/>
        <v>11</v>
      </c>
      <c r="L3065" s="188">
        <v>1435492</v>
      </c>
      <c r="M3065" s="188">
        <v>0</v>
      </c>
      <c r="N3065" s="189">
        <v>900092385</v>
      </c>
      <c r="O3065"/>
      <c r="P3065" s="187">
        <v>45258.637465277803</v>
      </c>
      <c r="Q3065" s="186">
        <v>14710</v>
      </c>
      <c r="R3065" s="185" t="s">
        <v>1841</v>
      </c>
      <c r="S3065" s="185" t="s">
        <v>1590</v>
      </c>
      <c r="T3065"/>
      <c r="U3065" t="str">
        <f>IF($L3065&gt;0,VLOOKUP($E3065,Valida!$A$1:$G$270,6,FALSE),IF($M3065&gt;=0,VLOOKUP($E3065,Valida!$A$1:$G$270,7,FALSE)))</f>
        <v>(+/-) Ajustes por el incremento (disminución) de cuentas por pagar de origen comercial</v>
      </c>
      <c r="V3065" s="190" t="str">
        <f>VLOOKUP(E3065,Valida!$A$2:$K$271,4,FALSE)</f>
        <v>Trade and other payables</v>
      </c>
      <c r="W3065" s="185" t="s">
        <v>1842</v>
      </c>
      <c r="X3065" s="185" t="s">
        <v>1843</v>
      </c>
      <c r="Y3065" s="185" t="s">
        <v>1844</v>
      </c>
      <c r="Z3065"/>
    </row>
    <row r="3066" spans="1:26">
      <c r="A3066" s="185" t="s">
        <v>3698</v>
      </c>
      <c r="B3066" s="185" t="s">
        <v>3792</v>
      </c>
      <c r="C3066" s="185" t="s">
        <v>1890</v>
      </c>
      <c r="D3066" s="185" t="s">
        <v>3793</v>
      </c>
      <c r="E3066" s="185">
        <v>112005</v>
      </c>
      <c r="F3066" s="185" t="s">
        <v>24</v>
      </c>
      <c r="G3066" s="185" t="s">
        <v>1921</v>
      </c>
      <c r="H3066" s="185" t="s">
        <v>1628</v>
      </c>
      <c r="I3066" s="258" t="str">
        <f t="shared" si="142"/>
        <v>1</v>
      </c>
      <c r="J3066" s="221">
        <f t="shared" si="143"/>
        <v>-1435492</v>
      </c>
      <c r="K3066" s="258">
        <f t="shared" si="144"/>
        <v>11</v>
      </c>
      <c r="L3066" s="188">
        <v>0</v>
      </c>
      <c r="M3066" s="188">
        <v>1435492</v>
      </c>
      <c r="N3066" s="189">
        <v>900092385</v>
      </c>
      <c r="O3066"/>
      <c r="P3066" s="187">
        <v>45258.637465277803</v>
      </c>
      <c r="Q3066" s="186">
        <v>14711</v>
      </c>
      <c r="R3066" s="185" t="s">
        <v>1841</v>
      </c>
      <c r="S3066" s="185" t="s">
        <v>1590</v>
      </c>
      <c r="T3066" t="s">
        <v>1894</v>
      </c>
      <c r="U3066" t="str">
        <f>IF($L3066&gt;0,VLOOKUP($E3066,Valida!$A$1:$G$270,6,FALSE),IF($M3066&gt;=0,VLOOKUP($E3066,Valida!$A$1:$G$270,7,FALSE)))</f>
        <v>Disponible</v>
      </c>
      <c r="V3066" s="190" t="str">
        <f>VLOOKUP(E3066,Valida!$A$2:$K$271,4,FALSE)</f>
        <v>Cash and equivalents</v>
      </c>
      <c r="W3066" s="185" t="s">
        <v>1842</v>
      </c>
      <c r="X3066" s="185" t="s">
        <v>1843</v>
      </c>
      <c r="Y3066" s="185" t="s">
        <v>1844</v>
      </c>
      <c r="Z3066"/>
    </row>
    <row r="3067" spans="1:26">
      <c r="A3067" s="185" t="s">
        <v>3698</v>
      </c>
      <c r="B3067" s="185" t="s">
        <v>3794</v>
      </c>
      <c r="C3067" s="185" t="s">
        <v>1890</v>
      </c>
      <c r="D3067" s="185" t="s">
        <v>3795</v>
      </c>
      <c r="E3067" s="185">
        <v>23359502</v>
      </c>
      <c r="F3067" s="185" t="s">
        <v>547</v>
      </c>
      <c r="G3067" s="185" t="s">
        <v>1921</v>
      </c>
      <c r="H3067" s="185" t="s">
        <v>1515</v>
      </c>
      <c r="I3067" s="258" t="str">
        <f t="shared" si="142"/>
        <v>2</v>
      </c>
      <c r="J3067" s="221">
        <f t="shared" si="143"/>
        <v>4931751</v>
      </c>
      <c r="K3067" s="258">
        <f t="shared" si="144"/>
        <v>11</v>
      </c>
      <c r="L3067" s="188">
        <v>4931751</v>
      </c>
      <c r="M3067" s="188">
        <v>0</v>
      </c>
      <c r="N3067" s="189">
        <v>830062853</v>
      </c>
      <c r="O3067"/>
      <c r="P3067" s="187">
        <v>45258.6379282407</v>
      </c>
      <c r="Q3067" s="186">
        <v>14712</v>
      </c>
      <c r="R3067" s="185" t="s">
        <v>433</v>
      </c>
      <c r="S3067" s="185" t="s">
        <v>1564</v>
      </c>
      <c r="T3067"/>
      <c r="U3067" t="str">
        <f>IF($L3067&gt;0,VLOOKUP($E3067,Valida!$A$1:$G$270,6,FALSE),IF($M3067&gt;=0,VLOOKUP($E3067,Valida!$A$1:$G$270,7,FALSE)))</f>
        <v>(+/-) Ajustes por el incremento (disminución) de cuentas por pagar de origen comercial</v>
      </c>
      <c r="V3067" s="190" t="str">
        <f>VLOOKUP(E3067,Valida!$A$2:$K$271,4,FALSE)</f>
        <v>Trade and other payables</v>
      </c>
      <c r="W3067" s="185" t="s">
        <v>2024</v>
      </c>
      <c r="X3067" s="185" t="s">
        <v>2025</v>
      </c>
      <c r="Y3067" s="185" t="s">
        <v>1789</v>
      </c>
      <c r="Z3067"/>
    </row>
    <row r="3068" spans="1:26">
      <c r="A3068" s="185" t="s">
        <v>3698</v>
      </c>
      <c r="B3068" s="185" t="s">
        <v>3794</v>
      </c>
      <c r="C3068" s="185" t="s">
        <v>1890</v>
      </c>
      <c r="D3068" s="185" t="s">
        <v>3795</v>
      </c>
      <c r="E3068" s="185">
        <v>112005</v>
      </c>
      <c r="F3068" s="185" t="s">
        <v>24</v>
      </c>
      <c r="G3068" s="185" t="s">
        <v>1921</v>
      </c>
      <c r="H3068" s="185" t="s">
        <v>1628</v>
      </c>
      <c r="I3068" s="258" t="str">
        <f t="shared" si="142"/>
        <v>1</v>
      </c>
      <c r="J3068" s="221">
        <f t="shared" si="143"/>
        <v>-4931751</v>
      </c>
      <c r="K3068" s="258">
        <f t="shared" si="144"/>
        <v>11</v>
      </c>
      <c r="L3068" s="188">
        <v>0</v>
      </c>
      <c r="M3068" s="188">
        <v>4931751</v>
      </c>
      <c r="N3068" s="189">
        <v>830062853</v>
      </c>
      <c r="O3068"/>
      <c r="P3068" s="187">
        <v>45258.6379282407</v>
      </c>
      <c r="Q3068" s="186">
        <v>14713</v>
      </c>
      <c r="R3068" s="185" t="s">
        <v>433</v>
      </c>
      <c r="S3068" s="185" t="s">
        <v>1564</v>
      </c>
      <c r="T3068" t="s">
        <v>1894</v>
      </c>
      <c r="U3068" t="str">
        <f>IF($L3068&gt;0,VLOOKUP($E3068,Valida!$A$1:$G$270,6,FALSE),IF($M3068&gt;=0,VLOOKUP($E3068,Valida!$A$1:$G$270,7,FALSE)))</f>
        <v>Disponible</v>
      </c>
      <c r="V3068" s="190" t="str">
        <f>VLOOKUP(E3068,Valida!$A$2:$K$271,4,FALSE)</f>
        <v>Cash and equivalents</v>
      </c>
      <c r="W3068" s="185" t="s">
        <v>2024</v>
      </c>
      <c r="X3068" s="185" t="s">
        <v>2025</v>
      </c>
      <c r="Y3068" s="185" t="s">
        <v>1789</v>
      </c>
      <c r="Z3068"/>
    </row>
    <row r="3069" spans="1:26">
      <c r="A3069" s="185" t="s">
        <v>3796</v>
      </c>
      <c r="B3069" s="185" t="s">
        <v>3797</v>
      </c>
      <c r="C3069" s="185" t="s">
        <v>1792</v>
      </c>
      <c r="D3069" s="185" t="s">
        <v>2695</v>
      </c>
      <c r="E3069" s="185">
        <v>13300502</v>
      </c>
      <c r="F3069" s="185" t="s">
        <v>129</v>
      </c>
      <c r="G3069" s="185" t="s">
        <v>3798</v>
      </c>
      <c r="H3069" s="185" t="s">
        <v>1515</v>
      </c>
      <c r="I3069" s="258" t="str">
        <f t="shared" si="142"/>
        <v>1</v>
      </c>
      <c r="J3069" s="221">
        <f t="shared" si="143"/>
        <v>297500</v>
      </c>
      <c r="K3069" s="258">
        <f t="shared" si="144"/>
        <v>11</v>
      </c>
      <c r="L3069" s="188">
        <v>297500</v>
      </c>
      <c r="M3069" s="188">
        <v>0</v>
      </c>
      <c r="N3069" s="189">
        <v>800042928</v>
      </c>
      <c r="O3069"/>
      <c r="P3069" s="187">
        <v>45259.3688078704</v>
      </c>
      <c r="Q3069" s="186">
        <v>14714</v>
      </c>
      <c r="R3069" s="185" t="s">
        <v>6</v>
      </c>
      <c r="S3069" s="185" t="s">
        <v>1554</v>
      </c>
      <c r="T3069"/>
      <c r="U3069" t="str">
        <f>IF($L3069&gt;0,VLOOKUP($E3069,Valida!$A$1:$G$270,6,FALSE),IF($M3069&gt;=0,VLOOKUP($E3069,Valida!$A$1:$G$270,7,FALSE)))</f>
        <v>(+/-) Ajustes por disminuciones (incrementos) en otras cuentas por cobrar derivadas de las actividades de operación</v>
      </c>
      <c r="V3069" s="190" t="str">
        <f>VLOOKUP(E3069,Valida!$A$2:$K$271,4,FALSE)</f>
        <v>Trade and other receivables</v>
      </c>
      <c r="W3069" s="185" t="s">
        <v>1820</v>
      </c>
      <c r="X3069" s="185" t="s">
        <v>1821</v>
      </c>
      <c r="Y3069" s="185" t="s">
        <v>1789</v>
      </c>
      <c r="Z3069"/>
    </row>
    <row r="3070" spans="1:26">
      <c r="A3070" s="185" t="s">
        <v>3796</v>
      </c>
      <c r="B3070" s="185" t="s">
        <v>3797</v>
      </c>
      <c r="C3070" s="185" t="s">
        <v>1792</v>
      </c>
      <c r="D3070" s="185" t="s">
        <v>2695</v>
      </c>
      <c r="E3070" s="185">
        <v>23359504</v>
      </c>
      <c r="F3070" s="185" t="s">
        <v>553</v>
      </c>
      <c r="G3070" s="185" t="s">
        <v>3798</v>
      </c>
      <c r="H3070" s="185" t="s">
        <v>1628</v>
      </c>
      <c r="I3070" s="258" t="str">
        <f t="shared" si="142"/>
        <v>2</v>
      </c>
      <c r="J3070" s="221">
        <f t="shared" si="143"/>
        <v>-297500</v>
      </c>
      <c r="K3070" s="258">
        <f t="shared" si="144"/>
        <v>11</v>
      </c>
      <c r="L3070" s="188">
        <v>0</v>
      </c>
      <c r="M3070" s="188">
        <v>297500</v>
      </c>
      <c r="N3070" s="189">
        <v>800042928</v>
      </c>
      <c r="O3070"/>
      <c r="P3070" s="187">
        <v>45259.368819444397</v>
      </c>
      <c r="Q3070" s="186">
        <v>14715</v>
      </c>
      <c r="R3070" s="185" t="s">
        <v>6</v>
      </c>
      <c r="S3070" s="185" t="s">
        <v>1554</v>
      </c>
      <c r="T3070"/>
      <c r="U3070" t="str">
        <f>IF($L3070&gt;0,VLOOKUP($E3070,Valida!$A$1:$G$270,6,FALSE),IF($M3070&gt;=0,VLOOKUP($E3070,Valida!$A$1:$G$270,7,FALSE)))</f>
        <v>(+/-) Ajustes por el incremento (disminución) de cuentas por pagar de origen comercial</v>
      </c>
      <c r="V3070" s="190" t="str">
        <f>VLOOKUP(E3070,Valida!$A$2:$K$271,4,FALSE)</f>
        <v>Trade and other payables</v>
      </c>
      <c r="W3070" s="185" t="s">
        <v>1820</v>
      </c>
      <c r="X3070" s="185" t="s">
        <v>1821</v>
      </c>
      <c r="Y3070" s="185" t="s">
        <v>1789</v>
      </c>
      <c r="Z3070"/>
    </row>
    <row r="3071" spans="1:26">
      <c r="A3071" s="185" t="s">
        <v>3698</v>
      </c>
      <c r="B3071" s="185" t="s">
        <v>3799</v>
      </c>
      <c r="C3071" s="185" t="s">
        <v>1890</v>
      </c>
      <c r="D3071" s="185" t="s">
        <v>3800</v>
      </c>
      <c r="E3071" s="185">
        <v>23359504</v>
      </c>
      <c r="F3071" s="185" t="s">
        <v>553</v>
      </c>
      <c r="G3071" s="185" t="s">
        <v>3798</v>
      </c>
      <c r="H3071" s="185" t="s">
        <v>1515</v>
      </c>
      <c r="I3071" s="258" t="str">
        <f t="shared" si="142"/>
        <v>2</v>
      </c>
      <c r="J3071" s="221">
        <f t="shared" si="143"/>
        <v>297500</v>
      </c>
      <c r="K3071" s="258">
        <f t="shared" si="144"/>
        <v>11</v>
      </c>
      <c r="L3071" s="188">
        <v>297500</v>
      </c>
      <c r="M3071" s="188">
        <v>0</v>
      </c>
      <c r="N3071" s="189">
        <v>800042928</v>
      </c>
      <c r="O3071"/>
      <c r="P3071" s="187">
        <v>45259.369178240697</v>
      </c>
      <c r="Q3071" s="186">
        <v>14716</v>
      </c>
      <c r="R3071" s="185" t="s">
        <v>6</v>
      </c>
      <c r="S3071" s="185" t="s">
        <v>1554</v>
      </c>
      <c r="T3071"/>
      <c r="U3071" t="str">
        <f>IF($L3071&gt;0,VLOOKUP($E3071,Valida!$A$1:$G$270,6,FALSE),IF($M3071&gt;=0,VLOOKUP($E3071,Valida!$A$1:$G$270,7,FALSE)))</f>
        <v>(+/-) Ajustes por el incremento (disminución) de cuentas por pagar de origen comercial</v>
      </c>
      <c r="V3071" s="190" t="str">
        <f>VLOOKUP(E3071,Valida!$A$2:$K$271,4,FALSE)</f>
        <v>Trade and other payables</v>
      </c>
      <c r="W3071" s="185" t="s">
        <v>1820</v>
      </c>
      <c r="X3071" s="185" t="s">
        <v>1821</v>
      </c>
      <c r="Y3071" s="185" t="s">
        <v>1789</v>
      </c>
      <c r="Z3071"/>
    </row>
    <row r="3072" spans="1:26">
      <c r="A3072" s="185" t="s">
        <v>3698</v>
      </c>
      <c r="B3072" s="185" t="s">
        <v>3799</v>
      </c>
      <c r="C3072" s="185" t="s">
        <v>1890</v>
      </c>
      <c r="D3072" s="185" t="s">
        <v>3800</v>
      </c>
      <c r="E3072" s="185">
        <v>112005</v>
      </c>
      <c r="F3072" s="185" t="s">
        <v>24</v>
      </c>
      <c r="G3072" s="185" t="s">
        <v>3798</v>
      </c>
      <c r="H3072" s="185" t="s">
        <v>1628</v>
      </c>
      <c r="I3072" s="258" t="str">
        <f t="shared" si="142"/>
        <v>1</v>
      </c>
      <c r="J3072" s="221">
        <f t="shared" si="143"/>
        <v>-297500</v>
      </c>
      <c r="K3072" s="258">
        <f t="shared" si="144"/>
        <v>11</v>
      </c>
      <c r="L3072" s="188">
        <v>0</v>
      </c>
      <c r="M3072" s="188">
        <v>297500</v>
      </c>
      <c r="N3072" s="189">
        <v>800042928</v>
      </c>
      <c r="O3072"/>
      <c r="P3072" s="187">
        <v>45259.369178240697</v>
      </c>
      <c r="Q3072" s="186">
        <v>14717</v>
      </c>
      <c r="R3072" s="185" t="s">
        <v>6</v>
      </c>
      <c r="S3072" s="185" t="s">
        <v>1554</v>
      </c>
      <c r="T3072" t="s">
        <v>1894</v>
      </c>
      <c r="U3072" t="str">
        <f>IF($L3072&gt;0,VLOOKUP($E3072,Valida!$A$1:$G$270,6,FALSE),IF($M3072&gt;=0,VLOOKUP($E3072,Valida!$A$1:$G$270,7,FALSE)))</f>
        <v>Disponible</v>
      </c>
      <c r="V3072" s="190" t="str">
        <f>VLOOKUP(E3072,Valida!$A$2:$K$271,4,FALSE)</f>
        <v>Cash and equivalents</v>
      </c>
      <c r="W3072" s="185" t="s">
        <v>1820</v>
      </c>
      <c r="X3072" s="185" t="s">
        <v>1821</v>
      </c>
      <c r="Y3072" s="185" t="s">
        <v>1789</v>
      </c>
      <c r="Z3072"/>
    </row>
    <row r="3073" spans="1:26">
      <c r="A3073" s="185" t="s">
        <v>3712</v>
      </c>
      <c r="B3073" s="185" t="s">
        <v>3801</v>
      </c>
      <c r="C3073" s="185" t="s">
        <v>1890</v>
      </c>
      <c r="D3073" s="185" t="s">
        <v>3802</v>
      </c>
      <c r="E3073" s="185">
        <v>23355002</v>
      </c>
      <c r="F3073" s="185" t="s">
        <v>506</v>
      </c>
      <c r="G3073" s="185" t="s">
        <v>1921</v>
      </c>
      <c r="H3073" s="185" t="s">
        <v>1515</v>
      </c>
      <c r="I3073" s="258" t="str">
        <f t="shared" si="142"/>
        <v>2</v>
      </c>
      <c r="J3073" s="221">
        <f t="shared" si="143"/>
        <v>260476.79999999999</v>
      </c>
      <c r="K3073" s="258">
        <f t="shared" si="144"/>
        <v>11</v>
      </c>
      <c r="L3073" s="188">
        <v>260476.79999999999</v>
      </c>
      <c r="M3073" s="188">
        <v>0</v>
      </c>
      <c r="N3073" s="189">
        <v>444444441</v>
      </c>
      <c r="O3073"/>
      <c r="P3073" s="187">
        <v>45259.369652777801</v>
      </c>
      <c r="Q3073" s="186">
        <v>14718</v>
      </c>
      <c r="R3073" s="185"/>
      <c r="S3073" s="185" t="s">
        <v>1550</v>
      </c>
      <c r="T3073"/>
      <c r="U3073" t="str">
        <f>IF($L3073&gt;0,VLOOKUP($E3073,Valida!$A$1:$G$270,6,FALSE),IF($M3073&gt;=0,VLOOKUP($E3073,Valida!$A$1:$G$270,7,FALSE)))</f>
        <v>(+/-) Ajustes por el incremento (disminución) de cuentas por pagar de origen comercial</v>
      </c>
      <c r="V3073" s="190" t="str">
        <f>VLOOKUP(E3073,Valida!$A$2:$K$271,4,FALSE)</f>
        <v>Trade and other payables</v>
      </c>
      <c r="W3073" s="185"/>
      <c r="X3073" s="185"/>
      <c r="Y3073" s="185"/>
      <c r="Z3073"/>
    </row>
    <row r="3074" spans="1:26">
      <c r="A3074" s="185" t="s">
        <v>3712</v>
      </c>
      <c r="B3074" s="185" t="s">
        <v>3801</v>
      </c>
      <c r="C3074" s="185" t="s">
        <v>1890</v>
      </c>
      <c r="D3074" s="185" t="s">
        <v>3802</v>
      </c>
      <c r="E3074" s="185">
        <v>112005</v>
      </c>
      <c r="F3074" s="185" t="s">
        <v>24</v>
      </c>
      <c r="G3074" s="185" t="s">
        <v>1921</v>
      </c>
      <c r="H3074" s="185" t="s">
        <v>1628</v>
      </c>
      <c r="I3074" s="258" t="str">
        <f t="shared" si="142"/>
        <v>1</v>
      </c>
      <c r="J3074" s="221">
        <f t="shared" si="143"/>
        <v>-260476.79999999999</v>
      </c>
      <c r="K3074" s="258">
        <f t="shared" si="144"/>
        <v>11</v>
      </c>
      <c r="L3074" s="188">
        <v>0</v>
      </c>
      <c r="M3074" s="188">
        <v>260476.79999999999</v>
      </c>
      <c r="N3074" s="189">
        <v>444444441</v>
      </c>
      <c r="O3074"/>
      <c r="P3074" s="187">
        <v>45259.369652777801</v>
      </c>
      <c r="Q3074" s="186">
        <v>14719</v>
      </c>
      <c r="R3074" s="185"/>
      <c r="S3074" s="185" t="s">
        <v>1550</v>
      </c>
      <c r="T3074" t="s">
        <v>1894</v>
      </c>
      <c r="U3074" t="str">
        <f>IF($L3074&gt;0,VLOOKUP($E3074,Valida!$A$1:$G$270,6,FALSE),IF($M3074&gt;=0,VLOOKUP($E3074,Valida!$A$1:$G$270,7,FALSE)))</f>
        <v>Disponible</v>
      </c>
      <c r="V3074" s="190" t="str">
        <f>VLOOKUP(E3074,Valida!$A$2:$K$271,4,FALSE)</f>
        <v>Cash and equivalents</v>
      </c>
      <c r="W3074" s="185"/>
      <c r="X3074" s="185"/>
      <c r="Y3074" s="185"/>
      <c r="Z3074"/>
    </row>
    <row r="3075" spans="1:26">
      <c r="A3075" s="185" t="s">
        <v>3648</v>
      </c>
      <c r="B3075" s="185" t="s">
        <v>3803</v>
      </c>
      <c r="C3075" s="185" t="s">
        <v>1890</v>
      </c>
      <c r="D3075" s="185" t="s">
        <v>3804</v>
      </c>
      <c r="E3075" s="185">
        <v>23355004</v>
      </c>
      <c r="F3075" s="185" t="s">
        <v>513</v>
      </c>
      <c r="G3075" s="185" t="s">
        <v>1921</v>
      </c>
      <c r="H3075" s="185" t="s">
        <v>1515</v>
      </c>
      <c r="I3075" s="258" t="str">
        <f t="shared" ref="I3075:I3138" si="145">LEFT(E3075,1)</f>
        <v>2</v>
      </c>
      <c r="J3075" s="221">
        <f t="shared" ref="J3075:J3138" si="146">L3075-M3075</f>
        <v>2722135</v>
      </c>
      <c r="K3075" s="258">
        <f t="shared" ref="K3075:K3138" si="147">MONTH(A3075)</f>
        <v>11</v>
      </c>
      <c r="L3075" s="188">
        <v>2722135</v>
      </c>
      <c r="M3075" s="188">
        <v>0</v>
      </c>
      <c r="N3075" s="189">
        <v>900994552</v>
      </c>
      <c r="O3075"/>
      <c r="P3075" s="187">
        <v>45259.370312500003</v>
      </c>
      <c r="Q3075" s="186">
        <v>14720</v>
      </c>
      <c r="R3075" s="185" t="s">
        <v>844</v>
      </c>
      <c r="S3075" s="185" t="s">
        <v>1606</v>
      </c>
      <c r="T3075"/>
      <c r="U3075" t="str">
        <f>IF($L3075&gt;0,VLOOKUP($E3075,Valida!$A$1:$G$270,6,FALSE),IF($M3075&gt;=0,VLOOKUP($E3075,Valida!$A$1:$G$270,7,FALSE)))</f>
        <v>(+/-) Ajustes por el incremento (disminución) de cuentas por pagar de origen comercial</v>
      </c>
      <c r="V3075" s="190" t="str">
        <f>VLOOKUP(E3075,Valida!$A$2:$K$271,4,FALSE)</f>
        <v>Trade and other payables</v>
      </c>
      <c r="W3075" s="185" t="s">
        <v>1796</v>
      </c>
      <c r="X3075" s="185" t="s">
        <v>1797</v>
      </c>
      <c r="Y3075" s="185" t="s">
        <v>1789</v>
      </c>
      <c r="Z3075"/>
    </row>
    <row r="3076" spans="1:26">
      <c r="A3076" s="185" t="s">
        <v>3648</v>
      </c>
      <c r="B3076" s="185" t="s">
        <v>3803</v>
      </c>
      <c r="C3076" s="185" t="s">
        <v>1890</v>
      </c>
      <c r="D3076" s="185" t="s">
        <v>3804</v>
      </c>
      <c r="E3076" s="185">
        <v>112005</v>
      </c>
      <c r="F3076" s="185" t="s">
        <v>24</v>
      </c>
      <c r="G3076" s="185" t="s">
        <v>1921</v>
      </c>
      <c r="H3076" s="185" t="s">
        <v>1628</v>
      </c>
      <c r="I3076" s="258" t="str">
        <f t="shared" si="145"/>
        <v>1</v>
      </c>
      <c r="J3076" s="221">
        <f t="shared" si="146"/>
        <v>-2722135</v>
      </c>
      <c r="K3076" s="258">
        <f t="shared" si="147"/>
        <v>11</v>
      </c>
      <c r="L3076" s="188">
        <v>0</v>
      </c>
      <c r="M3076" s="188">
        <v>2722135</v>
      </c>
      <c r="N3076" s="189">
        <v>900994552</v>
      </c>
      <c r="O3076"/>
      <c r="P3076" s="187">
        <v>45259.370312500003</v>
      </c>
      <c r="Q3076" s="186">
        <v>14721</v>
      </c>
      <c r="R3076" s="185" t="s">
        <v>844</v>
      </c>
      <c r="S3076" s="185" t="s">
        <v>1606</v>
      </c>
      <c r="T3076" t="s">
        <v>1894</v>
      </c>
      <c r="U3076" t="str">
        <f>IF($L3076&gt;0,VLOOKUP($E3076,Valida!$A$1:$G$270,6,FALSE),IF($M3076&gt;=0,VLOOKUP($E3076,Valida!$A$1:$G$270,7,FALSE)))</f>
        <v>Disponible</v>
      </c>
      <c r="V3076" s="190" t="str">
        <f>VLOOKUP(E3076,Valida!$A$2:$K$271,4,FALSE)</f>
        <v>Cash and equivalents</v>
      </c>
      <c r="W3076" s="185" t="s">
        <v>1796</v>
      </c>
      <c r="X3076" s="185" t="s">
        <v>1797</v>
      </c>
      <c r="Y3076" s="185" t="s">
        <v>1789</v>
      </c>
      <c r="Z3076"/>
    </row>
    <row r="3077" spans="1:26">
      <c r="A3077" s="185" t="s">
        <v>3648</v>
      </c>
      <c r="B3077" s="185" t="s">
        <v>3805</v>
      </c>
      <c r="C3077" s="185" t="s">
        <v>1890</v>
      </c>
      <c r="D3077" s="185" t="s">
        <v>3806</v>
      </c>
      <c r="E3077" s="185">
        <v>23355004</v>
      </c>
      <c r="F3077" s="185" t="s">
        <v>513</v>
      </c>
      <c r="G3077" s="185" t="s">
        <v>1921</v>
      </c>
      <c r="H3077" s="185" t="s">
        <v>1515</v>
      </c>
      <c r="I3077" s="258" t="str">
        <f t="shared" si="145"/>
        <v>2</v>
      </c>
      <c r="J3077" s="221">
        <f t="shared" si="146"/>
        <v>1439000</v>
      </c>
      <c r="K3077" s="258">
        <f t="shared" si="147"/>
        <v>11</v>
      </c>
      <c r="L3077" s="188">
        <v>1439000</v>
      </c>
      <c r="M3077" s="188">
        <v>0</v>
      </c>
      <c r="N3077" s="189">
        <v>900736537</v>
      </c>
      <c r="O3077"/>
      <c r="P3077" s="187">
        <v>45259.370740740698</v>
      </c>
      <c r="Q3077" s="186">
        <v>14722</v>
      </c>
      <c r="R3077" s="185" t="s">
        <v>1814</v>
      </c>
      <c r="S3077" s="185" t="s">
        <v>1602</v>
      </c>
      <c r="T3077"/>
      <c r="U3077" t="str">
        <f>IF($L3077&gt;0,VLOOKUP($E3077,Valida!$A$1:$G$270,6,FALSE),IF($M3077&gt;=0,VLOOKUP($E3077,Valida!$A$1:$G$270,7,FALSE)))</f>
        <v>(+/-) Ajustes por el incremento (disminución) de cuentas por pagar de origen comercial</v>
      </c>
      <c r="V3077" s="190" t="str">
        <f>VLOOKUP(E3077,Valida!$A$2:$K$271,4,FALSE)</f>
        <v>Trade and other payables</v>
      </c>
      <c r="W3077" s="185" t="s">
        <v>2985</v>
      </c>
      <c r="X3077" s="185" t="s">
        <v>2986</v>
      </c>
      <c r="Y3077" s="185" t="s">
        <v>1789</v>
      </c>
      <c r="Z3077"/>
    </row>
    <row r="3078" spans="1:26">
      <c r="A3078" s="185" t="s">
        <v>3648</v>
      </c>
      <c r="B3078" s="185" t="s">
        <v>3805</v>
      </c>
      <c r="C3078" s="185" t="s">
        <v>1890</v>
      </c>
      <c r="D3078" s="185" t="s">
        <v>3806</v>
      </c>
      <c r="E3078" s="185">
        <v>112005</v>
      </c>
      <c r="F3078" s="185" t="s">
        <v>24</v>
      </c>
      <c r="G3078" s="185" t="s">
        <v>1921</v>
      </c>
      <c r="H3078" s="185" t="s">
        <v>1628</v>
      </c>
      <c r="I3078" s="258" t="str">
        <f t="shared" si="145"/>
        <v>1</v>
      </c>
      <c r="J3078" s="221">
        <f t="shared" si="146"/>
        <v>-1439000</v>
      </c>
      <c r="K3078" s="258">
        <f t="shared" si="147"/>
        <v>11</v>
      </c>
      <c r="L3078" s="188">
        <v>0</v>
      </c>
      <c r="M3078" s="188">
        <v>1439000</v>
      </c>
      <c r="N3078" s="189">
        <v>900736537</v>
      </c>
      <c r="O3078"/>
      <c r="P3078" s="187">
        <v>45259.370740740698</v>
      </c>
      <c r="Q3078" s="186">
        <v>14723</v>
      </c>
      <c r="R3078" s="185" t="s">
        <v>1814</v>
      </c>
      <c r="S3078" s="185" t="s">
        <v>1602</v>
      </c>
      <c r="T3078" t="s">
        <v>1894</v>
      </c>
      <c r="U3078" t="str">
        <f>IF($L3078&gt;0,VLOOKUP($E3078,Valida!$A$1:$G$270,6,FALSE),IF($M3078&gt;=0,VLOOKUP($E3078,Valida!$A$1:$G$270,7,FALSE)))</f>
        <v>Disponible</v>
      </c>
      <c r="V3078" s="190" t="str">
        <f>VLOOKUP(E3078,Valida!$A$2:$K$271,4,FALSE)</f>
        <v>Cash and equivalents</v>
      </c>
      <c r="W3078" s="185" t="s">
        <v>2985</v>
      </c>
      <c r="X3078" s="185" t="s">
        <v>2986</v>
      </c>
      <c r="Y3078" s="185" t="s">
        <v>1789</v>
      </c>
      <c r="Z3078"/>
    </row>
    <row r="3079" spans="1:26">
      <c r="A3079" s="185" t="s">
        <v>3648</v>
      </c>
      <c r="B3079" s="185" t="s">
        <v>3807</v>
      </c>
      <c r="C3079" s="185" t="s">
        <v>1890</v>
      </c>
      <c r="D3079" s="185" t="s">
        <v>3808</v>
      </c>
      <c r="E3079" s="185">
        <v>237095</v>
      </c>
      <c r="F3079" s="185" t="s">
        <v>150</v>
      </c>
      <c r="G3079" s="185" t="s">
        <v>3809</v>
      </c>
      <c r="H3079" s="185" t="s">
        <v>1515</v>
      </c>
      <c r="I3079" s="258" t="str">
        <f t="shared" si="145"/>
        <v>2</v>
      </c>
      <c r="J3079" s="221">
        <f t="shared" si="146"/>
        <v>1944200</v>
      </c>
      <c r="K3079" s="258">
        <f t="shared" si="147"/>
        <v>11</v>
      </c>
      <c r="L3079" s="188">
        <v>1944200</v>
      </c>
      <c r="M3079" s="188">
        <v>0</v>
      </c>
      <c r="N3079" s="189">
        <v>860066942</v>
      </c>
      <c r="O3079"/>
      <c r="P3079" s="187">
        <v>45259.372337963003</v>
      </c>
      <c r="Q3079" s="186">
        <v>14724</v>
      </c>
      <c r="R3079" s="185" t="s">
        <v>1814</v>
      </c>
      <c r="S3079" s="185" t="s">
        <v>1574</v>
      </c>
      <c r="T3079"/>
      <c r="U3079" t="str">
        <f>IF($L3079&gt;0,VLOOKUP($E3079,Valida!$A$1:$G$270,6,FALSE),IF($M3079&gt;=0,VLOOKUP($E3079,Valida!$A$1:$G$270,7,FALSE)))</f>
        <v>(+/-) Ajustes por el incremento (disminución) de cuentas por pagar de origen comercial</v>
      </c>
      <c r="V3079" s="190" t="str">
        <f>VLOOKUP(E3079,Valida!$A$2:$K$271,4,FALSE)</f>
        <v>Trade and other payables</v>
      </c>
      <c r="W3079" s="185" t="s">
        <v>1914</v>
      </c>
      <c r="X3079" s="185" t="s">
        <v>1915</v>
      </c>
      <c r="Y3079" s="185" t="s">
        <v>1789</v>
      </c>
      <c r="Z3079"/>
    </row>
    <row r="3080" spans="1:26">
      <c r="A3080" s="185" t="s">
        <v>3648</v>
      </c>
      <c r="B3080" s="185" t="s">
        <v>3807</v>
      </c>
      <c r="C3080" s="185" t="s">
        <v>1890</v>
      </c>
      <c r="D3080" s="185" t="s">
        <v>3808</v>
      </c>
      <c r="E3080" s="185">
        <v>112005</v>
      </c>
      <c r="F3080" s="185" t="s">
        <v>24</v>
      </c>
      <c r="G3080" s="185" t="s">
        <v>3809</v>
      </c>
      <c r="H3080" s="185" t="s">
        <v>1628</v>
      </c>
      <c r="I3080" s="258" t="str">
        <f t="shared" si="145"/>
        <v>1</v>
      </c>
      <c r="J3080" s="221">
        <f t="shared" si="146"/>
        <v>-1944200</v>
      </c>
      <c r="K3080" s="258">
        <f t="shared" si="147"/>
        <v>11</v>
      </c>
      <c r="L3080" s="188">
        <v>0</v>
      </c>
      <c r="M3080" s="188">
        <v>1944200</v>
      </c>
      <c r="N3080" s="189">
        <v>860066942</v>
      </c>
      <c r="O3080"/>
      <c r="P3080" s="187">
        <v>45259.372337963003</v>
      </c>
      <c r="Q3080" s="186">
        <v>14725</v>
      </c>
      <c r="R3080" s="185" t="s">
        <v>1814</v>
      </c>
      <c r="S3080" s="185" t="s">
        <v>1574</v>
      </c>
      <c r="T3080" t="s">
        <v>1894</v>
      </c>
      <c r="U3080" t="str">
        <f>IF($L3080&gt;0,VLOOKUP($E3080,Valida!$A$1:$G$270,6,FALSE),IF($M3080&gt;=0,VLOOKUP($E3080,Valida!$A$1:$G$270,7,FALSE)))</f>
        <v>Disponible</v>
      </c>
      <c r="V3080" s="190" t="str">
        <f>VLOOKUP(E3080,Valida!$A$2:$K$271,4,FALSE)</f>
        <v>Cash and equivalents</v>
      </c>
      <c r="W3080" s="185" t="s">
        <v>1914</v>
      </c>
      <c r="X3080" s="185" t="s">
        <v>1915</v>
      </c>
      <c r="Y3080" s="185" t="s">
        <v>1789</v>
      </c>
      <c r="Z3080"/>
    </row>
    <row r="3081" spans="1:26">
      <c r="A3081" s="185" t="s">
        <v>3810</v>
      </c>
      <c r="B3081" s="185" t="s">
        <v>3811</v>
      </c>
      <c r="C3081" s="185" t="s">
        <v>1960</v>
      </c>
      <c r="D3081" s="185" t="s">
        <v>3812</v>
      </c>
      <c r="E3081" s="185">
        <v>112005</v>
      </c>
      <c r="F3081" s="185" t="s">
        <v>24</v>
      </c>
      <c r="G3081" s="185" t="s">
        <v>1961</v>
      </c>
      <c r="H3081" s="185" t="s">
        <v>1515</v>
      </c>
      <c r="I3081" s="258" t="str">
        <f t="shared" si="145"/>
        <v>1</v>
      </c>
      <c r="J3081" s="221">
        <f t="shared" si="146"/>
        <v>3144.73</v>
      </c>
      <c r="K3081" s="258">
        <f t="shared" si="147"/>
        <v>11</v>
      </c>
      <c r="L3081" s="188">
        <v>3144.73</v>
      </c>
      <c r="M3081" s="188">
        <v>0</v>
      </c>
      <c r="N3081" s="189">
        <v>890903938</v>
      </c>
      <c r="O3081"/>
      <c r="P3081" s="187">
        <v>45264.603356481501</v>
      </c>
      <c r="Q3081" s="186">
        <v>14726</v>
      </c>
      <c r="R3081" s="185" t="s">
        <v>1827</v>
      </c>
      <c r="S3081" s="185" t="s">
        <v>1580</v>
      </c>
      <c r="T3081" t="s">
        <v>1894</v>
      </c>
      <c r="U3081" t="str">
        <f>IF($L3081&gt;0,VLOOKUP($E3081,Valida!$A$1:$G$270,6,FALSE),IF($M3081&gt;=0,VLOOKUP($E3081,Valida!$A$1:$G$270,7,FALSE)))</f>
        <v>Disponible</v>
      </c>
      <c r="V3081" s="190" t="str">
        <f>VLOOKUP(E3081,Valida!$A$2:$K$271,4,FALSE)</f>
        <v>Cash and equivalents</v>
      </c>
      <c r="W3081" s="185" t="s">
        <v>1955</v>
      </c>
      <c r="X3081" s="185"/>
      <c r="Y3081" s="185" t="s">
        <v>1844</v>
      </c>
      <c r="Z3081"/>
    </row>
    <row r="3082" spans="1:26">
      <c r="A3082" s="185" t="s">
        <v>3810</v>
      </c>
      <c r="B3082" s="185" t="s">
        <v>3811</v>
      </c>
      <c r="C3082" s="185" t="s">
        <v>1960</v>
      </c>
      <c r="D3082" s="185" t="s">
        <v>3812</v>
      </c>
      <c r="E3082" s="185">
        <v>42100501</v>
      </c>
      <c r="F3082" s="185" t="s">
        <v>1039</v>
      </c>
      <c r="G3082" s="185" t="s">
        <v>1961</v>
      </c>
      <c r="H3082" s="185" t="s">
        <v>1628</v>
      </c>
      <c r="I3082" s="258" t="str">
        <f t="shared" si="145"/>
        <v>4</v>
      </c>
      <c r="J3082" s="221">
        <f t="shared" si="146"/>
        <v>-3144.73</v>
      </c>
      <c r="K3082" s="258">
        <f t="shared" si="147"/>
        <v>11</v>
      </c>
      <c r="L3082" s="188">
        <v>0</v>
      </c>
      <c r="M3082" s="188">
        <v>3144.73</v>
      </c>
      <c r="N3082" s="189">
        <v>890903938</v>
      </c>
      <c r="O3082"/>
      <c r="P3082" s="187">
        <v>45264.603356481501</v>
      </c>
      <c r="Q3082" s="186">
        <v>14727</v>
      </c>
      <c r="R3082" s="185" t="s">
        <v>1827</v>
      </c>
      <c r="S3082" s="185" t="s">
        <v>1580</v>
      </c>
      <c r="T3082"/>
      <c r="U3082" t="str">
        <f>IF($L3082&gt;0,VLOOKUP($E3082,Valida!$A$1:$G$270,6,FALSE),IF($M3082&gt;=0,VLOOKUP($E3082,Valida!$A$1:$G$270,7,FALSE)))</f>
        <v>(+/-) Ganancia (pérdida)</v>
      </c>
      <c r="V3082" s="190" t="str">
        <f>VLOOKUP(E3082,Valida!$A$2:$K$271,4,FALSE)</f>
        <v>P&amp;L</v>
      </c>
      <c r="W3082" s="185" t="s">
        <v>1955</v>
      </c>
      <c r="X3082" s="185"/>
      <c r="Y3082" s="185" t="s">
        <v>1844</v>
      </c>
      <c r="Z3082"/>
    </row>
    <row r="3083" spans="1:26">
      <c r="A3083" s="185" t="s">
        <v>3810</v>
      </c>
      <c r="B3083" s="185" t="s">
        <v>3813</v>
      </c>
      <c r="C3083" s="185" t="s">
        <v>1952</v>
      </c>
      <c r="D3083" s="185" t="s">
        <v>3509</v>
      </c>
      <c r="E3083" s="185">
        <v>53050501</v>
      </c>
      <c r="F3083" s="185" t="s">
        <v>1462</v>
      </c>
      <c r="G3083" s="185" t="s">
        <v>1954</v>
      </c>
      <c r="H3083" s="185" t="s">
        <v>1515</v>
      </c>
      <c r="I3083" s="258" t="str">
        <f t="shared" si="145"/>
        <v>5</v>
      </c>
      <c r="J3083" s="221">
        <f t="shared" si="146"/>
        <v>69200</v>
      </c>
      <c r="K3083" s="258">
        <f t="shared" si="147"/>
        <v>11</v>
      </c>
      <c r="L3083" s="188">
        <v>69200</v>
      </c>
      <c r="M3083" s="188">
        <v>0</v>
      </c>
      <c r="N3083" s="189">
        <v>890903938</v>
      </c>
      <c r="O3083"/>
      <c r="P3083" s="187">
        <v>45264.605393518497</v>
      </c>
      <c r="Q3083" s="186">
        <v>14728</v>
      </c>
      <c r="R3083" s="185" t="s">
        <v>1827</v>
      </c>
      <c r="S3083" s="185" t="s">
        <v>1580</v>
      </c>
      <c r="T3083"/>
      <c r="U3083" t="str">
        <f>IF($L3083&gt;0,VLOOKUP($E3083,Valida!$A$1:$G$270,6,FALSE),IF($M3083&gt;=0,VLOOKUP($E3083,Valida!$A$1:$G$270,7,FALSE)))</f>
        <v>(+/-) Ganancia (pérdida)</v>
      </c>
      <c r="V3083" s="190" t="str">
        <f>VLOOKUP(E3083,Valida!$A$2:$K$271,4,FALSE)</f>
        <v>P&amp;L</v>
      </c>
      <c r="W3083" s="185" t="s">
        <v>1955</v>
      </c>
      <c r="X3083" s="185"/>
      <c r="Y3083" s="185" t="s">
        <v>1844</v>
      </c>
      <c r="Z3083"/>
    </row>
    <row r="3084" spans="1:26">
      <c r="A3084" s="185" t="s">
        <v>3810</v>
      </c>
      <c r="B3084" s="185" t="s">
        <v>3813</v>
      </c>
      <c r="C3084" s="185" t="s">
        <v>1952</v>
      </c>
      <c r="D3084" s="185" t="s">
        <v>3509</v>
      </c>
      <c r="E3084" s="185">
        <v>24081002</v>
      </c>
      <c r="F3084" s="185" t="s">
        <v>1687</v>
      </c>
      <c r="G3084" s="185" t="s">
        <v>1954</v>
      </c>
      <c r="H3084" s="185" t="s">
        <v>1515</v>
      </c>
      <c r="I3084" s="258" t="str">
        <f t="shared" si="145"/>
        <v>2</v>
      </c>
      <c r="J3084" s="221">
        <f t="shared" si="146"/>
        <v>13148</v>
      </c>
      <c r="K3084" s="258">
        <f t="shared" si="147"/>
        <v>11</v>
      </c>
      <c r="L3084" s="188">
        <v>13148</v>
      </c>
      <c r="M3084" s="188">
        <v>0</v>
      </c>
      <c r="N3084" s="189">
        <v>890903938</v>
      </c>
      <c r="O3084"/>
      <c r="P3084" s="187">
        <v>45264.605393518497</v>
      </c>
      <c r="Q3084" s="186">
        <v>14729</v>
      </c>
      <c r="R3084" s="185" t="s">
        <v>1827</v>
      </c>
      <c r="S3084" s="185" t="s">
        <v>1580</v>
      </c>
      <c r="T3084"/>
      <c r="U3084" t="str">
        <f>IF($L3084&gt;0,VLOOKUP($E3084,Valida!$A$1:$G$270,6,FALSE),IF($M3084&gt;=0,VLOOKUP($E3084,Valida!$A$1:$G$270,7,FALSE)))</f>
        <v>(+/-) Ajustes por el incremento (disminución) de cuentas por pagar de origen comercial</v>
      </c>
      <c r="V3084" s="190" t="str">
        <f>VLOOKUP(E3084,Valida!$A$2:$K$271,4,FALSE)</f>
        <v>Trade and other payables</v>
      </c>
      <c r="W3084" s="185" t="s">
        <v>1955</v>
      </c>
      <c r="X3084" s="185"/>
      <c r="Y3084" s="185" t="s">
        <v>1844</v>
      </c>
      <c r="Z3084"/>
    </row>
    <row r="3085" spans="1:26">
      <c r="A3085" s="185" t="s">
        <v>3810</v>
      </c>
      <c r="B3085" s="185" t="s">
        <v>3813</v>
      </c>
      <c r="C3085" s="185" t="s">
        <v>1952</v>
      </c>
      <c r="D3085" s="185" t="s">
        <v>3509</v>
      </c>
      <c r="E3085" s="185">
        <v>112005</v>
      </c>
      <c r="F3085" s="185" t="s">
        <v>24</v>
      </c>
      <c r="G3085" s="185" t="s">
        <v>1954</v>
      </c>
      <c r="H3085" s="185" t="s">
        <v>1628</v>
      </c>
      <c r="I3085" s="258" t="str">
        <f t="shared" si="145"/>
        <v>1</v>
      </c>
      <c r="J3085" s="221">
        <f t="shared" si="146"/>
        <v>-82348</v>
      </c>
      <c r="K3085" s="258">
        <f t="shared" si="147"/>
        <v>11</v>
      </c>
      <c r="L3085" s="188">
        <v>0</v>
      </c>
      <c r="M3085" s="188">
        <v>82348</v>
      </c>
      <c r="N3085" s="189">
        <v>890903938</v>
      </c>
      <c r="O3085"/>
      <c r="P3085" s="187">
        <v>45264.605393518497</v>
      </c>
      <c r="Q3085" s="186">
        <v>14730</v>
      </c>
      <c r="R3085" s="185" t="s">
        <v>1827</v>
      </c>
      <c r="S3085" s="185" t="s">
        <v>1580</v>
      </c>
      <c r="T3085" t="s">
        <v>1894</v>
      </c>
      <c r="U3085" t="str">
        <f>IF($L3085&gt;0,VLOOKUP($E3085,Valida!$A$1:$G$270,6,FALSE),IF($M3085&gt;=0,VLOOKUP($E3085,Valida!$A$1:$G$270,7,FALSE)))</f>
        <v>Disponible</v>
      </c>
      <c r="V3085" s="190" t="str">
        <f>VLOOKUP(E3085,Valida!$A$2:$K$271,4,FALSE)</f>
        <v>Cash and equivalents</v>
      </c>
      <c r="W3085" s="185" t="s">
        <v>1955</v>
      </c>
      <c r="X3085" s="185"/>
      <c r="Y3085" s="185" t="s">
        <v>1844</v>
      </c>
      <c r="Z3085"/>
    </row>
    <row r="3086" spans="1:26">
      <c r="A3086" s="185" t="s">
        <v>3810</v>
      </c>
      <c r="B3086" s="185" t="s">
        <v>3813</v>
      </c>
      <c r="C3086" s="185" t="s">
        <v>1952</v>
      </c>
      <c r="D3086" s="185" t="s">
        <v>3509</v>
      </c>
      <c r="E3086" s="185">
        <v>53050503</v>
      </c>
      <c r="F3086" s="185" t="s">
        <v>1468</v>
      </c>
      <c r="G3086" s="185" t="s">
        <v>1957</v>
      </c>
      <c r="H3086" s="185" t="s">
        <v>1515</v>
      </c>
      <c r="I3086" s="258" t="str">
        <f t="shared" si="145"/>
        <v>5</v>
      </c>
      <c r="J3086" s="221">
        <f t="shared" si="146"/>
        <v>91730</v>
      </c>
      <c r="K3086" s="258">
        <f t="shared" si="147"/>
        <v>11</v>
      </c>
      <c r="L3086" s="188">
        <v>91730</v>
      </c>
      <c r="M3086" s="188">
        <v>0</v>
      </c>
      <c r="N3086" s="189">
        <v>890903938</v>
      </c>
      <c r="O3086"/>
      <c r="P3086" s="187">
        <v>45264.605393518497</v>
      </c>
      <c r="Q3086" s="186">
        <v>14731</v>
      </c>
      <c r="R3086" s="185" t="s">
        <v>1827</v>
      </c>
      <c r="S3086" s="185" t="s">
        <v>1580</v>
      </c>
      <c r="T3086"/>
      <c r="U3086" t="str">
        <f>IF($L3086&gt;0,VLOOKUP($E3086,Valida!$A$1:$G$270,6,FALSE),IF($M3086&gt;=0,VLOOKUP($E3086,Valida!$A$1:$G$270,7,FALSE)))</f>
        <v>(+/-) Ganancia (pérdida)</v>
      </c>
      <c r="V3086" s="190" t="str">
        <f>VLOOKUP(E3086,Valida!$A$2:$K$271,4,FALSE)</f>
        <v>P&amp;L</v>
      </c>
      <c r="W3086" s="185" t="s">
        <v>1955</v>
      </c>
      <c r="X3086" s="185"/>
      <c r="Y3086" s="185" t="s">
        <v>1844</v>
      </c>
      <c r="Z3086"/>
    </row>
    <row r="3087" spans="1:26">
      <c r="A3087" s="185" t="s">
        <v>3810</v>
      </c>
      <c r="B3087" s="185" t="s">
        <v>3813</v>
      </c>
      <c r="C3087" s="185" t="s">
        <v>1952</v>
      </c>
      <c r="D3087" s="185" t="s">
        <v>3509</v>
      </c>
      <c r="E3087" s="185">
        <v>24081002</v>
      </c>
      <c r="F3087" s="185" t="s">
        <v>1687</v>
      </c>
      <c r="G3087" s="185" t="s">
        <v>1957</v>
      </c>
      <c r="H3087" s="185" t="s">
        <v>1515</v>
      </c>
      <c r="I3087" s="258" t="str">
        <f t="shared" si="145"/>
        <v>2</v>
      </c>
      <c r="J3087" s="221">
        <f t="shared" si="146"/>
        <v>17428.7</v>
      </c>
      <c r="K3087" s="258">
        <f t="shared" si="147"/>
        <v>11</v>
      </c>
      <c r="L3087" s="188">
        <v>17428.7</v>
      </c>
      <c r="M3087" s="188">
        <v>0</v>
      </c>
      <c r="N3087" s="189">
        <v>890903938</v>
      </c>
      <c r="O3087"/>
      <c r="P3087" s="187">
        <v>45264.605393518497</v>
      </c>
      <c r="Q3087" s="186">
        <v>14732</v>
      </c>
      <c r="R3087" s="185" t="s">
        <v>1827</v>
      </c>
      <c r="S3087" s="185" t="s">
        <v>1580</v>
      </c>
      <c r="T3087"/>
      <c r="U3087" t="str">
        <f>IF($L3087&gt;0,VLOOKUP($E3087,Valida!$A$1:$G$270,6,FALSE),IF($M3087&gt;=0,VLOOKUP($E3087,Valida!$A$1:$G$270,7,FALSE)))</f>
        <v>(+/-) Ajustes por el incremento (disminución) de cuentas por pagar de origen comercial</v>
      </c>
      <c r="V3087" s="190" t="str">
        <f>VLOOKUP(E3087,Valida!$A$2:$K$271,4,FALSE)</f>
        <v>Trade and other payables</v>
      </c>
      <c r="W3087" s="185" t="s">
        <v>1955</v>
      </c>
      <c r="X3087" s="185"/>
      <c r="Y3087" s="185" t="s">
        <v>1844</v>
      </c>
      <c r="Z3087"/>
    </row>
    <row r="3088" spans="1:26">
      <c r="A3088" s="185" t="s">
        <v>3810</v>
      </c>
      <c r="B3088" s="185" t="s">
        <v>3813</v>
      </c>
      <c r="C3088" s="185" t="s">
        <v>1952</v>
      </c>
      <c r="D3088" s="185" t="s">
        <v>3509</v>
      </c>
      <c r="E3088" s="185">
        <v>112005</v>
      </c>
      <c r="F3088" s="185" t="s">
        <v>24</v>
      </c>
      <c r="G3088" s="185" t="s">
        <v>1957</v>
      </c>
      <c r="H3088" s="185" t="s">
        <v>1628</v>
      </c>
      <c r="I3088" s="258" t="str">
        <f t="shared" si="145"/>
        <v>1</v>
      </c>
      <c r="J3088" s="221">
        <f t="shared" si="146"/>
        <v>-109158.7</v>
      </c>
      <c r="K3088" s="258">
        <f t="shared" si="147"/>
        <v>11</v>
      </c>
      <c r="L3088" s="188">
        <v>0</v>
      </c>
      <c r="M3088" s="188">
        <v>109158.7</v>
      </c>
      <c r="N3088" s="189">
        <v>890903938</v>
      </c>
      <c r="O3088"/>
      <c r="P3088" s="187">
        <v>45264.605393518497</v>
      </c>
      <c r="Q3088" s="186">
        <v>14733</v>
      </c>
      <c r="R3088" s="185" t="s">
        <v>1827</v>
      </c>
      <c r="S3088" s="185" t="s">
        <v>1580</v>
      </c>
      <c r="T3088" t="s">
        <v>1894</v>
      </c>
      <c r="U3088" t="str">
        <f>IF($L3088&gt;0,VLOOKUP($E3088,Valida!$A$1:$G$270,6,FALSE),IF($M3088&gt;=0,VLOOKUP($E3088,Valida!$A$1:$G$270,7,FALSE)))</f>
        <v>Disponible</v>
      </c>
      <c r="V3088" s="190" t="str">
        <f>VLOOKUP(E3088,Valida!$A$2:$K$271,4,FALSE)</f>
        <v>Cash and equivalents</v>
      </c>
      <c r="W3088" s="185" t="s">
        <v>1955</v>
      </c>
      <c r="X3088" s="185"/>
      <c r="Y3088" s="185" t="s">
        <v>1844</v>
      </c>
      <c r="Z3088"/>
    </row>
    <row r="3089" spans="1:26">
      <c r="A3089" s="185" t="s">
        <v>3810</v>
      </c>
      <c r="B3089" s="185" t="s">
        <v>3813</v>
      </c>
      <c r="C3089" s="185" t="s">
        <v>1952</v>
      </c>
      <c r="D3089" s="185" t="s">
        <v>3509</v>
      </c>
      <c r="E3089" s="185">
        <v>53050502</v>
      </c>
      <c r="F3089" s="185" t="s">
        <v>1465</v>
      </c>
      <c r="G3089" s="185" t="s">
        <v>1466</v>
      </c>
      <c r="H3089" s="185" t="s">
        <v>1515</v>
      </c>
      <c r="I3089" s="258" t="str">
        <f t="shared" si="145"/>
        <v>5</v>
      </c>
      <c r="J3089" s="221">
        <f t="shared" si="146"/>
        <v>12990</v>
      </c>
      <c r="K3089" s="258">
        <f t="shared" si="147"/>
        <v>11</v>
      </c>
      <c r="L3089" s="188">
        <v>12990</v>
      </c>
      <c r="M3089" s="188">
        <v>0</v>
      </c>
      <c r="N3089" s="189">
        <v>890903938</v>
      </c>
      <c r="O3089"/>
      <c r="P3089" s="187">
        <v>45264.605393518497</v>
      </c>
      <c r="Q3089" s="186">
        <v>14734</v>
      </c>
      <c r="R3089" s="185" t="s">
        <v>1827</v>
      </c>
      <c r="S3089" s="185" t="s">
        <v>1580</v>
      </c>
      <c r="T3089"/>
      <c r="U3089" t="str">
        <f>IF($L3089&gt;0,VLOOKUP($E3089,Valida!$A$1:$G$270,6,FALSE),IF($M3089&gt;=0,VLOOKUP($E3089,Valida!$A$1:$G$270,7,FALSE)))</f>
        <v>(+/-) Ganancia (pérdida)</v>
      </c>
      <c r="V3089" s="190" t="str">
        <f>VLOOKUP(E3089,Valida!$A$2:$K$271,4,FALSE)</f>
        <v>P&amp;L</v>
      </c>
      <c r="W3089" s="185" t="s">
        <v>1955</v>
      </c>
      <c r="X3089" s="185"/>
      <c r="Y3089" s="185" t="s">
        <v>1844</v>
      </c>
      <c r="Z3089"/>
    </row>
    <row r="3090" spans="1:26">
      <c r="A3090" s="185" t="s">
        <v>3810</v>
      </c>
      <c r="B3090" s="185" t="s">
        <v>3813</v>
      </c>
      <c r="C3090" s="185" t="s">
        <v>1952</v>
      </c>
      <c r="D3090" s="185" t="s">
        <v>3509</v>
      </c>
      <c r="E3090" s="185">
        <v>112005</v>
      </c>
      <c r="F3090" s="185" t="s">
        <v>24</v>
      </c>
      <c r="G3090" s="185" t="s">
        <v>1466</v>
      </c>
      <c r="H3090" s="185" t="s">
        <v>1628</v>
      </c>
      <c r="I3090" s="258" t="str">
        <f t="shared" si="145"/>
        <v>1</v>
      </c>
      <c r="J3090" s="221">
        <f t="shared" si="146"/>
        <v>-12990</v>
      </c>
      <c r="K3090" s="258">
        <f t="shared" si="147"/>
        <v>11</v>
      </c>
      <c r="L3090" s="188">
        <v>0</v>
      </c>
      <c r="M3090" s="188">
        <v>12990</v>
      </c>
      <c r="N3090" s="189">
        <v>890903938</v>
      </c>
      <c r="O3090"/>
      <c r="P3090" s="187">
        <v>45264.605393518497</v>
      </c>
      <c r="Q3090" s="186">
        <v>14735</v>
      </c>
      <c r="R3090" s="185" t="s">
        <v>1827</v>
      </c>
      <c r="S3090" s="185" t="s">
        <v>1580</v>
      </c>
      <c r="T3090" t="s">
        <v>1894</v>
      </c>
      <c r="U3090" t="str">
        <f>IF($L3090&gt;0,VLOOKUP($E3090,Valida!$A$1:$G$270,6,FALSE),IF($M3090&gt;=0,VLOOKUP($E3090,Valida!$A$1:$G$270,7,FALSE)))</f>
        <v>Disponible</v>
      </c>
      <c r="V3090" s="190" t="str">
        <f>VLOOKUP(E3090,Valida!$A$2:$K$271,4,FALSE)</f>
        <v>Cash and equivalents</v>
      </c>
      <c r="W3090" s="185" t="s">
        <v>1955</v>
      </c>
      <c r="X3090" s="185"/>
      <c r="Y3090" s="185" t="s">
        <v>1844</v>
      </c>
      <c r="Z3090"/>
    </row>
    <row r="3091" spans="1:26">
      <c r="A3091" s="185" t="s">
        <v>3810</v>
      </c>
      <c r="B3091" s="185" t="s">
        <v>3813</v>
      </c>
      <c r="C3091" s="185" t="s">
        <v>1952</v>
      </c>
      <c r="D3091" s="185" t="s">
        <v>3509</v>
      </c>
      <c r="E3091" s="185">
        <v>51159501</v>
      </c>
      <c r="F3091" s="185" t="s">
        <v>1181</v>
      </c>
      <c r="G3091" s="185" t="s">
        <v>1958</v>
      </c>
      <c r="H3091" s="185" t="s">
        <v>1515</v>
      </c>
      <c r="I3091" s="258" t="str">
        <f t="shared" si="145"/>
        <v>5</v>
      </c>
      <c r="J3091" s="221">
        <f t="shared" si="146"/>
        <v>224428.84</v>
      </c>
      <c r="K3091" s="258">
        <f t="shared" si="147"/>
        <v>11</v>
      </c>
      <c r="L3091" s="188">
        <v>224428.84</v>
      </c>
      <c r="M3091" s="188">
        <v>0</v>
      </c>
      <c r="N3091" s="189">
        <v>890903938</v>
      </c>
      <c r="O3091"/>
      <c r="P3091" s="187">
        <v>45264.605393518497</v>
      </c>
      <c r="Q3091" s="186">
        <v>14736</v>
      </c>
      <c r="R3091" s="185" t="s">
        <v>1827</v>
      </c>
      <c r="S3091" s="185" t="s">
        <v>1580</v>
      </c>
      <c r="T3091"/>
      <c r="U3091" t="str">
        <f>IF($L3091&gt;0,VLOOKUP($E3091,Valida!$A$1:$G$270,6,FALSE),IF($M3091&gt;=0,VLOOKUP($E3091,Valida!$A$1:$G$270,7,FALSE)))</f>
        <v>(+/-) Ganancia (pérdida)</v>
      </c>
      <c r="V3091" s="190" t="str">
        <f>VLOOKUP(E3091,Valida!$A$2:$K$271,4,FALSE)</f>
        <v>P&amp;L</v>
      </c>
      <c r="W3091" s="185" t="s">
        <v>1955</v>
      </c>
      <c r="X3091" s="185"/>
      <c r="Y3091" s="185" t="s">
        <v>1844</v>
      </c>
      <c r="Z3091"/>
    </row>
    <row r="3092" spans="1:26">
      <c r="A3092" s="185" t="s">
        <v>3810</v>
      </c>
      <c r="B3092" s="185" t="s">
        <v>3813</v>
      </c>
      <c r="C3092" s="185" t="s">
        <v>1952</v>
      </c>
      <c r="D3092" s="185" t="s">
        <v>3509</v>
      </c>
      <c r="E3092" s="185">
        <v>112005</v>
      </c>
      <c r="F3092" s="185" t="s">
        <v>24</v>
      </c>
      <c r="G3092" s="185" t="s">
        <v>1958</v>
      </c>
      <c r="H3092" s="185" t="s">
        <v>1628</v>
      </c>
      <c r="I3092" s="258" t="str">
        <f t="shared" si="145"/>
        <v>1</v>
      </c>
      <c r="J3092" s="221">
        <f t="shared" si="146"/>
        <v>-224428.84</v>
      </c>
      <c r="K3092" s="258">
        <f t="shared" si="147"/>
        <v>11</v>
      </c>
      <c r="L3092" s="188">
        <v>0</v>
      </c>
      <c r="M3092" s="188">
        <v>224428.84</v>
      </c>
      <c r="N3092" s="189">
        <v>890903938</v>
      </c>
      <c r="O3092"/>
      <c r="P3092" s="187">
        <v>45264.605393518497</v>
      </c>
      <c r="Q3092" s="186">
        <v>14737</v>
      </c>
      <c r="R3092" s="185" t="s">
        <v>1827</v>
      </c>
      <c r="S3092" s="185" t="s">
        <v>1580</v>
      </c>
      <c r="T3092" t="s">
        <v>1894</v>
      </c>
      <c r="U3092" t="str">
        <f>IF($L3092&gt;0,VLOOKUP($E3092,Valida!$A$1:$G$270,6,FALSE),IF($M3092&gt;=0,VLOOKUP($E3092,Valida!$A$1:$G$270,7,FALSE)))</f>
        <v>Disponible</v>
      </c>
      <c r="V3092" s="190" t="str">
        <f>VLOOKUP(E3092,Valida!$A$2:$K$271,4,FALSE)</f>
        <v>Cash and equivalents</v>
      </c>
      <c r="W3092" s="185" t="s">
        <v>1955</v>
      </c>
      <c r="X3092" s="185"/>
      <c r="Y3092" s="185" t="s">
        <v>1844</v>
      </c>
      <c r="Z3092"/>
    </row>
    <row r="3093" spans="1:26">
      <c r="A3093" s="185" t="s">
        <v>3810</v>
      </c>
      <c r="B3093" s="185" t="s">
        <v>3814</v>
      </c>
      <c r="C3093" s="185" t="s">
        <v>1897</v>
      </c>
      <c r="D3093" s="185" t="s">
        <v>3815</v>
      </c>
      <c r="E3093" s="185">
        <v>250505</v>
      </c>
      <c r="F3093" s="185" t="s">
        <v>767</v>
      </c>
      <c r="G3093" s="185" t="s">
        <v>2580</v>
      </c>
      <c r="H3093" s="185" t="s">
        <v>1628</v>
      </c>
      <c r="I3093" s="258" t="str">
        <f t="shared" si="145"/>
        <v>2</v>
      </c>
      <c r="J3093" s="221">
        <f t="shared" si="146"/>
        <v>-3433720</v>
      </c>
      <c r="K3093" s="258">
        <f t="shared" si="147"/>
        <v>11</v>
      </c>
      <c r="L3093" s="188">
        <v>0</v>
      </c>
      <c r="M3093" s="188">
        <v>3433720</v>
      </c>
      <c r="N3093" s="189">
        <v>1020842223</v>
      </c>
      <c r="O3093"/>
      <c r="P3093" s="187">
        <v>45266.370613425897</v>
      </c>
      <c r="Q3093" s="186">
        <v>14738</v>
      </c>
      <c r="R3093" s="185"/>
      <c r="S3093" s="185" t="s">
        <v>1532</v>
      </c>
      <c r="T3093"/>
      <c r="U3093" t="str">
        <f>IF($L3093&gt;0,VLOOKUP($E3093,Valida!$A$1:$G$270,6,FALSE),IF($M3093&gt;=0,VLOOKUP($E3093,Valida!$A$1:$G$270,7,FALSE)))</f>
        <v>(+/-) Ajustes por el incremento (disminución) de cuentas por pagar de origen comercial</v>
      </c>
      <c r="V3093" s="190" t="str">
        <f>VLOOKUP(E3093,Valida!$A$2:$K$271,4,FALSE)</f>
        <v>Trade and other payables</v>
      </c>
      <c r="W3093" s="185" t="s">
        <v>1900</v>
      </c>
      <c r="X3093" s="185"/>
      <c r="Y3093" s="185" t="s">
        <v>1789</v>
      </c>
      <c r="Z3093"/>
    </row>
    <row r="3094" spans="1:26">
      <c r="A3094" s="185" t="s">
        <v>3810</v>
      </c>
      <c r="B3094" s="185" t="s">
        <v>3814</v>
      </c>
      <c r="C3094" s="185" t="s">
        <v>1897</v>
      </c>
      <c r="D3094" s="185" t="s">
        <v>3815</v>
      </c>
      <c r="E3094" s="185">
        <v>252505</v>
      </c>
      <c r="F3094" s="185" t="s">
        <v>787</v>
      </c>
      <c r="G3094" s="185" t="s">
        <v>2580</v>
      </c>
      <c r="H3094" s="185" t="s">
        <v>1515</v>
      </c>
      <c r="I3094" s="258" t="str">
        <f t="shared" si="145"/>
        <v>2</v>
      </c>
      <c r="J3094" s="221">
        <f t="shared" si="146"/>
        <v>613743</v>
      </c>
      <c r="K3094" s="258">
        <f t="shared" si="147"/>
        <v>11</v>
      </c>
      <c r="L3094" s="188">
        <v>613743</v>
      </c>
      <c r="M3094" s="188">
        <v>0</v>
      </c>
      <c r="N3094" s="189">
        <v>1020842223</v>
      </c>
      <c r="O3094"/>
      <c r="P3094" s="187">
        <v>45266.370613425897</v>
      </c>
      <c r="Q3094" s="186">
        <v>14739</v>
      </c>
      <c r="R3094" s="185"/>
      <c r="S3094" s="185" t="s">
        <v>1532</v>
      </c>
      <c r="T3094"/>
      <c r="U3094" t="str">
        <f>IF($L3094&gt;0,VLOOKUP($E3094,Valida!$A$1:$G$270,6,FALSE),IF($M3094&gt;=0,VLOOKUP($E3094,Valida!$A$1:$G$270,7,FALSE)))</f>
        <v>(+/-) Ajustes por el incremento (disminución) de cuentas por pagar de origen comercial</v>
      </c>
      <c r="V3094" s="190" t="str">
        <f>VLOOKUP(E3094,Valida!$A$2:$K$271,4,FALSE)</f>
        <v>Trade and other payables</v>
      </c>
      <c r="W3094" s="185" t="s">
        <v>1900</v>
      </c>
      <c r="X3094" s="185"/>
      <c r="Y3094" s="185" t="s">
        <v>1789</v>
      </c>
      <c r="Z3094"/>
    </row>
    <row r="3095" spans="1:26">
      <c r="A3095" s="185" t="s">
        <v>3810</v>
      </c>
      <c r="B3095" s="185" t="s">
        <v>3814</v>
      </c>
      <c r="C3095" s="185" t="s">
        <v>1897</v>
      </c>
      <c r="D3095" s="185" t="s">
        <v>3815</v>
      </c>
      <c r="E3095" s="185">
        <v>251010</v>
      </c>
      <c r="F3095" s="185" t="s">
        <v>776</v>
      </c>
      <c r="G3095" s="185" t="s">
        <v>2580</v>
      </c>
      <c r="H3095" s="185" t="s">
        <v>1515</v>
      </c>
      <c r="I3095" s="258" t="str">
        <f t="shared" si="145"/>
        <v>2</v>
      </c>
      <c r="J3095" s="221">
        <f t="shared" si="146"/>
        <v>1343486</v>
      </c>
      <c r="K3095" s="258">
        <f t="shared" si="147"/>
        <v>11</v>
      </c>
      <c r="L3095" s="188">
        <v>1343486</v>
      </c>
      <c r="M3095" s="188">
        <v>0</v>
      </c>
      <c r="N3095" s="189">
        <v>1020842223</v>
      </c>
      <c r="O3095"/>
      <c r="P3095" s="187">
        <v>45266.370613425897</v>
      </c>
      <c r="Q3095" s="186">
        <v>14740</v>
      </c>
      <c r="R3095" s="185"/>
      <c r="S3095" s="185" t="s">
        <v>1532</v>
      </c>
      <c r="T3095"/>
      <c r="U3095" t="str">
        <f>IF($L3095&gt;0,VLOOKUP($E3095,Valida!$A$1:$G$270,6,FALSE),IF($M3095&gt;=0,VLOOKUP($E3095,Valida!$A$1:$G$270,7,FALSE)))</f>
        <v>(+/-) Ajustes por el incremento (disminución) de cuentas por pagar de origen comercial</v>
      </c>
      <c r="V3095" s="190" t="str">
        <f>VLOOKUP(E3095,Valida!$A$2:$K$271,4,FALSE)</f>
        <v>Trade and other payables</v>
      </c>
      <c r="W3095" s="185" t="s">
        <v>1900</v>
      </c>
      <c r="X3095" s="185"/>
      <c r="Y3095" s="185" t="s">
        <v>1789</v>
      </c>
      <c r="Z3095"/>
    </row>
    <row r="3096" spans="1:26">
      <c r="A3096" s="185" t="s">
        <v>3810</v>
      </c>
      <c r="B3096" s="185" t="s">
        <v>3814</v>
      </c>
      <c r="C3096" s="185" t="s">
        <v>1897</v>
      </c>
      <c r="D3096" s="185" t="s">
        <v>3815</v>
      </c>
      <c r="E3096" s="185">
        <v>251505</v>
      </c>
      <c r="F3096" s="185" t="s">
        <v>779</v>
      </c>
      <c r="G3096" s="185" t="s">
        <v>2580</v>
      </c>
      <c r="H3096" s="185" t="s">
        <v>1515</v>
      </c>
      <c r="I3096" s="258" t="str">
        <f t="shared" si="145"/>
        <v>2</v>
      </c>
      <c r="J3096" s="221">
        <f t="shared" si="146"/>
        <v>133005</v>
      </c>
      <c r="K3096" s="258">
        <f t="shared" si="147"/>
        <v>11</v>
      </c>
      <c r="L3096" s="188">
        <v>133005</v>
      </c>
      <c r="M3096" s="188">
        <v>0</v>
      </c>
      <c r="N3096" s="189">
        <v>1020842223</v>
      </c>
      <c r="O3096"/>
      <c r="P3096" s="187">
        <v>45266.370613425897</v>
      </c>
      <c r="Q3096" s="186">
        <v>14741</v>
      </c>
      <c r="R3096" s="185"/>
      <c r="S3096" s="185" t="s">
        <v>1532</v>
      </c>
      <c r="T3096"/>
      <c r="U3096" t="str">
        <f>IF($L3096&gt;0,VLOOKUP($E3096,Valida!$A$1:$G$270,6,FALSE),IF($M3096&gt;=0,VLOOKUP($E3096,Valida!$A$1:$G$270,7,FALSE)))</f>
        <v>(+/-) Ajustes por el incremento (disminución) de cuentas por pagar de origen comercial</v>
      </c>
      <c r="V3096" s="190" t="str">
        <f>VLOOKUP(E3096,Valida!$A$2:$K$271,4,FALSE)</f>
        <v>Trade and other payables</v>
      </c>
      <c r="W3096" s="185" t="s">
        <v>1900</v>
      </c>
      <c r="X3096" s="185"/>
      <c r="Y3096" s="185" t="s">
        <v>1789</v>
      </c>
      <c r="Z3096"/>
    </row>
    <row r="3097" spans="1:26">
      <c r="A3097" s="185" t="s">
        <v>3810</v>
      </c>
      <c r="B3097" s="185" t="s">
        <v>3814</v>
      </c>
      <c r="C3097" s="185" t="s">
        <v>1897</v>
      </c>
      <c r="D3097" s="185" t="s">
        <v>3815</v>
      </c>
      <c r="E3097" s="185">
        <v>252005</v>
      </c>
      <c r="F3097" s="185" t="s">
        <v>783</v>
      </c>
      <c r="G3097" s="185" t="s">
        <v>2580</v>
      </c>
      <c r="H3097" s="185" t="s">
        <v>1515</v>
      </c>
      <c r="I3097" s="258" t="str">
        <f t="shared" si="145"/>
        <v>2</v>
      </c>
      <c r="J3097" s="221">
        <f t="shared" si="146"/>
        <v>476883</v>
      </c>
      <c r="K3097" s="258">
        <f t="shared" si="147"/>
        <v>11</v>
      </c>
      <c r="L3097" s="188">
        <v>476883</v>
      </c>
      <c r="M3097" s="188">
        <v>0</v>
      </c>
      <c r="N3097" s="189">
        <v>1020842223</v>
      </c>
      <c r="O3097"/>
      <c r="P3097" s="187">
        <v>45266.370613425897</v>
      </c>
      <c r="Q3097" s="186">
        <v>14742</v>
      </c>
      <c r="R3097" s="185"/>
      <c r="S3097" s="185" t="s">
        <v>1532</v>
      </c>
      <c r="T3097"/>
      <c r="U3097" t="str">
        <f>IF($L3097&gt;0,VLOOKUP($E3097,Valida!$A$1:$G$270,6,FALSE),IF($M3097&gt;=0,VLOOKUP($E3097,Valida!$A$1:$G$270,7,FALSE)))</f>
        <v>(+/-) Ajustes por el incremento (disminución) de cuentas por pagar de origen comercial</v>
      </c>
      <c r="V3097" s="190" t="str">
        <f>VLOOKUP(E3097,Valida!$A$2:$K$271,4,FALSE)</f>
        <v>Trade and other payables</v>
      </c>
      <c r="W3097" s="185" t="s">
        <v>1900</v>
      </c>
      <c r="X3097" s="185"/>
      <c r="Y3097" s="185" t="s">
        <v>1789</v>
      </c>
      <c r="Z3097"/>
    </row>
    <row r="3098" spans="1:26">
      <c r="A3098" s="185" t="s">
        <v>3810</v>
      </c>
      <c r="B3098" s="185" t="s">
        <v>3816</v>
      </c>
      <c r="C3098" s="185" t="s">
        <v>1991</v>
      </c>
      <c r="D3098" s="185" t="s">
        <v>2209</v>
      </c>
      <c r="E3098" s="185">
        <v>23657502</v>
      </c>
      <c r="F3098" s="185" t="s">
        <v>1646</v>
      </c>
      <c r="G3098" s="185" t="s">
        <v>3817</v>
      </c>
      <c r="H3098" s="185" t="s">
        <v>1628</v>
      </c>
      <c r="I3098" s="258" t="str">
        <f t="shared" si="145"/>
        <v>2</v>
      </c>
      <c r="J3098" s="221">
        <f t="shared" si="146"/>
        <v>-771000</v>
      </c>
      <c r="K3098" s="258">
        <f t="shared" si="147"/>
        <v>11</v>
      </c>
      <c r="L3098" s="188">
        <v>0</v>
      </c>
      <c r="M3098" s="188">
        <v>771000</v>
      </c>
      <c r="N3098" s="189">
        <v>800197268</v>
      </c>
      <c r="O3098"/>
      <c r="P3098" s="187">
        <v>45275.244131944397</v>
      </c>
      <c r="Q3098" s="186">
        <v>14743</v>
      </c>
      <c r="R3098" s="185" t="s">
        <v>983</v>
      </c>
      <c r="S3098" s="185" t="s">
        <v>1558</v>
      </c>
      <c r="T3098"/>
      <c r="U3098" t="str">
        <f>IF($L3098&gt;0,VLOOKUP($E3098,Valida!$A$1:$G$270,6,FALSE),IF($M3098&gt;=0,VLOOKUP($E3098,Valida!$A$1:$G$270,7,FALSE)))</f>
        <v>(+/-) Ajustes por el incremento (disminución) de cuentas por pagar de origen comercial</v>
      </c>
      <c r="V3098" s="190" t="str">
        <f>VLOOKUP(E3098,Valida!$A$2:$K$271,4,FALSE)</f>
        <v>Trade and other payables</v>
      </c>
      <c r="W3098" s="185" t="s">
        <v>1944</v>
      </c>
      <c r="X3098" s="185"/>
      <c r="Y3098" s="185" t="s">
        <v>1789</v>
      </c>
      <c r="Z3098"/>
    </row>
    <row r="3099" spans="1:26">
      <c r="A3099" s="185" t="s">
        <v>3810</v>
      </c>
      <c r="B3099" s="185" t="s">
        <v>3816</v>
      </c>
      <c r="C3099" s="185" t="s">
        <v>1991</v>
      </c>
      <c r="D3099" s="185" t="s">
        <v>2209</v>
      </c>
      <c r="E3099" s="185">
        <v>13551902</v>
      </c>
      <c r="F3099" s="185" t="s">
        <v>1614</v>
      </c>
      <c r="G3099" s="185" t="s">
        <v>3817</v>
      </c>
      <c r="H3099" s="185" t="s">
        <v>1515</v>
      </c>
      <c r="I3099" s="258" t="str">
        <f t="shared" si="145"/>
        <v>1</v>
      </c>
      <c r="J3099" s="221">
        <f t="shared" si="146"/>
        <v>771000</v>
      </c>
      <c r="K3099" s="258">
        <f t="shared" si="147"/>
        <v>11</v>
      </c>
      <c r="L3099" s="188">
        <v>771000</v>
      </c>
      <c r="M3099" s="188">
        <v>0</v>
      </c>
      <c r="N3099" s="189">
        <v>800197268</v>
      </c>
      <c r="O3099"/>
      <c r="P3099" s="187">
        <v>45275.244131944397</v>
      </c>
      <c r="Q3099" s="186">
        <v>14744</v>
      </c>
      <c r="R3099" s="185" t="s">
        <v>983</v>
      </c>
      <c r="S3099" s="185" t="s">
        <v>1558</v>
      </c>
      <c r="T3099"/>
      <c r="U3099" t="str">
        <f>IF($L3099&gt;0,VLOOKUP($E3099,Valida!$A$1:$G$270,6,FALSE),IF($M3099&gt;=0,VLOOKUP($E3099,Valida!$A$1:$G$270,7,FALSE)))</f>
        <v>(+/-) Ajustes por disminuciones (incrementos) en otras cuentas por cobrar derivadas de las actividades de operación</v>
      </c>
      <c r="V3099" s="190" t="str">
        <f>VLOOKUP(E3099,Valida!$A$2:$K$271,4,FALSE)</f>
        <v>Prepayments: Taxes</v>
      </c>
      <c r="W3099" s="185" t="s">
        <v>1944</v>
      </c>
      <c r="X3099" s="185"/>
      <c r="Y3099" s="185" t="s">
        <v>1789</v>
      </c>
      <c r="Z3099"/>
    </row>
    <row r="3100" spans="1:26">
      <c r="A3100" s="185" t="s">
        <v>3810</v>
      </c>
      <c r="B3100" s="185" t="s">
        <v>3818</v>
      </c>
      <c r="C3100" s="185" t="s">
        <v>1991</v>
      </c>
      <c r="D3100" s="185" t="s">
        <v>2216</v>
      </c>
      <c r="E3100" s="185">
        <v>23651502</v>
      </c>
      <c r="F3100" s="185" t="s">
        <v>244</v>
      </c>
      <c r="G3100" s="185" t="s">
        <v>3819</v>
      </c>
      <c r="H3100" s="185" t="s">
        <v>1515</v>
      </c>
      <c r="I3100" s="258" t="str">
        <f t="shared" si="145"/>
        <v>2</v>
      </c>
      <c r="J3100" s="221">
        <f t="shared" si="146"/>
        <v>3973</v>
      </c>
      <c r="K3100" s="258">
        <f t="shared" si="147"/>
        <v>11</v>
      </c>
      <c r="L3100" s="188">
        <v>3973</v>
      </c>
      <c r="M3100" s="188">
        <v>0</v>
      </c>
      <c r="N3100" s="189">
        <v>800197268</v>
      </c>
      <c r="O3100"/>
      <c r="P3100" s="187">
        <v>45275.247662037</v>
      </c>
      <c r="Q3100" s="186">
        <v>14745</v>
      </c>
      <c r="R3100" s="185" t="s">
        <v>983</v>
      </c>
      <c r="S3100" s="185" t="s">
        <v>1558</v>
      </c>
      <c r="T3100"/>
      <c r="U3100" t="str">
        <f>IF($L3100&gt;0,VLOOKUP($E3100,Valida!$A$1:$G$270,6,FALSE),IF($M3100&gt;=0,VLOOKUP($E3100,Valida!$A$1:$G$270,7,FALSE)))</f>
        <v>(+/-) Ajustes por el incremento (disminución) de cuentas por pagar de origen comercial</v>
      </c>
      <c r="V3100" s="190" t="str">
        <f>VLOOKUP(E3100,Valida!$A$2:$K$271,4,FALSE)</f>
        <v>Trade and other payables</v>
      </c>
      <c r="W3100" s="185" t="s">
        <v>1944</v>
      </c>
      <c r="X3100" s="185"/>
      <c r="Y3100" s="185" t="s">
        <v>1789</v>
      </c>
      <c r="Z3100"/>
    </row>
    <row r="3101" spans="1:26">
      <c r="A3101" s="185" t="s">
        <v>3810</v>
      </c>
      <c r="B3101" s="185" t="s">
        <v>3818</v>
      </c>
      <c r="C3101" s="185" t="s">
        <v>1991</v>
      </c>
      <c r="D3101" s="185" t="s">
        <v>2216</v>
      </c>
      <c r="E3101" s="185">
        <v>23653001</v>
      </c>
      <c r="F3101" s="185" t="s">
        <v>611</v>
      </c>
      <c r="G3101" s="185" t="s">
        <v>3819</v>
      </c>
      <c r="H3101" s="185" t="s">
        <v>1515</v>
      </c>
      <c r="I3101" s="258" t="str">
        <f t="shared" si="145"/>
        <v>2</v>
      </c>
      <c r="J3101" s="221">
        <f t="shared" si="146"/>
        <v>446250</v>
      </c>
      <c r="K3101" s="258">
        <f t="shared" si="147"/>
        <v>11</v>
      </c>
      <c r="L3101" s="188">
        <v>446250</v>
      </c>
      <c r="M3101" s="188">
        <v>0</v>
      </c>
      <c r="N3101" s="189">
        <v>800197268</v>
      </c>
      <c r="O3101"/>
      <c r="P3101" s="187">
        <v>45275.247662037</v>
      </c>
      <c r="Q3101" s="186">
        <v>14746</v>
      </c>
      <c r="R3101" s="185" t="s">
        <v>983</v>
      </c>
      <c r="S3101" s="185" t="s">
        <v>1558</v>
      </c>
      <c r="T3101"/>
      <c r="U3101" t="str">
        <f>IF($L3101&gt;0,VLOOKUP($E3101,Valida!$A$1:$G$270,6,FALSE),IF($M3101&gt;=0,VLOOKUP($E3101,Valida!$A$1:$G$270,7,FALSE)))</f>
        <v>(+/-) Ajustes por el incremento (disminución) de cuentas por pagar de origen comercial</v>
      </c>
      <c r="V3101" s="190" t="str">
        <f>VLOOKUP(E3101,Valida!$A$2:$K$271,4,FALSE)</f>
        <v>Trade and other payables</v>
      </c>
      <c r="W3101" s="185" t="s">
        <v>1944</v>
      </c>
      <c r="X3101" s="185"/>
      <c r="Y3101" s="185" t="s">
        <v>1789</v>
      </c>
      <c r="Z3101"/>
    </row>
    <row r="3102" spans="1:26">
      <c r="A3102" s="185" t="s">
        <v>3810</v>
      </c>
      <c r="B3102" s="185" t="s">
        <v>3818</v>
      </c>
      <c r="C3102" s="185" t="s">
        <v>1991</v>
      </c>
      <c r="D3102" s="185" t="s">
        <v>2216</v>
      </c>
      <c r="E3102" s="185">
        <v>23653002</v>
      </c>
      <c r="F3102" s="185" t="s">
        <v>241</v>
      </c>
      <c r="G3102" s="185" t="s">
        <v>3819</v>
      </c>
      <c r="H3102" s="185" t="s">
        <v>1515</v>
      </c>
      <c r="I3102" s="258" t="str">
        <f t="shared" si="145"/>
        <v>2</v>
      </c>
      <c r="J3102" s="221">
        <f t="shared" si="146"/>
        <v>4280</v>
      </c>
      <c r="K3102" s="258">
        <f t="shared" si="147"/>
        <v>11</v>
      </c>
      <c r="L3102" s="188">
        <v>4280</v>
      </c>
      <c r="M3102" s="188">
        <v>0</v>
      </c>
      <c r="N3102" s="189">
        <v>800197268</v>
      </c>
      <c r="O3102"/>
      <c r="P3102" s="187">
        <v>45275.247662037</v>
      </c>
      <c r="Q3102" s="186">
        <v>14747</v>
      </c>
      <c r="R3102" s="185" t="s">
        <v>983</v>
      </c>
      <c r="S3102" s="185" t="s">
        <v>1558</v>
      </c>
      <c r="T3102"/>
      <c r="U3102" t="str">
        <f>IF($L3102&gt;0,VLOOKUP($E3102,Valida!$A$1:$G$270,6,FALSE),IF($M3102&gt;=0,VLOOKUP($E3102,Valida!$A$1:$G$270,7,FALSE)))</f>
        <v>(+/-) Ajustes por el incremento (disminución) de cuentas por pagar de origen comercial</v>
      </c>
      <c r="V3102" s="190" t="str">
        <f>VLOOKUP(E3102,Valida!$A$2:$K$271,4,FALSE)</f>
        <v>Trade and other payables</v>
      </c>
      <c r="W3102" s="185" t="s">
        <v>1944</v>
      </c>
      <c r="X3102" s="185"/>
      <c r="Y3102" s="185" t="s">
        <v>1789</v>
      </c>
      <c r="Z3102"/>
    </row>
    <row r="3103" spans="1:26">
      <c r="A3103" s="185" t="s">
        <v>3810</v>
      </c>
      <c r="B3103" s="185" t="s">
        <v>3818</v>
      </c>
      <c r="C3103" s="185" t="s">
        <v>1991</v>
      </c>
      <c r="D3103" s="185" t="s">
        <v>2216</v>
      </c>
      <c r="E3103" s="185">
        <v>23654001</v>
      </c>
      <c r="F3103" s="185" t="s">
        <v>622</v>
      </c>
      <c r="G3103" s="185" t="s">
        <v>3819</v>
      </c>
      <c r="H3103" s="185" t="s">
        <v>1515</v>
      </c>
      <c r="I3103" s="258" t="str">
        <f t="shared" si="145"/>
        <v>2</v>
      </c>
      <c r="J3103" s="221">
        <f t="shared" si="146"/>
        <v>114769</v>
      </c>
      <c r="K3103" s="258">
        <f t="shared" si="147"/>
        <v>11</v>
      </c>
      <c r="L3103" s="188">
        <v>114769</v>
      </c>
      <c r="M3103" s="188">
        <v>0</v>
      </c>
      <c r="N3103" s="189">
        <v>800197268</v>
      </c>
      <c r="O3103"/>
      <c r="P3103" s="187">
        <v>45275.247673611098</v>
      </c>
      <c r="Q3103" s="186">
        <v>14748</v>
      </c>
      <c r="R3103" s="185" t="s">
        <v>983</v>
      </c>
      <c r="S3103" s="185" t="s">
        <v>1558</v>
      </c>
      <c r="T3103"/>
      <c r="U3103" t="str">
        <f>IF($L3103&gt;0,VLOOKUP($E3103,Valida!$A$1:$G$270,6,FALSE),IF($M3103&gt;=0,VLOOKUP($E3103,Valida!$A$1:$G$270,7,FALSE)))</f>
        <v>(+/-) Ajustes por el incremento (disminución) de cuentas por pagar de origen comercial</v>
      </c>
      <c r="V3103" s="190" t="str">
        <f>VLOOKUP(E3103,Valida!$A$2:$K$271,4,FALSE)</f>
        <v>Trade and other payables</v>
      </c>
      <c r="W3103" s="185" t="s">
        <v>1944</v>
      </c>
      <c r="X3103" s="185"/>
      <c r="Y3103" s="185" t="s">
        <v>1789</v>
      </c>
      <c r="Z3103"/>
    </row>
    <row r="3104" spans="1:26">
      <c r="A3104" s="185" t="s">
        <v>3810</v>
      </c>
      <c r="B3104" s="185" t="s">
        <v>3818</v>
      </c>
      <c r="C3104" s="185" t="s">
        <v>1991</v>
      </c>
      <c r="D3104" s="185" t="s">
        <v>2216</v>
      </c>
      <c r="E3104" s="185">
        <v>23657502</v>
      </c>
      <c r="F3104" s="185" t="s">
        <v>1646</v>
      </c>
      <c r="G3104" s="185" t="s">
        <v>3819</v>
      </c>
      <c r="H3104" s="185" t="s">
        <v>1515</v>
      </c>
      <c r="I3104" s="258" t="str">
        <f t="shared" si="145"/>
        <v>2</v>
      </c>
      <c r="J3104" s="221">
        <f t="shared" si="146"/>
        <v>771000</v>
      </c>
      <c r="K3104" s="258">
        <f t="shared" si="147"/>
        <v>11</v>
      </c>
      <c r="L3104" s="188">
        <v>771000</v>
      </c>
      <c r="M3104" s="188">
        <v>0</v>
      </c>
      <c r="N3104" s="189">
        <v>800197268</v>
      </c>
      <c r="O3104"/>
      <c r="P3104" s="187">
        <v>45275.247673611098</v>
      </c>
      <c r="Q3104" s="186">
        <v>14749</v>
      </c>
      <c r="R3104" s="185" t="s">
        <v>983</v>
      </c>
      <c r="S3104" s="185" t="s">
        <v>1558</v>
      </c>
      <c r="T3104"/>
      <c r="U3104" t="str">
        <f>IF($L3104&gt;0,VLOOKUP($E3104,Valida!$A$1:$G$270,6,FALSE),IF($M3104&gt;=0,VLOOKUP($E3104,Valida!$A$1:$G$270,7,FALSE)))</f>
        <v>(+/-) Ajustes por el incremento (disminución) de cuentas por pagar de origen comercial</v>
      </c>
      <c r="V3104" s="190" t="str">
        <f>VLOOKUP(E3104,Valida!$A$2:$K$271,4,FALSE)</f>
        <v>Trade and other payables</v>
      </c>
      <c r="W3104" s="185" t="s">
        <v>1944</v>
      </c>
      <c r="X3104" s="185"/>
      <c r="Y3104" s="185" t="s">
        <v>1789</v>
      </c>
      <c r="Z3104"/>
    </row>
    <row r="3105" spans="1:26">
      <c r="A3105" s="185" t="s">
        <v>3810</v>
      </c>
      <c r="B3105" s="185" t="s">
        <v>3818</v>
      </c>
      <c r="C3105" s="185" t="s">
        <v>1991</v>
      </c>
      <c r="D3105" s="185" t="s">
        <v>2216</v>
      </c>
      <c r="E3105" s="185">
        <v>236595</v>
      </c>
      <c r="F3105" s="185" t="s">
        <v>648</v>
      </c>
      <c r="G3105" s="185" t="s">
        <v>3819</v>
      </c>
      <c r="H3105" s="185" t="s">
        <v>1628</v>
      </c>
      <c r="I3105" s="258" t="str">
        <f t="shared" si="145"/>
        <v>2</v>
      </c>
      <c r="J3105" s="221">
        <f t="shared" si="146"/>
        <v>-1341000</v>
      </c>
      <c r="K3105" s="258">
        <f t="shared" si="147"/>
        <v>11</v>
      </c>
      <c r="L3105" s="188">
        <v>0</v>
      </c>
      <c r="M3105" s="188">
        <v>1341000</v>
      </c>
      <c r="N3105" s="189">
        <v>800197268</v>
      </c>
      <c r="O3105"/>
      <c r="P3105" s="187">
        <v>45275.247673611098</v>
      </c>
      <c r="Q3105" s="186">
        <v>14750</v>
      </c>
      <c r="R3105" s="185" t="s">
        <v>983</v>
      </c>
      <c r="S3105" s="185" t="s">
        <v>1558</v>
      </c>
      <c r="T3105"/>
      <c r="U3105" t="str">
        <f>IF($L3105&gt;0,VLOOKUP($E3105,Valida!$A$1:$G$270,6,FALSE),IF($M3105&gt;=0,VLOOKUP($E3105,Valida!$A$1:$G$270,7,FALSE)))</f>
        <v>(+/-) Ajustes por el incremento (disminución) de cuentas por pagar de origen comercial</v>
      </c>
      <c r="V3105" s="190" t="str">
        <f>VLOOKUP(E3105,Valida!$A$2:$K$271,4,FALSE)</f>
        <v>Trade and other payables</v>
      </c>
      <c r="W3105" s="185" t="s">
        <v>1944</v>
      </c>
      <c r="X3105" s="185"/>
      <c r="Y3105" s="185" t="s">
        <v>1789</v>
      </c>
      <c r="Z3105"/>
    </row>
    <row r="3106" spans="1:26">
      <c r="A3106" s="185" t="s">
        <v>3810</v>
      </c>
      <c r="B3106" s="185" t="s">
        <v>3818</v>
      </c>
      <c r="C3106" s="185" t="s">
        <v>1991</v>
      </c>
      <c r="D3106" s="185" t="s">
        <v>2216</v>
      </c>
      <c r="E3106" s="185">
        <v>53059510</v>
      </c>
      <c r="F3106" s="185" t="s">
        <v>1065</v>
      </c>
      <c r="G3106" s="185" t="s">
        <v>3819</v>
      </c>
      <c r="H3106" s="185" t="s">
        <v>1515</v>
      </c>
      <c r="I3106" s="258" t="str">
        <f t="shared" si="145"/>
        <v>5</v>
      </c>
      <c r="J3106" s="221">
        <f t="shared" si="146"/>
        <v>728</v>
      </c>
      <c r="K3106" s="258">
        <f t="shared" si="147"/>
        <v>11</v>
      </c>
      <c r="L3106" s="188">
        <v>728</v>
      </c>
      <c r="M3106" s="188">
        <v>0</v>
      </c>
      <c r="N3106" s="189">
        <v>800197268</v>
      </c>
      <c r="O3106"/>
      <c r="P3106" s="187">
        <v>45275.247673611098</v>
      </c>
      <c r="Q3106" s="186">
        <v>14751</v>
      </c>
      <c r="R3106" s="185" t="s">
        <v>983</v>
      </c>
      <c r="S3106" s="185" t="s">
        <v>1558</v>
      </c>
      <c r="T3106"/>
      <c r="U3106" t="str">
        <f>IF($L3106&gt;0,VLOOKUP($E3106,Valida!$A$1:$G$270,6,FALSE),IF($M3106&gt;=0,VLOOKUP($E3106,Valida!$A$1:$G$270,7,FALSE)))</f>
        <v>(+/-) Ganancia (pérdida)</v>
      </c>
      <c r="V3106" s="190" t="str">
        <f>VLOOKUP(E3106,Valida!$A$2:$K$271,4,FALSE)</f>
        <v>P&amp;L</v>
      </c>
      <c r="W3106" s="185" t="s">
        <v>1944</v>
      </c>
      <c r="X3106" s="185"/>
      <c r="Y3106" s="185" t="s">
        <v>1789</v>
      </c>
      <c r="Z3106"/>
    </row>
    <row r="3107" spans="1:26">
      <c r="A3107" s="185" t="s">
        <v>3810</v>
      </c>
      <c r="B3107" s="185" t="s">
        <v>3820</v>
      </c>
      <c r="C3107" s="185" t="s">
        <v>1785</v>
      </c>
      <c r="D3107" s="185" t="s">
        <v>3821</v>
      </c>
      <c r="E3107" s="185">
        <v>51602001</v>
      </c>
      <c r="F3107" s="185" t="s">
        <v>416</v>
      </c>
      <c r="G3107" s="185" t="s">
        <v>2232</v>
      </c>
      <c r="H3107" s="185" t="s">
        <v>1515</v>
      </c>
      <c r="I3107" s="258" t="str">
        <f t="shared" si="145"/>
        <v>5</v>
      </c>
      <c r="J3107" s="221">
        <f t="shared" si="146"/>
        <v>1596762</v>
      </c>
      <c r="K3107" s="258">
        <f t="shared" si="147"/>
        <v>11</v>
      </c>
      <c r="L3107" s="188">
        <v>1596762</v>
      </c>
      <c r="M3107" s="188">
        <v>0</v>
      </c>
      <c r="N3107" s="189">
        <v>901513634</v>
      </c>
      <c r="O3107"/>
      <c r="P3107" s="187">
        <v>45275.2727199074</v>
      </c>
      <c r="Q3107" s="186">
        <v>14752</v>
      </c>
      <c r="R3107" s="185" t="s">
        <v>6</v>
      </c>
      <c r="S3107" s="185" t="s">
        <v>1518</v>
      </c>
      <c r="T3107"/>
      <c r="U3107" t="str">
        <f>IF($L3107&gt;0,VLOOKUP($E3107,Valida!$A$1:$G$270,6,FALSE),IF($M3107&gt;=0,VLOOKUP($E3107,Valida!$A$1:$G$270,7,FALSE)))</f>
        <v>(+/-) Ganancia (pérdida)</v>
      </c>
      <c r="V3107" s="190" t="str">
        <f>VLOOKUP(E3107,Valida!$A$2:$K$271,4,FALSE)</f>
        <v>P&amp;L</v>
      </c>
      <c r="W3107" s="185" t="s">
        <v>1787</v>
      </c>
      <c r="X3107" s="185" t="s">
        <v>1788</v>
      </c>
      <c r="Y3107" s="185" t="s">
        <v>1789</v>
      </c>
      <c r="Z3107"/>
    </row>
    <row r="3108" spans="1:26">
      <c r="A3108" s="185" t="s">
        <v>3810</v>
      </c>
      <c r="B3108" s="185" t="s">
        <v>3820</v>
      </c>
      <c r="C3108" s="185" t="s">
        <v>1785</v>
      </c>
      <c r="D3108" s="185" t="s">
        <v>3821</v>
      </c>
      <c r="E3108" s="185">
        <v>15922001</v>
      </c>
      <c r="F3108" s="185" t="s">
        <v>416</v>
      </c>
      <c r="G3108" s="185" t="s">
        <v>2232</v>
      </c>
      <c r="H3108" s="185" t="s">
        <v>1628</v>
      </c>
      <c r="I3108" s="258" t="str">
        <f t="shared" si="145"/>
        <v>1</v>
      </c>
      <c r="J3108" s="221">
        <f t="shared" si="146"/>
        <v>-1596762</v>
      </c>
      <c r="K3108" s="258">
        <f t="shared" si="147"/>
        <v>11</v>
      </c>
      <c r="L3108" s="188">
        <v>0</v>
      </c>
      <c r="M3108" s="188">
        <v>1596762</v>
      </c>
      <c r="N3108" s="189">
        <v>901513634</v>
      </c>
      <c r="O3108"/>
      <c r="P3108" s="187">
        <v>45275.272731481498</v>
      </c>
      <c r="Q3108" s="186">
        <v>14753</v>
      </c>
      <c r="R3108" s="185" t="s">
        <v>6</v>
      </c>
      <c r="S3108" s="185" t="s">
        <v>1518</v>
      </c>
      <c r="T3108"/>
      <c r="U3108" t="str">
        <f>IF($L3108&gt;0,VLOOKUP($E3108,Valida!$A$1:$G$270,6,FALSE),IF($M3108&gt;=0,VLOOKUP($E3108,Valida!$A$1:$G$270,7,FALSE)))</f>
        <v>( + ) Ajustes por gastos de depreciación</v>
      </c>
      <c r="V3108" s="190" t="str">
        <f>VLOOKUP(E3108,Valida!$A$2:$K$271,4,FALSE)</f>
        <v>Depreciation</v>
      </c>
      <c r="W3108" s="185" t="s">
        <v>1787</v>
      </c>
      <c r="X3108" s="185" t="s">
        <v>1788</v>
      </c>
      <c r="Y3108" s="185" t="s">
        <v>1789</v>
      </c>
      <c r="Z3108"/>
    </row>
    <row r="3109" spans="1:26">
      <c r="A3109" s="185" t="s">
        <v>3810</v>
      </c>
      <c r="B3109" s="185" t="s">
        <v>3820</v>
      </c>
      <c r="C3109" s="185" t="s">
        <v>1785</v>
      </c>
      <c r="D3109" s="185" t="s">
        <v>3821</v>
      </c>
      <c r="E3109" s="185">
        <v>51602004</v>
      </c>
      <c r="F3109" s="185" t="s">
        <v>404</v>
      </c>
      <c r="G3109" s="185" t="s">
        <v>2236</v>
      </c>
      <c r="H3109" s="185" t="s">
        <v>1515</v>
      </c>
      <c r="I3109" s="258" t="str">
        <f t="shared" si="145"/>
        <v>5</v>
      </c>
      <c r="J3109" s="221">
        <f t="shared" si="146"/>
        <v>163793</v>
      </c>
      <c r="K3109" s="258">
        <f t="shared" si="147"/>
        <v>11</v>
      </c>
      <c r="L3109" s="188">
        <v>163793</v>
      </c>
      <c r="M3109" s="188">
        <v>0</v>
      </c>
      <c r="N3109" s="189">
        <v>901513634</v>
      </c>
      <c r="O3109"/>
      <c r="P3109" s="187">
        <v>45275.272731481498</v>
      </c>
      <c r="Q3109" s="186">
        <v>14754</v>
      </c>
      <c r="R3109" s="185" t="s">
        <v>6</v>
      </c>
      <c r="S3109" s="185" t="s">
        <v>1518</v>
      </c>
      <c r="T3109"/>
      <c r="U3109" t="str">
        <f>IF($L3109&gt;0,VLOOKUP($E3109,Valida!$A$1:$G$270,6,FALSE),IF($M3109&gt;=0,VLOOKUP($E3109,Valida!$A$1:$G$270,7,FALSE)))</f>
        <v>(+/-) Ganancia (pérdida)</v>
      </c>
      <c r="V3109" s="190" t="str">
        <f>VLOOKUP(E3109,Valida!$A$2:$K$271,4,FALSE)</f>
        <v>P&amp;L</v>
      </c>
      <c r="W3109" s="185" t="s">
        <v>1787</v>
      </c>
      <c r="X3109" s="185" t="s">
        <v>1788</v>
      </c>
      <c r="Y3109" s="185" t="s">
        <v>1789</v>
      </c>
      <c r="Z3109"/>
    </row>
    <row r="3110" spans="1:26">
      <c r="A3110" s="185" t="s">
        <v>3810</v>
      </c>
      <c r="B3110" s="185" t="s">
        <v>3820</v>
      </c>
      <c r="C3110" s="185" t="s">
        <v>1785</v>
      </c>
      <c r="D3110" s="185" t="s">
        <v>3821</v>
      </c>
      <c r="E3110" s="185">
        <v>15922004</v>
      </c>
      <c r="F3110" s="185" t="s">
        <v>404</v>
      </c>
      <c r="G3110" s="185" t="s">
        <v>2236</v>
      </c>
      <c r="H3110" s="185" t="s">
        <v>1628</v>
      </c>
      <c r="I3110" s="258" t="str">
        <f t="shared" si="145"/>
        <v>1</v>
      </c>
      <c r="J3110" s="221">
        <f t="shared" si="146"/>
        <v>-163793</v>
      </c>
      <c r="K3110" s="258">
        <f t="shared" si="147"/>
        <v>11</v>
      </c>
      <c r="L3110" s="188">
        <v>0</v>
      </c>
      <c r="M3110" s="188">
        <v>163793</v>
      </c>
      <c r="N3110" s="189">
        <v>901513634</v>
      </c>
      <c r="O3110"/>
      <c r="P3110" s="187">
        <v>45275.272731481498</v>
      </c>
      <c r="Q3110" s="186">
        <v>14755</v>
      </c>
      <c r="R3110" s="185" t="s">
        <v>6</v>
      </c>
      <c r="S3110" s="185" t="s">
        <v>1518</v>
      </c>
      <c r="T3110"/>
      <c r="U3110" t="str">
        <f>IF($L3110&gt;0,VLOOKUP($E3110,Valida!$A$1:$G$270,6,FALSE),IF($M3110&gt;=0,VLOOKUP($E3110,Valida!$A$1:$G$270,7,FALSE)))</f>
        <v>( + ) Ajustes por gastos de depreciación</v>
      </c>
      <c r="V3110" s="190" t="str">
        <f>VLOOKUP(E3110,Valida!$A$2:$K$271,4,FALSE)</f>
        <v>Depreciation</v>
      </c>
      <c r="W3110" s="185" t="s">
        <v>1787</v>
      </c>
      <c r="X3110" s="185" t="s">
        <v>1788</v>
      </c>
      <c r="Y3110" s="185" t="s">
        <v>1789</v>
      </c>
      <c r="Z3110"/>
    </row>
    <row r="3111" spans="1:26">
      <c r="A3111" s="185" t="s">
        <v>3822</v>
      </c>
      <c r="B3111" s="185" t="s">
        <v>3823</v>
      </c>
      <c r="C3111" s="185" t="s">
        <v>1991</v>
      </c>
      <c r="D3111" s="185" t="s">
        <v>1985</v>
      </c>
      <c r="E3111" s="185">
        <v>54050501</v>
      </c>
      <c r="F3111" s="185" t="s">
        <v>1760</v>
      </c>
      <c r="G3111" s="185" t="s">
        <v>3824</v>
      </c>
      <c r="H3111" s="185" t="s">
        <v>1515</v>
      </c>
      <c r="I3111" s="258" t="str">
        <f t="shared" si="145"/>
        <v>5</v>
      </c>
      <c r="J3111" s="221">
        <f t="shared" si="146"/>
        <v>1868000</v>
      </c>
      <c r="K3111" s="258">
        <f t="shared" si="147"/>
        <v>10</v>
      </c>
      <c r="L3111" s="188">
        <v>1868000</v>
      </c>
      <c r="M3111" s="188">
        <v>0</v>
      </c>
      <c r="N3111" s="189">
        <v>800197268</v>
      </c>
      <c r="O3111"/>
      <c r="P3111" s="187">
        <v>45275</v>
      </c>
      <c r="Q3111" s="186">
        <v>14756</v>
      </c>
      <c r="R3111" s="185" t="s">
        <v>983</v>
      </c>
      <c r="S3111" s="185" t="s">
        <v>1558</v>
      </c>
      <c r="T3111"/>
      <c r="U3111" t="str">
        <f>IF($L3111&gt;0,VLOOKUP($E3111,Valida!$A$1:$G$270,6,FALSE),IF($M3111&gt;=0,VLOOKUP($E3111,Valida!$A$1:$G$270,7,FALSE)))</f>
        <v>(+/-) Ganancia (pérdida)</v>
      </c>
      <c r="V3111" s="190" t="str">
        <f>VLOOKUP(E3111,Valida!$A$2:$K$271,4,FALSE)</f>
        <v>P&amp;L</v>
      </c>
      <c r="W3111" s="185" t="s">
        <v>1944</v>
      </c>
      <c r="X3111" s="185"/>
      <c r="Y3111" s="185" t="s">
        <v>1789</v>
      </c>
      <c r="Z3111"/>
    </row>
    <row r="3112" spans="1:26">
      <c r="A3112" s="185" t="s">
        <v>3822</v>
      </c>
      <c r="B3112" s="185" t="s">
        <v>3823</v>
      </c>
      <c r="C3112" s="185" t="s">
        <v>1991</v>
      </c>
      <c r="D3112" s="185" t="s">
        <v>1985</v>
      </c>
      <c r="E3112" s="185">
        <v>240405</v>
      </c>
      <c r="F3112" s="185" t="s">
        <v>732</v>
      </c>
      <c r="G3112" s="185" t="s">
        <v>3824</v>
      </c>
      <c r="H3112" s="185" t="s">
        <v>1628</v>
      </c>
      <c r="I3112" s="258" t="str">
        <f t="shared" si="145"/>
        <v>2</v>
      </c>
      <c r="J3112" s="221">
        <f t="shared" si="146"/>
        <v>-1868000</v>
      </c>
      <c r="K3112" s="258">
        <f t="shared" si="147"/>
        <v>10</v>
      </c>
      <c r="L3112" s="188">
        <v>0</v>
      </c>
      <c r="M3112" s="188">
        <v>1868000</v>
      </c>
      <c r="N3112" s="189">
        <v>800197268</v>
      </c>
      <c r="O3112"/>
      <c r="P3112" s="187">
        <v>45275</v>
      </c>
      <c r="Q3112" s="186">
        <v>14757</v>
      </c>
      <c r="R3112" s="185" t="s">
        <v>983</v>
      </c>
      <c r="S3112" s="185" t="s">
        <v>1558</v>
      </c>
      <c r="T3112"/>
      <c r="U3112" t="str">
        <f>IF($L3112&gt;0,VLOOKUP($E3112,Valida!$A$1:$G$270,6,FALSE),IF($M3112&gt;=0,VLOOKUP($E3112,Valida!$A$1:$G$270,7,FALSE)))</f>
        <v>(+/-) Ajustes por el incremento (disminución) de cuentas por pagar de origen comercial</v>
      </c>
      <c r="V3112" s="190" t="str">
        <f>VLOOKUP(E3112,Valida!$A$2:$K$271,4,FALSE)</f>
        <v>Trade and other payables</v>
      </c>
      <c r="W3112" s="185" t="s">
        <v>1944</v>
      </c>
      <c r="X3112" s="185"/>
      <c r="Y3112" s="185" t="s">
        <v>1789</v>
      </c>
      <c r="Z3112"/>
    </row>
    <row r="3113" spans="1:26">
      <c r="A3113" s="185" t="s">
        <v>3810</v>
      </c>
      <c r="B3113" s="185" t="s">
        <v>3825</v>
      </c>
      <c r="C3113" s="185" t="s">
        <v>1991</v>
      </c>
      <c r="D3113" s="185" t="s">
        <v>2224</v>
      </c>
      <c r="E3113" s="185">
        <v>54050501</v>
      </c>
      <c r="F3113" s="185" t="s">
        <v>1760</v>
      </c>
      <c r="G3113" s="185" t="s">
        <v>3826</v>
      </c>
      <c r="H3113" s="185" t="s">
        <v>1515</v>
      </c>
      <c r="I3113" s="258" t="str">
        <f t="shared" si="145"/>
        <v>5</v>
      </c>
      <c r="J3113" s="221">
        <f t="shared" si="146"/>
        <v>6295000</v>
      </c>
      <c r="K3113" s="258">
        <f t="shared" si="147"/>
        <v>11</v>
      </c>
      <c r="L3113" s="188">
        <v>6295000</v>
      </c>
      <c r="M3113" s="188">
        <v>0</v>
      </c>
      <c r="N3113" s="189">
        <v>800197268</v>
      </c>
      <c r="O3113"/>
      <c r="P3113" s="187">
        <v>45275.293680555602</v>
      </c>
      <c r="Q3113" s="186">
        <v>14758</v>
      </c>
      <c r="R3113" s="185" t="s">
        <v>983</v>
      </c>
      <c r="S3113" s="185" t="s">
        <v>1558</v>
      </c>
      <c r="T3113"/>
      <c r="U3113" t="str">
        <f>IF($L3113&gt;0,VLOOKUP($E3113,Valida!$A$1:$G$270,6,FALSE),IF($M3113&gt;=0,VLOOKUP($E3113,Valida!$A$1:$G$270,7,FALSE)))</f>
        <v>(+/-) Ganancia (pérdida)</v>
      </c>
      <c r="V3113" s="190" t="str">
        <f>VLOOKUP(E3113,Valida!$A$2:$K$271,4,FALSE)</f>
        <v>P&amp;L</v>
      </c>
      <c r="W3113" s="185" t="s">
        <v>1944</v>
      </c>
      <c r="X3113" s="185"/>
      <c r="Y3113" s="185" t="s">
        <v>1789</v>
      </c>
      <c r="Z3113"/>
    </row>
    <row r="3114" spans="1:26">
      <c r="A3114" s="185" t="s">
        <v>3810</v>
      </c>
      <c r="B3114" s="185" t="s">
        <v>3825</v>
      </c>
      <c r="C3114" s="185" t="s">
        <v>1991</v>
      </c>
      <c r="D3114" s="185" t="s">
        <v>2224</v>
      </c>
      <c r="E3114" s="185">
        <v>240405</v>
      </c>
      <c r="F3114" s="185" t="s">
        <v>732</v>
      </c>
      <c r="G3114" s="185" t="s">
        <v>3826</v>
      </c>
      <c r="H3114" s="185" t="s">
        <v>1628</v>
      </c>
      <c r="I3114" s="258" t="str">
        <f t="shared" si="145"/>
        <v>2</v>
      </c>
      <c r="J3114" s="221">
        <f t="shared" si="146"/>
        <v>-6295000</v>
      </c>
      <c r="K3114" s="258">
        <f t="shared" si="147"/>
        <v>11</v>
      </c>
      <c r="L3114" s="188">
        <v>0</v>
      </c>
      <c r="M3114" s="188">
        <v>6295000</v>
      </c>
      <c r="N3114" s="189">
        <v>800197268</v>
      </c>
      <c r="O3114"/>
      <c r="P3114" s="187">
        <v>45275.293680555602</v>
      </c>
      <c r="Q3114" s="186">
        <v>14759</v>
      </c>
      <c r="R3114" s="185" t="s">
        <v>983</v>
      </c>
      <c r="S3114" s="185" t="s">
        <v>1558</v>
      </c>
      <c r="T3114"/>
      <c r="U3114" t="str">
        <f>IF($L3114&gt;0,VLOOKUP($E3114,Valida!$A$1:$G$270,6,FALSE),IF($M3114&gt;=0,VLOOKUP($E3114,Valida!$A$1:$G$270,7,FALSE)))</f>
        <v>(+/-) Ajustes por el incremento (disminución) de cuentas por pagar de origen comercial</v>
      </c>
      <c r="V3114" s="190" t="str">
        <f>VLOOKUP(E3114,Valida!$A$2:$K$271,4,FALSE)</f>
        <v>Trade and other payables</v>
      </c>
      <c r="W3114" s="185" t="s">
        <v>1944</v>
      </c>
      <c r="X3114" s="185"/>
      <c r="Y3114" s="185" t="s">
        <v>1789</v>
      </c>
      <c r="Z3114"/>
    </row>
    <row r="3115" spans="1:26">
      <c r="A3115" s="185" t="s">
        <v>3810</v>
      </c>
      <c r="B3115" s="185" t="s">
        <v>3827</v>
      </c>
      <c r="C3115" s="185" t="s">
        <v>1785</v>
      </c>
      <c r="D3115" s="185" t="s">
        <v>3815</v>
      </c>
      <c r="E3115" s="185">
        <v>41559506</v>
      </c>
      <c r="F3115" s="185" t="s">
        <v>1710</v>
      </c>
      <c r="G3115" s="185" t="s">
        <v>3826</v>
      </c>
      <c r="H3115" s="185" t="s">
        <v>1628</v>
      </c>
      <c r="I3115" s="258" t="str">
        <f t="shared" si="145"/>
        <v>4</v>
      </c>
      <c r="J3115" s="221">
        <f t="shared" si="146"/>
        <v>-70104960</v>
      </c>
      <c r="K3115" s="258">
        <f t="shared" si="147"/>
        <v>11</v>
      </c>
      <c r="L3115" s="188">
        <v>0</v>
      </c>
      <c r="M3115" s="188">
        <v>70104960</v>
      </c>
      <c r="N3115" s="189">
        <v>374795</v>
      </c>
      <c r="O3115"/>
      <c r="P3115" s="187">
        <v>45275.2945833333</v>
      </c>
      <c r="Q3115" s="186">
        <v>14760</v>
      </c>
      <c r="R3115" s="185"/>
      <c r="S3115" s="185" t="s">
        <v>1544</v>
      </c>
      <c r="T3115"/>
      <c r="U3115" t="str">
        <f>IF($L3115&gt;0,VLOOKUP($E3115,Valida!$A$1:$G$270,6,FALSE),IF($M3115&gt;=0,VLOOKUP($E3115,Valida!$A$1:$G$270,7,FALSE)))</f>
        <v>(+/-) Ganancia (pérdida)</v>
      </c>
      <c r="V3115" s="190" t="str">
        <f>VLOOKUP(E3115,Valida!$A$2:$K$271,4,FALSE)</f>
        <v>P&amp;L</v>
      </c>
      <c r="W3115" s="185" t="s">
        <v>1803</v>
      </c>
      <c r="X3115" s="185"/>
      <c r="Y3115" s="185"/>
      <c r="Z3115"/>
    </row>
    <row r="3116" spans="1:26">
      <c r="A3116" s="185" t="s">
        <v>3810</v>
      </c>
      <c r="B3116" s="185" t="s">
        <v>3827</v>
      </c>
      <c r="C3116" s="185" t="s">
        <v>1785</v>
      </c>
      <c r="D3116" s="185" t="s">
        <v>3815</v>
      </c>
      <c r="E3116" s="185">
        <v>134525</v>
      </c>
      <c r="F3116" s="185" t="s">
        <v>132</v>
      </c>
      <c r="G3116" s="185" t="s">
        <v>3826</v>
      </c>
      <c r="H3116" s="185" t="s">
        <v>1515</v>
      </c>
      <c r="I3116" s="258" t="str">
        <f t="shared" si="145"/>
        <v>1</v>
      </c>
      <c r="J3116" s="221">
        <f t="shared" si="146"/>
        <v>70104960</v>
      </c>
      <c r="K3116" s="258">
        <f t="shared" si="147"/>
        <v>11</v>
      </c>
      <c r="L3116" s="188">
        <v>70104960</v>
      </c>
      <c r="M3116" s="188">
        <v>0</v>
      </c>
      <c r="N3116" s="189">
        <v>374795</v>
      </c>
      <c r="O3116"/>
      <c r="P3116" s="187">
        <v>45275.294594907398</v>
      </c>
      <c r="Q3116" s="186">
        <v>14761</v>
      </c>
      <c r="R3116" s="185"/>
      <c r="S3116" s="185" t="s">
        <v>1544</v>
      </c>
      <c r="T3116"/>
      <c r="U3116" t="str">
        <f>IF($L3116&gt;0,VLOOKUP($E3116,Valida!$A$1:$G$270,6,FALSE),IF($M3116&gt;=0,VLOOKUP($E3116,Valida!$A$1:$G$270,7,FALSE)))</f>
        <v>(+/-) Ajustes por disminuciones (incrementos) en otras cuentas por cobrar derivadas de las actividades de operación</v>
      </c>
      <c r="V3116" s="190" t="str">
        <f>VLOOKUP(E3116,Valida!$A$2:$K$271,4,FALSE)</f>
        <v>Trade and other receivables</v>
      </c>
      <c r="W3116" s="185" t="s">
        <v>1803</v>
      </c>
      <c r="X3116" s="185"/>
      <c r="Y3116" s="185"/>
      <c r="Z3116"/>
    </row>
    <row r="3117" spans="1:26">
      <c r="A3117" s="185" t="s">
        <v>3828</v>
      </c>
      <c r="B3117" s="185" t="s">
        <v>3829</v>
      </c>
      <c r="C3117" s="185" t="s">
        <v>1785</v>
      </c>
      <c r="D3117" s="185" t="s">
        <v>3830</v>
      </c>
      <c r="E3117" s="185">
        <v>41559506</v>
      </c>
      <c r="F3117" s="185" t="s">
        <v>1710</v>
      </c>
      <c r="G3117" s="185" t="s">
        <v>3826</v>
      </c>
      <c r="H3117" s="185" t="s">
        <v>1515</v>
      </c>
      <c r="I3117" s="258" t="str">
        <f t="shared" si="145"/>
        <v>4</v>
      </c>
      <c r="J3117" s="221">
        <f t="shared" si="146"/>
        <v>70104960</v>
      </c>
      <c r="K3117" s="258">
        <f t="shared" si="147"/>
        <v>12</v>
      </c>
      <c r="L3117" s="188">
        <v>70104960</v>
      </c>
      <c r="M3117" s="188">
        <v>0</v>
      </c>
      <c r="N3117" s="189">
        <v>374795</v>
      </c>
      <c r="O3117"/>
      <c r="P3117" s="187">
        <v>45275.295532407399</v>
      </c>
      <c r="Q3117" s="186">
        <v>14762</v>
      </c>
      <c r="R3117" s="185"/>
      <c r="S3117" s="185" t="s">
        <v>1544</v>
      </c>
      <c r="T3117"/>
      <c r="U3117" t="str">
        <f>IF($L3117&gt;0,VLOOKUP($E3117,Valida!$A$1:$G$270,6,FALSE),IF($M3117&gt;=0,VLOOKUP($E3117,Valida!$A$1:$G$270,7,FALSE)))</f>
        <v>(+/-) Ganancia (pérdida)</v>
      </c>
      <c r="V3117" s="190" t="str">
        <f>VLOOKUP(E3117,Valida!$A$2:$K$271,4,FALSE)</f>
        <v>P&amp;L</v>
      </c>
      <c r="W3117" s="185" t="s">
        <v>1803</v>
      </c>
      <c r="X3117" s="185"/>
      <c r="Y3117" s="185"/>
      <c r="Z3117"/>
    </row>
    <row r="3118" spans="1:26">
      <c r="A3118" s="185" t="s">
        <v>3828</v>
      </c>
      <c r="B3118" s="185" t="s">
        <v>3829</v>
      </c>
      <c r="C3118" s="185" t="s">
        <v>1785</v>
      </c>
      <c r="D3118" s="185" t="s">
        <v>3830</v>
      </c>
      <c r="E3118" s="185">
        <v>134525</v>
      </c>
      <c r="F3118" s="185" t="s">
        <v>132</v>
      </c>
      <c r="G3118" s="185" t="s">
        <v>3826</v>
      </c>
      <c r="H3118" s="185" t="s">
        <v>1628</v>
      </c>
      <c r="I3118" s="258" t="str">
        <f t="shared" si="145"/>
        <v>1</v>
      </c>
      <c r="J3118" s="221">
        <f t="shared" si="146"/>
        <v>-70104960</v>
      </c>
      <c r="K3118" s="258">
        <f t="shared" si="147"/>
        <v>12</v>
      </c>
      <c r="L3118" s="188">
        <v>0</v>
      </c>
      <c r="M3118" s="188">
        <v>70104960</v>
      </c>
      <c r="N3118" s="189">
        <v>374795</v>
      </c>
      <c r="O3118"/>
      <c r="P3118" s="187">
        <v>45275.295532407399</v>
      </c>
      <c r="Q3118" s="186">
        <v>14763</v>
      </c>
      <c r="R3118" s="185"/>
      <c r="S3118" s="185" t="s">
        <v>1544</v>
      </c>
      <c r="T3118"/>
      <c r="U3118" t="str">
        <f>IF($L3118&gt;0,VLOOKUP($E3118,Valida!$A$1:$G$270,6,FALSE),IF($M3118&gt;=0,VLOOKUP($E3118,Valida!$A$1:$G$270,7,FALSE)))</f>
        <v>(+/-) Ajustes por disminuciones (incrementos) en otras cuentas por cobrar derivadas de las actividades de operación</v>
      </c>
      <c r="V3118" s="190" t="str">
        <f>VLOOKUP(E3118,Valida!$A$2:$K$271,4,FALSE)</f>
        <v>Trade and other receivables</v>
      </c>
      <c r="W3118" s="185" t="s">
        <v>1803</v>
      </c>
      <c r="X3118" s="185"/>
      <c r="Y3118" s="185"/>
      <c r="Z3118"/>
    </row>
    <row r="3119" spans="1:26">
      <c r="A3119" s="185" t="s">
        <v>3565</v>
      </c>
      <c r="B3119" s="185" t="s">
        <v>3831</v>
      </c>
      <c r="C3119" s="185" t="s">
        <v>1890</v>
      </c>
      <c r="D3119" s="185" t="s">
        <v>3832</v>
      </c>
      <c r="E3119" s="185">
        <v>13300502</v>
      </c>
      <c r="F3119" s="185" t="s">
        <v>129</v>
      </c>
      <c r="G3119" s="185" t="s">
        <v>3833</v>
      </c>
      <c r="H3119" s="185" t="s">
        <v>1515</v>
      </c>
      <c r="I3119" s="258" t="str">
        <f t="shared" si="145"/>
        <v>1</v>
      </c>
      <c r="J3119" s="221">
        <f t="shared" si="146"/>
        <v>4949546</v>
      </c>
      <c r="K3119" s="258">
        <f t="shared" si="147"/>
        <v>10</v>
      </c>
      <c r="L3119" s="188">
        <v>4949546</v>
      </c>
      <c r="M3119" s="188">
        <v>0</v>
      </c>
      <c r="N3119" s="189">
        <v>830062853</v>
      </c>
      <c r="O3119"/>
      <c r="P3119" s="187">
        <v>45229.360914351899</v>
      </c>
      <c r="Q3119" s="186">
        <v>14340</v>
      </c>
      <c r="R3119" s="185" t="s">
        <v>433</v>
      </c>
      <c r="S3119" s="185" t="s">
        <v>1564</v>
      </c>
      <c r="T3119"/>
      <c r="U3119" t="str">
        <f>IF($L3119&gt;0,VLOOKUP($E3119,Valida!$A$1:$G$270,6,FALSE),IF($M3119&gt;=0,VLOOKUP($E3119,Valida!$A$1:$G$270,7,FALSE)))</f>
        <v>(+/-) Ajustes por disminuciones (incrementos) en otras cuentas por cobrar derivadas de las actividades de operación</v>
      </c>
      <c r="V3119" s="190" t="str">
        <f>VLOOKUP(E3119,Valida!$A$2:$K$271,4,FALSE)</f>
        <v>Trade and other receivables</v>
      </c>
      <c r="W3119" s="185" t="s">
        <v>2024</v>
      </c>
      <c r="X3119" s="185" t="s">
        <v>2025</v>
      </c>
      <c r="Y3119" s="185" t="s">
        <v>1789</v>
      </c>
      <c r="Z3119"/>
    </row>
    <row r="3120" spans="1:26">
      <c r="A3120" s="185" t="s">
        <v>3565</v>
      </c>
      <c r="B3120" s="185" t="s">
        <v>3831</v>
      </c>
      <c r="C3120" s="185" t="s">
        <v>1890</v>
      </c>
      <c r="D3120" s="185" t="s">
        <v>3832</v>
      </c>
      <c r="E3120" s="185">
        <v>112005</v>
      </c>
      <c r="F3120" s="185" t="s">
        <v>24</v>
      </c>
      <c r="G3120" s="185" t="s">
        <v>3833</v>
      </c>
      <c r="H3120" s="185" t="s">
        <v>1628</v>
      </c>
      <c r="I3120" s="258" t="str">
        <f t="shared" si="145"/>
        <v>1</v>
      </c>
      <c r="J3120" s="221">
        <f t="shared" si="146"/>
        <v>-4949546</v>
      </c>
      <c r="K3120" s="258">
        <f t="shared" si="147"/>
        <v>10</v>
      </c>
      <c r="L3120" s="188">
        <v>0</v>
      </c>
      <c r="M3120" s="188">
        <v>4949546</v>
      </c>
      <c r="N3120" s="189">
        <v>830062853</v>
      </c>
      <c r="O3120"/>
      <c r="P3120" s="187">
        <v>45229.360914351899</v>
      </c>
      <c r="Q3120" s="186">
        <v>14341</v>
      </c>
      <c r="R3120" s="185" t="s">
        <v>433</v>
      </c>
      <c r="S3120" s="185" t="s">
        <v>1564</v>
      </c>
      <c r="T3120" t="s">
        <v>1894</v>
      </c>
      <c r="U3120" t="str">
        <f>IF($L3120&gt;0,VLOOKUP($E3120,Valida!$A$1:$G$270,6,FALSE),IF($M3120&gt;=0,VLOOKUP($E3120,Valida!$A$1:$G$270,7,FALSE)))</f>
        <v>Disponible</v>
      </c>
      <c r="V3120" s="190" t="str">
        <f>VLOOKUP(E3120,Valida!$A$2:$K$271,4,FALSE)</f>
        <v>Cash and equivalents</v>
      </c>
      <c r="W3120" s="185" t="s">
        <v>2024</v>
      </c>
      <c r="X3120" s="185" t="s">
        <v>2025</v>
      </c>
      <c r="Y3120" s="185" t="s">
        <v>1789</v>
      </c>
      <c r="Z3120"/>
    </row>
    <row r="3121" spans="1:26">
      <c r="A3121" s="185" t="s">
        <v>3565</v>
      </c>
      <c r="B3121" s="185" t="s">
        <v>3834</v>
      </c>
      <c r="C3121" s="185" t="s">
        <v>1890</v>
      </c>
      <c r="D3121" s="185" t="s">
        <v>3835</v>
      </c>
      <c r="E3121" s="185">
        <v>23355007</v>
      </c>
      <c r="F3121" s="185" t="s">
        <v>1638</v>
      </c>
      <c r="G3121" s="185" t="s">
        <v>1921</v>
      </c>
      <c r="H3121" s="185" t="s">
        <v>1515</v>
      </c>
      <c r="I3121" s="258" t="str">
        <f t="shared" si="145"/>
        <v>2</v>
      </c>
      <c r="J3121" s="221">
        <f t="shared" si="146"/>
        <v>151927.32</v>
      </c>
      <c r="K3121" s="258">
        <f t="shared" si="147"/>
        <v>10</v>
      </c>
      <c r="L3121" s="188">
        <v>151927.32</v>
      </c>
      <c r="M3121" s="188">
        <v>0</v>
      </c>
      <c r="N3121" s="189">
        <v>444444001</v>
      </c>
      <c r="O3121"/>
      <c r="P3121" s="187">
        <v>45229.3612615741</v>
      </c>
      <c r="Q3121" s="186">
        <v>14342</v>
      </c>
      <c r="R3121" s="185"/>
      <c r="S3121" s="185" t="s">
        <v>1548</v>
      </c>
      <c r="T3121"/>
      <c r="U3121" t="str">
        <f>IF($L3121&gt;0,VLOOKUP($E3121,Valida!$A$1:$G$270,6,FALSE),IF($M3121&gt;=0,VLOOKUP($E3121,Valida!$A$1:$G$270,7,FALSE)))</f>
        <v>(+/-) Ajustes por el incremento (disminución) de cuentas por pagar de origen comercial</v>
      </c>
      <c r="V3121" s="190" t="str">
        <f>VLOOKUP(E3121,Valida!$A$2:$K$271,4,FALSE)</f>
        <v>Trade and other payables</v>
      </c>
      <c r="W3121" s="185"/>
      <c r="X3121" s="185"/>
      <c r="Y3121" s="185"/>
      <c r="Z3121"/>
    </row>
    <row r="3122" spans="1:26">
      <c r="A3122" s="185" t="s">
        <v>3565</v>
      </c>
      <c r="B3122" s="185" t="s">
        <v>3834</v>
      </c>
      <c r="C3122" s="185" t="s">
        <v>1890</v>
      </c>
      <c r="D3122" s="185" t="s">
        <v>3835</v>
      </c>
      <c r="E3122" s="185">
        <v>112005</v>
      </c>
      <c r="F3122" s="185" t="s">
        <v>24</v>
      </c>
      <c r="G3122" s="185" t="s">
        <v>1921</v>
      </c>
      <c r="H3122" s="185" t="s">
        <v>1628</v>
      </c>
      <c r="I3122" s="258" t="str">
        <f t="shared" si="145"/>
        <v>1</v>
      </c>
      <c r="J3122" s="221">
        <f t="shared" si="146"/>
        <v>-151927.32</v>
      </c>
      <c r="K3122" s="258">
        <f t="shared" si="147"/>
        <v>10</v>
      </c>
      <c r="L3122" s="188">
        <v>0</v>
      </c>
      <c r="M3122" s="188">
        <v>151927.32</v>
      </c>
      <c r="N3122" s="189">
        <v>444444001</v>
      </c>
      <c r="O3122"/>
      <c r="P3122" s="187">
        <v>45229.3612615741</v>
      </c>
      <c r="Q3122" s="186">
        <v>14343</v>
      </c>
      <c r="R3122" s="185"/>
      <c r="S3122" s="185" t="s">
        <v>1548</v>
      </c>
      <c r="T3122" t="s">
        <v>1894</v>
      </c>
      <c r="U3122" t="str">
        <f>IF($L3122&gt;0,VLOOKUP($E3122,Valida!$A$1:$G$270,6,FALSE),IF($M3122&gt;=0,VLOOKUP($E3122,Valida!$A$1:$G$270,7,FALSE)))</f>
        <v>Disponible</v>
      </c>
      <c r="V3122" s="190" t="str">
        <f>VLOOKUP(E3122,Valida!$A$2:$K$271,4,FALSE)</f>
        <v>Cash and equivalents</v>
      </c>
      <c r="W3122" s="185"/>
      <c r="X3122" s="185"/>
      <c r="Y3122" s="185"/>
      <c r="Z3122"/>
    </row>
    <row r="3123" spans="1:26">
      <c r="A3123" s="185" t="s">
        <v>3643</v>
      </c>
      <c r="B3123" s="185" t="s">
        <v>3836</v>
      </c>
      <c r="C3123" s="185" t="s">
        <v>1890</v>
      </c>
      <c r="D3123" s="185" t="s">
        <v>3837</v>
      </c>
      <c r="E3123" s="185">
        <v>23351001</v>
      </c>
      <c r="F3123" s="185" t="s">
        <v>453</v>
      </c>
      <c r="G3123" s="185" t="s">
        <v>1921</v>
      </c>
      <c r="H3123" s="185" t="s">
        <v>1515</v>
      </c>
      <c r="I3123" s="258" t="str">
        <f t="shared" si="145"/>
        <v>2</v>
      </c>
      <c r="J3123" s="221">
        <f t="shared" si="146"/>
        <v>653000</v>
      </c>
      <c r="K3123" s="258">
        <f t="shared" si="147"/>
        <v>10</v>
      </c>
      <c r="L3123" s="188">
        <v>653000</v>
      </c>
      <c r="M3123" s="188">
        <v>0</v>
      </c>
      <c r="N3123" s="189">
        <v>860007322</v>
      </c>
      <c r="O3123"/>
      <c r="P3123" s="187">
        <v>45229.361655092602</v>
      </c>
      <c r="Q3123" s="186">
        <v>14344</v>
      </c>
      <c r="R3123" s="185" t="s">
        <v>1841</v>
      </c>
      <c r="S3123" s="185" t="s">
        <v>1566</v>
      </c>
      <c r="T3123"/>
      <c r="U3123" t="str">
        <f>IF($L3123&gt;0,VLOOKUP($E3123,Valida!$A$1:$G$270,6,FALSE),IF($M3123&gt;=0,VLOOKUP($E3123,Valida!$A$1:$G$270,7,FALSE)))</f>
        <v>(+/-) Ajustes por el incremento (disminución) de cuentas por pagar de origen comercial</v>
      </c>
      <c r="V3123" s="190" t="str">
        <f>VLOOKUP(E3123,Valida!$A$2:$K$271,4,FALSE)</f>
        <v>Trade and other payables</v>
      </c>
      <c r="W3123" s="185" t="s">
        <v>2306</v>
      </c>
      <c r="X3123" s="185"/>
      <c r="Y3123" s="185" t="s">
        <v>1789</v>
      </c>
      <c r="Z3123"/>
    </row>
    <row r="3124" spans="1:26">
      <c r="A3124" s="185" t="s">
        <v>3643</v>
      </c>
      <c r="B3124" s="185" t="s">
        <v>3836</v>
      </c>
      <c r="C3124" s="185" t="s">
        <v>1890</v>
      </c>
      <c r="D3124" s="185" t="s">
        <v>3837</v>
      </c>
      <c r="E3124" s="185">
        <v>112005</v>
      </c>
      <c r="F3124" s="185" t="s">
        <v>24</v>
      </c>
      <c r="G3124" s="185" t="s">
        <v>1921</v>
      </c>
      <c r="H3124" s="185" t="s">
        <v>1628</v>
      </c>
      <c r="I3124" s="258" t="str">
        <f t="shared" si="145"/>
        <v>1</v>
      </c>
      <c r="J3124" s="221">
        <f t="shared" si="146"/>
        <v>-653000</v>
      </c>
      <c r="K3124" s="258">
        <f t="shared" si="147"/>
        <v>10</v>
      </c>
      <c r="L3124" s="188">
        <v>0</v>
      </c>
      <c r="M3124" s="188">
        <v>653000</v>
      </c>
      <c r="N3124" s="189">
        <v>860007322</v>
      </c>
      <c r="O3124"/>
      <c r="P3124" s="187">
        <v>45229.361655092602</v>
      </c>
      <c r="Q3124" s="186">
        <v>14345</v>
      </c>
      <c r="R3124" s="185" t="s">
        <v>1841</v>
      </c>
      <c r="S3124" s="185" t="s">
        <v>1566</v>
      </c>
      <c r="T3124" t="s">
        <v>1894</v>
      </c>
      <c r="U3124" t="str">
        <f>IF($L3124&gt;0,VLOOKUP($E3124,Valida!$A$1:$G$270,6,FALSE),IF($M3124&gt;=0,VLOOKUP($E3124,Valida!$A$1:$G$270,7,FALSE)))</f>
        <v>Disponible</v>
      </c>
      <c r="V3124" s="190" t="str">
        <f>VLOOKUP(E3124,Valida!$A$2:$K$271,4,FALSE)</f>
        <v>Cash and equivalents</v>
      </c>
      <c r="W3124" s="185" t="s">
        <v>2306</v>
      </c>
      <c r="X3124" s="185"/>
      <c r="Y3124" s="185" t="s">
        <v>1789</v>
      </c>
      <c r="Z3124"/>
    </row>
    <row r="3125" spans="1:26">
      <c r="A3125" s="185" t="s">
        <v>3643</v>
      </c>
      <c r="B3125" s="185" t="s">
        <v>3838</v>
      </c>
      <c r="C3125" s="185" t="s">
        <v>1890</v>
      </c>
      <c r="D3125" s="185" t="s">
        <v>3839</v>
      </c>
      <c r="E3125" s="185">
        <v>237095</v>
      </c>
      <c r="F3125" s="185" t="s">
        <v>150</v>
      </c>
      <c r="G3125" s="185" t="s">
        <v>3840</v>
      </c>
      <c r="H3125" s="185" t="s">
        <v>1515</v>
      </c>
      <c r="I3125" s="258" t="str">
        <f t="shared" si="145"/>
        <v>2</v>
      </c>
      <c r="J3125" s="221">
        <f t="shared" si="146"/>
        <v>2006908</v>
      </c>
      <c r="K3125" s="258">
        <f t="shared" si="147"/>
        <v>10</v>
      </c>
      <c r="L3125" s="188">
        <v>2006908</v>
      </c>
      <c r="M3125" s="188">
        <v>0</v>
      </c>
      <c r="N3125" s="189">
        <v>860066942</v>
      </c>
      <c r="O3125"/>
      <c r="P3125" s="187">
        <v>45229.363449074102</v>
      </c>
      <c r="Q3125" s="186">
        <v>14346</v>
      </c>
      <c r="R3125" s="185" t="s">
        <v>1814</v>
      </c>
      <c r="S3125" s="185" t="s">
        <v>1574</v>
      </c>
      <c r="T3125"/>
      <c r="U3125" t="str">
        <f>IF($L3125&gt;0,VLOOKUP($E3125,Valida!$A$1:$G$270,6,FALSE),IF($M3125&gt;=0,VLOOKUP($E3125,Valida!$A$1:$G$270,7,FALSE)))</f>
        <v>(+/-) Ajustes por el incremento (disminución) de cuentas por pagar de origen comercial</v>
      </c>
      <c r="V3125" s="190" t="str">
        <f>VLOOKUP(E3125,Valida!$A$2:$K$271,4,FALSE)</f>
        <v>Trade and other payables</v>
      </c>
      <c r="W3125" s="185" t="s">
        <v>1914</v>
      </c>
      <c r="X3125" s="185" t="s">
        <v>1915</v>
      </c>
      <c r="Y3125" s="185" t="s">
        <v>1789</v>
      </c>
      <c r="Z3125"/>
    </row>
    <row r="3126" spans="1:26">
      <c r="A3126" s="185" t="s">
        <v>3643</v>
      </c>
      <c r="B3126" s="185" t="s">
        <v>3838</v>
      </c>
      <c r="C3126" s="185" t="s">
        <v>1890</v>
      </c>
      <c r="D3126" s="185" t="s">
        <v>3839</v>
      </c>
      <c r="E3126" s="185">
        <v>112005</v>
      </c>
      <c r="F3126" s="185" t="s">
        <v>24</v>
      </c>
      <c r="G3126" s="185" t="s">
        <v>3840</v>
      </c>
      <c r="H3126" s="185" t="s">
        <v>1628</v>
      </c>
      <c r="I3126" s="258" t="str">
        <f t="shared" si="145"/>
        <v>1</v>
      </c>
      <c r="J3126" s="221">
        <f t="shared" si="146"/>
        <v>-2007400</v>
      </c>
      <c r="K3126" s="258">
        <f t="shared" si="147"/>
        <v>10</v>
      </c>
      <c r="L3126" s="188">
        <v>0</v>
      </c>
      <c r="M3126" s="188">
        <v>2007400</v>
      </c>
      <c r="N3126" s="189">
        <v>860066942</v>
      </c>
      <c r="O3126"/>
      <c r="P3126" s="187">
        <v>45229.363449074102</v>
      </c>
      <c r="Q3126" s="186">
        <v>14347</v>
      </c>
      <c r="R3126" s="185" t="s">
        <v>1814</v>
      </c>
      <c r="S3126" s="185" t="s">
        <v>1574</v>
      </c>
      <c r="T3126" t="s">
        <v>1894</v>
      </c>
      <c r="U3126" t="str">
        <f>IF($L3126&gt;0,VLOOKUP($E3126,Valida!$A$1:$G$270,6,FALSE),IF($M3126&gt;=0,VLOOKUP($E3126,Valida!$A$1:$G$270,7,FALSE)))</f>
        <v>Disponible</v>
      </c>
      <c r="V3126" s="190" t="str">
        <f>VLOOKUP(E3126,Valida!$A$2:$K$271,4,FALSE)</f>
        <v>Cash and equivalents</v>
      </c>
      <c r="W3126" s="185" t="s">
        <v>1914</v>
      </c>
      <c r="X3126" s="185" t="s">
        <v>1915</v>
      </c>
      <c r="Y3126" s="185" t="s">
        <v>1789</v>
      </c>
      <c r="Z3126"/>
    </row>
    <row r="3127" spans="1:26">
      <c r="A3127" s="185" t="s">
        <v>3643</v>
      </c>
      <c r="B3127" s="185" t="s">
        <v>3838</v>
      </c>
      <c r="C3127" s="185" t="s">
        <v>1890</v>
      </c>
      <c r="D3127" s="185" t="s">
        <v>3839</v>
      </c>
      <c r="E3127" s="185">
        <v>53059510</v>
      </c>
      <c r="F3127" s="185" t="s">
        <v>1065</v>
      </c>
      <c r="G3127" s="185" t="s">
        <v>3840</v>
      </c>
      <c r="H3127" s="185" t="s">
        <v>1515</v>
      </c>
      <c r="I3127" s="258" t="str">
        <f t="shared" si="145"/>
        <v>5</v>
      </c>
      <c r="J3127" s="221">
        <f t="shared" si="146"/>
        <v>492</v>
      </c>
      <c r="K3127" s="258">
        <f t="shared" si="147"/>
        <v>10</v>
      </c>
      <c r="L3127" s="188">
        <v>492</v>
      </c>
      <c r="M3127" s="188">
        <v>0</v>
      </c>
      <c r="N3127" s="189">
        <v>860066942</v>
      </c>
      <c r="O3127"/>
      <c r="P3127" s="187">
        <v>45229.363449074102</v>
      </c>
      <c r="Q3127" s="186">
        <v>14348</v>
      </c>
      <c r="R3127" s="185" t="s">
        <v>1814</v>
      </c>
      <c r="S3127" s="185" t="s">
        <v>1574</v>
      </c>
      <c r="T3127"/>
      <c r="U3127" t="str">
        <f>IF($L3127&gt;0,VLOOKUP($E3127,Valida!$A$1:$G$270,6,FALSE),IF($M3127&gt;=0,VLOOKUP($E3127,Valida!$A$1:$G$270,7,FALSE)))</f>
        <v>(+/-) Ganancia (pérdida)</v>
      </c>
      <c r="V3127" s="190" t="str">
        <f>VLOOKUP(E3127,Valida!$A$2:$K$271,4,FALSE)</f>
        <v>P&amp;L</v>
      </c>
      <c r="W3127" s="185" t="s">
        <v>1914</v>
      </c>
      <c r="X3127" s="185" t="s">
        <v>1915</v>
      </c>
      <c r="Y3127" s="185" t="s">
        <v>1789</v>
      </c>
      <c r="Z3127"/>
    </row>
    <row r="3128" spans="1:26">
      <c r="A3128" s="185" t="s">
        <v>3643</v>
      </c>
      <c r="B3128" s="185" t="s">
        <v>3841</v>
      </c>
      <c r="C3128" s="185" t="s">
        <v>1890</v>
      </c>
      <c r="D3128" s="185" t="s">
        <v>3842</v>
      </c>
      <c r="E3128" s="185">
        <v>23359505</v>
      </c>
      <c r="F3128" s="185" t="s">
        <v>557</v>
      </c>
      <c r="G3128" s="185" t="s">
        <v>2061</v>
      </c>
      <c r="H3128" s="185" t="s">
        <v>1515</v>
      </c>
      <c r="I3128" s="258" t="str">
        <f t="shared" si="145"/>
        <v>2</v>
      </c>
      <c r="J3128" s="221">
        <f t="shared" si="146"/>
        <v>429100</v>
      </c>
      <c r="K3128" s="258">
        <f t="shared" si="147"/>
        <v>10</v>
      </c>
      <c r="L3128" s="188">
        <v>429100</v>
      </c>
      <c r="M3128" s="188">
        <v>0</v>
      </c>
      <c r="N3128" s="189">
        <v>901051438</v>
      </c>
      <c r="O3128"/>
      <c r="P3128" s="187">
        <v>45229.369942129597</v>
      </c>
      <c r="Q3128" s="186">
        <v>14349</v>
      </c>
      <c r="R3128" s="185" t="s">
        <v>1841</v>
      </c>
      <c r="S3128" s="185" t="s">
        <v>1608</v>
      </c>
      <c r="T3128"/>
      <c r="U3128" t="str">
        <f>IF($L3128&gt;0,VLOOKUP($E3128,Valida!$A$1:$G$270,6,FALSE),IF($M3128&gt;=0,VLOOKUP($E3128,Valida!$A$1:$G$270,7,FALSE)))</f>
        <v>(+/-) Ajustes por el incremento (disminución) de cuentas por pagar de origen comercial</v>
      </c>
      <c r="V3128" s="190" t="str">
        <f>VLOOKUP(E3128,Valida!$A$2:$K$271,4,FALSE)</f>
        <v>Trade and other payables</v>
      </c>
      <c r="W3128" s="185" t="s">
        <v>1878</v>
      </c>
      <c r="X3128" s="185" t="s">
        <v>1879</v>
      </c>
      <c r="Y3128" s="185" t="s">
        <v>1789</v>
      </c>
      <c r="Z3128"/>
    </row>
    <row r="3129" spans="1:26">
      <c r="A3129" s="185" t="s">
        <v>3643</v>
      </c>
      <c r="B3129" s="185" t="s">
        <v>3841</v>
      </c>
      <c r="C3129" s="185" t="s">
        <v>1890</v>
      </c>
      <c r="D3129" s="185" t="s">
        <v>3842</v>
      </c>
      <c r="E3129" s="185">
        <v>112005</v>
      </c>
      <c r="F3129" s="185" t="s">
        <v>24</v>
      </c>
      <c r="G3129" s="185" t="s">
        <v>2061</v>
      </c>
      <c r="H3129" s="185" t="s">
        <v>1628</v>
      </c>
      <c r="I3129" s="258" t="str">
        <f t="shared" si="145"/>
        <v>1</v>
      </c>
      <c r="J3129" s="221">
        <f t="shared" si="146"/>
        <v>-429100</v>
      </c>
      <c r="K3129" s="258">
        <f t="shared" si="147"/>
        <v>10</v>
      </c>
      <c r="L3129" s="188">
        <v>0</v>
      </c>
      <c r="M3129" s="188">
        <v>429100</v>
      </c>
      <c r="N3129" s="189">
        <v>901051438</v>
      </c>
      <c r="O3129"/>
      <c r="P3129" s="187">
        <v>45229.369942129597</v>
      </c>
      <c r="Q3129" s="186">
        <v>14350</v>
      </c>
      <c r="R3129" s="185" t="s">
        <v>1841</v>
      </c>
      <c r="S3129" s="185" t="s">
        <v>1608</v>
      </c>
      <c r="T3129" t="s">
        <v>1894</v>
      </c>
      <c r="U3129" t="str">
        <f>IF($L3129&gt;0,VLOOKUP($E3129,Valida!$A$1:$G$270,6,FALSE),IF($M3129&gt;=0,VLOOKUP($E3129,Valida!$A$1:$G$270,7,FALSE)))</f>
        <v>Disponible</v>
      </c>
      <c r="V3129" s="190" t="str">
        <f>VLOOKUP(E3129,Valida!$A$2:$K$271,4,FALSE)</f>
        <v>Cash and equivalents</v>
      </c>
      <c r="W3129" s="185" t="s">
        <v>1878</v>
      </c>
      <c r="X3129" s="185" t="s">
        <v>1879</v>
      </c>
      <c r="Y3129" s="185" t="s">
        <v>1789</v>
      </c>
      <c r="Z3129"/>
    </row>
    <row r="3130" spans="1:26">
      <c r="A3130" s="185" t="s">
        <v>3643</v>
      </c>
      <c r="B3130" s="185" t="s">
        <v>3843</v>
      </c>
      <c r="C3130" s="185" t="s">
        <v>1890</v>
      </c>
      <c r="D3130" s="185" t="s">
        <v>3844</v>
      </c>
      <c r="E3130" s="185">
        <v>133015</v>
      </c>
      <c r="F3130" s="185" t="s">
        <v>138</v>
      </c>
      <c r="G3130" s="185" t="s">
        <v>3845</v>
      </c>
      <c r="H3130" s="185" t="s">
        <v>1515</v>
      </c>
      <c r="I3130" s="258" t="str">
        <f t="shared" si="145"/>
        <v>1</v>
      </c>
      <c r="J3130" s="221">
        <f t="shared" si="146"/>
        <v>200000</v>
      </c>
      <c r="K3130" s="258">
        <f t="shared" si="147"/>
        <v>10</v>
      </c>
      <c r="L3130" s="188">
        <v>200000</v>
      </c>
      <c r="M3130" s="188">
        <v>0</v>
      </c>
      <c r="N3130" s="189">
        <v>1000036375</v>
      </c>
      <c r="O3130"/>
      <c r="P3130" s="187">
        <v>45229.370694444398</v>
      </c>
      <c r="Q3130" s="186">
        <v>14351</v>
      </c>
      <c r="R3130" s="185"/>
      <c r="S3130" s="185" t="s">
        <v>1524</v>
      </c>
      <c r="T3130"/>
      <c r="U3130" t="str">
        <f>IF($L3130&gt;0,VLOOKUP($E3130,Valida!$A$1:$G$270,6,FALSE),IF($M3130&gt;=0,VLOOKUP($E3130,Valida!$A$1:$G$270,7,FALSE)))</f>
        <v>(+/-) Ajustes por disminuciones (incrementos) en otras cuentas por cobrar derivadas de las actividades de operación</v>
      </c>
      <c r="V3130" s="190" t="str">
        <f>VLOOKUP(E3130,Valida!$A$2:$K$271,4,FALSE)</f>
        <v>Trade and other receivables</v>
      </c>
      <c r="W3130" s="185" t="s">
        <v>1983</v>
      </c>
      <c r="X3130" s="185"/>
      <c r="Y3130" s="185" t="s">
        <v>1789</v>
      </c>
      <c r="Z3130"/>
    </row>
    <row r="3131" spans="1:26">
      <c r="A3131" s="185" t="s">
        <v>3643</v>
      </c>
      <c r="B3131" s="185" t="s">
        <v>3843</v>
      </c>
      <c r="C3131" s="185" t="s">
        <v>1890</v>
      </c>
      <c r="D3131" s="185" t="s">
        <v>3844</v>
      </c>
      <c r="E3131" s="185">
        <v>112005</v>
      </c>
      <c r="F3131" s="185" t="s">
        <v>24</v>
      </c>
      <c r="G3131" s="185" t="s">
        <v>3845</v>
      </c>
      <c r="H3131" s="185" t="s">
        <v>1628</v>
      </c>
      <c r="I3131" s="258" t="str">
        <f t="shared" si="145"/>
        <v>1</v>
      </c>
      <c r="J3131" s="221">
        <f t="shared" si="146"/>
        <v>-200000</v>
      </c>
      <c r="K3131" s="258">
        <f t="shared" si="147"/>
        <v>10</v>
      </c>
      <c r="L3131" s="188">
        <v>0</v>
      </c>
      <c r="M3131" s="188">
        <v>200000</v>
      </c>
      <c r="N3131" s="189">
        <v>1000036375</v>
      </c>
      <c r="O3131"/>
      <c r="P3131" s="187">
        <v>45229.370694444398</v>
      </c>
      <c r="Q3131" s="186">
        <v>14352</v>
      </c>
      <c r="R3131" s="185"/>
      <c r="S3131" s="185" t="s">
        <v>1524</v>
      </c>
      <c r="T3131" t="s">
        <v>1894</v>
      </c>
      <c r="U3131" t="str">
        <f>IF($L3131&gt;0,VLOOKUP($E3131,Valida!$A$1:$G$270,6,FALSE),IF($M3131&gt;=0,VLOOKUP($E3131,Valida!$A$1:$G$270,7,FALSE)))</f>
        <v>Disponible</v>
      </c>
      <c r="V3131" s="190" t="str">
        <f>VLOOKUP(E3131,Valida!$A$2:$K$271,4,FALSE)</f>
        <v>Cash and equivalents</v>
      </c>
      <c r="W3131" s="185" t="s">
        <v>1983</v>
      </c>
      <c r="X3131" s="185"/>
      <c r="Y3131" s="185" t="s">
        <v>1789</v>
      </c>
      <c r="Z3131"/>
    </row>
    <row r="3132" spans="1:26">
      <c r="A3132" s="185" t="s">
        <v>3643</v>
      </c>
      <c r="B3132" s="185" t="s">
        <v>3846</v>
      </c>
      <c r="C3132" s="185" t="s">
        <v>1890</v>
      </c>
      <c r="D3132" s="185" t="s">
        <v>3847</v>
      </c>
      <c r="E3132" s="185">
        <v>133015</v>
      </c>
      <c r="F3132" s="185" t="s">
        <v>138</v>
      </c>
      <c r="G3132" s="185" t="s">
        <v>3845</v>
      </c>
      <c r="H3132" s="185" t="s">
        <v>1515</v>
      </c>
      <c r="I3132" s="258" t="str">
        <f t="shared" si="145"/>
        <v>1</v>
      </c>
      <c r="J3132" s="221">
        <f t="shared" si="146"/>
        <v>200000</v>
      </c>
      <c r="K3132" s="258">
        <f t="shared" si="147"/>
        <v>10</v>
      </c>
      <c r="L3132" s="188">
        <v>200000</v>
      </c>
      <c r="M3132" s="188">
        <v>0</v>
      </c>
      <c r="N3132" s="189">
        <v>1000018061</v>
      </c>
      <c r="O3132"/>
      <c r="P3132" s="187">
        <v>45229.371099536998</v>
      </c>
      <c r="Q3132" s="186">
        <v>14353</v>
      </c>
      <c r="R3132" s="185"/>
      <c r="S3132" s="185" t="s">
        <v>1522</v>
      </c>
      <c r="T3132"/>
      <c r="U3132" t="str">
        <f>IF($L3132&gt;0,VLOOKUP($E3132,Valida!$A$1:$G$270,6,FALSE),IF($M3132&gt;=0,VLOOKUP($E3132,Valida!$A$1:$G$270,7,FALSE)))</f>
        <v>(+/-) Ajustes por disminuciones (incrementos) en otras cuentas por cobrar derivadas de las actividades de operación</v>
      </c>
      <c r="V3132" s="190" t="str">
        <f>VLOOKUP(E3132,Valida!$A$2:$K$271,4,FALSE)</f>
        <v>Trade and other receivables</v>
      </c>
      <c r="W3132" s="185" t="s">
        <v>1978</v>
      </c>
      <c r="X3132" s="185"/>
      <c r="Y3132" s="185" t="s">
        <v>1789</v>
      </c>
      <c r="Z3132"/>
    </row>
    <row r="3133" spans="1:26">
      <c r="A3133" s="185" t="s">
        <v>3643</v>
      </c>
      <c r="B3133" s="185" t="s">
        <v>3846</v>
      </c>
      <c r="C3133" s="185" t="s">
        <v>1890</v>
      </c>
      <c r="D3133" s="185" t="s">
        <v>3847</v>
      </c>
      <c r="E3133" s="185">
        <v>112005</v>
      </c>
      <c r="F3133" s="185" t="s">
        <v>24</v>
      </c>
      <c r="G3133" s="185" t="s">
        <v>3845</v>
      </c>
      <c r="H3133" s="185" t="s">
        <v>1628</v>
      </c>
      <c r="I3133" s="258" t="str">
        <f t="shared" si="145"/>
        <v>1</v>
      </c>
      <c r="J3133" s="221">
        <f t="shared" si="146"/>
        <v>-200000</v>
      </c>
      <c r="K3133" s="258">
        <f t="shared" si="147"/>
        <v>10</v>
      </c>
      <c r="L3133" s="188">
        <v>0</v>
      </c>
      <c r="M3133" s="188">
        <v>200000</v>
      </c>
      <c r="N3133" s="189">
        <v>1000018061</v>
      </c>
      <c r="O3133"/>
      <c r="P3133" s="187">
        <v>45229.371099536998</v>
      </c>
      <c r="Q3133" s="186">
        <v>14354</v>
      </c>
      <c r="R3133" s="185"/>
      <c r="S3133" s="185" t="s">
        <v>1522</v>
      </c>
      <c r="T3133" t="s">
        <v>1894</v>
      </c>
      <c r="U3133" t="str">
        <f>IF($L3133&gt;0,VLOOKUP($E3133,Valida!$A$1:$G$270,6,FALSE),IF($M3133&gt;=0,VLOOKUP($E3133,Valida!$A$1:$G$270,7,FALSE)))</f>
        <v>Disponible</v>
      </c>
      <c r="V3133" s="190" t="str">
        <f>VLOOKUP(E3133,Valida!$A$2:$K$271,4,FALSE)</f>
        <v>Cash and equivalents</v>
      </c>
      <c r="W3133" s="185" t="s">
        <v>1978</v>
      </c>
      <c r="X3133" s="185"/>
      <c r="Y3133" s="185" t="s">
        <v>1789</v>
      </c>
      <c r="Z3133"/>
    </row>
    <row r="3134" spans="1:26">
      <c r="A3134" s="185" t="s">
        <v>3643</v>
      </c>
      <c r="B3134" s="185" t="s">
        <v>3848</v>
      </c>
      <c r="C3134" s="185" t="s">
        <v>1890</v>
      </c>
      <c r="D3134" s="185" t="s">
        <v>3849</v>
      </c>
      <c r="E3134" s="185">
        <v>133015</v>
      </c>
      <c r="F3134" s="185" t="s">
        <v>138</v>
      </c>
      <c r="G3134" s="185" t="s">
        <v>3845</v>
      </c>
      <c r="H3134" s="185" t="s">
        <v>1515</v>
      </c>
      <c r="I3134" s="258" t="str">
        <f t="shared" si="145"/>
        <v>1</v>
      </c>
      <c r="J3134" s="221">
        <f t="shared" si="146"/>
        <v>200000</v>
      </c>
      <c r="K3134" s="258">
        <f t="shared" si="147"/>
        <v>10</v>
      </c>
      <c r="L3134" s="188">
        <v>200000</v>
      </c>
      <c r="M3134" s="188">
        <v>0</v>
      </c>
      <c r="N3134" s="189">
        <v>1010101811</v>
      </c>
      <c r="O3134"/>
      <c r="P3134" s="187">
        <v>45229.375034722201</v>
      </c>
      <c r="Q3134" s="186">
        <v>14355</v>
      </c>
      <c r="R3134" s="185"/>
      <c r="S3134" s="185" t="s">
        <v>1528</v>
      </c>
      <c r="T3134"/>
      <c r="U3134" t="str">
        <f>IF($L3134&gt;0,VLOOKUP($E3134,Valida!$A$1:$G$270,6,FALSE),IF($M3134&gt;=0,VLOOKUP($E3134,Valida!$A$1:$G$270,7,FALSE)))</f>
        <v>(+/-) Ajustes por disminuciones (incrementos) en otras cuentas por cobrar derivadas de las actividades de operación</v>
      </c>
      <c r="V3134" s="190" t="str">
        <f>VLOOKUP(E3134,Valida!$A$2:$K$271,4,FALSE)</f>
        <v>Trade and other receivables</v>
      </c>
      <c r="W3134" s="185" t="s">
        <v>1967</v>
      </c>
      <c r="X3134" s="185"/>
      <c r="Y3134" s="185" t="s">
        <v>1789</v>
      </c>
      <c r="Z3134"/>
    </row>
    <row r="3135" spans="1:26">
      <c r="A3135" s="185" t="s">
        <v>3643</v>
      </c>
      <c r="B3135" s="185" t="s">
        <v>3848</v>
      </c>
      <c r="C3135" s="185" t="s">
        <v>1890</v>
      </c>
      <c r="D3135" s="185" t="s">
        <v>3849</v>
      </c>
      <c r="E3135" s="185">
        <v>112005</v>
      </c>
      <c r="F3135" s="185" t="s">
        <v>24</v>
      </c>
      <c r="G3135" s="185" t="s">
        <v>3845</v>
      </c>
      <c r="H3135" s="185" t="s">
        <v>1628</v>
      </c>
      <c r="I3135" s="258" t="str">
        <f t="shared" si="145"/>
        <v>1</v>
      </c>
      <c r="J3135" s="221">
        <f t="shared" si="146"/>
        <v>-200000</v>
      </c>
      <c r="K3135" s="258">
        <f t="shared" si="147"/>
        <v>10</v>
      </c>
      <c r="L3135" s="188">
        <v>0</v>
      </c>
      <c r="M3135" s="188">
        <v>200000</v>
      </c>
      <c r="N3135" s="189">
        <v>1010101811</v>
      </c>
      <c r="O3135"/>
      <c r="P3135" s="187">
        <v>45229.375034722201</v>
      </c>
      <c r="Q3135" s="186">
        <v>14356</v>
      </c>
      <c r="R3135" s="185"/>
      <c r="S3135" s="185" t="s">
        <v>1528</v>
      </c>
      <c r="T3135" t="s">
        <v>1894</v>
      </c>
      <c r="U3135" t="str">
        <f>IF($L3135&gt;0,VLOOKUP($E3135,Valida!$A$1:$G$270,6,FALSE),IF($M3135&gt;=0,VLOOKUP($E3135,Valida!$A$1:$G$270,7,FALSE)))</f>
        <v>Disponible</v>
      </c>
      <c r="V3135" s="190" t="str">
        <f>VLOOKUP(E3135,Valida!$A$2:$K$271,4,FALSE)</f>
        <v>Cash and equivalents</v>
      </c>
      <c r="W3135" s="185" t="s">
        <v>1967</v>
      </c>
      <c r="X3135" s="185"/>
      <c r="Y3135" s="185" t="s">
        <v>1789</v>
      </c>
      <c r="Z3135"/>
    </row>
    <row r="3136" spans="1:26">
      <c r="A3136" s="185" t="s">
        <v>3643</v>
      </c>
      <c r="B3136" s="185" t="s">
        <v>3850</v>
      </c>
      <c r="C3136" s="185" t="s">
        <v>1890</v>
      </c>
      <c r="D3136" s="185" t="s">
        <v>3851</v>
      </c>
      <c r="E3136" s="185">
        <v>133015</v>
      </c>
      <c r="F3136" s="185" t="s">
        <v>138</v>
      </c>
      <c r="G3136" s="185" t="s">
        <v>3845</v>
      </c>
      <c r="H3136" s="185" t="s">
        <v>1515</v>
      </c>
      <c r="I3136" s="258" t="str">
        <f t="shared" si="145"/>
        <v>1</v>
      </c>
      <c r="J3136" s="221">
        <f t="shared" si="146"/>
        <v>200000</v>
      </c>
      <c r="K3136" s="258">
        <f t="shared" si="147"/>
        <v>10</v>
      </c>
      <c r="L3136" s="188">
        <v>200000</v>
      </c>
      <c r="M3136" s="188">
        <v>0</v>
      </c>
      <c r="N3136" s="189">
        <v>1130744136</v>
      </c>
      <c r="O3136"/>
      <c r="P3136" s="187">
        <v>45229.375370370399</v>
      </c>
      <c r="Q3136" s="186">
        <v>14357</v>
      </c>
      <c r="R3136" s="185"/>
      <c r="S3136" s="185" t="s">
        <v>1538</v>
      </c>
      <c r="T3136"/>
      <c r="U3136" t="str">
        <f>IF($L3136&gt;0,VLOOKUP($E3136,Valida!$A$1:$G$270,6,FALSE),IF($M3136&gt;=0,VLOOKUP($E3136,Valida!$A$1:$G$270,7,FALSE)))</f>
        <v>(+/-) Ajustes por disminuciones (incrementos) en otras cuentas por cobrar derivadas de las actividades de operación</v>
      </c>
      <c r="V3136" s="190" t="str">
        <f>VLOOKUP(E3136,Valida!$A$2:$K$271,4,FALSE)</f>
        <v>Trade and other receivables</v>
      </c>
      <c r="W3136" s="185" t="s">
        <v>1909</v>
      </c>
      <c r="X3136" s="185" t="s">
        <v>1910</v>
      </c>
      <c r="Y3136" s="185" t="s">
        <v>1789</v>
      </c>
      <c r="Z3136"/>
    </row>
    <row r="3137" spans="1:26">
      <c r="A3137" s="185" t="s">
        <v>3643</v>
      </c>
      <c r="B3137" s="185" t="s">
        <v>3850</v>
      </c>
      <c r="C3137" s="185" t="s">
        <v>1890</v>
      </c>
      <c r="D3137" s="185" t="s">
        <v>3851</v>
      </c>
      <c r="E3137" s="185">
        <v>112005</v>
      </c>
      <c r="F3137" s="185" t="s">
        <v>24</v>
      </c>
      <c r="G3137" s="185" t="s">
        <v>3845</v>
      </c>
      <c r="H3137" s="185" t="s">
        <v>1628</v>
      </c>
      <c r="I3137" s="258" t="str">
        <f t="shared" si="145"/>
        <v>1</v>
      </c>
      <c r="J3137" s="221">
        <f t="shared" si="146"/>
        <v>-200000</v>
      </c>
      <c r="K3137" s="258">
        <f t="shared" si="147"/>
        <v>10</v>
      </c>
      <c r="L3137" s="188">
        <v>0</v>
      </c>
      <c r="M3137" s="188">
        <v>200000</v>
      </c>
      <c r="N3137" s="189">
        <v>1130744136</v>
      </c>
      <c r="O3137"/>
      <c r="P3137" s="187">
        <v>45229.375370370399</v>
      </c>
      <c r="Q3137" s="186">
        <v>14358</v>
      </c>
      <c r="R3137" s="185"/>
      <c r="S3137" s="185" t="s">
        <v>1538</v>
      </c>
      <c r="T3137" t="s">
        <v>1894</v>
      </c>
      <c r="U3137" t="str">
        <f>IF($L3137&gt;0,VLOOKUP($E3137,Valida!$A$1:$G$270,6,FALSE),IF($M3137&gt;=0,VLOOKUP($E3137,Valida!$A$1:$G$270,7,FALSE)))</f>
        <v>Disponible</v>
      </c>
      <c r="V3137" s="190" t="str">
        <f>VLOOKUP(E3137,Valida!$A$2:$K$271,4,FALSE)</f>
        <v>Cash and equivalents</v>
      </c>
      <c r="W3137" s="185" t="s">
        <v>1909</v>
      </c>
      <c r="X3137" s="185" t="s">
        <v>1910</v>
      </c>
      <c r="Y3137" s="185" t="s">
        <v>1789</v>
      </c>
      <c r="Z3137"/>
    </row>
    <row r="3138" spans="1:26">
      <c r="A3138" s="185" t="s">
        <v>3611</v>
      </c>
      <c r="B3138" s="185" t="s">
        <v>3612</v>
      </c>
      <c r="C3138" s="185" t="s">
        <v>1890</v>
      </c>
      <c r="D3138" s="185" t="s">
        <v>3613</v>
      </c>
      <c r="E3138" s="185">
        <v>219510</v>
      </c>
      <c r="F3138" s="185" t="s">
        <v>1632</v>
      </c>
      <c r="G3138" s="185" t="s">
        <v>3614</v>
      </c>
      <c r="H3138" s="185" t="s">
        <v>1515</v>
      </c>
      <c r="I3138" s="258" t="str">
        <f t="shared" si="145"/>
        <v>2</v>
      </c>
      <c r="J3138" s="221">
        <f t="shared" si="146"/>
        <v>27882400</v>
      </c>
      <c r="K3138" s="258">
        <f t="shared" si="147"/>
        <v>10</v>
      </c>
      <c r="L3138" s="188">
        <v>27882400</v>
      </c>
      <c r="M3138" s="188">
        <v>0</v>
      </c>
      <c r="N3138" s="189">
        <v>19628676</v>
      </c>
      <c r="O3138"/>
      <c r="P3138" s="187">
        <v>45229</v>
      </c>
      <c r="Q3138" s="186">
        <v>14360</v>
      </c>
      <c r="R3138" s="185"/>
      <c r="S3138" s="185" t="s">
        <v>1540</v>
      </c>
      <c r="T3138"/>
      <c r="U3138" t="str">
        <f>IF($L3138&gt;0,VLOOKUP($E3138,Valida!$A$1:$G$270,6,FALSE),IF($M3138&gt;=0,VLOOKUP($E3138,Valida!$A$1:$G$270,7,FALSE)))</f>
        <v>(-) Reembolsos de préstamos</v>
      </c>
      <c r="V3138" s="190" t="str">
        <f>VLOOKUP(E3138,Valida!$A$2:$K$271,4,FALSE)</f>
        <v>short-term borrowings</v>
      </c>
      <c r="W3138" s="185" t="s">
        <v>3608</v>
      </c>
      <c r="X3138" s="185"/>
      <c r="Y3138" s="185"/>
      <c r="Z3138"/>
    </row>
    <row r="3139" spans="1:26">
      <c r="A3139" s="185" t="s">
        <v>3615</v>
      </c>
      <c r="B3139" s="185" t="s">
        <v>3852</v>
      </c>
      <c r="C3139" s="185" t="s">
        <v>1785</v>
      </c>
      <c r="D3139" s="185" t="s">
        <v>3452</v>
      </c>
      <c r="E3139" s="185">
        <v>51602001</v>
      </c>
      <c r="F3139" s="185" t="s">
        <v>416</v>
      </c>
      <c r="G3139" s="185" t="s">
        <v>2232</v>
      </c>
      <c r="H3139" s="185" t="s">
        <v>1515</v>
      </c>
      <c r="I3139" s="258" t="str">
        <f t="shared" ref="I3139:I3202" si="148">LEFT(E3139,1)</f>
        <v>5</v>
      </c>
      <c r="J3139" s="221">
        <f t="shared" ref="J3139:J3202" si="149">L3139-M3139</f>
        <v>1596762</v>
      </c>
      <c r="K3139" s="258">
        <f t="shared" ref="K3139:K3202" si="150">MONTH(A3139)</f>
        <v>10</v>
      </c>
      <c r="L3139" s="188">
        <v>1596762</v>
      </c>
      <c r="M3139" s="188">
        <v>0</v>
      </c>
      <c r="N3139" s="189">
        <v>901513634</v>
      </c>
      <c r="O3139"/>
      <c r="P3139" s="187">
        <v>45229.399189814802</v>
      </c>
      <c r="Q3139" s="186">
        <v>14361</v>
      </c>
      <c r="R3139" s="185" t="s">
        <v>6</v>
      </c>
      <c r="S3139" s="185" t="s">
        <v>1518</v>
      </c>
      <c r="T3139"/>
      <c r="U3139" t="str">
        <f>IF($L3139&gt;0,VLOOKUP($E3139,Valida!$A$1:$G$270,6,FALSE),IF($M3139&gt;=0,VLOOKUP($E3139,Valida!$A$1:$G$270,7,FALSE)))</f>
        <v>(+/-) Ganancia (pérdida)</v>
      </c>
      <c r="V3139" s="190" t="str">
        <f>VLOOKUP(E3139,Valida!$A$2:$K$271,4,FALSE)</f>
        <v>P&amp;L</v>
      </c>
      <c r="W3139" s="185" t="s">
        <v>1787</v>
      </c>
      <c r="X3139" s="185" t="s">
        <v>1788</v>
      </c>
      <c r="Y3139" s="185" t="s">
        <v>1789</v>
      </c>
      <c r="Z3139"/>
    </row>
    <row r="3140" spans="1:26">
      <c r="A3140" s="185" t="s">
        <v>3615</v>
      </c>
      <c r="B3140" s="185" t="s">
        <v>3852</v>
      </c>
      <c r="C3140" s="185" t="s">
        <v>1785</v>
      </c>
      <c r="D3140" s="185" t="s">
        <v>3452</v>
      </c>
      <c r="E3140" s="185">
        <v>15922001</v>
      </c>
      <c r="F3140" s="185" t="s">
        <v>416</v>
      </c>
      <c r="G3140" s="185" t="s">
        <v>2232</v>
      </c>
      <c r="H3140" s="185" t="s">
        <v>1628</v>
      </c>
      <c r="I3140" s="258" t="str">
        <f t="shared" si="148"/>
        <v>1</v>
      </c>
      <c r="J3140" s="221">
        <f t="shared" si="149"/>
        <v>-1596762</v>
      </c>
      <c r="K3140" s="258">
        <f t="shared" si="150"/>
        <v>10</v>
      </c>
      <c r="L3140" s="188">
        <v>0</v>
      </c>
      <c r="M3140" s="188">
        <v>1596762</v>
      </c>
      <c r="N3140" s="189">
        <v>901513634</v>
      </c>
      <c r="O3140"/>
      <c r="P3140" s="187">
        <v>45229.399189814802</v>
      </c>
      <c r="Q3140" s="186">
        <v>14362</v>
      </c>
      <c r="R3140" s="185" t="s">
        <v>6</v>
      </c>
      <c r="S3140" s="185" t="s">
        <v>1518</v>
      </c>
      <c r="T3140"/>
      <c r="U3140" t="str">
        <f>IF($L3140&gt;0,VLOOKUP($E3140,Valida!$A$1:$G$270,6,FALSE),IF($M3140&gt;=0,VLOOKUP($E3140,Valida!$A$1:$G$270,7,FALSE)))</f>
        <v>( + ) Ajustes por gastos de depreciación</v>
      </c>
      <c r="V3140" s="190" t="str">
        <f>VLOOKUP(E3140,Valida!$A$2:$K$271,4,FALSE)</f>
        <v>Depreciation</v>
      </c>
      <c r="W3140" s="185" t="s">
        <v>1787</v>
      </c>
      <c r="X3140" s="185" t="s">
        <v>1788</v>
      </c>
      <c r="Y3140" s="185" t="s">
        <v>1789</v>
      </c>
      <c r="Z3140"/>
    </row>
    <row r="3141" spans="1:26">
      <c r="A3141" s="185" t="s">
        <v>3615</v>
      </c>
      <c r="B3141" s="185" t="s">
        <v>3852</v>
      </c>
      <c r="C3141" s="185" t="s">
        <v>1785</v>
      </c>
      <c r="D3141" s="185" t="s">
        <v>3452</v>
      </c>
      <c r="E3141" s="185">
        <v>51602004</v>
      </c>
      <c r="F3141" s="185" t="s">
        <v>404</v>
      </c>
      <c r="G3141" s="185" t="s">
        <v>2236</v>
      </c>
      <c r="H3141" s="185" t="s">
        <v>1515</v>
      </c>
      <c r="I3141" s="258" t="str">
        <f t="shared" si="148"/>
        <v>5</v>
      </c>
      <c r="J3141" s="221">
        <f t="shared" si="149"/>
        <v>163793</v>
      </c>
      <c r="K3141" s="258">
        <f t="shared" si="150"/>
        <v>10</v>
      </c>
      <c r="L3141" s="188">
        <v>163793</v>
      </c>
      <c r="M3141" s="188">
        <v>0</v>
      </c>
      <c r="N3141" s="189">
        <v>901513634</v>
      </c>
      <c r="O3141"/>
      <c r="P3141" s="187">
        <v>45229.399189814802</v>
      </c>
      <c r="Q3141" s="186">
        <v>14363</v>
      </c>
      <c r="R3141" s="185" t="s">
        <v>6</v>
      </c>
      <c r="S3141" s="185" t="s">
        <v>1518</v>
      </c>
      <c r="T3141"/>
      <c r="U3141" t="str">
        <f>IF($L3141&gt;0,VLOOKUP($E3141,Valida!$A$1:$G$270,6,FALSE),IF($M3141&gt;=0,VLOOKUP($E3141,Valida!$A$1:$G$270,7,FALSE)))</f>
        <v>(+/-) Ganancia (pérdida)</v>
      </c>
      <c r="V3141" s="190" t="str">
        <f>VLOOKUP(E3141,Valida!$A$2:$K$271,4,FALSE)</f>
        <v>P&amp;L</v>
      </c>
      <c r="W3141" s="185" t="s">
        <v>1787</v>
      </c>
      <c r="X3141" s="185" t="s">
        <v>1788</v>
      </c>
      <c r="Y3141" s="185" t="s">
        <v>1789</v>
      </c>
      <c r="Z3141"/>
    </row>
    <row r="3142" spans="1:26">
      <c r="A3142" s="185" t="s">
        <v>3615</v>
      </c>
      <c r="B3142" s="185" t="s">
        <v>3852</v>
      </c>
      <c r="C3142" s="185" t="s">
        <v>1785</v>
      </c>
      <c r="D3142" s="185" t="s">
        <v>3452</v>
      </c>
      <c r="E3142" s="185">
        <v>15922004</v>
      </c>
      <c r="F3142" s="185" t="s">
        <v>404</v>
      </c>
      <c r="G3142" s="185" t="s">
        <v>2236</v>
      </c>
      <c r="H3142" s="185" t="s">
        <v>1628</v>
      </c>
      <c r="I3142" s="258" t="str">
        <f t="shared" si="148"/>
        <v>1</v>
      </c>
      <c r="J3142" s="221">
        <f t="shared" si="149"/>
        <v>-163793</v>
      </c>
      <c r="K3142" s="258">
        <f t="shared" si="150"/>
        <v>10</v>
      </c>
      <c r="L3142" s="188">
        <v>0</v>
      </c>
      <c r="M3142" s="188">
        <v>163793</v>
      </c>
      <c r="N3142" s="189">
        <v>901513634</v>
      </c>
      <c r="O3142"/>
      <c r="P3142" s="187">
        <v>45229.399189814802</v>
      </c>
      <c r="Q3142" s="186">
        <v>14364</v>
      </c>
      <c r="R3142" s="185" t="s">
        <v>6</v>
      </c>
      <c r="S3142" s="185" t="s">
        <v>1518</v>
      </c>
      <c r="T3142"/>
      <c r="U3142" t="str">
        <f>IF($L3142&gt;0,VLOOKUP($E3142,Valida!$A$1:$G$270,6,FALSE),IF($M3142&gt;=0,VLOOKUP($E3142,Valida!$A$1:$G$270,7,FALSE)))</f>
        <v>( + ) Ajustes por gastos de depreciación</v>
      </c>
      <c r="V3142" s="190" t="str">
        <f>VLOOKUP(E3142,Valida!$A$2:$K$271,4,FALSE)</f>
        <v>Depreciation</v>
      </c>
      <c r="W3142" s="185" t="s">
        <v>1787</v>
      </c>
      <c r="X3142" s="185" t="s">
        <v>1788</v>
      </c>
      <c r="Y3142" s="185" t="s">
        <v>1789</v>
      </c>
      <c r="Z3142"/>
    </row>
    <row r="3143" spans="1:26">
      <c r="A3143" s="185" t="s">
        <v>3565</v>
      </c>
      <c r="B3143" s="185" t="s">
        <v>3853</v>
      </c>
      <c r="C3143" s="185" t="s">
        <v>2045</v>
      </c>
      <c r="D3143" s="185" t="s">
        <v>3854</v>
      </c>
      <c r="E3143" s="185">
        <v>23355007</v>
      </c>
      <c r="F3143" s="185" t="s">
        <v>1638</v>
      </c>
      <c r="G3143" s="185" t="s">
        <v>3855</v>
      </c>
      <c r="H3143" s="185" t="s">
        <v>1628</v>
      </c>
      <c r="I3143" s="258" t="str">
        <f t="shared" si="148"/>
        <v>2</v>
      </c>
      <c r="J3143" s="221">
        <f t="shared" si="149"/>
        <v>-151927.32</v>
      </c>
      <c r="K3143" s="258">
        <f t="shared" si="150"/>
        <v>10</v>
      </c>
      <c r="L3143" s="188">
        <v>0</v>
      </c>
      <c r="M3143" s="188">
        <v>151927.32</v>
      </c>
      <c r="N3143" s="189">
        <v>444444001</v>
      </c>
      <c r="O3143" t="s">
        <v>3856</v>
      </c>
      <c r="P3143" s="187">
        <v>45229.556412037004</v>
      </c>
      <c r="Q3143" s="186">
        <v>14365</v>
      </c>
      <c r="R3143" s="185"/>
      <c r="S3143" s="185" t="s">
        <v>1548</v>
      </c>
      <c r="T3143"/>
      <c r="U3143" t="str">
        <f>IF($L3143&gt;0,VLOOKUP($E3143,Valida!$A$1:$G$270,6,FALSE),IF($M3143&gt;=0,VLOOKUP($E3143,Valida!$A$1:$G$270,7,FALSE)))</f>
        <v>(+/-) Ajustes por el incremento (disminución) de cuentas por pagar de origen comercial</v>
      </c>
      <c r="V3143" s="190" t="str">
        <f>VLOOKUP(E3143,Valida!$A$2:$K$271,4,FALSE)</f>
        <v>Trade and other payables</v>
      </c>
      <c r="W3143" s="185"/>
      <c r="X3143" s="185"/>
      <c r="Y3143" s="185"/>
      <c r="Z3143"/>
    </row>
    <row r="3144" spans="1:26">
      <c r="A3144" s="185" t="s">
        <v>3565</v>
      </c>
      <c r="B3144" s="185" t="s">
        <v>3853</v>
      </c>
      <c r="C3144" s="185" t="s">
        <v>2045</v>
      </c>
      <c r="D3144" s="185" t="s">
        <v>3854</v>
      </c>
      <c r="E3144" s="185">
        <v>51350504</v>
      </c>
      <c r="F3144" s="185" t="s">
        <v>1638</v>
      </c>
      <c r="G3144" s="185" t="s">
        <v>3857</v>
      </c>
      <c r="H3144" s="185" t="s">
        <v>1515</v>
      </c>
      <c r="I3144" s="258" t="str">
        <f t="shared" si="148"/>
        <v>5</v>
      </c>
      <c r="J3144" s="221">
        <f t="shared" si="149"/>
        <v>151927.32</v>
      </c>
      <c r="K3144" s="258">
        <f t="shared" si="150"/>
        <v>10</v>
      </c>
      <c r="L3144" s="188">
        <v>151927.32</v>
      </c>
      <c r="M3144" s="188">
        <v>0</v>
      </c>
      <c r="N3144" s="189">
        <v>444444001</v>
      </c>
      <c r="O3144" t="s">
        <v>3856</v>
      </c>
      <c r="P3144" s="187">
        <v>45229.556423611102</v>
      </c>
      <c r="Q3144" s="186">
        <v>14366</v>
      </c>
      <c r="R3144" s="185"/>
      <c r="S3144" s="185" t="s">
        <v>1548</v>
      </c>
      <c r="T3144"/>
      <c r="U3144" t="str">
        <f>IF($L3144&gt;0,VLOOKUP($E3144,Valida!$A$1:$G$270,6,FALSE),IF($M3144&gt;=0,VLOOKUP($E3144,Valida!$A$1:$G$270,7,FALSE)))</f>
        <v>(+/-) Ganancia (pérdida)</v>
      </c>
      <c r="V3144" s="190" t="str">
        <f>VLOOKUP(E3144,Valida!$A$2:$K$271,4,FALSE)</f>
        <v>P&amp;L</v>
      </c>
      <c r="W3144" s="185"/>
      <c r="X3144" s="185"/>
      <c r="Y3144" s="185"/>
      <c r="Z3144"/>
    </row>
    <row r="3145" spans="1:26">
      <c r="A3145" s="185" t="s">
        <v>3643</v>
      </c>
      <c r="B3145" s="185" t="s">
        <v>3858</v>
      </c>
      <c r="C3145" s="185" t="s">
        <v>1792</v>
      </c>
      <c r="D3145" s="185" t="s">
        <v>2529</v>
      </c>
      <c r="E3145" s="185">
        <v>51401002</v>
      </c>
      <c r="F3145" s="185" t="s">
        <v>1303</v>
      </c>
      <c r="G3145" s="185" t="s">
        <v>3859</v>
      </c>
      <c r="H3145" s="185" t="s">
        <v>1515</v>
      </c>
      <c r="I3145" s="258" t="str">
        <f t="shared" si="148"/>
        <v>5</v>
      </c>
      <c r="J3145" s="221">
        <f t="shared" si="149"/>
        <v>653000</v>
      </c>
      <c r="K3145" s="258">
        <f t="shared" si="150"/>
        <v>10</v>
      </c>
      <c r="L3145" s="188">
        <v>653000</v>
      </c>
      <c r="M3145" s="188">
        <v>0</v>
      </c>
      <c r="N3145" s="189">
        <v>860007322</v>
      </c>
      <c r="O3145" t="s">
        <v>3860</v>
      </c>
      <c r="P3145" s="187">
        <v>45229.565405092602</v>
      </c>
      <c r="Q3145" s="186">
        <v>14367</v>
      </c>
      <c r="R3145" s="185" t="s">
        <v>1841</v>
      </c>
      <c r="S3145" s="185" t="s">
        <v>1566</v>
      </c>
      <c r="T3145"/>
      <c r="U3145" t="str">
        <f>IF($L3145&gt;0,VLOOKUP($E3145,Valida!$A$1:$G$270,6,FALSE),IF($M3145&gt;=0,VLOOKUP($E3145,Valida!$A$1:$G$270,7,FALSE)))</f>
        <v>(+/-) Ganancia (pérdida)</v>
      </c>
      <c r="V3145" s="190" t="str">
        <f>VLOOKUP(E3145,Valida!$A$2:$K$271,4,FALSE)</f>
        <v>P&amp;L</v>
      </c>
      <c r="W3145" s="185" t="s">
        <v>2306</v>
      </c>
      <c r="X3145" s="185"/>
      <c r="Y3145" s="185" t="s">
        <v>1789</v>
      </c>
      <c r="Z3145"/>
    </row>
    <row r="3146" spans="1:26">
      <c r="A3146" s="185" t="s">
        <v>3643</v>
      </c>
      <c r="B3146" s="185" t="s">
        <v>3858</v>
      </c>
      <c r="C3146" s="185" t="s">
        <v>1792</v>
      </c>
      <c r="D3146" s="185" t="s">
        <v>2529</v>
      </c>
      <c r="E3146" s="185">
        <v>23351001</v>
      </c>
      <c r="F3146" s="185" t="s">
        <v>453</v>
      </c>
      <c r="G3146" s="185" t="s">
        <v>3859</v>
      </c>
      <c r="H3146" s="185" t="s">
        <v>1628</v>
      </c>
      <c r="I3146" s="258" t="str">
        <f t="shared" si="148"/>
        <v>2</v>
      </c>
      <c r="J3146" s="221">
        <f t="shared" si="149"/>
        <v>-653000</v>
      </c>
      <c r="K3146" s="258">
        <f t="shared" si="150"/>
        <v>10</v>
      </c>
      <c r="L3146" s="188">
        <v>0</v>
      </c>
      <c r="M3146" s="188">
        <v>653000</v>
      </c>
      <c r="N3146" s="189">
        <v>860007322</v>
      </c>
      <c r="O3146" t="s">
        <v>3860</v>
      </c>
      <c r="P3146" s="187">
        <v>45229.565405092602</v>
      </c>
      <c r="Q3146" s="186">
        <v>14368</v>
      </c>
      <c r="R3146" s="185" t="s">
        <v>1841</v>
      </c>
      <c r="S3146" s="185" t="s">
        <v>1566</v>
      </c>
      <c r="T3146"/>
      <c r="U3146" t="str">
        <f>IF($L3146&gt;0,VLOOKUP($E3146,Valida!$A$1:$G$270,6,FALSE),IF($M3146&gt;=0,VLOOKUP($E3146,Valida!$A$1:$G$270,7,FALSE)))</f>
        <v>(+/-) Ajustes por el incremento (disminución) de cuentas por pagar de origen comercial</v>
      </c>
      <c r="V3146" s="190" t="str">
        <f>VLOOKUP(E3146,Valida!$A$2:$K$271,4,FALSE)</f>
        <v>Trade and other payables</v>
      </c>
      <c r="W3146" s="185" t="s">
        <v>2306</v>
      </c>
      <c r="X3146" s="185"/>
      <c r="Y3146" s="185" t="s">
        <v>1789</v>
      </c>
      <c r="Z3146"/>
    </row>
    <row r="3147" spans="1:26">
      <c r="A3147" s="185" t="s">
        <v>3643</v>
      </c>
      <c r="B3147" s="185" t="s">
        <v>3861</v>
      </c>
      <c r="C3147" s="185" t="s">
        <v>2045</v>
      </c>
      <c r="D3147" s="185" t="s">
        <v>3862</v>
      </c>
      <c r="E3147" s="185">
        <v>23352502</v>
      </c>
      <c r="F3147" s="185" t="s">
        <v>466</v>
      </c>
      <c r="G3147" s="185" t="s">
        <v>3863</v>
      </c>
      <c r="H3147" s="185" t="s">
        <v>1628</v>
      </c>
      <c r="I3147" s="258" t="str">
        <f t="shared" si="148"/>
        <v>2</v>
      </c>
      <c r="J3147" s="221">
        <f t="shared" si="149"/>
        <v>-134481</v>
      </c>
      <c r="K3147" s="258">
        <f t="shared" si="150"/>
        <v>10</v>
      </c>
      <c r="L3147" s="188">
        <v>0</v>
      </c>
      <c r="M3147" s="188">
        <v>134481</v>
      </c>
      <c r="N3147" s="189">
        <v>1012448875</v>
      </c>
      <c r="O3147" t="s">
        <v>3864</v>
      </c>
      <c r="P3147" s="187">
        <v>45229.571898148097</v>
      </c>
      <c r="Q3147" s="186">
        <v>14369</v>
      </c>
      <c r="R3147" s="185"/>
      <c r="S3147" s="185" t="s">
        <v>1530</v>
      </c>
      <c r="T3147"/>
      <c r="U3147" t="str">
        <f>IF($L3147&gt;0,VLOOKUP($E3147,Valida!$A$1:$G$270,6,FALSE),IF($M3147&gt;=0,VLOOKUP($E3147,Valida!$A$1:$G$270,7,FALSE)))</f>
        <v>(+/-) Ajustes por el incremento (disminución) de cuentas por pagar de origen comercial</v>
      </c>
      <c r="V3147" s="190" t="str">
        <f>VLOOKUP(E3147,Valida!$A$2:$K$271,4,FALSE)</f>
        <v>Trade and other payables</v>
      </c>
      <c r="W3147" s="185" t="s">
        <v>3573</v>
      </c>
      <c r="X3147" s="185"/>
      <c r="Y3147" s="185" t="s">
        <v>1789</v>
      </c>
      <c r="Z3147"/>
    </row>
    <row r="3148" spans="1:26">
      <c r="A3148" s="185" t="s">
        <v>3615</v>
      </c>
      <c r="B3148" s="185" t="s">
        <v>3865</v>
      </c>
      <c r="C3148" s="185" t="s">
        <v>1890</v>
      </c>
      <c r="D3148" s="185" t="s">
        <v>3866</v>
      </c>
      <c r="E3148" s="185">
        <v>23355004</v>
      </c>
      <c r="F3148" s="185" t="s">
        <v>513</v>
      </c>
      <c r="G3148" s="185" t="s">
        <v>1921</v>
      </c>
      <c r="H3148" s="185" t="s">
        <v>1515</v>
      </c>
      <c r="I3148" s="258" t="str">
        <f t="shared" si="148"/>
        <v>2</v>
      </c>
      <c r="J3148" s="221">
        <f t="shared" si="149"/>
        <v>2637068</v>
      </c>
      <c r="K3148" s="258">
        <f t="shared" si="150"/>
        <v>10</v>
      </c>
      <c r="L3148" s="188">
        <v>2637068</v>
      </c>
      <c r="M3148" s="188">
        <v>0</v>
      </c>
      <c r="N3148" s="189">
        <v>900994552</v>
      </c>
      <c r="O3148"/>
      <c r="P3148" s="187">
        <v>45231.4084953704</v>
      </c>
      <c r="Q3148" s="186">
        <v>14373</v>
      </c>
      <c r="R3148" s="185" t="s">
        <v>844</v>
      </c>
      <c r="S3148" s="185" t="s">
        <v>1606</v>
      </c>
      <c r="T3148"/>
      <c r="U3148" t="str">
        <f>IF($L3148&gt;0,VLOOKUP($E3148,Valida!$A$1:$G$270,6,FALSE),IF($M3148&gt;=0,VLOOKUP($E3148,Valida!$A$1:$G$270,7,FALSE)))</f>
        <v>(+/-) Ajustes por el incremento (disminución) de cuentas por pagar de origen comercial</v>
      </c>
      <c r="V3148" s="190" t="str">
        <f>VLOOKUP(E3148,Valida!$A$2:$K$271,4,FALSE)</f>
        <v>Trade and other payables</v>
      </c>
      <c r="W3148" s="185" t="s">
        <v>1796</v>
      </c>
      <c r="X3148" s="185" t="s">
        <v>1797</v>
      </c>
      <c r="Y3148" s="185" t="s">
        <v>1789</v>
      </c>
      <c r="Z3148"/>
    </row>
    <row r="3149" spans="1:26">
      <c r="A3149" s="185" t="s">
        <v>3643</v>
      </c>
      <c r="B3149" s="185" t="s">
        <v>3861</v>
      </c>
      <c r="C3149" s="185" t="s">
        <v>2045</v>
      </c>
      <c r="D3149" s="185" t="s">
        <v>3862</v>
      </c>
      <c r="E3149" s="185">
        <v>23651502</v>
      </c>
      <c r="F3149" s="185" t="s">
        <v>244</v>
      </c>
      <c r="G3149" s="185" t="s">
        <v>3867</v>
      </c>
      <c r="H3149" s="185" t="s">
        <v>1628</v>
      </c>
      <c r="I3149" s="258" t="str">
        <f t="shared" si="148"/>
        <v>2</v>
      </c>
      <c r="J3149" s="221">
        <f t="shared" si="149"/>
        <v>-16830</v>
      </c>
      <c r="K3149" s="258">
        <f t="shared" si="150"/>
        <v>10</v>
      </c>
      <c r="L3149" s="188">
        <v>0</v>
      </c>
      <c r="M3149" s="188">
        <v>16830</v>
      </c>
      <c r="N3149" s="189">
        <v>1012448875</v>
      </c>
      <c r="O3149" t="s">
        <v>3864</v>
      </c>
      <c r="P3149" s="187">
        <v>45229.571898148097</v>
      </c>
      <c r="Q3149" s="186">
        <v>14370</v>
      </c>
      <c r="R3149" s="185"/>
      <c r="S3149" s="185" t="s">
        <v>1530</v>
      </c>
      <c r="T3149"/>
      <c r="U3149" t="str">
        <f>IF($L3149&gt;0,VLOOKUP($E3149,Valida!$A$1:$G$270,6,FALSE),IF($M3149&gt;=0,VLOOKUP($E3149,Valida!$A$1:$G$270,7,FALSE)))</f>
        <v>(+/-) Ajustes por el incremento (disminución) de cuentas por pagar de origen comercial</v>
      </c>
      <c r="V3149" s="190" t="str">
        <f>VLOOKUP(E3149,Valida!$A$2:$K$271,4,FALSE)</f>
        <v>Trade and other payables</v>
      </c>
      <c r="W3149" s="185" t="s">
        <v>3573</v>
      </c>
      <c r="X3149" s="185"/>
      <c r="Y3149" s="185" t="s">
        <v>1789</v>
      </c>
      <c r="Z3149"/>
    </row>
    <row r="3150" spans="1:26">
      <c r="A3150" s="185" t="s">
        <v>3643</v>
      </c>
      <c r="B3150" s="185" t="s">
        <v>3861</v>
      </c>
      <c r="C3150" s="185" t="s">
        <v>2045</v>
      </c>
      <c r="D3150" s="185" t="s">
        <v>3862</v>
      </c>
      <c r="E3150" s="185">
        <v>23680504</v>
      </c>
      <c r="F3150" s="185" t="s">
        <v>668</v>
      </c>
      <c r="G3150" s="185" t="s">
        <v>3665</v>
      </c>
      <c r="H3150" s="185" t="s">
        <v>1628</v>
      </c>
      <c r="I3150" s="258" t="str">
        <f t="shared" si="148"/>
        <v>2</v>
      </c>
      <c r="J3150" s="221">
        <f t="shared" si="149"/>
        <v>-1689</v>
      </c>
      <c r="K3150" s="258">
        <f t="shared" si="150"/>
        <v>10</v>
      </c>
      <c r="L3150" s="188">
        <v>0</v>
      </c>
      <c r="M3150" s="188">
        <v>1689</v>
      </c>
      <c r="N3150" s="189">
        <v>1012448875</v>
      </c>
      <c r="O3150" t="s">
        <v>3864</v>
      </c>
      <c r="P3150" s="187">
        <v>45229.571898148097</v>
      </c>
      <c r="Q3150" s="186">
        <v>14371</v>
      </c>
      <c r="R3150" s="185"/>
      <c r="S3150" s="185" t="s">
        <v>1530</v>
      </c>
      <c r="T3150"/>
      <c r="U3150" t="str">
        <f>IF($L3150&gt;0,VLOOKUP($E3150,Valida!$A$1:$G$270,6,FALSE),IF($M3150&gt;=0,VLOOKUP($E3150,Valida!$A$1:$G$270,7,FALSE)))</f>
        <v>(+/-) Ajustes por el incremento (disminución) de cuentas por pagar de origen comercial</v>
      </c>
      <c r="V3150" s="190" t="str">
        <f>VLOOKUP(E3150,Valida!$A$2:$K$271,4,FALSE)</f>
        <v>Trade and other payables</v>
      </c>
      <c r="W3150" s="185" t="s">
        <v>3573</v>
      </c>
      <c r="X3150" s="185"/>
      <c r="Y3150" s="185" t="s">
        <v>1789</v>
      </c>
      <c r="Z3150"/>
    </row>
    <row r="3151" spans="1:26">
      <c r="A3151" s="185" t="s">
        <v>3643</v>
      </c>
      <c r="B3151" s="185" t="s">
        <v>3861</v>
      </c>
      <c r="C3151" s="185" t="s">
        <v>2045</v>
      </c>
      <c r="D3151" s="185" t="s">
        <v>3862</v>
      </c>
      <c r="E3151" s="185">
        <v>51109501</v>
      </c>
      <c r="F3151" s="185" t="s">
        <v>468</v>
      </c>
      <c r="G3151" s="185" t="s">
        <v>3868</v>
      </c>
      <c r="H3151" s="185" t="s">
        <v>1515</v>
      </c>
      <c r="I3151" s="258" t="str">
        <f t="shared" si="148"/>
        <v>5</v>
      </c>
      <c r="J3151" s="221">
        <f t="shared" si="149"/>
        <v>153000</v>
      </c>
      <c r="K3151" s="258">
        <f t="shared" si="150"/>
        <v>10</v>
      </c>
      <c r="L3151" s="188">
        <v>153000</v>
      </c>
      <c r="M3151" s="188">
        <v>0</v>
      </c>
      <c r="N3151" s="189">
        <v>1012448875</v>
      </c>
      <c r="O3151" t="s">
        <v>3864</v>
      </c>
      <c r="P3151" s="187">
        <v>45229.571909722203</v>
      </c>
      <c r="Q3151" s="186">
        <v>14372</v>
      </c>
      <c r="R3151" s="185"/>
      <c r="S3151" s="185" t="s">
        <v>1530</v>
      </c>
      <c r="T3151"/>
      <c r="U3151" t="str">
        <f>IF($L3151&gt;0,VLOOKUP($E3151,Valida!$A$1:$G$270,6,FALSE),IF($M3151&gt;=0,VLOOKUP($E3151,Valida!$A$1:$G$270,7,FALSE)))</f>
        <v>(+/-) Ganancia (pérdida)</v>
      </c>
      <c r="V3151" s="190" t="str">
        <f>VLOOKUP(E3151,Valida!$A$2:$K$271,4,FALSE)</f>
        <v>P&amp;L</v>
      </c>
      <c r="W3151" s="185" t="s">
        <v>3573</v>
      </c>
      <c r="X3151" s="185"/>
      <c r="Y3151" s="185" t="s">
        <v>1789</v>
      </c>
      <c r="Z3151"/>
    </row>
    <row r="3152" spans="1:26">
      <c r="A3152" s="185" t="s">
        <v>3615</v>
      </c>
      <c r="B3152" s="185" t="s">
        <v>3865</v>
      </c>
      <c r="C3152" s="185" t="s">
        <v>1890</v>
      </c>
      <c r="D3152" s="185" t="s">
        <v>3866</v>
      </c>
      <c r="E3152" s="185">
        <v>112005</v>
      </c>
      <c r="F3152" s="185" t="s">
        <v>24</v>
      </c>
      <c r="G3152" s="185" t="s">
        <v>1921</v>
      </c>
      <c r="H3152" s="185" t="s">
        <v>1628</v>
      </c>
      <c r="I3152" s="258" t="str">
        <f t="shared" si="148"/>
        <v>1</v>
      </c>
      <c r="J3152" s="221">
        <f t="shared" si="149"/>
        <v>-2637068</v>
      </c>
      <c r="K3152" s="258">
        <f t="shared" si="150"/>
        <v>10</v>
      </c>
      <c r="L3152" s="188">
        <v>0</v>
      </c>
      <c r="M3152" s="188">
        <v>2637068</v>
      </c>
      <c r="N3152" s="189">
        <v>900994552</v>
      </c>
      <c r="O3152"/>
      <c r="P3152" s="187">
        <v>45231.408506944397</v>
      </c>
      <c r="Q3152" s="186">
        <v>14374</v>
      </c>
      <c r="R3152" s="185" t="s">
        <v>844</v>
      </c>
      <c r="S3152" s="185" t="s">
        <v>1606</v>
      </c>
      <c r="T3152" t="s">
        <v>1894</v>
      </c>
      <c r="U3152" t="str">
        <f>IF($L3152&gt;0,VLOOKUP($E3152,Valida!$A$1:$G$270,6,FALSE),IF($M3152&gt;=0,VLOOKUP($E3152,Valida!$A$1:$G$270,7,FALSE)))</f>
        <v>Disponible</v>
      </c>
      <c r="V3152" s="190" t="str">
        <f>VLOOKUP(E3152,Valida!$A$2:$K$271,4,FALSE)</f>
        <v>Cash and equivalents</v>
      </c>
      <c r="W3152" s="185" t="s">
        <v>1796</v>
      </c>
      <c r="X3152" s="185" t="s">
        <v>1797</v>
      </c>
      <c r="Y3152" s="185" t="s">
        <v>1789</v>
      </c>
      <c r="Z3152"/>
    </row>
    <row r="3153" spans="1:26">
      <c r="A3153" s="185" t="s">
        <v>3615</v>
      </c>
      <c r="B3153" s="185" t="s">
        <v>3869</v>
      </c>
      <c r="C3153" s="185" t="s">
        <v>1890</v>
      </c>
      <c r="D3153" s="185" t="s">
        <v>3870</v>
      </c>
      <c r="E3153" s="185">
        <v>23355004</v>
      </c>
      <c r="F3153" s="185" t="s">
        <v>513</v>
      </c>
      <c r="G3153" s="185" t="s">
        <v>1921</v>
      </c>
      <c r="H3153" s="185" t="s">
        <v>1515</v>
      </c>
      <c r="I3153" s="258" t="str">
        <f t="shared" si="148"/>
        <v>2</v>
      </c>
      <c r="J3153" s="221">
        <f t="shared" si="149"/>
        <v>1439000</v>
      </c>
      <c r="K3153" s="258">
        <f t="shared" si="150"/>
        <v>10</v>
      </c>
      <c r="L3153" s="188">
        <v>1439000</v>
      </c>
      <c r="M3153" s="188">
        <v>0</v>
      </c>
      <c r="N3153" s="189">
        <v>900736537</v>
      </c>
      <c r="O3153"/>
      <c r="P3153" s="187">
        <v>45231.408807870401</v>
      </c>
      <c r="Q3153" s="186">
        <v>14375</v>
      </c>
      <c r="R3153" s="185" t="s">
        <v>1814</v>
      </c>
      <c r="S3153" s="185" t="s">
        <v>1602</v>
      </c>
      <c r="T3153"/>
      <c r="U3153" t="str">
        <f>IF($L3153&gt;0,VLOOKUP($E3153,Valida!$A$1:$G$270,6,FALSE),IF($M3153&gt;=0,VLOOKUP($E3153,Valida!$A$1:$G$270,7,FALSE)))</f>
        <v>(+/-) Ajustes por el incremento (disminución) de cuentas por pagar de origen comercial</v>
      </c>
      <c r="V3153" s="190" t="str">
        <f>VLOOKUP(E3153,Valida!$A$2:$K$271,4,FALSE)</f>
        <v>Trade and other payables</v>
      </c>
      <c r="W3153" s="185" t="s">
        <v>2985</v>
      </c>
      <c r="X3153" s="185" t="s">
        <v>2986</v>
      </c>
      <c r="Y3153" s="185" t="s">
        <v>1789</v>
      </c>
      <c r="Z3153"/>
    </row>
    <row r="3154" spans="1:26">
      <c r="A3154" s="185" t="s">
        <v>3615</v>
      </c>
      <c r="B3154" s="185" t="s">
        <v>3869</v>
      </c>
      <c r="C3154" s="185" t="s">
        <v>1890</v>
      </c>
      <c r="D3154" s="185" t="s">
        <v>3870</v>
      </c>
      <c r="E3154" s="185">
        <v>112005</v>
      </c>
      <c r="F3154" s="185" t="s">
        <v>24</v>
      </c>
      <c r="G3154" s="185" t="s">
        <v>1921</v>
      </c>
      <c r="H3154" s="185" t="s">
        <v>1628</v>
      </c>
      <c r="I3154" s="258" t="str">
        <f t="shared" si="148"/>
        <v>1</v>
      </c>
      <c r="J3154" s="221">
        <f t="shared" si="149"/>
        <v>-1439000</v>
      </c>
      <c r="K3154" s="258">
        <f t="shared" si="150"/>
        <v>10</v>
      </c>
      <c r="L3154" s="188">
        <v>0</v>
      </c>
      <c r="M3154" s="188">
        <v>1439000</v>
      </c>
      <c r="N3154" s="189">
        <v>900736537</v>
      </c>
      <c r="O3154"/>
      <c r="P3154" s="187">
        <v>45231.408807870401</v>
      </c>
      <c r="Q3154" s="186">
        <v>14376</v>
      </c>
      <c r="R3154" s="185" t="s">
        <v>1814</v>
      </c>
      <c r="S3154" s="185" t="s">
        <v>1602</v>
      </c>
      <c r="T3154" t="s">
        <v>1894</v>
      </c>
      <c r="U3154" t="str">
        <f>IF($L3154&gt;0,VLOOKUP($E3154,Valida!$A$1:$G$270,6,FALSE),IF($M3154&gt;=0,VLOOKUP($E3154,Valida!$A$1:$G$270,7,FALSE)))</f>
        <v>Disponible</v>
      </c>
      <c r="V3154" s="190" t="str">
        <f>VLOOKUP(E3154,Valida!$A$2:$K$271,4,FALSE)</f>
        <v>Cash and equivalents</v>
      </c>
      <c r="W3154" s="185" t="s">
        <v>2985</v>
      </c>
      <c r="X3154" s="185" t="s">
        <v>2986</v>
      </c>
      <c r="Y3154" s="185" t="s">
        <v>1789</v>
      </c>
      <c r="Z3154"/>
    </row>
    <row r="3155" spans="1:26">
      <c r="A3155" s="185" t="s">
        <v>3822</v>
      </c>
      <c r="B3155" s="185" t="s">
        <v>3871</v>
      </c>
      <c r="C3155" s="185" t="s">
        <v>1952</v>
      </c>
      <c r="D3155" s="185" t="s">
        <v>3331</v>
      </c>
      <c r="E3155" s="185">
        <v>53050501</v>
      </c>
      <c r="F3155" s="185" t="s">
        <v>1462</v>
      </c>
      <c r="G3155" s="185" t="s">
        <v>1954</v>
      </c>
      <c r="H3155" s="185" t="s">
        <v>1515</v>
      </c>
      <c r="I3155" s="258" t="str">
        <f t="shared" si="148"/>
        <v>5</v>
      </c>
      <c r="J3155" s="221">
        <f t="shared" si="149"/>
        <v>69200</v>
      </c>
      <c r="K3155" s="258">
        <f t="shared" si="150"/>
        <v>10</v>
      </c>
      <c r="L3155" s="188">
        <v>69200</v>
      </c>
      <c r="M3155" s="188">
        <v>0</v>
      </c>
      <c r="N3155" s="189">
        <v>890903938</v>
      </c>
      <c r="O3155"/>
      <c r="P3155" s="187">
        <v>45231.416643518503</v>
      </c>
      <c r="Q3155" s="186">
        <v>14377</v>
      </c>
      <c r="R3155" s="185" t="s">
        <v>1827</v>
      </c>
      <c r="S3155" s="185" t="s">
        <v>1580</v>
      </c>
      <c r="T3155"/>
      <c r="U3155" t="str">
        <f>IF($L3155&gt;0,VLOOKUP($E3155,Valida!$A$1:$G$270,6,FALSE),IF($M3155&gt;=0,VLOOKUP($E3155,Valida!$A$1:$G$270,7,FALSE)))</f>
        <v>(+/-) Ganancia (pérdida)</v>
      </c>
      <c r="V3155" s="190" t="str">
        <f>VLOOKUP(E3155,Valida!$A$2:$K$271,4,FALSE)</f>
        <v>P&amp;L</v>
      </c>
      <c r="W3155" s="185" t="s">
        <v>1955</v>
      </c>
      <c r="X3155" s="185"/>
      <c r="Y3155" s="185" t="s">
        <v>1844</v>
      </c>
      <c r="Z3155"/>
    </row>
    <row r="3156" spans="1:26">
      <c r="A3156" s="185" t="s">
        <v>3822</v>
      </c>
      <c r="B3156" s="185" t="s">
        <v>3871</v>
      </c>
      <c r="C3156" s="185" t="s">
        <v>1952</v>
      </c>
      <c r="D3156" s="185" t="s">
        <v>3331</v>
      </c>
      <c r="E3156" s="185">
        <v>24081002</v>
      </c>
      <c r="F3156" s="185" t="s">
        <v>1687</v>
      </c>
      <c r="G3156" s="185" t="s">
        <v>1954</v>
      </c>
      <c r="H3156" s="185" t="s">
        <v>1515</v>
      </c>
      <c r="I3156" s="258" t="str">
        <f t="shared" si="148"/>
        <v>2</v>
      </c>
      <c r="J3156" s="221">
        <f t="shared" si="149"/>
        <v>13148</v>
      </c>
      <c r="K3156" s="258">
        <f t="shared" si="150"/>
        <v>10</v>
      </c>
      <c r="L3156" s="188">
        <v>13148</v>
      </c>
      <c r="M3156" s="188">
        <v>0</v>
      </c>
      <c r="N3156" s="189">
        <v>890903938</v>
      </c>
      <c r="O3156"/>
      <c r="P3156" s="187">
        <v>45231.416643518503</v>
      </c>
      <c r="Q3156" s="186">
        <v>14378</v>
      </c>
      <c r="R3156" s="185" t="s">
        <v>1827</v>
      </c>
      <c r="S3156" s="185" t="s">
        <v>1580</v>
      </c>
      <c r="T3156"/>
      <c r="U3156" t="str">
        <f>IF($L3156&gt;0,VLOOKUP($E3156,Valida!$A$1:$G$270,6,FALSE),IF($M3156&gt;=0,VLOOKUP($E3156,Valida!$A$1:$G$270,7,FALSE)))</f>
        <v>(+/-) Ajustes por el incremento (disminución) de cuentas por pagar de origen comercial</v>
      </c>
      <c r="V3156" s="190" t="str">
        <f>VLOOKUP(E3156,Valida!$A$2:$K$271,4,FALSE)</f>
        <v>Trade and other payables</v>
      </c>
      <c r="W3156" s="185" t="s">
        <v>1955</v>
      </c>
      <c r="X3156" s="185"/>
      <c r="Y3156" s="185" t="s">
        <v>1844</v>
      </c>
      <c r="Z3156"/>
    </row>
    <row r="3157" spans="1:26">
      <c r="A3157" s="185" t="s">
        <v>3822</v>
      </c>
      <c r="B3157" s="185" t="s">
        <v>3871</v>
      </c>
      <c r="C3157" s="185" t="s">
        <v>1952</v>
      </c>
      <c r="D3157" s="185" t="s">
        <v>3331</v>
      </c>
      <c r="E3157" s="185">
        <v>112005</v>
      </c>
      <c r="F3157" s="185" t="s">
        <v>24</v>
      </c>
      <c r="G3157" s="185" t="s">
        <v>1954</v>
      </c>
      <c r="H3157" s="185" t="s">
        <v>1628</v>
      </c>
      <c r="I3157" s="258" t="str">
        <f t="shared" si="148"/>
        <v>1</v>
      </c>
      <c r="J3157" s="221">
        <f t="shared" si="149"/>
        <v>-82348</v>
      </c>
      <c r="K3157" s="258">
        <f t="shared" si="150"/>
        <v>10</v>
      </c>
      <c r="L3157" s="188">
        <v>0</v>
      </c>
      <c r="M3157" s="188">
        <v>82348</v>
      </c>
      <c r="N3157" s="189">
        <v>890903938</v>
      </c>
      <c r="O3157"/>
      <c r="P3157" s="187">
        <v>45231.416643518503</v>
      </c>
      <c r="Q3157" s="186">
        <v>14379</v>
      </c>
      <c r="R3157" s="185" t="s">
        <v>1827</v>
      </c>
      <c r="S3157" s="185" t="s">
        <v>1580</v>
      </c>
      <c r="T3157" t="s">
        <v>1894</v>
      </c>
      <c r="U3157" t="str">
        <f>IF($L3157&gt;0,VLOOKUP($E3157,Valida!$A$1:$G$270,6,FALSE),IF($M3157&gt;=0,VLOOKUP($E3157,Valida!$A$1:$G$270,7,FALSE)))</f>
        <v>Disponible</v>
      </c>
      <c r="V3157" s="190" t="str">
        <f>VLOOKUP(E3157,Valida!$A$2:$K$271,4,FALSE)</f>
        <v>Cash and equivalents</v>
      </c>
      <c r="W3157" s="185" t="s">
        <v>1955</v>
      </c>
      <c r="X3157" s="185"/>
      <c r="Y3157" s="185" t="s">
        <v>1844</v>
      </c>
      <c r="Z3157"/>
    </row>
    <row r="3158" spans="1:26">
      <c r="A3158" s="185" t="s">
        <v>3822</v>
      </c>
      <c r="B3158" s="185" t="s">
        <v>3871</v>
      </c>
      <c r="C3158" s="185" t="s">
        <v>1952</v>
      </c>
      <c r="D3158" s="185" t="s">
        <v>3331</v>
      </c>
      <c r="E3158" s="185">
        <v>53050503</v>
      </c>
      <c r="F3158" s="185" t="s">
        <v>1468</v>
      </c>
      <c r="G3158" s="185" t="s">
        <v>1957</v>
      </c>
      <c r="H3158" s="185" t="s">
        <v>1515</v>
      </c>
      <c r="I3158" s="258" t="str">
        <f t="shared" si="148"/>
        <v>5</v>
      </c>
      <c r="J3158" s="221">
        <f t="shared" si="149"/>
        <v>102310</v>
      </c>
      <c r="K3158" s="258">
        <f t="shared" si="150"/>
        <v>10</v>
      </c>
      <c r="L3158" s="188">
        <v>102310</v>
      </c>
      <c r="M3158" s="188">
        <v>0</v>
      </c>
      <c r="N3158" s="189">
        <v>890903938</v>
      </c>
      <c r="O3158"/>
      <c r="P3158" s="187">
        <v>45231.416655092602</v>
      </c>
      <c r="Q3158" s="186">
        <v>14380</v>
      </c>
      <c r="R3158" s="185" t="s">
        <v>1827</v>
      </c>
      <c r="S3158" s="185" t="s">
        <v>1580</v>
      </c>
      <c r="T3158"/>
      <c r="U3158" t="str">
        <f>IF($L3158&gt;0,VLOOKUP($E3158,Valida!$A$1:$G$270,6,FALSE),IF($M3158&gt;=0,VLOOKUP($E3158,Valida!$A$1:$G$270,7,FALSE)))</f>
        <v>(+/-) Ganancia (pérdida)</v>
      </c>
      <c r="V3158" s="190" t="str">
        <f>VLOOKUP(E3158,Valida!$A$2:$K$271,4,FALSE)</f>
        <v>P&amp;L</v>
      </c>
      <c r="W3158" s="185" t="s">
        <v>1955</v>
      </c>
      <c r="X3158" s="185"/>
      <c r="Y3158" s="185" t="s">
        <v>1844</v>
      </c>
      <c r="Z3158"/>
    </row>
    <row r="3159" spans="1:26">
      <c r="A3159" s="185" t="s">
        <v>3822</v>
      </c>
      <c r="B3159" s="185" t="s">
        <v>3871</v>
      </c>
      <c r="C3159" s="185" t="s">
        <v>1952</v>
      </c>
      <c r="D3159" s="185" t="s">
        <v>3331</v>
      </c>
      <c r="E3159" s="185">
        <v>24081002</v>
      </c>
      <c r="F3159" s="185" t="s">
        <v>1687</v>
      </c>
      <c r="G3159" s="185" t="s">
        <v>1957</v>
      </c>
      <c r="H3159" s="185" t="s">
        <v>1515</v>
      </c>
      <c r="I3159" s="258" t="str">
        <f t="shared" si="148"/>
        <v>2</v>
      </c>
      <c r="J3159" s="221">
        <f t="shared" si="149"/>
        <v>19438.900000000001</v>
      </c>
      <c r="K3159" s="258">
        <f t="shared" si="150"/>
        <v>10</v>
      </c>
      <c r="L3159" s="188">
        <v>19438.900000000001</v>
      </c>
      <c r="M3159" s="188">
        <v>0</v>
      </c>
      <c r="N3159" s="189">
        <v>890903938</v>
      </c>
      <c r="O3159"/>
      <c r="P3159" s="187">
        <v>45231.416655092602</v>
      </c>
      <c r="Q3159" s="186">
        <v>14381</v>
      </c>
      <c r="R3159" s="185" t="s">
        <v>1827</v>
      </c>
      <c r="S3159" s="185" t="s">
        <v>1580</v>
      </c>
      <c r="T3159"/>
      <c r="U3159" t="str">
        <f>IF($L3159&gt;0,VLOOKUP($E3159,Valida!$A$1:$G$270,6,FALSE),IF($M3159&gt;=0,VLOOKUP($E3159,Valida!$A$1:$G$270,7,FALSE)))</f>
        <v>(+/-) Ajustes por el incremento (disminución) de cuentas por pagar de origen comercial</v>
      </c>
      <c r="V3159" s="190" t="str">
        <f>VLOOKUP(E3159,Valida!$A$2:$K$271,4,FALSE)</f>
        <v>Trade and other payables</v>
      </c>
      <c r="W3159" s="185" t="s">
        <v>1955</v>
      </c>
      <c r="X3159" s="185"/>
      <c r="Y3159" s="185" t="s">
        <v>1844</v>
      </c>
      <c r="Z3159"/>
    </row>
    <row r="3160" spans="1:26">
      <c r="A3160" s="185" t="s">
        <v>3822</v>
      </c>
      <c r="B3160" s="185" t="s">
        <v>3871</v>
      </c>
      <c r="C3160" s="185" t="s">
        <v>1952</v>
      </c>
      <c r="D3160" s="185" t="s">
        <v>3331</v>
      </c>
      <c r="E3160" s="185">
        <v>112005</v>
      </c>
      <c r="F3160" s="185" t="s">
        <v>24</v>
      </c>
      <c r="G3160" s="185" t="s">
        <v>1957</v>
      </c>
      <c r="H3160" s="185" t="s">
        <v>1628</v>
      </c>
      <c r="I3160" s="258" t="str">
        <f t="shared" si="148"/>
        <v>1</v>
      </c>
      <c r="J3160" s="221">
        <f t="shared" si="149"/>
        <v>-121748.9</v>
      </c>
      <c r="K3160" s="258">
        <f t="shared" si="150"/>
        <v>10</v>
      </c>
      <c r="L3160" s="188">
        <v>0</v>
      </c>
      <c r="M3160" s="188">
        <v>121748.9</v>
      </c>
      <c r="N3160" s="189">
        <v>890903938</v>
      </c>
      <c r="O3160"/>
      <c r="P3160" s="187">
        <v>45231.416655092602</v>
      </c>
      <c r="Q3160" s="186">
        <v>14382</v>
      </c>
      <c r="R3160" s="185" t="s">
        <v>1827</v>
      </c>
      <c r="S3160" s="185" t="s">
        <v>1580</v>
      </c>
      <c r="T3160" t="s">
        <v>1894</v>
      </c>
      <c r="U3160" t="str">
        <f>IF($L3160&gt;0,VLOOKUP($E3160,Valida!$A$1:$G$270,6,FALSE),IF($M3160&gt;=0,VLOOKUP($E3160,Valida!$A$1:$G$270,7,FALSE)))</f>
        <v>Disponible</v>
      </c>
      <c r="V3160" s="190" t="str">
        <f>VLOOKUP(E3160,Valida!$A$2:$K$271,4,FALSE)</f>
        <v>Cash and equivalents</v>
      </c>
      <c r="W3160" s="185" t="s">
        <v>1955</v>
      </c>
      <c r="X3160" s="185"/>
      <c r="Y3160" s="185" t="s">
        <v>1844</v>
      </c>
      <c r="Z3160"/>
    </row>
    <row r="3161" spans="1:26">
      <c r="A3161" s="185" t="s">
        <v>3822</v>
      </c>
      <c r="B3161" s="185" t="s">
        <v>3871</v>
      </c>
      <c r="C3161" s="185" t="s">
        <v>1952</v>
      </c>
      <c r="D3161" s="185" t="s">
        <v>3331</v>
      </c>
      <c r="E3161" s="185">
        <v>53050502</v>
      </c>
      <c r="F3161" s="185" t="s">
        <v>1465</v>
      </c>
      <c r="G3161" s="185" t="s">
        <v>1466</v>
      </c>
      <c r="H3161" s="185" t="s">
        <v>1515</v>
      </c>
      <c r="I3161" s="258" t="str">
        <f t="shared" si="148"/>
        <v>5</v>
      </c>
      <c r="J3161" s="221">
        <f t="shared" si="149"/>
        <v>12990</v>
      </c>
      <c r="K3161" s="258">
        <f t="shared" si="150"/>
        <v>10</v>
      </c>
      <c r="L3161" s="188">
        <v>12990</v>
      </c>
      <c r="M3161" s="188">
        <v>0</v>
      </c>
      <c r="N3161" s="189">
        <v>890903938</v>
      </c>
      <c r="O3161"/>
      <c r="P3161" s="187">
        <v>45231.416655092602</v>
      </c>
      <c r="Q3161" s="186">
        <v>14383</v>
      </c>
      <c r="R3161" s="185" t="s">
        <v>1827</v>
      </c>
      <c r="S3161" s="185" t="s">
        <v>1580</v>
      </c>
      <c r="T3161"/>
      <c r="U3161" t="str">
        <f>IF($L3161&gt;0,VLOOKUP($E3161,Valida!$A$1:$G$270,6,FALSE),IF($M3161&gt;=0,VLOOKUP($E3161,Valida!$A$1:$G$270,7,FALSE)))</f>
        <v>(+/-) Ganancia (pérdida)</v>
      </c>
      <c r="V3161" s="190" t="str">
        <f>VLOOKUP(E3161,Valida!$A$2:$K$271,4,FALSE)</f>
        <v>P&amp;L</v>
      </c>
      <c r="W3161" s="185" t="s">
        <v>1955</v>
      </c>
      <c r="X3161" s="185"/>
      <c r="Y3161" s="185" t="s">
        <v>1844</v>
      </c>
      <c r="Z3161"/>
    </row>
    <row r="3162" spans="1:26">
      <c r="A3162" s="185" t="s">
        <v>3822</v>
      </c>
      <c r="B3162" s="185" t="s">
        <v>3871</v>
      </c>
      <c r="C3162" s="185" t="s">
        <v>1952</v>
      </c>
      <c r="D3162" s="185" t="s">
        <v>3331</v>
      </c>
      <c r="E3162" s="185">
        <v>112005</v>
      </c>
      <c r="F3162" s="185" t="s">
        <v>24</v>
      </c>
      <c r="G3162" s="185" t="s">
        <v>1466</v>
      </c>
      <c r="H3162" s="185" t="s">
        <v>1628</v>
      </c>
      <c r="I3162" s="258" t="str">
        <f t="shared" si="148"/>
        <v>1</v>
      </c>
      <c r="J3162" s="221">
        <f t="shared" si="149"/>
        <v>-12990</v>
      </c>
      <c r="K3162" s="258">
        <f t="shared" si="150"/>
        <v>10</v>
      </c>
      <c r="L3162" s="188">
        <v>0</v>
      </c>
      <c r="M3162" s="188">
        <v>12990</v>
      </c>
      <c r="N3162" s="189">
        <v>890903938</v>
      </c>
      <c r="O3162"/>
      <c r="P3162" s="187">
        <v>45231.416655092602</v>
      </c>
      <c r="Q3162" s="186">
        <v>14384</v>
      </c>
      <c r="R3162" s="185" t="s">
        <v>1827</v>
      </c>
      <c r="S3162" s="185" t="s">
        <v>1580</v>
      </c>
      <c r="T3162" t="s">
        <v>1894</v>
      </c>
      <c r="U3162" t="str">
        <f>IF($L3162&gt;0,VLOOKUP($E3162,Valida!$A$1:$G$270,6,FALSE),IF($M3162&gt;=0,VLOOKUP($E3162,Valida!$A$1:$G$270,7,FALSE)))</f>
        <v>Disponible</v>
      </c>
      <c r="V3162" s="190" t="str">
        <f>VLOOKUP(E3162,Valida!$A$2:$K$271,4,FALSE)</f>
        <v>Cash and equivalents</v>
      </c>
      <c r="W3162" s="185" t="s">
        <v>1955</v>
      </c>
      <c r="X3162" s="185"/>
      <c r="Y3162" s="185" t="s">
        <v>1844</v>
      </c>
      <c r="Z3162"/>
    </row>
    <row r="3163" spans="1:26">
      <c r="A3163" s="185" t="s">
        <v>3822</v>
      </c>
      <c r="B3163" s="185" t="s">
        <v>3871</v>
      </c>
      <c r="C3163" s="185" t="s">
        <v>1952</v>
      </c>
      <c r="D3163" s="185" t="s">
        <v>3331</v>
      </c>
      <c r="E3163" s="185">
        <v>51159501</v>
      </c>
      <c r="F3163" s="185" t="s">
        <v>1181</v>
      </c>
      <c r="G3163" s="185" t="s">
        <v>1958</v>
      </c>
      <c r="H3163" s="185" t="s">
        <v>1515</v>
      </c>
      <c r="I3163" s="258" t="str">
        <f t="shared" si="148"/>
        <v>5</v>
      </c>
      <c r="J3163" s="221">
        <f t="shared" si="149"/>
        <v>693923.45</v>
      </c>
      <c r="K3163" s="258">
        <f t="shared" si="150"/>
        <v>10</v>
      </c>
      <c r="L3163" s="188">
        <v>693923.45</v>
      </c>
      <c r="M3163" s="188">
        <v>0</v>
      </c>
      <c r="N3163" s="189">
        <v>890903938</v>
      </c>
      <c r="O3163"/>
      <c r="P3163" s="187">
        <v>45231.416655092602</v>
      </c>
      <c r="Q3163" s="186">
        <v>14385</v>
      </c>
      <c r="R3163" s="185" t="s">
        <v>1827</v>
      </c>
      <c r="S3163" s="185" t="s">
        <v>1580</v>
      </c>
      <c r="T3163"/>
      <c r="U3163" t="str">
        <f>IF($L3163&gt;0,VLOOKUP($E3163,Valida!$A$1:$G$270,6,FALSE),IF($M3163&gt;=0,VLOOKUP($E3163,Valida!$A$1:$G$270,7,FALSE)))</f>
        <v>(+/-) Ganancia (pérdida)</v>
      </c>
      <c r="V3163" s="190" t="str">
        <f>VLOOKUP(E3163,Valida!$A$2:$K$271,4,FALSE)</f>
        <v>P&amp;L</v>
      </c>
      <c r="W3163" s="185" t="s">
        <v>1955</v>
      </c>
      <c r="X3163" s="185"/>
      <c r="Y3163" s="185" t="s">
        <v>1844</v>
      </c>
      <c r="Z3163"/>
    </row>
    <row r="3164" spans="1:26">
      <c r="A3164" s="185" t="s">
        <v>3822</v>
      </c>
      <c r="B3164" s="185" t="s">
        <v>3871</v>
      </c>
      <c r="C3164" s="185" t="s">
        <v>1952</v>
      </c>
      <c r="D3164" s="185" t="s">
        <v>3331</v>
      </c>
      <c r="E3164" s="185">
        <v>112005</v>
      </c>
      <c r="F3164" s="185" t="s">
        <v>24</v>
      </c>
      <c r="G3164" s="185" t="s">
        <v>1958</v>
      </c>
      <c r="H3164" s="185" t="s">
        <v>1628</v>
      </c>
      <c r="I3164" s="258" t="str">
        <f t="shared" si="148"/>
        <v>1</v>
      </c>
      <c r="J3164" s="221">
        <f t="shared" si="149"/>
        <v>-693923.45</v>
      </c>
      <c r="K3164" s="258">
        <f t="shared" si="150"/>
        <v>10</v>
      </c>
      <c r="L3164" s="188">
        <v>0</v>
      </c>
      <c r="M3164" s="188">
        <v>693923.45</v>
      </c>
      <c r="N3164" s="189">
        <v>890903938</v>
      </c>
      <c r="O3164"/>
      <c r="P3164" s="187">
        <v>45231.416655092602</v>
      </c>
      <c r="Q3164" s="186">
        <v>14386</v>
      </c>
      <c r="R3164" s="185" t="s">
        <v>1827</v>
      </c>
      <c r="S3164" s="185" t="s">
        <v>1580</v>
      </c>
      <c r="T3164" t="s">
        <v>1894</v>
      </c>
      <c r="U3164" t="str">
        <f>IF($L3164&gt;0,VLOOKUP($E3164,Valida!$A$1:$G$270,6,FALSE),IF($M3164&gt;=0,VLOOKUP($E3164,Valida!$A$1:$G$270,7,FALSE)))</f>
        <v>Disponible</v>
      </c>
      <c r="V3164" s="190" t="str">
        <f>VLOOKUP(E3164,Valida!$A$2:$K$271,4,FALSE)</f>
        <v>Cash and equivalents</v>
      </c>
      <c r="W3164" s="185" t="s">
        <v>1955</v>
      </c>
      <c r="X3164" s="185"/>
      <c r="Y3164" s="185" t="s">
        <v>1844</v>
      </c>
      <c r="Z3164"/>
    </row>
    <row r="3165" spans="1:26">
      <c r="A3165" s="185" t="s">
        <v>3822</v>
      </c>
      <c r="B3165" s="185" t="s">
        <v>3871</v>
      </c>
      <c r="C3165" s="185" t="s">
        <v>1952</v>
      </c>
      <c r="D3165" s="185" t="s">
        <v>3331</v>
      </c>
      <c r="E3165" s="185">
        <v>53050503</v>
      </c>
      <c r="F3165" s="185" t="s">
        <v>1468</v>
      </c>
      <c r="G3165" s="185" t="s">
        <v>3872</v>
      </c>
      <c r="H3165" s="185" t="s">
        <v>1515</v>
      </c>
      <c r="I3165" s="258" t="str">
        <f t="shared" si="148"/>
        <v>5</v>
      </c>
      <c r="J3165" s="221">
        <f t="shared" si="149"/>
        <v>438740</v>
      </c>
      <c r="K3165" s="258">
        <f t="shared" si="150"/>
        <v>10</v>
      </c>
      <c r="L3165" s="188">
        <v>438740</v>
      </c>
      <c r="M3165" s="188">
        <v>0</v>
      </c>
      <c r="N3165" s="189">
        <v>890903938</v>
      </c>
      <c r="O3165"/>
      <c r="P3165" s="187">
        <v>45231</v>
      </c>
      <c r="Q3165" s="186">
        <v>14387</v>
      </c>
      <c r="R3165" s="185" t="s">
        <v>1827</v>
      </c>
      <c r="S3165" s="185" t="s">
        <v>1580</v>
      </c>
      <c r="T3165"/>
      <c r="U3165" t="str">
        <f>IF($L3165&gt;0,VLOOKUP($E3165,Valida!$A$1:$G$270,6,FALSE),IF($M3165&gt;=0,VLOOKUP($E3165,Valida!$A$1:$G$270,7,FALSE)))</f>
        <v>(+/-) Ganancia (pérdida)</v>
      </c>
      <c r="V3165" s="190" t="str">
        <f>VLOOKUP(E3165,Valida!$A$2:$K$271,4,FALSE)</f>
        <v>P&amp;L</v>
      </c>
      <c r="W3165" s="185" t="s">
        <v>1955</v>
      </c>
      <c r="X3165" s="185"/>
      <c r="Y3165" s="185" t="s">
        <v>1844</v>
      </c>
      <c r="Z3165"/>
    </row>
    <row r="3166" spans="1:26">
      <c r="A3166" s="185" t="s">
        <v>3822</v>
      </c>
      <c r="B3166" s="185" t="s">
        <v>3871</v>
      </c>
      <c r="C3166" s="185" t="s">
        <v>1952</v>
      </c>
      <c r="D3166" s="185" t="s">
        <v>3331</v>
      </c>
      <c r="E3166" s="185">
        <v>112005</v>
      </c>
      <c r="F3166" s="185" t="s">
        <v>24</v>
      </c>
      <c r="G3166" s="185" t="s">
        <v>3872</v>
      </c>
      <c r="H3166" s="185" t="s">
        <v>1628</v>
      </c>
      <c r="I3166" s="258" t="str">
        <f t="shared" si="148"/>
        <v>1</v>
      </c>
      <c r="J3166" s="221">
        <f t="shared" si="149"/>
        <v>-438740</v>
      </c>
      <c r="K3166" s="258">
        <f t="shared" si="150"/>
        <v>10</v>
      </c>
      <c r="L3166" s="188">
        <v>0</v>
      </c>
      <c r="M3166" s="188">
        <v>438740</v>
      </c>
      <c r="N3166" s="189">
        <v>890903938</v>
      </c>
      <c r="O3166"/>
      <c r="P3166" s="187">
        <v>45231</v>
      </c>
      <c r="Q3166" s="186">
        <v>14388</v>
      </c>
      <c r="R3166" s="185" t="s">
        <v>1827</v>
      </c>
      <c r="S3166" s="185" t="s">
        <v>1580</v>
      </c>
      <c r="T3166" t="s">
        <v>1894</v>
      </c>
      <c r="U3166" t="str">
        <f>IF($L3166&gt;0,VLOOKUP($E3166,Valida!$A$1:$G$270,6,FALSE),IF($M3166&gt;=0,VLOOKUP($E3166,Valida!$A$1:$G$270,7,FALSE)))</f>
        <v>Disponible</v>
      </c>
      <c r="V3166" s="190" t="str">
        <f>VLOOKUP(E3166,Valida!$A$2:$K$271,4,FALSE)</f>
        <v>Cash and equivalents</v>
      </c>
      <c r="W3166" s="185" t="s">
        <v>1955</v>
      </c>
      <c r="X3166" s="185"/>
      <c r="Y3166" s="185" t="s">
        <v>1844</v>
      </c>
      <c r="Z3166"/>
    </row>
    <row r="3167" spans="1:26">
      <c r="A3167" s="185" t="s">
        <v>3822</v>
      </c>
      <c r="B3167" s="185" t="s">
        <v>3873</v>
      </c>
      <c r="C3167" s="185" t="s">
        <v>1960</v>
      </c>
      <c r="D3167" s="185" t="s">
        <v>3874</v>
      </c>
      <c r="E3167" s="185">
        <v>112005</v>
      </c>
      <c r="F3167" s="185" t="s">
        <v>24</v>
      </c>
      <c r="G3167" s="185" t="s">
        <v>1961</v>
      </c>
      <c r="H3167" s="185" t="s">
        <v>1515</v>
      </c>
      <c r="I3167" s="258" t="str">
        <f t="shared" si="148"/>
        <v>1</v>
      </c>
      <c r="J3167" s="221">
        <f t="shared" si="149"/>
        <v>18671.5</v>
      </c>
      <c r="K3167" s="258">
        <f t="shared" si="150"/>
        <v>10</v>
      </c>
      <c r="L3167" s="188">
        <v>18671.5</v>
      </c>
      <c r="M3167" s="188">
        <v>0</v>
      </c>
      <c r="N3167" s="189">
        <v>890903938</v>
      </c>
      <c r="O3167"/>
      <c r="P3167" s="187">
        <v>45231.421076388899</v>
      </c>
      <c r="Q3167" s="186">
        <v>14389</v>
      </c>
      <c r="R3167" s="185" t="s">
        <v>1827</v>
      </c>
      <c r="S3167" s="185" t="s">
        <v>1580</v>
      </c>
      <c r="T3167" t="s">
        <v>1894</v>
      </c>
      <c r="U3167" t="str">
        <f>IF($L3167&gt;0,VLOOKUP($E3167,Valida!$A$1:$G$270,6,FALSE),IF($M3167&gt;=0,VLOOKUP($E3167,Valida!$A$1:$G$270,7,FALSE)))</f>
        <v>Disponible</v>
      </c>
      <c r="V3167" s="190" t="str">
        <f>VLOOKUP(E3167,Valida!$A$2:$K$271,4,FALSE)</f>
        <v>Cash and equivalents</v>
      </c>
      <c r="W3167" s="185" t="s">
        <v>1955</v>
      </c>
      <c r="X3167" s="185"/>
      <c r="Y3167" s="185" t="s">
        <v>1844</v>
      </c>
      <c r="Z3167"/>
    </row>
    <row r="3168" spans="1:26">
      <c r="A3168" s="185" t="s">
        <v>3822</v>
      </c>
      <c r="B3168" s="185" t="s">
        <v>3873</v>
      </c>
      <c r="C3168" s="185" t="s">
        <v>1960</v>
      </c>
      <c r="D3168" s="185" t="s">
        <v>3874</v>
      </c>
      <c r="E3168" s="185">
        <v>42100501</v>
      </c>
      <c r="F3168" s="185" t="s">
        <v>1039</v>
      </c>
      <c r="G3168" s="185" t="s">
        <v>1961</v>
      </c>
      <c r="H3168" s="185" t="s">
        <v>1628</v>
      </c>
      <c r="I3168" s="258" t="str">
        <f t="shared" si="148"/>
        <v>4</v>
      </c>
      <c r="J3168" s="221">
        <f t="shared" si="149"/>
        <v>-18671.5</v>
      </c>
      <c r="K3168" s="258">
        <f t="shared" si="150"/>
        <v>10</v>
      </c>
      <c r="L3168" s="188">
        <v>0</v>
      </c>
      <c r="M3168" s="188">
        <v>18671.5</v>
      </c>
      <c r="N3168" s="189">
        <v>890903938</v>
      </c>
      <c r="O3168"/>
      <c r="P3168" s="187">
        <v>45231.421076388899</v>
      </c>
      <c r="Q3168" s="186">
        <v>14390</v>
      </c>
      <c r="R3168" s="185" t="s">
        <v>1827</v>
      </c>
      <c r="S3168" s="185" t="s">
        <v>1580</v>
      </c>
      <c r="T3168"/>
      <c r="U3168" t="str">
        <f>IF($L3168&gt;0,VLOOKUP($E3168,Valida!$A$1:$G$270,6,FALSE),IF($M3168&gt;=0,VLOOKUP($E3168,Valida!$A$1:$G$270,7,FALSE)))</f>
        <v>(+/-) Ganancia (pérdida)</v>
      </c>
      <c r="V3168" s="190" t="str">
        <f>VLOOKUP(E3168,Valida!$A$2:$K$271,4,FALSE)</f>
        <v>P&amp;L</v>
      </c>
      <c r="W3168" s="185" t="s">
        <v>1955</v>
      </c>
      <c r="X3168" s="185"/>
      <c r="Y3168" s="185" t="s">
        <v>1844</v>
      </c>
      <c r="Z3168"/>
    </row>
    <row r="3169" spans="1:26">
      <c r="A3169" s="185" t="s">
        <v>3615</v>
      </c>
      <c r="B3169" s="185" t="s">
        <v>3875</v>
      </c>
      <c r="C3169" s="185" t="s">
        <v>1792</v>
      </c>
      <c r="D3169" s="185" t="s">
        <v>2531</v>
      </c>
      <c r="E3169" s="185">
        <v>51952501</v>
      </c>
      <c r="F3169" s="185" t="s">
        <v>1412</v>
      </c>
      <c r="G3169" s="185" t="s">
        <v>1412</v>
      </c>
      <c r="H3169" s="185" t="s">
        <v>1515</v>
      </c>
      <c r="I3169" s="258" t="str">
        <f t="shared" si="148"/>
        <v>5</v>
      </c>
      <c r="J3169" s="221">
        <f t="shared" si="149"/>
        <v>1671382</v>
      </c>
      <c r="K3169" s="258">
        <f t="shared" si="150"/>
        <v>10</v>
      </c>
      <c r="L3169" s="188">
        <v>1671382</v>
      </c>
      <c r="M3169" s="188">
        <v>0</v>
      </c>
      <c r="N3169" s="189">
        <v>830062853</v>
      </c>
      <c r="O3169" t="s">
        <v>3876</v>
      </c>
      <c r="P3169" s="187">
        <v>45231.470543981501</v>
      </c>
      <c r="Q3169" s="186">
        <v>14391</v>
      </c>
      <c r="R3169" s="185" t="s">
        <v>433</v>
      </c>
      <c r="S3169" s="185" t="s">
        <v>1564</v>
      </c>
      <c r="T3169"/>
      <c r="U3169" t="str">
        <f>IF($L3169&gt;0,VLOOKUP($E3169,Valida!$A$1:$G$270,6,FALSE),IF($M3169&gt;=0,VLOOKUP($E3169,Valida!$A$1:$G$270,7,FALSE)))</f>
        <v>(+/-) Ganancia (pérdida)</v>
      </c>
      <c r="V3169" s="190" t="str">
        <f>VLOOKUP(E3169,Valida!$A$2:$K$271,4,FALSE)</f>
        <v>P&amp;L</v>
      </c>
      <c r="W3169" s="185" t="s">
        <v>2024</v>
      </c>
      <c r="X3169" s="185" t="s">
        <v>2025</v>
      </c>
      <c r="Y3169" s="185" t="s">
        <v>1789</v>
      </c>
      <c r="Z3169"/>
    </row>
    <row r="3170" spans="1:26">
      <c r="A3170" s="185" t="s">
        <v>3615</v>
      </c>
      <c r="B3170" s="185" t="s">
        <v>3875</v>
      </c>
      <c r="C3170" s="185" t="s">
        <v>1792</v>
      </c>
      <c r="D3170" s="185" t="s">
        <v>2531</v>
      </c>
      <c r="E3170" s="185">
        <v>24081001</v>
      </c>
      <c r="F3170" s="185" t="s">
        <v>1670</v>
      </c>
      <c r="G3170" s="185" t="s">
        <v>1412</v>
      </c>
      <c r="H3170" s="185" t="s">
        <v>1515</v>
      </c>
      <c r="I3170" s="258" t="str">
        <f t="shared" si="148"/>
        <v>2</v>
      </c>
      <c r="J3170" s="221">
        <f t="shared" si="149"/>
        <v>317563</v>
      </c>
      <c r="K3170" s="258">
        <f t="shared" si="150"/>
        <v>10</v>
      </c>
      <c r="L3170" s="188">
        <v>317563</v>
      </c>
      <c r="M3170" s="188">
        <v>0</v>
      </c>
      <c r="N3170" s="189">
        <v>830062853</v>
      </c>
      <c r="O3170" t="s">
        <v>3876</v>
      </c>
      <c r="P3170" s="187">
        <v>45231.470543981501</v>
      </c>
      <c r="Q3170" s="186">
        <v>14392</v>
      </c>
      <c r="R3170" s="185" t="s">
        <v>433</v>
      </c>
      <c r="S3170" s="185" t="s">
        <v>1564</v>
      </c>
      <c r="T3170"/>
      <c r="U3170" t="str">
        <f>IF($L3170&gt;0,VLOOKUP($E3170,Valida!$A$1:$G$270,6,FALSE),IF($M3170&gt;=0,VLOOKUP($E3170,Valida!$A$1:$G$270,7,FALSE)))</f>
        <v>(+/-) Ajustes por el incremento (disminución) de cuentas por pagar de origen comercial</v>
      </c>
      <c r="V3170" s="190" t="str">
        <f>VLOOKUP(E3170,Valida!$A$2:$K$271,4,FALSE)</f>
        <v>Trade and other payables</v>
      </c>
      <c r="W3170" s="185" t="s">
        <v>2024</v>
      </c>
      <c r="X3170" s="185" t="s">
        <v>2025</v>
      </c>
      <c r="Y3170" s="185" t="s">
        <v>1789</v>
      </c>
      <c r="Z3170"/>
    </row>
    <row r="3171" spans="1:26">
      <c r="A3171" s="185" t="s">
        <v>3615</v>
      </c>
      <c r="B3171" s="185" t="s">
        <v>3875</v>
      </c>
      <c r="C3171" s="185" t="s">
        <v>1792</v>
      </c>
      <c r="D3171" s="185" t="s">
        <v>2531</v>
      </c>
      <c r="E3171" s="185">
        <v>51952502</v>
      </c>
      <c r="F3171" s="185" t="s">
        <v>1414</v>
      </c>
      <c r="G3171" s="185" t="s">
        <v>1414</v>
      </c>
      <c r="H3171" s="185" t="s">
        <v>1515</v>
      </c>
      <c r="I3171" s="258" t="str">
        <f t="shared" si="148"/>
        <v>5</v>
      </c>
      <c r="J3171" s="221">
        <f t="shared" si="149"/>
        <v>2612995</v>
      </c>
      <c r="K3171" s="258">
        <f t="shared" si="150"/>
        <v>10</v>
      </c>
      <c r="L3171" s="188">
        <v>2612995</v>
      </c>
      <c r="M3171" s="188">
        <v>0</v>
      </c>
      <c r="N3171" s="189">
        <v>830062853</v>
      </c>
      <c r="O3171" t="s">
        <v>3876</v>
      </c>
      <c r="P3171" s="187">
        <v>45231.470543981501</v>
      </c>
      <c r="Q3171" s="186">
        <v>14393</v>
      </c>
      <c r="R3171" s="185" t="s">
        <v>433</v>
      </c>
      <c r="S3171" s="185" t="s">
        <v>1564</v>
      </c>
      <c r="T3171"/>
      <c r="U3171" t="str">
        <f>IF($L3171&gt;0,VLOOKUP($E3171,Valida!$A$1:$G$270,6,FALSE),IF($M3171&gt;=0,VLOOKUP($E3171,Valida!$A$1:$G$270,7,FALSE)))</f>
        <v>(+/-) Ganancia (pérdida)</v>
      </c>
      <c r="V3171" s="190" t="str">
        <f>VLOOKUP(E3171,Valida!$A$2:$K$271,4,FALSE)</f>
        <v>P&amp;L</v>
      </c>
      <c r="W3171" s="185" t="s">
        <v>2024</v>
      </c>
      <c r="X3171" s="185" t="s">
        <v>2025</v>
      </c>
      <c r="Y3171" s="185" t="s">
        <v>1789</v>
      </c>
      <c r="Z3171"/>
    </row>
    <row r="3172" spans="1:26">
      <c r="A3172" s="185" t="s">
        <v>3615</v>
      </c>
      <c r="B3172" s="185" t="s">
        <v>3875</v>
      </c>
      <c r="C3172" s="185" t="s">
        <v>1792</v>
      </c>
      <c r="D3172" s="185" t="s">
        <v>2531</v>
      </c>
      <c r="E3172" s="185">
        <v>24081005</v>
      </c>
      <c r="F3172" s="185" t="s">
        <v>1688</v>
      </c>
      <c r="G3172" s="185" t="s">
        <v>1414</v>
      </c>
      <c r="H3172" s="185" t="s">
        <v>1515</v>
      </c>
      <c r="I3172" s="258" t="str">
        <f t="shared" si="148"/>
        <v>2</v>
      </c>
      <c r="J3172" s="221">
        <f t="shared" si="149"/>
        <v>130650</v>
      </c>
      <c r="K3172" s="258">
        <f t="shared" si="150"/>
        <v>10</v>
      </c>
      <c r="L3172" s="188">
        <v>130650</v>
      </c>
      <c r="M3172" s="188">
        <v>0</v>
      </c>
      <c r="N3172" s="189">
        <v>830062853</v>
      </c>
      <c r="O3172" t="s">
        <v>3876</v>
      </c>
      <c r="P3172" s="187">
        <v>45231.470543981501</v>
      </c>
      <c r="Q3172" s="186">
        <v>14394</v>
      </c>
      <c r="R3172" s="185" t="s">
        <v>433</v>
      </c>
      <c r="S3172" s="185" t="s">
        <v>1564</v>
      </c>
      <c r="T3172"/>
      <c r="U3172" t="str">
        <f>IF($L3172&gt;0,VLOOKUP($E3172,Valida!$A$1:$G$270,6,FALSE),IF($M3172&gt;=0,VLOOKUP($E3172,Valida!$A$1:$G$270,7,FALSE)))</f>
        <v>(+/-) Ajustes por el incremento (disminución) de cuentas por pagar de origen comercial</v>
      </c>
      <c r="V3172" s="190" t="str">
        <f>VLOOKUP(E3172,Valida!$A$2:$K$271,4,FALSE)</f>
        <v>Trade and other payables</v>
      </c>
      <c r="W3172" s="185" t="s">
        <v>2024</v>
      </c>
      <c r="X3172" s="185" t="s">
        <v>2025</v>
      </c>
      <c r="Y3172" s="185" t="s">
        <v>1789</v>
      </c>
      <c r="Z3172"/>
    </row>
    <row r="3173" spans="1:26">
      <c r="A3173" s="185" t="s">
        <v>3615</v>
      </c>
      <c r="B3173" s="185" t="s">
        <v>3875</v>
      </c>
      <c r="C3173" s="185" t="s">
        <v>1792</v>
      </c>
      <c r="D3173" s="185" t="s">
        <v>2531</v>
      </c>
      <c r="E3173" s="185">
        <v>51952502</v>
      </c>
      <c r="F3173" s="185" t="s">
        <v>1414</v>
      </c>
      <c r="G3173" s="185" t="s">
        <v>1414</v>
      </c>
      <c r="H3173" s="185" t="s">
        <v>1515</v>
      </c>
      <c r="I3173" s="258" t="str">
        <f t="shared" si="148"/>
        <v>5</v>
      </c>
      <c r="J3173" s="221">
        <f t="shared" si="149"/>
        <v>333905</v>
      </c>
      <c r="K3173" s="258">
        <f t="shared" si="150"/>
        <v>10</v>
      </c>
      <c r="L3173" s="188">
        <v>333905</v>
      </c>
      <c r="M3173" s="188">
        <v>0</v>
      </c>
      <c r="N3173" s="189">
        <v>830062853</v>
      </c>
      <c r="O3173" t="s">
        <v>3876</v>
      </c>
      <c r="P3173" s="187">
        <v>45231.470543981501</v>
      </c>
      <c r="Q3173" s="186">
        <v>14395</v>
      </c>
      <c r="R3173" s="185" t="s">
        <v>433</v>
      </c>
      <c r="S3173" s="185" t="s">
        <v>1564</v>
      </c>
      <c r="T3173"/>
      <c r="U3173" t="str">
        <f>IF($L3173&gt;0,VLOOKUP($E3173,Valida!$A$1:$G$270,6,FALSE),IF($M3173&gt;=0,VLOOKUP($E3173,Valida!$A$1:$G$270,7,FALSE)))</f>
        <v>(+/-) Ganancia (pérdida)</v>
      </c>
      <c r="V3173" s="190" t="str">
        <f>VLOOKUP(E3173,Valida!$A$2:$K$271,4,FALSE)</f>
        <v>P&amp;L</v>
      </c>
      <c r="W3173" s="185" t="s">
        <v>2024</v>
      </c>
      <c r="X3173" s="185" t="s">
        <v>2025</v>
      </c>
      <c r="Y3173" s="185" t="s">
        <v>1789</v>
      </c>
      <c r="Z3173"/>
    </row>
    <row r="3174" spans="1:26">
      <c r="A3174" s="185" t="s">
        <v>3615</v>
      </c>
      <c r="B3174" s="185" t="s">
        <v>3875</v>
      </c>
      <c r="C3174" s="185" t="s">
        <v>1792</v>
      </c>
      <c r="D3174" s="185" t="s">
        <v>2531</v>
      </c>
      <c r="E3174" s="185">
        <v>24081001</v>
      </c>
      <c r="F3174" s="185" t="s">
        <v>1670</v>
      </c>
      <c r="G3174" s="185" t="s">
        <v>1414</v>
      </c>
      <c r="H3174" s="185" t="s">
        <v>1515</v>
      </c>
      <c r="I3174" s="258" t="str">
        <f t="shared" si="148"/>
        <v>2</v>
      </c>
      <c r="J3174" s="221">
        <f t="shared" si="149"/>
        <v>63441</v>
      </c>
      <c r="K3174" s="258">
        <f t="shared" si="150"/>
        <v>10</v>
      </c>
      <c r="L3174" s="188">
        <v>63441</v>
      </c>
      <c r="M3174" s="188">
        <v>0</v>
      </c>
      <c r="N3174" s="189">
        <v>830062853</v>
      </c>
      <c r="O3174" t="s">
        <v>3876</v>
      </c>
      <c r="P3174" s="187">
        <v>45231.470543981501</v>
      </c>
      <c r="Q3174" s="186">
        <v>14396</v>
      </c>
      <c r="R3174" s="185" t="s">
        <v>433</v>
      </c>
      <c r="S3174" s="185" t="s">
        <v>1564</v>
      </c>
      <c r="T3174"/>
      <c r="U3174" t="str">
        <f>IF($L3174&gt;0,VLOOKUP($E3174,Valida!$A$1:$G$270,6,FALSE),IF($M3174&gt;=0,VLOOKUP($E3174,Valida!$A$1:$G$270,7,FALSE)))</f>
        <v>(+/-) Ajustes por el incremento (disminución) de cuentas por pagar de origen comercial</v>
      </c>
      <c r="V3174" s="190" t="str">
        <f>VLOOKUP(E3174,Valida!$A$2:$K$271,4,FALSE)</f>
        <v>Trade and other payables</v>
      </c>
      <c r="W3174" s="185" t="s">
        <v>2024</v>
      </c>
      <c r="X3174" s="185" t="s">
        <v>2025</v>
      </c>
      <c r="Y3174" s="185" t="s">
        <v>1789</v>
      </c>
      <c r="Z3174"/>
    </row>
    <row r="3175" spans="1:26">
      <c r="A3175" s="185" t="s">
        <v>3615</v>
      </c>
      <c r="B3175" s="185" t="s">
        <v>3875</v>
      </c>
      <c r="C3175" s="185" t="s">
        <v>1792</v>
      </c>
      <c r="D3175" s="185" t="s">
        <v>2531</v>
      </c>
      <c r="E3175" s="185">
        <v>23654001</v>
      </c>
      <c r="F3175" s="185" t="s">
        <v>622</v>
      </c>
      <c r="G3175" s="185" t="s">
        <v>622</v>
      </c>
      <c r="H3175" s="185" t="s">
        <v>1628</v>
      </c>
      <c r="I3175" s="258" t="str">
        <f t="shared" si="148"/>
        <v>2</v>
      </c>
      <c r="J3175" s="221">
        <f t="shared" si="149"/>
        <v>-115457</v>
      </c>
      <c r="K3175" s="258">
        <f t="shared" si="150"/>
        <v>10</v>
      </c>
      <c r="L3175" s="188">
        <v>0</v>
      </c>
      <c r="M3175" s="188">
        <v>115457</v>
      </c>
      <c r="N3175" s="189">
        <v>830062853</v>
      </c>
      <c r="O3175" t="s">
        <v>3876</v>
      </c>
      <c r="P3175" s="187">
        <v>45231.470543981501</v>
      </c>
      <c r="Q3175" s="186">
        <v>14397</v>
      </c>
      <c r="R3175" s="185" t="s">
        <v>433</v>
      </c>
      <c r="S3175" s="185" t="s">
        <v>1564</v>
      </c>
      <c r="T3175"/>
      <c r="U3175" t="str">
        <f>IF($L3175&gt;0,VLOOKUP($E3175,Valida!$A$1:$G$270,6,FALSE),IF($M3175&gt;=0,VLOOKUP($E3175,Valida!$A$1:$G$270,7,FALSE)))</f>
        <v>(+/-) Ajustes por el incremento (disminución) de cuentas por pagar de origen comercial</v>
      </c>
      <c r="V3175" s="190" t="str">
        <f>VLOOKUP(E3175,Valida!$A$2:$K$271,4,FALSE)</f>
        <v>Trade and other payables</v>
      </c>
      <c r="W3175" s="185" t="s">
        <v>2024</v>
      </c>
      <c r="X3175" s="185" t="s">
        <v>2025</v>
      </c>
      <c r="Y3175" s="185" t="s">
        <v>1789</v>
      </c>
      <c r="Z3175"/>
    </row>
    <row r="3176" spans="1:26">
      <c r="A3176" s="185" t="s">
        <v>3615</v>
      </c>
      <c r="B3176" s="185" t="s">
        <v>3875</v>
      </c>
      <c r="C3176" s="185" t="s">
        <v>1792</v>
      </c>
      <c r="D3176" s="185" t="s">
        <v>2531</v>
      </c>
      <c r="E3176" s="185">
        <v>23680504</v>
      </c>
      <c r="F3176" s="185" t="s">
        <v>668</v>
      </c>
      <c r="G3176" s="185" t="s">
        <v>547</v>
      </c>
      <c r="H3176" s="185" t="s">
        <v>1628</v>
      </c>
      <c r="I3176" s="258" t="str">
        <f t="shared" si="148"/>
        <v>2</v>
      </c>
      <c r="J3176" s="221">
        <f t="shared" si="149"/>
        <v>-50986</v>
      </c>
      <c r="K3176" s="258">
        <f t="shared" si="150"/>
        <v>10</v>
      </c>
      <c r="L3176" s="188">
        <v>0</v>
      </c>
      <c r="M3176" s="188">
        <v>50986</v>
      </c>
      <c r="N3176" s="189">
        <v>830062853</v>
      </c>
      <c r="O3176" t="s">
        <v>3876</v>
      </c>
      <c r="P3176" s="187">
        <v>45231.470543981501</v>
      </c>
      <c r="Q3176" s="186">
        <v>14398</v>
      </c>
      <c r="R3176" s="185" t="s">
        <v>433</v>
      </c>
      <c r="S3176" s="185" t="s">
        <v>1564</v>
      </c>
      <c r="T3176"/>
      <c r="U3176" t="str">
        <f>IF($L3176&gt;0,VLOOKUP($E3176,Valida!$A$1:$G$270,6,FALSE),IF($M3176&gt;=0,VLOOKUP($E3176,Valida!$A$1:$G$270,7,FALSE)))</f>
        <v>(+/-) Ajustes por el incremento (disminución) de cuentas por pagar de origen comercial</v>
      </c>
      <c r="V3176" s="190" t="str">
        <f>VLOOKUP(E3176,Valida!$A$2:$K$271,4,FALSE)</f>
        <v>Trade and other payables</v>
      </c>
      <c r="W3176" s="185" t="s">
        <v>2024</v>
      </c>
      <c r="X3176" s="185" t="s">
        <v>2025</v>
      </c>
      <c r="Y3176" s="185" t="s">
        <v>1789</v>
      </c>
      <c r="Z3176"/>
    </row>
    <row r="3177" spans="1:26">
      <c r="A3177" s="185" t="s">
        <v>3615</v>
      </c>
      <c r="B3177" s="185" t="s">
        <v>3875</v>
      </c>
      <c r="C3177" s="185" t="s">
        <v>1792</v>
      </c>
      <c r="D3177" s="185" t="s">
        <v>2531</v>
      </c>
      <c r="E3177" s="185">
        <v>23359502</v>
      </c>
      <c r="F3177" s="185" t="s">
        <v>547</v>
      </c>
      <c r="G3177" s="185" t="s">
        <v>547</v>
      </c>
      <c r="H3177" s="185" t="s">
        <v>1628</v>
      </c>
      <c r="I3177" s="258" t="str">
        <f t="shared" si="148"/>
        <v>2</v>
      </c>
      <c r="J3177" s="221">
        <f t="shared" si="149"/>
        <v>-4963493</v>
      </c>
      <c r="K3177" s="258">
        <f t="shared" si="150"/>
        <v>10</v>
      </c>
      <c r="L3177" s="188">
        <v>0</v>
      </c>
      <c r="M3177" s="188">
        <v>4963493</v>
      </c>
      <c r="N3177" s="189">
        <v>830062853</v>
      </c>
      <c r="O3177" t="s">
        <v>3876</v>
      </c>
      <c r="P3177" s="187">
        <v>45231.470543981501</v>
      </c>
      <c r="Q3177" s="186">
        <v>14399</v>
      </c>
      <c r="R3177" s="185" t="s">
        <v>433</v>
      </c>
      <c r="S3177" s="185" t="s">
        <v>1564</v>
      </c>
      <c r="T3177"/>
      <c r="U3177" t="str">
        <f>IF($L3177&gt;0,VLOOKUP($E3177,Valida!$A$1:$G$270,6,FALSE),IF($M3177&gt;=0,VLOOKUP($E3177,Valida!$A$1:$G$270,7,FALSE)))</f>
        <v>(+/-) Ajustes por el incremento (disminución) de cuentas por pagar de origen comercial</v>
      </c>
      <c r="V3177" s="190" t="str">
        <f>VLOOKUP(E3177,Valida!$A$2:$K$271,4,FALSE)</f>
        <v>Trade and other payables</v>
      </c>
      <c r="W3177" s="185" t="s">
        <v>2024</v>
      </c>
      <c r="X3177" s="185" t="s">
        <v>2025</v>
      </c>
      <c r="Y3177" s="185" t="s">
        <v>1789</v>
      </c>
      <c r="Z3177"/>
    </row>
    <row r="3178" spans="1:26">
      <c r="A3178" s="185" t="s">
        <v>3615</v>
      </c>
      <c r="B3178" s="185" t="s">
        <v>3877</v>
      </c>
      <c r="C3178" s="185" t="s">
        <v>1785</v>
      </c>
      <c r="D3178" s="185" t="s">
        <v>3457</v>
      </c>
      <c r="E3178" s="185">
        <v>23359502</v>
      </c>
      <c r="F3178" s="185" t="s">
        <v>547</v>
      </c>
      <c r="G3178" s="185" t="s">
        <v>3878</v>
      </c>
      <c r="H3178" s="185" t="s">
        <v>1515</v>
      </c>
      <c r="I3178" s="258" t="str">
        <f t="shared" si="148"/>
        <v>2</v>
      </c>
      <c r="J3178" s="221">
        <f t="shared" si="149"/>
        <v>4963493</v>
      </c>
      <c r="K3178" s="258">
        <f t="shared" si="150"/>
        <v>10</v>
      </c>
      <c r="L3178" s="188">
        <v>4963493</v>
      </c>
      <c r="M3178" s="188">
        <v>0</v>
      </c>
      <c r="N3178" s="189">
        <v>830062853</v>
      </c>
      <c r="O3178"/>
      <c r="P3178" s="187">
        <v>45231.476412037002</v>
      </c>
      <c r="Q3178" s="186">
        <v>14400</v>
      </c>
      <c r="R3178" s="185" t="s">
        <v>433</v>
      </c>
      <c r="S3178" s="185" t="s">
        <v>1564</v>
      </c>
      <c r="T3178"/>
      <c r="U3178" t="str">
        <f>IF($L3178&gt;0,VLOOKUP($E3178,Valida!$A$1:$G$270,6,FALSE),IF($M3178&gt;=0,VLOOKUP($E3178,Valida!$A$1:$G$270,7,FALSE)))</f>
        <v>(+/-) Ajustes por el incremento (disminución) de cuentas por pagar de origen comercial</v>
      </c>
      <c r="V3178" s="190" t="str">
        <f>VLOOKUP(E3178,Valida!$A$2:$K$271,4,FALSE)</f>
        <v>Trade and other payables</v>
      </c>
      <c r="W3178" s="185" t="s">
        <v>2024</v>
      </c>
      <c r="X3178" s="185" t="s">
        <v>2025</v>
      </c>
      <c r="Y3178" s="185" t="s">
        <v>1789</v>
      </c>
      <c r="Z3178"/>
    </row>
    <row r="3179" spans="1:26">
      <c r="A3179" s="185" t="s">
        <v>3615</v>
      </c>
      <c r="B3179" s="185" t="s">
        <v>3877</v>
      </c>
      <c r="C3179" s="185" t="s">
        <v>1785</v>
      </c>
      <c r="D3179" s="185" t="s">
        <v>3457</v>
      </c>
      <c r="E3179" s="185">
        <v>13300502</v>
      </c>
      <c r="F3179" s="185" t="s">
        <v>129</v>
      </c>
      <c r="G3179" s="185" t="s">
        <v>3878</v>
      </c>
      <c r="H3179" s="185" t="s">
        <v>1628</v>
      </c>
      <c r="I3179" s="258" t="str">
        <f t="shared" si="148"/>
        <v>1</v>
      </c>
      <c r="J3179" s="221">
        <f t="shared" si="149"/>
        <v>-4963493</v>
      </c>
      <c r="K3179" s="258">
        <f t="shared" si="150"/>
        <v>10</v>
      </c>
      <c r="L3179" s="188">
        <v>0</v>
      </c>
      <c r="M3179" s="188">
        <v>4963493</v>
      </c>
      <c r="N3179" s="189">
        <v>830062853</v>
      </c>
      <c r="O3179"/>
      <c r="P3179" s="187">
        <v>45231.476412037002</v>
      </c>
      <c r="Q3179" s="186">
        <v>14401</v>
      </c>
      <c r="R3179" s="185" t="s">
        <v>433</v>
      </c>
      <c r="S3179" s="185" t="s">
        <v>1564</v>
      </c>
      <c r="T3179"/>
      <c r="U3179" t="str">
        <f>IF($L3179&gt;0,VLOOKUP($E3179,Valida!$A$1:$G$270,6,FALSE),IF($M3179&gt;=0,VLOOKUP($E3179,Valida!$A$1:$G$270,7,FALSE)))</f>
        <v>(+/-) Ajustes por disminuciones (incrementos) en otras cuentas por cobrar derivadas de las actividades de operación</v>
      </c>
      <c r="V3179" s="190" t="str">
        <f>VLOOKUP(E3179,Valida!$A$2:$K$271,4,FALSE)</f>
        <v>Trade and other receivables</v>
      </c>
      <c r="W3179" s="185" t="s">
        <v>2024</v>
      </c>
      <c r="X3179" s="185" t="s">
        <v>2025</v>
      </c>
      <c r="Y3179" s="185" t="s">
        <v>1789</v>
      </c>
      <c r="Z3179"/>
    </row>
    <row r="3180" spans="1:26">
      <c r="A3180" s="185" t="s">
        <v>3822</v>
      </c>
      <c r="B3180" s="185" t="s">
        <v>3879</v>
      </c>
      <c r="C3180" s="185" t="s">
        <v>1801</v>
      </c>
      <c r="D3180" s="185" t="s">
        <v>2937</v>
      </c>
      <c r="E3180" s="185">
        <v>130510</v>
      </c>
      <c r="F3180" s="185" t="s">
        <v>64</v>
      </c>
      <c r="G3180" s="185" t="s">
        <v>3880</v>
      </c>
      <c r="H3180" s="185" t="s">
        <v>1515</v>
      </c>
      <c r="I3180" s="258" t="str">
        <f t="shared" si="148"/>
        <v>1</v>
      </c>
      <c r="J3180" s="221">
        <f t="shared" si="149"/>
        <v>70441140</v>
      </c>
      <c r="K3180" s="258">
        <f t="shared" si="150"/>
        <v>10</v>
      </c>
      <c r="L3180" s="188">
        <v>70441140</v>
      </c>
      <c r="M3180" s="188">
        <v>0</v>
      </c>
      <c r="N3180" s="189">
        <v>374795</v>
      </c>
      <c r="O3180"/>
      <c r="P3180" s="187">
        <v>45233.391689814802</v>
      </c>
      <c r="Q3180" s="186">
        <v>14402</v>
      </c>
      <c r="R3180" s="185"/>
      <c r="S3180" s="185" t="s">
        <v>1544</v>
      </c>
      <c r="T3180"/>
      <c r="U3180" t="str">
        <f>IF($L3180&gt;0,VLOOKUP($E3180,Valida!$A$1:$G$270,6,FALSE),IF($M3180&gt;=0,VLOOKUP($E3180,Valida!$A$1:$G$270,7,FALSE)))</f>
        <v>(+/-) Ajustes por la disminución (incremento) de cuentas por cobrar de origen comercial</v>
      </c>
      <c r="V3180" s="190" t="str">
        <f>VLOOKUP(E3180,Valida!$A$2:$K$271,4,FALSE)</f>
        <v>Trade and other receivables</v>
      </c>
      <c r="W3180" s="185" t="s">
        <v>1803</v>
      </c>
      <c r="X3180" s="185"/>
      <c r="Y3180" s="185"/>
      <c r="Z3180"/>
    </row>
    <row r="3181" spans="1:26">
      <c r="A3181" s="185" t="s">
        <v>3822</v>
      </c>
      <c r="B3181" s="185" t="s">
        <v>3879</v>
      </c>
      <c r="C3181" s="185" t="s">
        <v>1801</v>
      </c>
      <c r="D3181" s="185" t="s">
        <v>2937</v>
      </c>
      <c r="E3181" s="185">
        <v>41559505</v>
      </c>
      <c r="F3181" s="185" t="s">
        <v>1708</v>
      </c>
      <c r="G3181" s="185" t="s">
        <v>3881</v>
      </c>
      <c r="H3181" s="185" t="s">
        <v>1628</v>
      </c>
      <c r="I3181" s="258" t="str">
        <f t="shared" si="148"/>
        <v>4</v>
      </c>
      <c r="J3181" s="221">
        <f t="shared" si="149"/>
        <v>-70441140</v>
      </c>
      <c r="K3181" s="258">
        <f t="shared" si="150"/>
        <v>10</v>
      </c>
      <c r="L3181" s="188">
        <v>0</v>
      </c>
      <c r="M3181" s="188">
        <v>70441140</v>
      </c>
      <c r="N3181" s="189">
        <v>374795</v>
      </c>
      <c r="O3181"/>
      <c r="P3181" s="187">
        <v>45233.391689814802</v>
      </c>
      <c r="Q3181" s="186">
        <v>14403</v>
      </c>
      <c r="R3181" s="185"/>
      <c r="S3181" s="185" t="s">
        <v>1544</v>
      </c>
      <c r="T3181"/>
      <c r="U3181" t="str">
        <f>IF($L3181&gt;0,VLOOKUP($E3181,Valida!$A$1:$G$270,6,FALSE),IF($M3181&gt;=0,VLOOKUP($E3181,Valida!$A$1:$G$270,7,FALSE)))</f>
        <v>(+/-) Ganancia (pérdida)</v>
      </c>
      <c r="V3181" s="190" t="str">
        <f>VLOOKUP(E3181,Valida!$A$2:$K$271,4,FALSE)</f>
        <v>P&amp;L</v>
      </c>
      <c r="W3181" s="185" t="s">
        <v>1803</v>
      </c>
      <c r="X3181" s="185"/>
      <c r="Y3181" s="185"/>
      <c r="Z3181"/>
    </row>
    <row r="3182" spans="1:26">
      <c r="A3182" s="185" t="s">
        <v>3450</v>
      </c>
      <c r="B3182" s="185" t="s">
        <v>3882</v>
      </c>
      <c r="C3182" s="185" t="s">
        <v>1991</v>
      </c>
      <c r="D3182" s="185" t="s">
        <v>3883</v>
      </c>
      <c r="E3182" s="185">
        <v>13552001</v>
      </c>
      <c r="F3182" s="185" t="s">
        <v>276</v>
      </c>
      <c r="G3182" s="185" t="s">
        <v>2225</v>
      </c>
      <c r="H3182" s="185" t="s">
        <v>1628</v>
      </c>
      <c r="I3182" s="258" t="str">
        <f t="shared" si="148"/>
        <v>1</v>
      </c>
      <c r="J3182" s="221">
        <f t="shared" si="149"/>
        <v>-2681000</v>
      </c>
      <c r="K3182" s="258">
        <f t="shared" si="150"/>
        <v>9</v>
      </c>
      <c r="L3182" s="188">
        <v>0</v>
      </c>
      <c r="M3182" s="188">
        <v>2681000</v>
      </c>
      <c r="N3182" s="189">
        <v>800197268</v>
      </c>
      <c r="O3182"/>
      <c r="P3182" s="187">
        <v>45237.369652777801</v>
      </c>
      <c r="Q3182" s="186">
        <v>14404</v>
      </c>
      <c r="R3182" s="185" t="s">
        <v>983</v>
      </c>
      <c r="S3182" s="185" t="s">
        <v>1558</v>
      </c>
      <c r="T3182"/>
      <c r="U3182" t="str">
        <f>IF($L3182&gt;0,VLOOKUP($E3182,Valida!$A$1:$G$270,6,FALSE),IF($M3182&gt;=0,VLOOKUP($E3182,Valida!$A$1:$G$270,7,FALSE)))</f>
        <v>(+/-) Ajustes por disminuciones (incrementos) en otras cuentas por cobrar derivadas de las actividades de operación</v>
      </c>
      <c r="V3182" s="190" t="str">
        <f>VLOOKUP(E3182,Valida!$A$2:$K$271,4,FALSE)</f>
        <v>Trade and other receivables</v>
      </c>
      <c r="W3182" s="185" t="s">
        <v>1944</v>
      </c>
      <c r="X3182" s="185"/>
      <c r="Y3182" s="185" t="s">
        <v>1789</v>
      </c>
      <c r="Z3182"/>
    </row>
    <row r="3183" spans="1:26">
      <c r="A3183" s="185" t="s">
        <v>3450</v>
      </c>
      <c r="B3183" s="185" t="s">
        <v>3882</v>
      </c>
      <c r="C3183" s="185" t="s">
        <v>1991</v>
      </c>
      <c r="D3183" s="185" t="s">
        <v>3883</v>
      </c>
      <c r="E3183" s="185">
        <v>53152004</v>
      </c>
      <c r="F3183" s="185" t="s">
        <v>1754</v>
      </c>
      <c r="G3183" s="185" t="s">
        <v>2225</v>
      </c>
      <c r="H3183" s="185" t="s">
        <v>1515</v>
      </c>
      <c r="I3183" s="258" t="str">
        <f t="shared" si="148"/>
        <v>5</v>
      </c>
      <c r="J3183" s="221">
        <f t="shared" si="149"/>
        <v>2681000</v>
      </c>
      <c r="K3183" s="258">
        <f t="shared" si="150"/>
        <v>9</v>
      </c>
      <c r="L3183" s="188">
        <v>2681000</v>
      </c>
      <c r="M3183" s="188">
        <v>0</v>
      </c>
      <c r="N3183" s="189">
        <v>800197268</v>
      </c>
      <c r="O3183"/>
      <c r="P3183" s="187">
        <v>45237.369652777801</v>
      </c>
      <c r="Q3183" s="186">
        <v>14405</v>
      </c>
      <c r="R3183" s="185" t="s">
        <v>983</v>
      </c>
      <c r="S3183" s="185" t="s">
        <v>1558</v>
      </c>
      <c r="T3183"/>
      <c r="U3183" t="str">
        <f>IF($L3183&gt;0,VLOOKUP($E3183,Valida!$A$1:$G$270,6,FALSE),IF($M3183&gt;=0,VLOOKUP($E3183,Valida!$A$1:$G$270,7,FALSE)))</f>
        <v>(+/-) Ganancia (pérdida)</v>
      </c>
      <c r="V3183" s="190" t="str">
        <f>VLOOKUP(E3183,Valida!$A$2:$K$271,4,FALSE)</f>
        <v>P&amp;L</v>
      </c>
      <c r="W3183" s="185" t="s">
        <v>1944</v>
      </c>
      <c r="X3183" s="185"/>
      <c r="Y3183" s="185" t="s">
        <v>1789</v>
      </c>
      <c r="Z3183"/>
    </row>
    <row r="3184" spans="1:26">
      <c r="A3184" s="185" t="s">
        <v>3450</v>
      </c>
      <c r="B3184" s="185" t="s">
        <v>3884</v>
      </c>
      <c r="C3184" s="185" t="s">
        <v>1991</v>
      </c>
      <c r="D3184" s="185" t="s">
        <v>3885</v>
      </c>
      <c r="E3184" s="185">
        <v>310505</v>
      </c>
      <c r="F3184" s="185" t="s">
        <v>851</v>
      </c>
      <c r="G3184" s="185" t="s">
        <v>3886</v>
      </c>
      <c r="H3184" s="185" t="s">
        <v>1628</v>
      </c>
      <c r="I3184" s="258" t="str">
        <f t="shared" si="148"/>
        <v>3</v>
      </c>
      <c r="J3184" s="221">
        <f t="shared" si="149"/>
        <v>-100000000</v>
      </c>
      <c r="K3184" s="258">
        <f t="shared" si="150"/>
        <v>9</v>
      </c>
      <c r="L3184" s="188">
        <v>0</v>
      </c>
      <c r="M3184" s="188">
        <v>100000000</v>
      </c>
      <c r="N3184" s="189">
        <v>1130744136</v>
      </c>
      <c r="O3184"/>
      <c r="P3184" s="187">
        <v>45237.377997685202</v>
      </c>
      <c r="Q3184" s="186">
        <v>14406</v>
      </c>
      <c r="R3184" s="185"/>
      <c r="S3184" s="185" t="s">
        <v>1538</v>
      </c>
      <c r="T3184"/>
      <c r="U3184" t="str">
        <f>IF($L3184&gt;0,VLOOKUP($E3184,Valida!$A$1:$G$270,6,FALSE),IF($M3184&gt;=0,VLOOKUP($E3184,Valida!$A$1:$G$270,7,FALSE)))</f>
        <v>(+) Importes procedentes de aumento de capital y/o recolocación de acciones</v>
      </c>
      <c r="V3184" s="190" t="str">
        <f>VLOOKUP(E3184,Valida!$A$2:$K$271,4,FALSE)</f>
        <v>Share capital</v>
      </c>
      <c r="W3184" s="185" t="s">
        <v>1909</v>
      </c>
      <c r="X3184" s="185" t="s">
        <v>1910</v>
      </c>
      <c r="Y3184" s="185" t="s">
        <v>1789</v>
      </c>
      <c r="Z3184"/>
    </row>
    <row r="3185" spans="1:26">
      <c r="A3185" s="185" t="s">
        <v>3450</v>
      </c>
      <c r="B3185" s="185" t="s">
        <v>3884</v>
      </c>
      <c r="C3185" s="185" t="s">
        <v>1991</v>
      </c>
      <c r="D3185" s="185" t="s">
        <v>3885</v>
      </c>
      <c r="E3185" s="185">
        <v>310510</v>
      </c>
      <c r="F3185" s="185" t="s">
        <v>853</v>
      </c>
      <c r="G3185" s="185" t="s">
        <v>3886</v>
      </c>
      <c r="H3185" s="185" t="s">
        <v>1515</v>
      </c>
      <c r="I3185" s="258" t="str">
        <f t="shared" si="148"/>
        <v>3</v>
      </c>
      <c r="J3185" s="221">
        <f t="shared" si="149"/>
        <v>100000000</v>
      </c>
      <c r="K3185" s="258">
        <f t="shared" si="150"/>
        <v>9</v>
      </c>
      <c r="L3185" s="188">
        <v>100000000</v>
      </c>
      <c r="M3185" s="188">
        <v>0</v>
      </c>
      <c r="N3185" s="189">
        <v>1130744136</v>
      </c>
      <c r="O3185"/>
      <c r="P3185" s="187">
        <v>45237.377997685202</v>
      </c>
      <c r="Q3185" s="186">
        <v>14407</v>
      </c>
      <c r="R3185" s="185"/>
      <c r="S3185" s="185" t="s">
        <v>1538</v>
      </c>
      <c r="T3185"/>
      <c r="U3185" t="str">
        <f>IF($L3185&gt;0,VLOOKUP($E3185,Valida!$A$1:$G$270,6,FALSE),IF($M3185&gt;=0,VLOOKUP($E3185,Valida!$A$1:$G$270,7,FALSE)))</f>
        <v>(-) Disminución de capital social y/o readquisición de acciones</v>
      </c>
      <c r="V3185" s="190" t="str">
        <f>VLOOKUP(E3185,Valida!$A$2:$K$271,4,FALSE)</f>
        <v>Share capital</v>
      </c>
      <c r="W3185" s="185" t="s">
        <v>1909</v>
      </c>
      <c r="X3185" s="185" t="s">
        <v>1910</v>
      </c>
      <c r="Y3185" s="185" t="s">
        <v>1789</v>
      </c>
      <c r="Z3185"/>
    </row>
    <row r="3186" spans="1:26">
      <c r="A3186" s="185" t="s">
        <v>3450</v>
      </c>
      <c r="B3186" s="185" t="s">
        <v>3884</v>
      </c>
      <c r="C3186" s="185" t="s">
        <v>1991</v>
      </c>
      <c r="D3186" s="185" t="s">
        <v>3885</v>
      </c>
      <c r="E3186" s="185">
        <v>131015</v>
      </c>
      <c r="F3186" s="185" t="s">
        <v>77</v>
      </c>
      <c r="G3186" s="185" t="s">
        <v>3886</v>
      </c>
      <c r="H3186" s="185" t="s">
        <v>1515</v>
      </c>
      <c r="I3186" s="258" t="str">
        <f t="shared" si="148"/>
        <v>1</v>
      </c>
      <c r="J3186" s="221">
        <f t="shared" si="149"/>
        <v>100600000</v>
      </c>
      <c r="K3186" s="258">
        <f t="shared" si="150"/>
        <v>9</v>
      </c>
      <c r="L3186" s="188">
        <v>100600000</v>
      </c>
      <c r="M3186" s="188">
        <v>0</v>
      </c>
      <c r="N3186" s="189">
        <v>1130744136</v>
      </c>
      <c r="O3186"/>
      <c r="P3186" s="187">
        <v>45237.377997685202</v>
      </c>
      <c r="Q3186" s="186">
        <v>14408</v>
      </c>
      <c r="R3186" s="185"/>
      <c r="S3186" s="185" t="s">
        <v>1538</v>
      </c>
      <c r="T3186"/>
      <c r="U3186" t="str">
        <f>IF($L3186&gt;0,VLOOKUP($E3186,Valida!$A$1:$G$270,6,FALSE),IF($M3186&gt;=0,VLOOKUP($E3186,Valida!$A$1:$G$270,7,FALSE)))</f>
        <v>(+/-) Ajustes por disminuciones (incrementos) en otras cuentas por cobrar derivadas de las actividades de operación</v>
      </c>
      <c r="V3186" s="190" t="str">
        <f>VLOOKUP(E3186,Valida!$A$2:$K$271,4,FALSE)</f>
        <v>Trade and other receivables</v>
      </c>
      <c r="W3186" s="185" t="s">
        <v>1909</v>
      </c>
      <c r="X3186" s="185" t="s">
        <v>1910</v>
      </c>
      <c r="Y3186" s="185" t="s">
        <v>1789</v>
      </c>
      <c r="Z3186"/>
    </row>
    <row r="3187" spans="1:26">
      <c r="A3187" s="185" t="s">
        <v>3450</v>
      </c>
      <c r="B3187" s="185" t="s">
        <v>3884</v>
      </c>
      <c r="C3187" s="185" t="s">
        <v>1991</v>
      </c>
      <c r="D3187" s="185" t="s">
        <v>3885</v>
      </c>
      <c r="E3187" s="185">
        <v>310510</v>
      </c>
      <c r="F3187" s="185" t="s">
        <v>853</v>
      </c>
      <c r="G3187" s="185" t="s">
        <v>3886</v>
      </c>
      <c r="H3187" s="185" t="s">
        <v>1628</v>
      </c>
      <c r="I3187" s="258" t="str">
        <f t="shared" si="148"/>
        <v>3</v>
      </c>
      <c r="J3187" s="221">
        <f t="shared" si="149"/>
        <v>-100600000</v>
      </c>
      <c r="K3187" s="258">
        <f t="shared" si="150"/>
        <v>9</v>
      </c>
      <c r="L3187" s="188">
        <v>0</v>
      </c>
      <c r="M3187" s="188">
        <v>100600000</v>
      </c>
      <c r="N3187" s="189">
        <v>1130744136</v>
      </c>
      <c r="O3187"/>
      <c r="P3187" s="187">
        <v>45237.377997685202</v>
      </c>
      <c r="Q3187" s="186">
        <v>14409</v>
      </c>
      <c r="R3187" s="185"/>
      <c r="S3187" s="185" t="s">
        <v>1538</v>
      </c>
      <c r="T3187"/>
      <c r="U3187" t="str">
        <f>IF($L3187&gt;0,VLOOKUP($E3187,Valida!$A$1:$G$270,6,FALSE),IF($M3187&gt;=0,VLOOKUP($E3187,Valida!$A$1:$G$270,7,FALSE)))</f>
        <v>(+) Importes procedentes de aumento de capital y/o recolocación de acciones</v>
      </c>
      <c r="V3187" s="190" t="str">
        <f>VLOOKUP(E3187,Valida!$A$2:$K$271,4,FALSE)</f>
        <v>Share capital</v>
      </c>
      <c r="W3187" s="185" t="s">
        <v>1909</v>
      </c>
      <c r="X3187" s="185" t="s">
        <v>1910</v>
      </c>
      <c r="Y3187" s="185" t="s">
        <v>1789</v>
      </c>
      <c r="Z3187"/>
    </row>
    <row r="3188" spans="1:26">
      <c r="A3188" s="185" t="s">
        <v>3450</v>
      </c>
      <c r="B3188" s="185" t="s">
        <v>3884</v>
      </c>
      <c r="C3188" s="185" t="s">
        <v>1991</v>
      </c>
      <c r="D3188" s="185" t="s">
        <v>3885</v>
      </c>
      <c r="E3188" s="185">
        <v>219505</v>
      </c>
      <c r="F3188" s="185" t="s">
        <v>1630</v>
      </c>
      <c r="G3188" s="185" t="s">
        <v>3886</v>
      </c>
      <c r="H3188" s="185" t="s">
        <v>1515</v>
      </c>
      <c r="I3188" s="258" t="str">
        <f t="shared" si="148"/>
        <v>2</v>
      </c>
      <c r="J3188" s="221">
        <f t="shared" si="149"/>
        <v>100600000</v>
      </c>
      <c r="K3188" s="258">
        <f t="shared" si="150"/>
        <v>9</v>
      </c>
      <c r="L3188" s="188">
        <v>100600000</v>
      </c>
      <c r="M3188" s="188">
        <v>0</v>
      </c>
      <c r="N3188" s="189">
        <v>1130744136</v>
      </c>
      <c r="O3188"/>
      <c r="P3188" s="187">
        <v>45237.377997685202</v>
      </c>
      <c r="Q3188" s="186">
        <v>14410</v>
      </c>
      <c r="R3188" s="185"/>
      <c r="S3188" s="185" t="s">
        <v>1538</v>
      </c>
      <c r="T3188"/>
      <c r="U3188" t="str">
        <f>IF($L3188&gt;0,VLOOKUP($E3188,Valida!$A$1:$G$270,6,FALSE),IF($M3188&gt;=0,VLOOKUP($E3188,Valida!$A$1:$G$270,7,FALSE)))</f>
        <v>(-) Reembolsos de préstamos</v>
      </c>
      <c r="V3188" s="190" t="str">
        <f>VLOOKUP(E3188,Valida!$A$2:$K$271,4,FALSE)</f>
        <v>short-term borrowings</v>
      </c>
      <c r="W3188" s="185" t="s">
        <v>1909</v>
      </c>
      <c r="X3188" s="185" t="s">
        <v>1910</v>
      </c>
      <c r="Y3188" s="185" t="s">
        <v>1789</v>
      </c>
      <c r="Z3188"/>
    </row>
    <row r="3189" spans="1:26">
      <c r="A3189" s="185" t="s">
        <v>3450</v>
      </c>
      <c r="B3189" s="185" t="s">
        <v>3884</v>
      </c>
      <c r="C3189" s="185" t="s">
        <v>1991</v>
      </c>
      <c r="D3189" s="185" t="s">
        <v>3885</v>
      </c>
      <c r="E3189" s="185">
        <v>131015</v>
      </c>
      <c r="F3189" s="185" t="s">
        <v>77</v>
      </c>
      <c r="G3189" s="185" t="s">
        <v>3886</v>
      </c>
      <c r="H3189" s="185" t="s">
        <v>1628</v>
      </c>
      <c r="I3189" s="258" t="str">
        <f t="shared" si="148"/>
        <v>1</v>
      </c>
      <c r="J3189" s="221">
        <f t="shared" si="149"/>
        <v>-100600000</v>
      </c>
      <c r="K3189" s="258">
        <f t="shared" si="150"/>
        <v>9</v>
      </c>
      <c r="L3189" s="188">
        <v>0</v>
      </c>
      <c r="M3189" s="188">
        <v>100600000</v>
      </c>
      <c r="N3189" s="189">
        <v>1130744136</v>
      </c>
      <c r="O3189"/>
      <c r="P3189" s="187">
        <v>45237.377997685202</v>
      </c>
      <c r="Q3189" s="186">
        <v>14411</v>
      </c>
      <c r="R3189" s="185"/>
      <c r="S3189" s="185" t="s">
        <v>1538</v>
      </c>
      <c r="T3189"/>
      <c r="U3189" t="str">
        <f>IF($L3189&gt;0,VLOOKUP($E3189,Valida!$A$1:$G$270,6,FALSE),IF($M3189&gt;=0,VLOOKUP($E3189,Valida!$A$1:$G$270,7,FALSE)))</f>
        <v>(+/-) Ajustes por disminuciones (incrementos) en otras cuentas por cobrar derivadas de las actividades de operación</v>
      </c>
      <c r="V3189" s="190" t="str">
        <f>VLOOKUP(E3189,Valida!$A$2:$K$271,4,FALSE)</f>
        <v>Trade and other receivables</v>
      </c>
      <c r="W3189" s="185" t="s">
        <v>1909</v>
      </c>
      <c r="X3189" s="185" t="s">
        <v>1910</v>
      </c>
      <c r="Y3189" s="185" t="s">
        <v>1789</v>
      </c>
      <c r="Z3189"/>
    </row>
    <row r="3190" spans="1:26">
      <c r="A3190" s="185" t="s">
        <v>3450</v>
      </c>
      <c r="B3190" s="185" t="s">
        <v>3887</v>
      </c>
      <c r="C3190" s="185" t="s">
        <v>1991</v>
      </c>
      <c r="D3190" s="185" t="s">
        <v>3888</v>
      </c>
      <c r="E3190" s="185">
        <v>131015</v>
      </c>
      <c r="F3190" s="185" t="s">
        <v>77</v>
      </c>
      <c r="G3190" s="185" t="s">
        <v>3886</v>
      </c>
      <c r="H3190" s="185" t="s">
        <v>1628</v>
      </c>
      <c r="I3190" s="258" t="str">
        <f t="shared" si="148"/>
        <v>1</v>
      </c>
      <c r="J3190" s="221">
        <f t="shared" si="149"/>
        <v>0</v>
      </c>
      <c r="K3190" s="258">
        <f t="shared" si="150"/>
        <v>9</v>
      </c>
      <c r="L3190" s="188">
        <v>0</v>
      </c>
      <c r="M3190" s="188">
        <v>0</v>
      </c>
      <c r="N3190" s="189">
        <v>1130744136</v>
      </c>
      <c r="O3190"/>
      <c r="P3190" s="187">
        <v>45237.378564814797</v>
      </c>
      <c r="Q3190" s="186">
        <v>14412</v>
      </c>
      <c r="R3190" s="185"/>
      <c r="S3190" s="185" t="s">
        <v>1538</v>
      </c>
      <c r="T3190"/>
      <c r="U3190" t="str">
        <f>IF($L3190&gt;0,VLOOKUP($E3190,Valida!$A$1:$G$270,6,FALSE),IF($M3190&gt;=0,VLOOKUP($E3190,Valida!$A$1:$G$270,7,FALSE)))</f>
        <v>(+/-) Ajustes por disminuciones (incrementos) en otras cuentas por cobrar derivadas de las actividades de operación</v>
      </c>
      <c r="V3190" s="190" t="str">
        <f>VLOOKUP(E3190,Valida!$A$2:$K$271,4,FALSE)</f>
        <v>Trade and other receivables</v>
      </c>
      <c r="W3190" s="185" t="s">
        <v>1909</v>
      </c>
      <c r="X3190" s="185" t="s">
        <v>1910</v>
      </c>
      <c r="Y3190" s="185" t="s">
        <v>1789</v>
      </c>
      <c r="Z3190"/>
    </row>
    <row r="3191" spans="1:26">
      <c r="A3191" s="185" t="s">
        <v>3822</v>
      </c>
      <c r="B3191" s="185" t="s">
        <v>3889</v>
      </c>
      <c r="C3191" s="185" t="s">
        <v>2045</v>
      </c>
      <c r="D3191" s="185" t="s">
        <v>3890</v>
      </c>
      <c r="E3191" s="185">
        <v>23355002</v>
      </c>
      <c r="F3191" s="185" t="s">
        <v>506</v>
      </c>
      <c r="G3191" s="185" t="s">
        <v>3891</v>
      </c>
      <c r="H3191" s="185" t="s">
        <v>1628</v>
      </c>
      <c r="I3191" s="258" t="str">
        <f t="shared" si="148"/>
        <v>2</v>
      </c>
      <c r="J3191" s="221">
        <f t="shared" si="149"/>
        <v>-97459.92</v>
      </c>
      <c r="K3191" s="258">
        <f t="shared" si="150"/>
        <v>10</v>
      </c>
      <c r="L3191" s="188">
        <v>0</v>
      </c>
      <c r="M3191" s="188">
        <v>97459.92</v>
      </c>
      <c r="N3191" s="189">
        <v>440493581</v>
      </c>
      <c r="O3191" t="s">
        <v>3892</v>
      </c>
      <c r="P3191" s="187">
        <v>45238.386782407397</v>
      </c>
      <c r="Q3191" s="186">
        <v>14413</v>
      </c>
      <c r="R3191" s="185"/>
      <c r="S3191" s="185" t="s">
        <v>1546</v>
      </c>
      <c r="T3191"/>
      <c r="U3191" t="str">
        <f>IF($L3191&gt;0,VLOOKUP($E3191,Valida!$A$1:$G$270,6,FALSE),IF($M3191&gt;=0,VLOOKUP($E3191,Valida!$A$1:$G$270,7,FALSE)))</f>
        <v>(+/-) Ajustes por el incremento (disminución) de cuentas por pagar de origen comercial</v>
      </c>
      <c r="V3191" s="190" t="str">
        <f>VLOOKUP(E3191,Valida!$A$2:$K$271,4,FALSE)</f>
        <v>Trade and other payables</v>
      </c>
      <c r="W3191" s="185" t="s">
        <v>1808</v>
      </c>
      <c r="X3191" s="185"/>
      <c r="Y3191" s="185"/>
      <c r="Z3191"/>
    </row>
    <row r="3192" spans="1:26">
      <c r="A3192" s="185" t="s">
        <v>3822</v>
      </c>
      <c r="B3192" s="185" t="s">
        <v>3889</v>
      </c>
      <c r="C3192" s="185" t="s">
        <v>2045</v>
      </c>
      <c r="D3192" s="185" t="s">
        <v>3890</v>
      </c>
      <c r="E3192" s="185">
        <v>51352001</v>
      </c>
      <c r="F3192" s="185" t="s">
        <v>1267</v>
      </c>
      <c r="G3192" s="185" t="s">
        <v>3893</v>
      </c>
      <c r="H3192" s="185" t="s">
        <v>1515</v>
      </c>
      <c r="I3192" s="258" t="str">
        <f t="shared" si="148"/>
        <v>5</v>
      </c>
      <c r="J3192" s="221">
        <f t="shared" si="149"/>
        <v>97459.92</v>
      </c>
      <c r="K3192" s="258">
        <f t="shared" si="150"/>
        <v>10</v>
      </c>
      <c r="L3192" s="188">
        <v>97459.92</v>
      </c>
      <c r="M3192" s="188">
        <v>0</v>
      </c>
      <c r="N3192" s="189">
        <v>440493581</v>
      </c>
      <c r="O3192" t="s">
        <v>3892</v>
      </c>
      <c r="P3192" s="187">
        <v>45238.386782407397</v>
      </c>
      <c r="Q3192" s="186">
        <v>14414</v>
      </c>
      <c r="R3192" s="185"/>
      <c r="S3192" s="185" t="s">
        <v>1546</v>
      </c>
      <c r="T3192"/>
      <c r="U3192" t="str">
        <f>IF($L3192&gt;0,VLOOKUP($E3192,Valida!$A$1:$G$270,6,FALSE),IF($M3192&gt;=0,VLOOKUP($E3192,Valida!$A$1:$G$270,7,FALSE)))</f>
        <v>(+/-) Ganancia (pérdida)</v>
      </c>
      <c r="V3192" s="190" t="str">
        <f>VLOOKUP(E3192,Valida!$A$2:$K$271,4,FALSE)</f>
        <v>P&amp;L</v>
      </c>
      <c r="W3192" s="185" t="s">
        <v>1808</v>
      </c>
      <c r="X3192" s="185"/>
      <c r="Y3192" s="185"/>
      <c r="Z3192"/>
    </row>
    <row r="3193" spans="1:26">
      <c r="A3193" s="185" t="s">
        <v>3822</v>
      </c>
      <c r="B3193" s="185" t="s">
        <v>3894</v>
      </c>
      <c r="C3193" s="185" t="s">
        <v>1792</v>
      </c>
      <c r="D3193" s="185" t="s">
        <v>2533</v>
      </c>
      <c r="E3193" s="185">
        <v>510551</v>
      </c>
      <c r="F3193" s="185" t="s">
        <v>799</v>
      </c>
      <c r="G3193" s="185" t="s">
        <v>3895</v>
      </c>
      <c r="H3193" s="185" t="s">
        <v>1515</v>
      </c>
      <c r="I3193" s="258" t="str">
        <f t="shared" si="148"/>
        <v>5</v>
      </c>
      <c r="J3193" s="221">
        <f t="shared" si="149"/>
        <v>199650</v>
      </c>
      <c r="K3193" s="258">
        <f t="shared" si="150"/>
        <v>10</v>
      </c>
      <c r="L3193" s="188">
        <v>199650</v>
      </c>
      <c r="M3193" s="188">
        <v>0</v>
      </c>
      <c r="N3193" s="189">
        <v>800069933</v>
      </c>
      <c r="O3193" t="s">
        <v>3896</v>
      </c>
      <c r="P3193" s="187">
        <v>45238.469837962999</v>
      </c>
      <c r="Q3193" s="186">
        <v>14415</v>
      </c>
      <c r="R3193" s="185" t="s">
        <v>1901</v>
      </c>
      <c r="S3193" s="185" t="s">
        <v>1728</v>
      </c>
      <c r="T3193"/>
      <c r="U3193" t="str">
        <f>IF($L3193&gt;0,VLOOKUP($E3193,Valida!$A$1:$G$270,6,FALSE),IF($M3193&gt;=0,VLOOKUP($E3193,Valida!$A$1:$G$270,7,FALSE)))</f>
        <v>(+/-) Ganancia (pérdida)</v>
      </c>
      <c r="V3193" s="190" t="str">
        <f>VLOOKUP(E3193,Valida!$A$2:$K$271,4,FALSE)</f>
        <v>P&amp;L</v>
      </c>
      <c r="W3193" s="185" t="s">
        <v>3897</v>
      </c>
      <c r="X3193" s="185" t="s">
        <v>3898</v>
      </c>
      <c r="Y3193" s="185" t="s">
        <v>1789</v>
      </c>
      <c r="Z3193"/>
    </row>
    <row r="3194" spans="1:26">
      <c r="A3194" s="185" t="s">
        <v>3822</v>
      </c>
      <c r="B3194" s="185" t="s">
        <v>3894</v>
      </c>
      <c r="C3194" s="185" t="s">
        <v>1792</v>
      </c>
      <c r="D3194" s="185" t="s">
        <v>2533</v>
      </c>
      <c r="E3194" s="185">
        <v>133015</v>
      </c>
      <c r="F3194" s="185" t="s">
        <v>138</v>
      </c>
      <c r="G3194" s="185" t="s">
        <v>3895</v>
      </c>
      <c r="H3194" s="185" t="s">
        <v>1628</v>
      </c>
      <c r="I3194" s="258" t="str">
        <f t="shared" si="148"/>
        <v>1</v>
      </c>
      <c r="J3194" s="221">
        <f t="shared" si="149"/>
        <v>-200000</v>
      </c>
      <c r="K3194" s="258">
        <f t="shared" si="150"/>
        <v>10</v>
      </c>
      <c r="L3194" s="188">
        <v>0</v>
      </c>
      <c r="M3194" s="188">
        <v>200000</v>
      </c>
      <c r="N3194" s="189">
        <v>1130744136</v>
      </c>
      <c r="O3194" t="s">
        <v>3896</v>
      </c>
      <c r="P3194" s="187">
        <v>45238.469837962999</v>
      </c>
      <c r="Q3194" s="186">
        <v>14416</v>
      </c>
      <c r="R3194" s="185"/>
      <c r="S3194" s="185" t="s">
        <v>1538</v>
      </c>
      <c r="T3194"/>
      <c r="U3194" t="str">
        <f>IF($L3194&gt;0,VLOOKUP($E3194,Valida!$A$1:$G$270,6,FALSE),IF($M3194&gt;=0,VLOOKUP($E3194,Valida!$A$1:$G$270,7,FALSE)))</f>
        <v>(+/-) Ajustes por disminuciones (incrementos) en otras cuentas por cobrar derivadas de las actividades de operación</v>
      </c>
      <c r="V3194" s="190" t="str">
        <f>VLOOKUP(E3194,Valida!$A$2:$K$271,4,FALSE)</f>
        <v>Trade and other receivables</v>
      </c>
      <c r="W3194" s="185" t="s">
        <v>1909</v>
      </c>
      <c r="X3194" s="185" t="s">
        <v>1910</v>
      </c>
      <c r="Y3194" s="185" t="s">
        <v>1789</v>
      </c>
      <c r="Z3194"/>
    </row>
    <row r="3195" spans="1:26">
      <c r="A3195" s="185" t="s">
        <v>3822</v>
      </c>
      <c r="B3195" s="185" t="s">
        <v>3894</v>
      </c>
      <c r="C3195" s="185" t="s">
        <v>1792</v>
      </c>
      <c r="D3195" s="185" t="s">
        <v>2533</v>
      </c>
      <c r="E3195" s="185">
        <v>53059510</v>
      </c>
      <c r="F3195" s="185" t="s">
        <v>1065</v>
      </c>
      <c r="G3195" s="185" t="s">
        <v>3895</v>
      </c>
      <c r="H3195" s="185" t="s">
        <v>1515</v>
      </c>
      <c r="I3195" s="258" t="str">
        <f t="shared" si="148"/>
        <v>5</v>
      </c>
      <c r="J3195" s="221">
        <f t="shared" si="149"/>
        <v>350</v>
      </c>
      <c r="K3195" s="258">
        <f t="shared" si="150"/>
        <v>10</v>
      </c>
      <c r="L3195" s="188">
        <v>350</v>
      </c>
      <c r="M3195" s="188">
        <v>0</v>
      </c>
      <c r="N3195" s="189">
        <v>800069933</v>
      </c>
      <c r="O3195" t="s">
        <v>3896</v>
      </c>
      <c r="P3195" s="187">
        <v>45238.469837962999</v>
      </c>
      <c r="Q3195" s="186">
        <v>14417</v>
      </c>
      <c r="R3195" s="185" t="s">
        <v>1901</v>
      </c>
      <c r="S3195" s="185" t="s">
        <v>1728</v>
      </c>
      <c r="T3195"/>
      <c r="U3195" t="str">
        <f>IF($L3195&gt;0,VLOOKUP($E3195,Valida!$A$1:$G$270,6,FALSE),IF($M3195&gt;=0,VLOOKUP($E3195,Valida!$A$1:$G$270,7,FALSE)))</f>
        <v>(+/-) Ganancia (pérdida)</v>
      </c>
      <c r="V3195" s="190" t="str">
        <f>VLOOKUP(E3195,Valida!$A$2:$K$271,4,FALSE)</f>
        <v>P&amp;L</v>
      </c>
      <c r="W3195" s="185" t="s">
        <v>3897</v>
      </c>
      <c r="X3195" s="185" t="s">
        <v>3898</v>
      </c>
      <c r="Y3195" s="185" t="s">
        <v>1789</v>
      </c>
      <c r="Z3195"/>
    </row>
    <row r="3196" spans="1:26">
      <c r="A3196" s="185" t="s">
        <v>3822</v>
      </c>
      <c r="B3196" s="185" t="s">
        <v>3899</v>
      </c>
      <c r="C3196" s="185" t="s">
        <v>1792</v>
      </c>
      <c r="D3196" s="185" t="s">
        <v>2535</v>
      </c>
      <c r="E3196" s="185">
        <v>510551</v>
      </c>
      <c r="F3196" s="185" t="s">
        <v>799</v>
      </c>
      <c r="G3196" s="185" t="s">
        <v>3900</v>
      </c>
      <c r="H3196" s="185" t="s">
        <v>1515</v>
      </c>
      <c r="I3196" s="258" t="str">
        <f t="shared" si="148"/>
        <v>5</v>
      </c>
      <c r="J3196" s="221">
        <f t="shared" si="149"/>
        <v>199900</v>
      </c>
      <c r="K3196" s="258">
        <f t="shared" si="150"/>
        <v>10</v>
      </c>
      <c r="L3196" s="188">
        <v>199900</v>
      </c>
      <c r="M3196" s="188">
        <v>0</v>
      </c>
      <c r="N3196" s="189">
        <v>860516806</v>
      </c>
      <c r="O3196" t="s">
        <v>3901</v>
      </c>
      <c r="P3196" s="187">
        <v>45238.480057870402</v>
      </c>
      <c r="Q3196" s="186">
        <v>14418</v>
      </c>
      <c r="R3196" s="185"/>
      <c r="S3196" s="185" t="s">
        <v>1674</v>
      </c>
      <c r="T3196"/>
      <c r="U3196" t="str">
        <f>IF($L3196&gt;0,VLOOKUP($E3196,Valida!$A$1:$G$270,6,FALSE),IF($M3196&gt;=0,VLOOKUP($E3196,Valida!$A$1:$G$270,7,FALSE)))</f>
        <v>(+/-) Ganancia (pérdida)</v>
      </c>
      <c r="V3196" s="190" t="str">
        <f>VLOOKUP(E3196,Valida!$A$2:$K$271,4,FALSE)</f>
        <v>P&amp;L</v>
      </c>
      <c r="W3196" s="185" t="s">
        <v>3902</v>
      </c>
      <c r="X3196" s="185" t="s">
        <v>3903</v>
      </c>
      <c r="Y3196" s="185" t="s">
        <v>1789</v>
      </c>
      <c r="Z3196"/>
    </row>
    <row r="3197" spans="1:26">
      <c r="A3197" s="185" t="s">
        <v>3822</v>
      </c>
      <c r="B3197" s="185" t="s">
        <v>3899</v>
      </c>
      <c r="C3197" s="185" t="s">
        <v>1792</v>
      </c>
      <c r="D3197" s="185" t="s">
        <v>2535</v>
      </c>
      <c r="E3197" s="185">
        <v>133015</v>
      </c>
      <c r="F3197" s="185" t="s">
        <v>138</v>
      </c>
      <c r="G3197" s="185" t="s">
        <v>3900</v>
      </c>
      <c r="H3197" s="185" t="s">
        <v>1628</v>
      </c>
      <c r="I3197" s="258" t="str">
        <f t="shared" si="148"/>
        <v>1</v>
      </c>
      <c r="J3197" s="221">
        <f t="shared" si="149"/>
        <v>-200000</v>
      </c>
      <c r="K3197" s="258">
        <f t="shared" si="150"/>
        <v>10</v>
      </c>
      <c r="L3197" s="188">
        <v>0</v>
      </c>
      <c r="M3197" s="188">
        <v>200000</v>
      </c>
      <c r="N3197" s="189">
        <v>1000018061</v>
      </c>
      <c r="O3197" t="s">
        <v>3901</v>
      </c>
      <c r="P3197" s="187">
        <v>45238.480057870402</v>
      </c>
      <c r="Q3197" s="186">
        <v>14419</v>
      </c>
      <c r="R3197" s="185"/>
      <c r="S3197" s="185" t="s">
        <v>1522</v>
      </c>
      <c r="T3197"/>
      <c r="U3197" t="str">
        <f>IF($L3197&gt;0,VLOOKUP($E3197,Valida!$A$1:$G$270,6,FALSE),IF($M3197&gt;=0,VLOOKUP($E3197,Valida!$A$1:$G$270,7,FALSE)))</f>
        <v>(+/-) Ajustes por disminuciones (incrementos) en otras cuentas por cobrar derivadas de las actividades de operación</v>
      </c>
      <c r="V3197" s="190" t="str">
        <f>VLOOKUP(E3197,Valida!$A$2:$K$271,4,FALSE)</f>
        <v>Trade and other receivables</v>
      </c>
      <c r="W3197" s="185" t="s">
        <v>1978</v>
      </c>
      <c r="X3197" s="185"/>
      <c r="Y3197" s="185" t="s">
        <v>1789</v>
      </c>
      <c r="Z3197"/>
    </row>
    <row r="3198" spans="1:26">
      <c r="A3198" s="185" t="s">
        <v>3822</v>
      </c>
      <c r="B3198" s="185" t="s">
        <v>3899</v>
      </c>
      <c r="C3198" s="185" t="s">
        <v>1792</v>
      </c>
      <c r="D3198" s="185" t="s">
        <v>2535</v>
      </c>
      <c r="E3198" s="185">
        <v>53059510</v>
      </c>
      <c r="F3198" s="185" t="s">
        <v>1065</v>
      </c>
      <c r="G3198" s="185" t="s">
        <v>3900</v>
      </c>
      <c r="H3198" s="185" t="s">
        <v>1515</v>
      </c>
      <c r="I3198" s="258" t="str">
        <f t="shared" si="148"/>
        <v>5</v>
      </c>
      <c r="J3198" s="221">
        <f t="shared" si="149"/>
        <v>100</v>
      </c>
      <c r="K3198" s="258">
        <f t="shared" si="150"/>
        <v>10</v>
      </c>
      <c r="L3198" s="188">
        <v>100</v>
      </c>
      <c r="M3198" s="188">
        <v>0</v>
      </c>
      <c r="N3198" s="189">
        <v>1000018061</v>
      </c>
      <c r="O3198" t="s">
        <v>3901</v>
      </c>
      <c r="P3198" s="187">
        <v>45238.480057870402</v>
      </c>
      <c r="Q3198" s="186">
        <v>14420</v>
      </c>
      <c r="R3198" s="185"/>
      <c r="S3198" s="185" t="s">
        <v>1522</v>
      </c>
      <c r="T3198"/>
      <c r="U3198" t="str">
        <f>IF($L3198&gt;0,VLOOKUP($E3198,Valida!$A$1:$G$270,6,FALSE),IF($M3198&gt;=0,VLOOKUP($E3198,Valida!$A$1:$G$270,7,FALSE)))</f>
        <v>(+/-) Ganancia (pérdida)</v>
      </c>
      <c r="V3198" s="190" t="str">
        <f>VLOOKUP(E3198,Valida!$A$2:$K$271,4,FALSE)</f>
        <v>P&amp;L</v>
      </c>
      <c r="W3198" s="185" t="s">
        <v>1978</v>
      </c>
      <c r="X3198" s="185"/>
      <c r="Y3198" s="185" t="s">
        <v>1789</v>
      </c>
      <c r="Z3198"/>
    </row>
    <row r="3199" spans="1:26">
      <c r="A3199" s="185" t="s">
        <v>3822</v>
      </c>
      <c r="B3199" s="185" t="s">
        <v>3904</v>
      </c>
      <c r="C3199" s="185" t="s">
        <v>1792</v>
      </c>
      <c r="D3199" s="185" t="s">
        <v>2538</v>
      </c>
      <c r="E3199" s="185">
        <v>510551</v>
      </c>
      <c r="F3199" s="185" t="s">
        <v>799</v>
      </c>
      <c r="G3199" s="185" t="s">
        <v>3905</v>
      </c>
      <c r="H3199" s="185" t="s">
        <v>1515</v>
      </c>
      <c r="I3199" s="258" t="str">
        <f t="shared" si="148"/>
        <v>5</v>
      </c>
      <c r="J3199" s="221">
        <f t="shared" si="149"/>
        <v>200000</v>
      </c>
      <c r="K3199" s="258">
        <f t="shared" si="150"/>
        <v>10</v>
      </c>
      <c r="L3199" s="188">
        <v>200000</v>
      </c>
      <c r="M3199" s="188">
        <v>0</v>
      </c>
      <c r="N3199" s="189">
        <v>901109106</v>
      </c>
      <c r="O3199" t="s">
        <v>3906</v>
      </c>
      <c r="P3199" s="187">
        <v>45238.494976851798</v>
      </c>
      <c r="Q3199" s="186">
        <v>14421</v>
      </c>
      <c r="R3199" s="185"/>
      <c r="S3199" s="185" t="s">
        <v>1684</v>
      </c>
      <c r="T3199"/>
      <c r="U3199" t="str">
        <f>IF($L3199&gt;0,VLOOKUP($E3199,Valida!$A$1:$G$270,6,FALSE),IF($M3199&gt;=0,VLOOKUP($E3199,Valida!$A$1:$G$270,7,FALSE)))</f>
        <v>(+/-) Ganancia (pérdida)</v>
      </c>
      <c r="V3199" s="190" t="str">
        <f>VLOOKUP(E3199,Valida!$A$2:$K$271,4,FALSE)</f>
        <v>P&amp;L</v>
      </c>
      <c r="W3199" s="185" t="s">
        <v>3256</v>
      </c>
      <c r="X3199" s="185"/>
      <c r="Y3199" s="185" t="s">
        <v>1789</v>
      </c>
      <c r="Z3199"/>
    </row>
    <row r="3200" spans="1:26">
      <c r="A3200" s="185" t="s">
        <v>3822</v>
      </c>
      <c r="B3200" s="185" t="s">
        <v>3907</v>
      </c>
      <c r="C3200" s="185" t="s">
        <v>1792</v>
      </c>
      <c r="D3200" s="185" t="s">
        <v>2540</v>
      </c>
      <c r="E3200" s="185">
        <v>510551</v>
      </c>
      <c r="F3200" s="185" t="s">
        <v>799</v>
      </c>
      <c r="G3200" s="185" t="s">
        <v>3252</v>
      </c>
      <c r="H3200" s="185" t="s">
        <v>1515</v>
      </c>
      <c r="I3200" s="258" t="str">
        <f t="shared" si="148"/>
        <v>5</v>
      </c>
      <c r="J3200" s="221">
        <f t="shared" si="149"/>
        <v>200000</v>
      </c>
      <c r="K3200" s="258">
        <f t="shared" si="150"/>
        <v>10</v>
      </c>
      <c r="L3200" s="188">
        <v>200000</v>
      </c>
      <c r="M3200" s="188">
        <v>0</v>
      </c>
      <c r="N3200" s="189">
        <v>804006872</v>
      </c>
      <c r="O3200" t="s">
        <v>3908</v>
      </c>
      <c r="P3200" s="187">
        <v>45238.496226851901</v>
      </c>
      <c r="Q3200" s="186">
        <v>14423</v>
      </c>
      <c r="R3200" s="185" t="s">
        <v>6</v>
      </c>
      <c r="S3200" s="185" t="s">
        <v>1730</v>
      </c>
      <c r="T3200"/>
      <c r="U3200" t="str">
        <f>IF($L3200&gt;0,VLOOKUP($E3200,Valida!$A$1:$G$270,6,FALSE),IF($M3200&gt;=0,VLOOKUP($E3200,Valida!$A$1:$G$270,7,FALSE)))</f>
        <v>(+/-) Ganancia (pérdida)</v>
      </c>
      <c r="V3200" s="190" t="str">
        <f>VLOOKUP(E3200,Valida!$A$2:$K$271,4,FALSE)</f>
        <v>P&amp;L</v>
      </c>
      <c r="W3200" s="185" t="s">
        <v>3909</v>
      </c>
      <c r="X3200" s="185" t="s">
        <v>3910</v>
      </c>
      <c r="Y3200" s="185" t="s">
        <v>1789</v>
      </c>
      <c r="Z3200"/>
    </row>
    <row r="3201" spans="1:26">
      <c r="A3201" s="185" t="s">
        <v>3822</v>
      </c>
      <c r="B3201" s="185" t="s">
        <v>3904</v>
      </c>
      <c r="C3201" s="185" t="s">
        <v>1792</v>
      </c>
      <c r="D3201" s="185" t="s">
        <v>2538</v>
      </c>
      <c r="E3201" s="185">
        <v>133015</v>
      </c>
      <c r="F3201" s="185" t="s">
        <v>138</v>
      </c>
      <c r="G3201" s="185" t="s">
        <v>3905</v>
      </c>
      <c r="H3201" s="185" t="s">
        <v>1628</v>
      </c>
      <c r="I3201" s="258" t="str">
        <f t="shared" si="148"/>
        <v>1</v>
      </c>
      <c r="J3201" s="221">
        <f t="shared" si="149"/>
        <v>-200000</v>
      </c>
      <c r="K3201" s="258">
        <f t="shared" si="150"/>
        <v>10</v>
      </c>
      <c r="L3201" s="188">
        <v>0</v>
      </c>
      <c r="M3201" s="188">
        <v>200000</v>
      </c>
      <c r="N3201" s="189">
        <v>1000036375</v>
      </c>
      <c r="O3201" t="s">
        <v>3906</v>
      </c>
      <c r="P3201" s="187">
        <v>45238.494988425897</v>
      </c>
      <c r="Q3201" s="186">
        <v>14422</v>
      </c>
      <c r="R3201" s="185"/>
      <c r="S3201" s="185" t="s">
        <v>1524</v>
      </c>
      <c r="T3201"/>
      <c r="U3201" t="str">
        <f>IF($L3201&gt;0,VLOOKUP($E3201,Valida!$A$1:$G$270,6,FALSE),IF($M3201&gt;=0,VLOOKUP($E3201,Valida!$A$1:$G$270,7,FALSE)))</f>
        <v>(+/-) Ajustes por disminuciones (incrementos) en otras cuentas por cobrar derivadas de las actividades de operación</v>
      </c>
      <c r="V3201" s="190" t="str">
        <f>VLOOKUP(E3201,Valida!$A$2:$K$271,4,FALSE)</f>
        <v>Trade and other receivables</v>
      </c>
      <c r="W3201" s="185" t="s">
        <v>1983</v>
      </c>
      <c r="X3201" s="185"/>
      <c r="Y3201" s="185" t="s">
        <v>1789</v>
      </c>
      <c r="Z3201"/>
    </row>
    <row r="3202" spans="1:26">
      <c r="A3202" s="185" t="s">
        <v>3822</v>
      </c>
      <c r="B3202" s="185" t="s">
        <v>3907</v>
      </c>
      <c r="C3202" s="185" t="s">
        <v>1792</v>
      </c>
      <c r="D3202" s="185" t="s">
        <v>2540</v>
      </c>
      <c r="E3202" s="185">
        <v>133015</v>
      </c>
      <c r="F3202" s="185" t="s">
        <v>138</v>
      </c>
      <c r="G3202" s="185" t="s">
        <v>3252</v>
      </c>
      <c r="H3202" s="185" t="s">
        <v>1628</v>
      </c>
      <c r="I3202" s="258" t="str">
        <f t="shared" si="148"/>
        <v>1</v>
      </c>
      <c r="J3202" s="221">
        <f t="shared" si="149"/>
        <v>-200000</v>
      </c>
      <c r="K3202" s="258">
        <f t="shared" si="150"/>
        <v>10</v>
      </c>
      <c r="L3202" s="188">
        <v>0</v>
      </c>
      <c r="M3202" s="188">
        <v>200000</v>
      </c>
      <c r="N3202" s="189">
        <v>1010101811</v>
      </c>
      <c r="O3202" t="s">
        <v>3908</v>
      </c>
      <c r="P3202" s="187">
        <v>45238.496226851901</v>
      </c>
      <c r="Q3202" s="186">
        <v>14424</v>
      </c>
      <c r="R3202" s="185"/>
      <c r="S3202" s="185" t="s">
        <v>1528</v>
      </c>
      <c r="T3202"/>
      <c r="U3202" t="str">
        <f>IF($L3202&gt;0,VLOOKUP($E3202,Valida!$A$1:$G$270,6,FALSE),IF($M3202&gt;=0,VLOOKUP($E3202,Valida!$A$1:$G$270,7,FALSE)))</f>
        <v>(+/-) Ajustes por disminuciones (incrementos) en otras cuentas por cobrar derivadas de las actividades de operación</v>
      </c>
      <c r="V3202" s="190" t="str">
        <f>VLOOKUP(E3202,Valida!$A$2:$K$271,4,FALSE)</f>
        <v>Trade and other receivables</v>
      </c>
      <c r="W3202" s="185" t="s">
        <v>1967</v>
      </c>
      <c r="X3202" s="185"/>
      <c r="Y3202" s="185" t="s">
        <v>1789</v>
      </c>
      <c r="Z3202"/>
    </row>
    <row r="3203" spans="1:26">
      <c r="A3203" s="185" t="s">
        <v>3822</v>
      </c>
      <c r="B3203" s="185" t="s">
        <v>3911</v>
      </c>
      <c r="C3203" s="185" t="s">
        <v>1991</v>
      </c>
      <c r="D3203" s="185" t="s">
        <v>1786</v>
      </c>
      <c r="E3203" s="185">
        <v>13551902</v>
      </c>
      <c r="F3203" s="185" t="s">
        <v>1614</v>
      </c>
      <c r="G3203" s="185" t="s">
        <v>3912</v>
      </c>
      <c r="H3203" s="185" t="s">
        <v>1515</v>
      </c>
      <c r="I3203" s="258" t="str">
        <f t="shared" ref="I3203:I3266" si="151">LEFT(E3203,1)</f>
        <v>1</v>
      </c>
      <c r="J3203" s="221">
        <f t="shared" ref="J3203:J3266" si="152">L3203-M3203</f>
        <v>775058</v>
      </c>
      <c r="K3203" s="258">
        <f t="shared" ref="K3203:K3266" si="153">MONTH(A3203)</f>
        <v>10</v>
      </c>
      <c r="L3203" s="188">
        <v>775058</v>
      </c>
      <c r="M3203" s="188">
        <v>0</v>
      </c>
      <c r="N3203" s="189">
        <v>800197268</v>
      </c>
      <c r="O3203"/>
      <c r="P3203" s="187">
        <v>45238.537928240701</v>
      </c>
      <c r="Q3203" s="186">
        <v>14425</v>
      </c>
      <c r="R3203" s="185" t="s">
        <v>983</v>
      </c>
      <c r="S3203" s="185" t="s">
        <v>1558</v>
      </c>
      <c r="T3203"/>
      <c r="U3203" t="str">
        <f>IF($L3203&gt;0,VLOOKUP($E3203,Valida!$A$1:$G$270,6,FALSE),IF($M3203&gt;=0,VLOOKUP($E3203,Valida!$A$1:$G$270,7,FALSE)))</f>
        <v>(+/-) Ajustes por disminuciones (incrementos) en otras cuentas por cobrar derivadas de las actividades de operación</v>
      </c>
      <c r="V3203" s="190" t="str">
        <f>VLOOKUP(E3203,Valida!$A$2:$K$271,4,FALSE)</f>
        <v>Prepayments: Taxes</v>
      </c>
      <c r="W3203" s="185" t="s">
        <v>1944</v>
      </c>
      <c r="X3203" s="185"/>
      <c r="Y3203" s="185" t="s">
        <v>1789</v>
      </c>
      <c r="Z3203"/>
    </row>
    <row r="3204" spans="1:26">
      <c r="A3204" s="185" t="s">
        <v>3822</v>
      </c>
      <c r="B3204" s="185" t="s">
        <v>3911</v>
      </c>
      <c r="C3204" s="185" t="s">
        <v>1991</v>
      </c>
      <c r="D3204" s="185" t="s">
        <v>1786</v>
      </c>
      <c r="E3204" s="185">
        <v>23657502</v>
      </c>
      <c r="F3204" s="185" t="s">
        <v>1646</v>
      </c>
      <c r="G3204" s="185" t="s">
        <v>3912</v>
      </c>
      <c r="H3204" s="185" t="s">
        <v>1628</v>
      </c>
      <c r="I3204" s="258" t="str">
        <f t="shared" si="151"/>
        <v>2</v>
      </c>
      <c r="J3204" s="221">
        <f t="shared" si="152"/>
        <v>-775058</v>
      </c>
      <c r="K3204" s="258">
        <f t="shared" si="153"/>
        <v>10</v>
      </c>
      <c r="L3204" s="188">
        <v>0</v>
      </c>
      <c r="M3204" s="188">
        <v>775058</v>
      </c>
      <c r="N3204" s="189">
        <v>800197268</v>
      </c>
      <c r="O3204"/>
      <c r="P3204" s="187">
        <v>45238.5379398148</v>
      </c>
      <c r="Q3204" s="186">
        <v>14426</v>
      </c>
      <c r="R3204" s="185" t="s">
        <v>983</v>
      </c>
      <c r="S3204" s="185" t="s">
        <v>1558</v>
      </c>
      <c r="T3204"/>
      <c r="U3204" t="str">
        <f>IF($L3204&gt;0,VLOOKUP($E3204,Valida!$A$1:$G$270,6,FALSE),IF($M3204&gt;=0,VLOOKUP($E3204,Valida!$A$1:$G$270,7,FALSE)))</f>
        <v>(+/-) Ajustes por el incremento (disminución) de cuentas por pagar de origen comercial</v>
      </c>
      <c r="V3204" s="190" t="str">
        <f>VLOOKUP(E3204,Valida!$A$2:$K$271,4,FALSE)</f>
        <v>Trade and other payables</v>
      </c>
      <c r="W3204" s="185" t="s">
        <v>1944</v>
      </c>
      <c r="X3204" s="185"/>
      <c r="Y3204" s="185" t="s">
        <v>1789</v>
      </c>
      <c r="Z3204"/>
    </row>
    <row r="3205" spans="1:26">
      <c r="A3205" s="185" t="s">
        <v>3822</v>
      </c>
      <c r="B3205" s="185" t="s">
        <v>3823</v>
      </c>
      <c r="C3205" s="185" t="s">
        <v>1991</v>
      </c>
      <c r="D3205" s="185" t="s">
        <v>1985</v>
      </c>
      <c r="E3205" s="185">
        <v>23651502</v>
      </c>
      <c r="F3205" s="185" t="s">
        <v>244</v>
      </c>
      <c r="G3205" s="185" t="s">
        <v>3913</v>
      </c>
      <c r="H3205" s="185" t="s">
        <v>1515</v>
      </c>
      <c r="I3205" s="258" t="str">
        <f t="shared" si="151"/>
        <v>2</v>
      </c>
      <c r="J3205" s="221">
        <f t="shared" si="152"/>
        <v>16830</v>
      </c>
      <c r="K3205" s="258">
        <f t="shared" si="153"/>
        <v>10</v>
      </c>
      <c r="L3205" s="188">
        <v>16830</v>
      </c>
      <c r="M3205" s="188">
        <v>0</v>
      </c>
      <c r="N3205" s="189">
        <v>800197268</v>
      </c>
      <c r="O3205"/>
      <c r="P3205" s="187">
        <v>45238.540289351899</v>
      </c>
      <c r="Q3205" s="186">
        <v>14427</v>
      </c>
      <c r="R3205" s="185" t="s">
        <v>983</v>
      </c>
      <c r="S3205" s="185" t="s">
        <v>1558</v>
      </c>
      <c r="T3205"/>
      <c r="U3205" t="str">
        <f>IF($L3205&gt;0,VLOOKUP($E3205,Valida!$A$1:$G$270,6,FALSE),IF($M3205&gt;=0,VLOOKUP($E3205,Valida!$A$1:$G$270,7,FALSE)))</f>
        <v>(+/-) Ajustes por el incremento (disminución) de cuentas por pagar de origen comercial</v>
      </c>
      <c r="V3205" s="190" t="str">
        <f>VLOOKUP(E3205,Valida!$A$2:$K$271,4,FALSE)</f>
        <v>Trade and other payables</v>
      </c>
      <c r="W3205" s="185" t="s">
        <v>1944</v>
      </c>
      <c r="X3205" s="185"/>
      <c r="Y3205" s="185" t="s">
        <v>1789</v>
      </c>
      <c r="Z3205"/>
    </row>
    <row r="3206" spans="1:26">
      <c r="A3206" s="185" t="s">
        <v>3822</v>
      </c>
      <c r="B3206" s="185" t="s">
        <v>3823</v>
      </c>
      <c r="C3206" s="185" t="s">
        <v>1991</v>
      </c>
      <c r="D3206" s="185" t="s">
        <v>1985</v>
      </c>
      <c r="E3206" s="185">
        <v>23653001</v>
      </c>
      <c r="F3206" s="185" t="s">
        <v>611</v>
      </c>
      <c r="G3206" s="185" t="s">
        <v>3913</v>
      </c>
      <c r="H3206" s="185" t="s">
        <v>1515</v>
      </c>
      <c r="I3206" s="258" t="str">
        <f t="shared" si="151"/>
        <v>2</v>
      </c>
      <c r="J3206" s="221">
        <f t="shared" si="152"/>
        <v>446250</v>
      </c>
      <c r="K3206" s="258">
        <f t="shared" si="153"/>
        <v>10</v>
      </c>
      <c r="L3206" s="188">
        <v>446250</v>
      </c>
      <c r="M3206" s="188">
        <v>0</v>
      </c>
      <c r="N3206" s="189">
        <v>800197268</v>
      </c>
      <c r="O3206"/>
      <c r="P3206" s="187">
        <v>45238.540289351899</v>
      </c>
      <c r="Q3206" s="186">
        <v>14428</v>
      </c>
      <c r="R3206" s="185" t="s">
        <v>983</v>
      </c>
      <c r="S3206" s="185" t="s">
        <v>1558</v>
      </c>
      <c r="T3206"/>
      <c r="U3206" t="str">
        <f>IF($L3206&gt;0,VLOOKUP($E3206,Valida!$A$1:$G$270,6,FALSE),IF($M3206&gt;=0,VLOOKUP($E3206,Valida!$A$1:$G$270,7,FALSE)))</f>
        <v>(+/-) Ajustes por el incremento (disminución) de cuentas por pagar de origen comercial</v>
      </c>
      <c r="V3206" s="190" t="str">
        <f>VLOOKUP(E3206,Valida!$A$2:$K$271,4,FALSE)</f>
        <v>Trade and other payables</v>
      </c>
      <c r="W3206" s="185" t="s">
        <v>1944</v>
      </c>
      <c r="X3206" s="185"/>
      <c r="Y3206" s="185" t="s">
        <v>1789</v>
      </c>
      <c r="Z3206"/>
    </row>
    <row r="3207" spans="1:26">
      <c r="A3207" s="185" t="s">
        <v>3822</v>
      </c>
      <c r="B3207" s="185" t="s">
        <v>3823</v>
      </c>
      <c r="C3207" s="185" t="s">
        <v>1991</v>
      </c>
      <c r="D3207" s="185" t="s">
        <v>1985</v>
      </c>
      <c r="E3207" s="185">
        <v>23653002</v>
      </c>
      <c r="F3207" s="185" t="s">
        <v>241</v>
      </c>
      <c r="G3207" s="185" t="s">
        <v>3913</v>
      </c>
      <c r="H3207" s="185" t="s">
        <v>1515</v>
      </c>
      <c r="I3207" s="258" t="str">
        <f t="shared" si="151"/>
        <v>2</v>
      </c>
      <c r="J3207" s="221">
        <f t="shared" si="152"/>
        <v>4280</v>
      </c>
      <c r="K3207" s="258">
        <f t="shared" si="153"/>
        <v>10</v>
      </c>
      <c r="L3207" s="188">
        <v>4280</v>
      </c>
      <c r="M3207" s="188">
        <v>0</v>
      </c>
      <c r="N3207" s="189">
        <v>800197268</v>
      </c>
      <c r="O3207"/>
      <c r="P3207" s="187">
        <v>45238.540289351899</v>
      </c>
      <c r="Q3207" s="186">
        <v>14429</v>
      </c>
      <c r="R3207" s="185" t="s">
        <v>983</v>
      </c>
      <c r="S3207" s="185" t="s">
        <v>1558</v>
      </c>
      <c r="T3207"/>
      <c r="U3207" t="str">
        <f>IF($L3207&gt;0,VLOOKUP($E3207,Valida!$A$1:$G$270,6,FALSE),IF($M3207&gt;=0,VLOOKUP($E3207,Valida!$A$1:$G$270,7,FALSE)))</f>
        <v>(+/-) Ajustes por el incremento (disminución) de cuentas por pagar de origen comercial</v>
      </c>
      <c r="V3207" s="190" t="str">
        <f>VLOOKUP(E3207,Valida!$A$2:$K$271,4,FALSE)</f>
        <v>Trade and other payables</v>
      </c>
      <c r="W3207" s="185" t="s">
        <v>1944</v>
      </c>
      <c r="X3207" s="185"/>
      <c r="Y3207" s="185" t="s">
        <v>1789</v>
      </c>
      <c r="Z3207"/>
    </row>
    <row r="3208" spans="1:26">
      <c r="A3208" s="185" t="s">
        <v>3822</v>
      </c>
      <c r="B3208" s="185" t="s">
        <v>3823</v>
      </c>
      <c r="C3208" s="185" t="s">
        <v>1991</v>
      </c>
      <c r="D3208" s="185" t="s">
        <v>1985</v>
      </c>
      <c r="E3208" s="185">
        <v>23654001</v>
      </c>
      <c r="F3208" s="185" t="s">
        <v>622</v>
      </c>
      <c r="G3208" s="185" t="s">
        <v>3913</v>
      </c>
      <c r="H3208" s="185" t="s">
        <v>1515</v>
      </c>
      <c r="I3208" s="258" t="str">
        <f t="shared" si="151"/>
        <v>2</v>
      </c>
      <c r="J3208" s="221">
        <f t="shared" si="152"/>
        <v>229136</v>
      </c>
      <c r="K3208" s="258">
        <f t="shared" si="153"/>
        <v>10</v>
      </c>
      <c r="L3208" s="188">
        <v>229136</v>
      </c>
      <c r="M3208" s="188">
        <v>0</v>
      </c>
      <c r="N3208" s="189">
        <v>800197268</v>
      </c>
      <c r="O3208"/>
      <c r="P3208" s="187">
        <v>45238.540289351899</v>
      </c>
      <c r="Q3208" s="186">
        <v>14430</v>
      </c>
      <c r="R3208" s="185" t="s">
        <v>983</v>
      </c>
      <c r="S3208" s="185" t="s">
        <v>1558</v>
      </c>
      <c r="T3208"/>
      <c r="U3208" t="str">
        <f>IF($L3208&gt;0,VLOOKUP($E3208,Valida!$A$1:$G$270,6,FALSE),IF($M3208&gt;=0,VLOOKUP($E3208,Valida!$A$1:$G$270,7,FALSE)))</f>
        <v>(+/-) Ajustes por el incremento (disminución) de cuentas por pagar de origen comercial</v>
      </c>
      <c r="V3208" s="190" t="str">
        <f>VLOOKUP(E3208,Valida!$A$2:$K$271,4,FALSE)</f>
        <v>Trade and other payables</v>
      </c>
      <c r="W3208" s="185" t="s">
        <v>1944</v>
      </c>
      <c r="X3208" s="185"/>
      <c r="Y3208" s="185" t="s">
        <v>1789</v>
      </c>
      <c r="Z3208"/>
    </row>
    <row r="3209" spans="1:26">
      <c r="A3209" s="185" t="s">
        <v>3822</v>
      </c>
      <c r="B3209" s="185" t="s">
        <v>3823</v>
      </c>
      <c r="C3209" s="185" t="s">
        <v>1991</v>
      </c>
      <c r="D3209" s="185" t="s">
        <v>1985</v>
      </c>
      <c r="E3209" s="185">
        <v>23657502</v>
      </c>
      <c r="F3209" s="185" t="s">
        <v>1646</v>
      </c>
      <c r="G3209" s="185" t="s">
        <v>3913</v>
      </c>
      <c r="H3209" s="185" t="s">
        <v>1515</v>
      </c>
      <c r="I3209" s="258" t="str">
        <f t="shared" si="151"/>
        <v>2</v>
      </c>
      <c r="J3209" s="221">
        <f t="shared" si="152"/>
        <v>775058</v>
      </c>
      <c r="K3209" s="258">
        <f t="shared" si="153"/>
        <v>10</v>
      </c>
      <c r="L3209" s="188">
        <v>775058</v>
      </c>
      <c r="M3209" s="188">
        <v>0</v>
      </c>
      <c r="N3209" s="189">
        <v>800197268</v>
      </c>
      <c r="O3209"/>
      <c r="P3209" s="187">
        <v>45238.540289351899</v>
      </c>
      <c r="Q3209" s="186">
        <v>14431</v>
      </c>
      <c r="R3209" s="185" t="s">
        <v>983</v>
      </c>
      <c r="S3209" s="185" t="s">
        <v>1558</v>
      </c>
      <c r="T3209"/>
      <c r="U3209" t="str">
        <f>IF($L3209&gt;0,VLOOKUP($E3209,Valida!$A$1:$G$270,6,FALSE),IF($M3209&gt;=0,VLOOKUP($E3209,Valida!$A$1:$G$270,7,FALSE)))</f>
        <v>(+/-) Ajustes por el incremento (disminución) de cuentas por pagar de origen comercial</v>
      </c>
      <c r="V3209" s="190" t="str">
        <f>VLOOKUP(E3209,Valida!$A$2:$K$271,4,FALSE)</f>
        <v>Trade and other payables</v>
      </c>
      <c r="W3209" s="185" t="s">
        <v>1944</v>
      </c>
      <c r="X3209" s="185"/>
      <c r="Y3209" s="185" t="s">
        <v>1789</v>
      </c>
      <c r="Z3209"/>
    </row>
    <row r="3210" spans="1:26">
      <c r="A3210" s="185" t="s">
        <v>3822</v>
      </c>
      <c r="B3210" s="185" t="s">
        <v>3823</v>
      </c>
      <c r="C3210" s="185" t="s">
        <v>1991</v>
      </c>
      <c r="D3210" s="185" t="s">
        <v>1985</v>
      </c>
      <c r="E3210" s="185">
        <v>236595</v>
      </c>
      <c r="F3210" s="185" t="s">
        <v>648</v>
      </c>
      <c r="G3210" s="185" t="s">
        <v>3913</v>
      </c>
      <c r="H3210" s="185" t="s">
        <v>1628</v>
      </c>
      <c r="I3210" s="258" t="str">
        <f t="shared" si="151"/>
        <v>2</v>
      </c>
      <c r="J3210" s="221">
        <f t="shared" si="152"/>
        <v>-1472000</v>
      </c>
      <c r="K3210" s="258">
        <f t="shared" si="153"/>
        <v>10</v>
      </c>
      <c r="L3210" s="188">
        <v>0</v>
      </c>
      <c r="M3210" s="188">
        <v>1472000</v>
      </c>
      <c r="N3210" s="189">
        <v>800197268</v>
      </c>
      <c r="O3210"/>
      <c r="P3210" s="187">
        <v>45238.540289351899</v>
      </c>
      <c r="Q3210" s="186">
        <v>14432</v>
      </c>
      <c r="R3210" s="185" t="s">
        <v>983</v>
      </c>
      <c r="S3210" s="185" t="s">
        <v>1558</v>
      </c>
      <c r="T3210"/>
      <c r="U3210" t="str">
        <f>IF($L3210&gt;0,VLOOKUP($E3210,Valida!$A$1:$G$270,6,FALSE),IF($M3210&gt;=0,VLOOKUP($E3210,Valida!$A$1:$G$270,7,FALSE)))</f>
        <v>(+/-) Ajustes por el incremento (disminución) de cuentas por pagar de origen comercial</v>
      </c>
      <c r="V3210" s="190" t="str">
        <f>VLOOKUP(E3210,Valida!$A$2:$K$271,4,FALSE)</f>
        <v>Trade and other payables</v>
      </c>
      <c r="W3210" s="185" t="s">
        <v>1944</v>
      </c>
      <c r="X3210" s="185"/>
      <c r="Y3210" s="185" t="s">
        <v>1789</v>
      </c>
      <c r="Z3210"/>
    </row>
    <row r="3211" spans="1:26">
      <c r="A3211" s="185" t="s">
        <v>3822</v>
      </c>
      <c r="B3211" s="185" t="s">
        <v>3823</v>
      </c>
      <c r="C3211" s="185" t="s">
        <v>1991</v>
      </c>
      <c r="D3211" s="185" t="s">
        <v>1985</v>
      </c>
      <c r="E3211" s="185">
        <v>53059510</v>
      </c>
      <c r="F3211" s="185" t="s">
        <v>1065</v>
      </c>
      <c r="G3211" s="185" t="s">
        <v>3913</v>
      </c>
      <c r="H3211" s="185" t="s">
        <v>1515</v>
      </c>
      <c r="I3211" s="258" t="str">
        <f t="shared" si="151"/>
        <v>5</v>
      </c>
      <c r="J3211" s="221">
        <f t="shared" si="152"/>
        <v>446</v>
      </c>
      <c r="K3211" s="258">
        <f t="shared" si="153"/>
        <v>10</v>
      </c>
      <c r="L3211" s="188">
        <v>446</v>
      </c>
      <c r="M3211" s="188">
        <v>0</v>
      </c>
      <c r="N3211" s="189">
        <v>800197268</v>
      </c>
      <c r="O3211"/>
      <c r="P3211" s="187">
        <v>45238.540289351899</v>
      </c>
      <c r="Q3211" s="186">
        <v>14433</v>
      </c>
      <c r="R3211" s="185" t="s">
        <v>983</v>
      </c>
      <c r="S3211" s="185" t="s">
        <v>1558</v>
      </c>
      <c r="T3211"/>
      <c r="U3211" t="str">
        <f>IF($L3211&gt;0,VLOOKUP($E3211,Valida!$A$1:$G$270,6,FALSE),IF($M3211&gt;=0,VLOOKUP($E3211,Valida!$A$1:$G$270,7,FALSE)))</f>
        <v>(+/-) Ganancia (pérdida)</v>
      </c>
      <c r="V3211" s="190" t="str">
        <f>VLOOKUP(E3211,Valida!$A$2:$K$271,4,FALSE)</f>
        <v>P&amp;L</v>
      </c>
      <c r="W3211" s="185" t="s">
        <v>1944</v>
      </c>
      <c r="X3211" s="185"/>
      <c r="Y3211" s="185" t="s">
        <v>1789</v>
      </c>
      <c r="Z3211"/>
    </row>
    <row r="3212" spans="1:26">
      <c r="A3212" s="185" t="s">
        <v>3822</v>
      </c>
      <c r="B3212" s="185" t="s">
        <v>3914</v>
      </c>
      <c r="C3212" s="185" t="s">
        <v>1991</v>
      </c>
      <c r="D3212" s="185" t="s">
        <v>2594</v>
      </c>
      <c r="E3212" s="185">
        <v>24081001</v>
      </c>
      <c r="F3212" s="185" t="s">
        <v>1670</v>
      </c>
      <c r="G3212" s="185" t="s">
        <v>3915</v>
      </c>
      <c r="H3212" s="185" t="s">
        <v>1628</v>
      </c>
      <c r="I3212" s="258" t="str">
        <f t="shared" si="151"/>
        <v>2</v>
      </c>
      <c r="J3212" s="221">
        <f t="shared" si="152"/>
        <v>-1048213</v>
      </c>
      <c r="K3212" s="258">
        <f t="shared" si="153"/>
        <v>10</v>
      </c>
      <c r="L3212" s="188">
        <v>0</v>
      </c>
      <c r="M3212" s="188">
        <v>1048213</v>
      </c>
      <c r="N3212" s="189">
        <v>800197268</v>
      </c>
      <c r="O3212"/>
      <c r="P3212" s="187">
        <v>45238.543171296304</v>
      </c>
      <c r="Q3212" s="186">
        <v>14434</v>
      </c>
      <c r="R3212" s="185" t="s">
        <v>983</v>
      </c>
      <c r="S3212" s="185" t="s">
        <v>1558</v>
      </c>
      <c r="T3212"/>
      <c r="U3212" t="str">
        <f>IF($L3212&gt;0,VLOOKUP($E3212,Valida!$A$1:$G$270,6,FALSE),IF($M3212&gt;=0,VLOOKUP($E3212,Valida!$A$1:$G$270,7,FALSE)))</f>
        <v>(+/-) Ajustes por el incremento (disminución) de cuentas por pagar de origen comercial</v>
      </c>
      <c r="V3212" s="190" t="str">
        <f>VLOOKUP(E3212,Valida!$A$2:$K$271,4,FALSE)</f>
        <v>Trade and other payables</v>
      </c>
      <c r="W3212" s="185" t="s">
        <v>1944</v>
      </c>
      <c r="X3212" s="185"/>
      <c r="Y3212" s="185" t="s">
        <v>1789</v>
      </c>
      <c r="Z3212"/>
    </row>
    <row r="3213" spans="1:26">
      <c r="A3213" s="185" t="s">
        <v>3822</v>
      </c>
      <c r="B3213" s="185" t="s">
        <v>3914</v>
      </c>
      <c r="C3213" s="185" t="s">
        <v>1991</v>
      </c>
      <c r="D3213" s="185" t="s">
        <v>2594</v>
      </c>
      <c r="E3213" s="185">
        <v>24081002</v>
      </c>
      <c r="F3213" s="185" t="s">
        <v>1687</v>
      </c>
      <c r="G3213" s="185" t="s">
        <v>3915</v>
      </c>
      <c r="H3213" s="185" t="s">
        <v>1628</v>
      </c>
      <c r="I3213" s="258" t="str">
        <f t="shared" si="151"/>
        <v>2</v>
      </c>
      <c r="J3213" s="221">
        <f t="shared" si="152"/>
        <v>-7243219.5</v>
      </c>
      <c r="K3213" s="258">
        <f t="shared" si="153"/>
        <v>10</v>
      </c>
      <c r="L3213" s="188">
        <v>0</v>
      </c>
      <c r="M3213" s="188">
        <v>7243219.5</v>
      </c>
      <c r="N3213" s="189">
        <v>800197268</v>
      </c>
      <c r="O3213"/>
      <c r="P3213" s="187">
        <v>45238.543171296304</v>
      </c>
      <c r="Q3213" s="186">
        <v>14435</v>
      </c>
      <c r="R3213" s="185" t="s">
        <v>983</v>
      </c>
      <c r="S3213" s="185" t="s">
        <v>1558</v>
      </c>
      <c r="T3213"/>
      <c r="U3213" t="str">
        <f>IF($L3213&gt;0,VLOOKUP($E3213,Valida!$A$1:$G$270,6,FALSE),IF($M3213&gt;=0,VLOOKUP($E3213,Valida!$A$1:$G$270,7,FALSE)))</f>
        <v>(+/-) Ajustes por el incremento (disminución) de cuentas por pagar de origen comercial</v>
      </c>
      <c r="V3213" s="190" t="str">
        <f>VLOOKUP(E3213,Valida!$A$2:$K$271,4,FALSE)</f>
        <v>Trade and other payables</v>
      </c>
      <c r="W3213" s="185" t="s">
        <v>1944</v>
      </c>
      <c r="X3213" s="185"/>
      <c r="Y3213" s="185" t="s">
        <v>1789</v>
      </c>
      <c r="Z3213"/>
    </row>
    <row r="3214" spans="1:26">
      <c r="A3214" s="185" t="s">
        <v>3822</v>
      </c>
      <c r="B3214" s="185" t="s">
        <v>3914</v>
      </c>
      <c r="C3214" s="185" t="s">
        <v>1991</v>
      </c>
      <c r="D3214" s="185" t="s">
        <v>2594</v>
      </c>
      <c r="E3214" s="185">
        <v>24081005</v>
      </c>
      <c r="F3214" s="185" t="s">
        <v>1688</v>
      </c>
      <c r="G3214" s="185" t="s">
        <v>3915</v>
      </c>
      <c r="H3214" s="185" t="s">
        <v>1628</v>
      </c>
      <c r="I3214" s="258" t="str">
        <f t="shared" si="151"/>
        <v>2</v>
      </c>
      <c r="J3214" s="221">
        <f t="shared" si="152"/>
        <v>-402169</v>
      </c>
      <c r="K3214" s="258">
        <f t="shared" si="153"/>
        <v>10</v>
      </c>
      <c r="L3214" s="188">
        <v>0</v>
      </c>
      <c r="M3214" s="188">
        <v>402169</v>
      </c>
      <c r="N3214" s="189">
        <v>800197268</v>
      </c>
      <c r="O3214"/>
      <c r="P3214" s="187">
        <v>45238.543171296304</v>
      </c>
      <c r="Q3214" s="186">
        <v>14436</v>
      </c>
      <c r="R3214" s="185" t="s">
        <v>983</v>
      </c>
      <c r="S3214" s="185" t="s">
        <v>1558</v>
      </c>
      <c r="T3214"/>
      <c r="U3214" t="str">
        <f>IF($L3214&gt;0,VLOOKUP($E3214,Valida!$A$1:$G$270,6,FALSE),IF($M3214&gt;=0,VLOOKUP($E3214,Valida!$A$1:$G$270,7,FALSE)))</f>
        <v>(+/-) Ajustes por el incremento (disminución) de cuentas por pagar de origen comercial</v>
      </c>
      <c r="V3214" s="190" t="str">
        <f>VLOOKUP(E3214,Valida!$A$2:$K$271,4,FALSE)</f>
        <v>Trade and other payables</v>
      </c>
      <c r="W3214" s="185" t="s">
        <v>1944</v>
      </c>
      <c r="X3214" s="185"/>
      <c r="Y3214" s="185" t="s">
        <v>1789</v>
      </c>
      <c r="Z3214"/>
    </row>
    <row r="3215" spans="1:26">
      <c r="A3215" s="185" t="s">
        <v>3822</v>
      </c>
      <c r="B3215" s="185" t="s">
        <v>3914</v>
      </c>
      <c r="C3215" s="185" t="s">
        <v>1991</v>
      </c>
      <c r="D3215" s="185" t="s">
        <v>2594</v>
      </c>
      <c r="E3215" s="185">
        <v>24081501</v>
      </c>
      <c r="F3215" s="185" t="s">
        <v>747</v>
      </c>
      <c r="G3215" s="185" t="s">
        <v>3916</v>
      </c>
      <c r="H3215" s="185" t="s">
        <v>1515</v>
      </c>
      <c r="I3215" s="258" t="str">
        <f t="shared" si="151"/>
        <v>2</v>
      </c>
      <c r="J3215" s="221">
        <f t="shared" si="152"/>
        <v>1048000</v>
      </c>
      <c r="K3215" s="258">
        <f t="shared" si="153"/>
        <v>10</v>
      </c>
      <c r="L3215" s="188">
        <v>1048000</v>
      </c>
      <c r="M3215" s="188">
        <v>0</v>
      </c>
      <c r="N3215" s="189">
        <v>800197268</v>
      </c>
      <c r="O3215"/>
      <c r="P3215" s="187">
        <v>45238.543171296304</v>
      </c>
      <c r="Q3215" s="186">
        <v>14437</v>
      </c>
      <c r="R3215" s="185" t="s">
        <v>983</v>
      </c>
      <c r="S3215" s="185" t="s">
        <v>1558</v>
      </c>
      <c r="T3215"/>
      <c r="U3215" t="str">
        <f>IF($L3215&gt;0,VLOOKUP($E3215,Valida!$A$1:$G$270,6,FALSE),IF($M3215&gt;=0,VLOOKUP($E3215,Valida!$A$1:$G$270,7,FALSE)))</f>
        <v>(+/-) Ajustes por el incremento (disminución) de cuentas por pagar de origen comercial</v>
      </c>
      <c r="V3215" s="190" t="str">
        <f>VLOOKUP(E3215,Valida!$A$2:$K$271,4,FALSE)</f>
        <v>Trade and other payables</v>
      </c>
      <c r="W3215" s="185" t="s">
        <v>1944</v>
      </c>
      <c r="X3215" s="185"/>
      <c r="Y3215" s="185" t="s">
        <v>1789</v>
      </c>
      <c r="Z3215"/>
    </row>
    <row r="3216" spans="1:26">
      <c r="A3216" s="185" t="s">
        <v>3822</v>
      </c>
      <c r="B3216" s="185" t="s">
        <v>3914</v>
      </c>
      <c r="C3216" s="185" t="s">
        <v>1991</v>
      </c>
      <c r="D3216" s="185" t="s">
        <v>2594</v>
      </c>
      <c r="E3216" s="185">
        <v>24081502</v>
      </c>
      <c r="F3216" s="185" t="s">
        <v>750</v>
      </c>
      <c r="G3216" s="185" t="s">
        <v>3916</v>
      </c>
      <c r="H3216" s="185" t="s">
        <v>1515</v>
      </c>
      <c r="I3216" s="258" t="str">
        <f t="shared" si="151"/>
        <v>2</v>
      </c>
      <c r="J3216" s="221">
        <f t="shared" si="152"/>
        <v>7240000</v>
      </c>
      <c r="K3216" s="258">
        <f t="shared" si="153"/>
        <v>10</v>
      </c>
      <c r="L3216" s="188">
        <v>7240000</v>
      </c>
      <c r="M3216" s="188">
        <v>0</v>
      </c>
      <c r="N3216" s="189">
        <v>800197268</v>
      </c>
      <c r="O3216"/>
      <c r="P3216" s="187">
        <v>45238.543182870402</v>
      </c>
      <c r="Q3216" s="186">
        <v>14438</v>
      </c>
      <c r="R3216" s="185" t="s">
        <v>983</v>
      </c>
      <c r="S3216" s="185" t="s">
        <v>1558</v>
      </c>
      <c r="T3216"/>
      <c r="U3216" t="str">
        <f>IF($L3216&gt;0,VLOOKUP($E3216,Valida!$A$1:$G$270,6,FALSE),IF($M3216&gt;=0,VLOOKUP($E3216,Valida!$A$1:$G$270,7,FALSE)))</f>
        <v>(+/-) Ajustes por el incremento (disminución) de cuentas por pagar de origen comercial</v>
      </c>
      <c r="V3216" s="190" t="str">
        <f>VLOOKUP(E3216,Valida!$A$2:$K$271,4,FALSE)</f>
        <v>Trade and other payables</v>
      </c>
      <c r="W3216" s="185" t="s">
        <v>1944</v>
      </c>
      <c r="X3216" s="185"/>
      <c r="Y3216" s="185" t="s">
        <v>1789</v>
      </c>
      <c r="Z3216"/>
    </row>
    <row r="3217" spans="1:26">
      <c r="A3217" s="185" t="s">
        <v>3822</v>
      </c>
      <c r="B3217" s="185" t="s">
        <v>3914</v>
      </c>
      <c r="C3217" s="185" t="s">
        <v>1991</v>
      </c>
      <c r="D3217" s="185" t="s">
        <v>2594</v>
      </c>
      <c r="E3217" s="185">
        <v>24081505</v>
      </c>
      <c r="F3217" s="185" t="s">
        <v>756</v>
      </c>
      <c r="G3217" s="185" t="s">
        <v>3916</v>
      </c>
      <c r="H3217" s="185" t="s">
        <v>1515</v>
      </c>
      <c r="I3217" s="258" t="str">
        <f t="shared" si="151"/>
        <v>2</v>
      </c>
      <c r="J3217" s="221">
        <f t="shared" si="152"/>
        <v>402000</v>
      </c>
      <c r="K3217" s="258">
        <f t="shared" si="153"/>
        <v>10</v>
      </c>
      <c r="L3217" s="188">
        <v>402000</v>
      </c>
      <c r="M3217" s="188">
        <v>0</v>
      </c>
      <c r="N3217" s="189">
        <v>800197268</v>
      </c>
      <c r="O3217"/>
      <c r="P3217" s="187">
        <v>45238.543182870402</v>
      </c>
      <c r="Q3217" s="186">
        <v>14439</v>
      </c>
      <c r="R3217" s="185" t="s">
        <v>983</v>
      </c>
      <c r="S3217" s="185" t="s">
        <v>1558</v>
      </c>
      <c r="T3217"/>
      <c r="U3217" t="str">
        <f>IF($L3217&gt;0,VLOOKUP($E3217,Valida!$A$1:$G$270,6,FALSE),IF($M3217&gt;=0,VLOOKUP($E3217,Valida!$A$1:$G$270,7,FALSE)))</f>
        <v>(+/-) Ajustes por el incremento (disminución) de cuentas por pagar de origen comercial</v>
      </c>
      <c r="V3217" s="190" t="str">
        <f>VLOOKUP(E3217,Valida!$A$2:$K$271,4,FALSE)</f>
        <v>Trade and other payables</v>
      </c>
      <c r="W3217" s="185" t="s">
        <v>1944</v>
      </c>
      <c r="X3217" s="185"/>
      <c r="Y3217" s="185" t="s">
        <v>1789</v>
      </c>
      <c r="Z3217"/>
    </row>
    <row r="3218" spans="1:26">
      <c r="A3218" s="185" t="s">
        <v>3822</v>
      </c>
      <c r="B3218" s="185" t="s">
        <v>3914</v>
      </c>
      <c r="C3218" s="185" t="s">
        <v>1991</v>
      </c>
      <c r="D3218" s="185" t="s">
        <v>2594</v>
      </c>
      <c r="E3218" s="185">
        <v>53152003</v>
      </c>
      <c r="F3218" s="185" t="s">
        <v>1498</v>
      </c>
      <c r="G3218" s="185" t="s">
        <v>3916</v>
      </c>
      <c r="H3218" s="185" t="s">
        <v>1515</v>
      </c>
      <c r="I3218" s="258" t="str">
        <f t="shared" si="151"/>
        <v>5</v>
      </c>
      <c r="J3218" s="221">
        <f t="shared" si="152"/>
        <v>3601.5</v>
      </c>
      <c r="K3218" s="258">
        <f t="shared" si="153"/>
        <v>10</v>
      </c>
      <c r="L3218" s="188">
        <v>3601.5</v>
      </c>
      <c r="M3218" s="188">
        <v>0</v>
      </c>
      <c r="N3218" s="189">
        <v>800197268</v>
      </c>
      <c r="O3218"/>
      <c r="P3218" s="187">
        <v>45238.543182870402</v>
      </c>
      <c r="Q3218" s="186">
        <v>14440</v>
      </c>
      <c r="R3218" s="185" t="s">
        <v>983</v>
      </c>
      <c r="S3218" s="185" t="s">
        <v>1558</v>
      </c>
      <c r="T3218"/>
      <c r="U3218" t="str">
        <f>IF($L3218&gt;0,VLOOKUP($E3218,Valida!$A$1:$G$270,6,FALSE),IF($M3218&gt;=0,VLOOKUP($E3218,Valida!$A$1:$G$270,7,FALSE)))</f>
        <v>(+/-) Ganancia (pérdida)</v>
      </c>
      <c r="V3218" s="190" t="str">
        <f>VLOOKUP(E3218,Valida!$A$2:$K$271,4,FALSE)</f>
        <v>P&amp;L</v>
      </c>
      <c r="W3218" s="185" t="s">
        <v>1944</v>
      </c>
      <c r="X3218" s="185"/>
      <c r="Y3218" s="185" t="s">
        <v>1789</v>
      </c>
      <c r="Z3218"/>
    </row>
    <row r="3219" spans="1:26">
      <c r="A3219" s="185" t="s">
        <v>3917</v>
      </c>
      <c r="B3219" s="185" t="s">
        <v>3918</v>
      </c>
      <c r="C3219" s="185" t="s">
        <v>1991</v>
      </c>
      <c r="D3219" s="185" t="s">
        <v>1988</v>
      </c>
      <c r="E3219" s="185">
        <v>13552001</v>
      </c>
      <c r="F3219" s="185" t="s">
        <v>276</v>
      </c>
      <c r="G3219" s="185" t="s">
        <v>3919</v>
      </c>
      <c r="H3219" s="185" t="s">
        <v>1515</v>
      </c>
      <c r="I3219" s="258" t="str">
        <f t="shared" si="151"/>
        <v>1</v>
      </c>
      <c r="J3219" s="221">
        <f t="shared" si="152"/>
        <v>8690000</v>
      </c>
      <c r="K3219" s="258">
        <f t="shared" si="153"/>
        <v>10</v>
      </c>
      <c r="L3219" s="188">
        <v>8690000</v>
      </c>
      <c r="M3219" s="188">
        <v>0</v>
      </c>
      <c r="N3219" s="189">
        <v>800197268</v>
      </c>
      <c r="O3219"/>
      <c r="P3219" s="187">
        <v>45238.556851851798</v>
      </c>
      <c r="Q3219" s="186">
        <v>14441</v>
      </c>
      <c r="R3219" s="185" t="s">
        <v>983</v>
      </c>
      <c r="S3219" s="185" t="s">
        <v>1558</v>
      </c>
      <c r="T3219"/>
      <c r="U3219" t="str">
        <f>IF($L3219&gt;0,VLOOKUP($E3219,Valida!$A$1:$G$270,6,FALSE),IF($M3219&gt;=0,VLOOKUP($E3219,Valida!$A$1:$G$270,7,FALSE)))</f>
        <v>(+/-) Ajustes por disminuciones (incrementos) en otras cuentas por cobrar derivadas de las actividades de operación</v>
      </c>
      <c r="V3219" s="190" t="str">
        <f>VLOOKUP(E3219,Valida!$A$2:$K$271,4,FALSE)</f>
        <v>Trade and other receivables</v>
      </c>
      <c r="W3219" s="185" t="s">
        <v>1944</v>
      </c>
      <c r="X3219" s="185"/>
      <c r="Y3219" s="185" t="s">
        <v>1789</v>
      </c>
      <c r="Z3219"/>
    </row>
    <row r="3220" spans="1:26">
      <c r="A3220" s="185" t="s">
        <v>3604</v>
      </c>
      <c r="B3220" s="185" t="s">
        <v>3609</v>
      </c>
      <c r="C3220" s="185" t="s">
        <v>1890</v>
      </c>
      <c r="D3220" s="185" t="s">
        <v>3610</v>
      </c>
      <c r="E3220" s="185">
        <v>53059510</v>
      </c>
      <c r="F3220" s="185" t="s">
        <v>1065</v>
      </c>
      <c r="G3220" s="185" t="s">
        <v>3607</v>
      </c>
      <c r="H3220" s="185" t="s">
        <v>1628</v>
      </c>
      <c r="I3220" s="258" t="str">
        <f t="shared" si="151"/>
        <v>5</v>
      </c>
      <c r="J3220" s="221">
        <f t="shared" si="152"/>
        <v>-3000</v>
      </c>
      <c r="K3220" s="258">
        <f t="shared" si="153"/>
        <v>10</v>
      </c>
      <c r="L3220" s="188">
        <v>0</v>
      </c>
      <c r="M3220" s="188">
        <v>3000</v>
      </c>
      <c r="N3220" s="189">
        <v>19628676</v>
      </c>
      <c r="O3220"/>
      <c r="P3220" s="187">
        <v>45244</v>
      </c>
      <c r="Q3220" s="186">
        <v>14449</v>
      </c>
      <c r="R3220" s="185"/>
      <c r="S3220" s="185" t="s">
        <v>1540</v>
      </c>
      <c r="T3220"/>
      <c r="U3220" t="str">
        <f>IF($L3220&gt;0,VLOOKUP($E3220,Valida!$A$1:$G$270,6,FALSE),IF($M3220&gt;=0,VLOOKUP($E3220,Valida!$A$1:$G$270,7,FALSE)))</f>
        <v>(+/-) Ganancia (pérdida)</v>
      </c>
      <c r="V3220" s="190" t="str">
        <f>VLOOKUP(E3220,Valida!$A$2:$K$271,4,FALSE)</f>
        <v>P&amp;L</v>
      </c>
      <c r="W3220" s="185" t="s">
        <v>3608</v>
      </c>
      <c r="X3220" s="185"/>
      <c r="Y3220" s="185"/>
      <c r="Z3220"/>
    </row>
    <row r="3221" spans="1:26">
      <c r="A3221" s="185" t="s">
        <v>3810</v>
      </c>
      <c r="B3221" s="185" t="s">
        <v>3920</v>
      </c>
      <c r="C3221" s="185" t="s">
        <v>1897</v>
      </c>
      <c r="D3221" s="185" t="s">
        <v>3652</v>
      </c>
      <c r="E3221" s="185">
        <v>510506</v>
      </c>
      <c r="F3221" s="185" t="s">
        <v>1076</v>
      </c>
      <c r="G3221" s="185" t="s">
        <v>3921</v>
      </c>
      <c r="H3221" s="185" t="s">
        <v>1515</v>
      </c>
      <c r="I3221" s="258" t="str">
        <f t="shared" si="151"/>
        <v>5</v>
      </c>
      <c r="J3221" s="221">
        <f t="shared" si="152"/>
        <v>1160000</v>
      </c>
      <c r="K3221" s="258">
        <f t="shared" si="153"/>
        <v>11</v>
      </c>
      <c r="L3221" s="188">
        <v>1160000</v>
      </c>
      <c r="M3221" s="188">
        <v>0</v>
      </c>
      <c r="N3221" s="189">
        <v>1130744136</v>
      </c>
      <c r="O3221" t="s">
        <v>3920</v>
      </c>
      <c r="P3221" s="187">
        <v>45257</v>
      </c>
      <c r="Q3221" s="186">
        <v>14450</v>
      </c>
      <c r="R3221" s="185"/>
      <c r="S3221" s="185" t="s">
        <v>1538</v>
      </c>
      <c r="T3221" t="s">
        <v>2729</v>
      </c>
      <c r="U3221" t="str">
        <f>IF($L3221&gt;0,VLOOKUP($E3221,Valida!$A$1:$G$270,6,FALSE),IF($M3221&gt;=0,VLOOKUP($E3221,Valida!$A$1:$G$270,7,FALSE)))</f>
        <v>(+/-) Ganancia (pérdida)</v>
      </c>
      <c r="V3221" s="190" t="str">
        <f>VLOOKUP(E3221,Valida!$A$2:$K$271,4,FALSE)</f>
        <v>P&amp;L</v>
      </c>
      <c r="W3221" s="185" t="s">
        <v>1909</v>
      </c>
      <c r="X3221" s="185" t="s">
        <v>1910</v>
      </c>
      <c r="Y3221" s="185" t="s">
        <v>1789</v>
      </c>
      <c r="Z3221"/>
    </row>
    <row r="3222" spans="1:26">
      <c r="A3222" s="185" t="s">
        <v>3810</v>
      </c>
      <c r="B3222" s="185" t="s">
        <v>3920</v>
      </c>
      <c r="C3222" s="185" t="s">
        <v>1897</v>
      </c>
      <c r="D3222" s="185" t="s">
        <v>3652</v>
      </c>
      <c r="E3222" s="185">
        <v>510527</v>
      </c>
      <c r="F3222" s="185" t="s">
        <v>1089</v>
      </c>
      <c r="G3222" s="185" t="s">
        <v>3921</v>
      </c>
      <c r="H3222" s="185" t="s">
        <v>1515</v>
      </c>
      <c r="I3222" s="258" t="str">
        <f t="shared" si="151"/>
        <v>5</v>
      </c>
      <c r="J3222" s="221">
        <f t="shared" si="152"/>
        <v>140606</v>
      </c>
      <c r="K3222" s="258">
        <f t="shared" si="153"/>
        <v>11</v>
      </c>
      <c r="L3222" s="188">
        <v>140606</v>
      </c>
      <c r="M3222" s="188">
        <v>0</v>
      </c>
      <c r="N3222" s="189">
        <v>1130744136</v>
      </c>
      <c r="O3222" t="s">
        <v>3920</v>
      </c>
      <c r="P3222" s="187">
        <v>45257</v>
      </c>
      <c r="Q3222" s="186">
        <v>14451</v>
      </c>
      <c r="R3222" s="185"/>
      <c r="S3222" s="185" t="s">
        <v>1538</v>
      </c>
      <c r="T3222" t="s">
        <v>2729</v>
      </c>
      <c r="U3222" t="str">
        <f>IF($L3222&gt;0,VLOOKUP($E3222,Valida!$A$1:$G$270,6,FALSE),IF($M3222&gt;=0,VLOOKUP($E3222,Valida!$A$1:$G$270,7,FALSE)))</f>
        <v>(+/-) Ganancia (pérdida)</v>
      </c>
      <c r="V3222" s="190" t="str">
        <f>VLOOKUP(E3222,Valida!$A$2:$K$271,4,FALSE)</f>
        <v>P&amp;L</v>
      </c>
      <c r="W3222" s="185" t="s">
        <v>1909</v>
      </c>
      <c r="X3222" s="185" t="s">
        <v>1910</v>
      </c>
      <c r="Y3222" s="185" t="s">
        <v>1789</v>
      </c>
      <c r="Z3222"/>
    </row>
    <row r="3223" spans="1:26">
      <c r="A3223" s="185" t="s">
        <v>3810</v>
      </c>
      <c r="B3223" s="185" t="s">
        <v>3920</v>
      </c>
      <c r="C3223" s="185" t="s">
        <v>1897</v>
      </c>
      <c r="D3223" s="185" t="s">
        <v>3652</v>
      </c>
      <c r="E3223" s="185">
        <v>237005</v>
      </c>
      <c r="F3223" s="185" t="s">
        <v>676</v>
      </c>
      <c r="G3223" s="185" t="s">
        <v>3921</v>
      </c>
      <c r="H3223" s="185" t="s">
        <v>1628</v>
      </c>
      <c r="I3223" s="258" t="str">
        <f t="shared" si="151"/>
        <v>2</v>
      </c>
      <c r="J3223" s="221">
        <f t="shared" si="152"/>
        <v>-46400</v>
      </c>
      <c r="K3223" s="258">
        <f t="shared" si="153"/>
        <v>11</v>
      </c>
      <c r="L3223" s="188">
        <v>0</v>
      </c>
      <c r="M3223" s="188">
        <v>46400</v>
      </c>
      <c r="N3223" s="189">
        <v>800251440</v>
      </c>
      <c r="O3223" t="s">
        <v>3920</v>
      </c>
      <c r="P3223" s="187">
        <v>45257</v>
      </c>
      <c r="Q3223" s="186">
        <v>14452</v>
      </c>
      <c r="R3223" s="185" t="s">
        <v>1901</v>
      </c>
      <c r="S3223" s="185" t="s">
        <v>1560</v>
      </c>
      <c r="T3223" t="s">
        <v>2729</v>
      </c>
      <c r="U3223" t="str">
        <f>IF($L3223&gt;0,VLOOKUP($E3223,Valida!$A$1:$G$270,6,FALSE),IF($M3223&gt;=0,VLOOKUP($E3223,Valida!$A$1:$G$270,7,FALSE)))</f>
        <v>(+/-) Ajustes por el incremento (disminución) de cuentas por pagar de origen comercial</v>
      </c>
      <c r="V3223" s="190" t="str">
        <f>VLOOKUP(E3223,Valida!$A$2:$K$271,4,FALSE)</f>
        <v>Trade and other payables</v>
      </c>
      <c r="W3223" s="185" t="s">
        <v>1902</v>
      </c>
      <c r="X3223" s="185" t="s">
        <v>1903</v>
      </c>
      <c r="Y3223" s="185" t="s">
        <v>1789</v>
      </c>
      <c r="Z3223"/>
    </row>
    <row r="3224" spans="1:26">
      <c r="A3224" s="185" t="s">
        <v>3917</v>
      </c>
      <c r="B3224" s="185" t="s">
        <v>3918</v>
      </c>
      <c r="C3224" s="185" t="s">
        <v>1991</v>
      </c>
      <c r="D3224" s="185" t="s">
        <v>1988</v>
      </c>
      <c r="E3224" s="185">
        <v>24081501</v>
      </c>
      <c r="F3224" s="185" t="s">
        <v>747</v>
      </c>
      <c r="G3224" s="185" t="s">
        <v>3919</v>
      </c>
      <c r="H3224" s="185" t="s">
        <v>1628</v>
      </c>
      <c r="I3224" s="258" t="str">
        <f t="shared" si="151"/>
        <v>2</v>
      </c>
      <c r="J3224" s="221">
        <f t="shared" si="152"/>
        <v>-1048000</v>
      </c>
      <c r="K3224" s="258">
        <f t="shared" si="153"/>
        <v>10</v>
      </c>
      <c r="L3224" s="188">
        <v>0</v>
      </c>
      <c r="M3224" s="188">
        <v>1048000</v>
      </c>
      <c r="N3224" s="189">
        <v>800197268</v>
      </c>
      <c r="O3224"/>
      <c r="P3224" s="187">
        <v>45238.556851851798</v>
      </c>
      <c r="Q3224" s="186">
        <v>14442</v>
      </c>
      <c r="R3224" s="185" t="s">
        <v>983</v>
      </c>
      <c r="S3224" s="185" t="s">
        <v>1558</v>
      </c>
      <c r="T3224"/>
      <c r="U3224" t="str">
        <f>IF($L3224&gt;0,VLOOKUP($E3224,Valida!$A$1:$G$270,6,FALSE),IF($M3224&gt;=0,VLOOKUP($E3224,Valida!$A$1:$G$270,7,FALSE)))</f>
        <v>(+/-) Ajustes por el incremento (disminución) de cuentas por pagar de origen comercial</v>
      </c>
      <c r="V3224" s="190" t="str">
        <f>VLOOKUP(E3224,Valida!$A$2:$K$271,4,FALSE)</f>
        <v>Trade and other payables</v>
      </c>
      <c r="W3224" s="185" t="s">
        <v>1944</v>
      </c>
      <c r="X3224" s="185"/>
      <c r="Y3224" s="185" t="s">
        <v>1789</v>
      </c>
      <c r="Z3224"/>
    </row>
    <row r="3225" spans="1:26">
      <c r="A3225" s="185" t="s">
        <v>3917</v>
      </c>
      <c r="B3225" s="185" t="s">
        <v>3918</v>
      </c>
      <c r="C3225" s="185" t="s">
        <v>1991</v>
      </c>
      <c r="D3225" s="185" t="s">
        <v>1988</v>
      </c>
      <c r="E3225" s="185">
        <v>24081502</v>
      </c>
      <c r="F3225" s="185" t="s">
        <v>750</v>
      </c>
      <c r="G3225" s="185" t="s">
        <v>3919</v>
      </c>
      <c r="H3225" s="185" t="s">
        <v>1628</v>
      </c>
      <c r="I3225" s="258" t="str">
        <f t="shared" si="151"/>
        <v>2</v>
      </c>
      <c r="J3225" s="221">
        <f t="shared" si="152"/>
        <v>-7240000</v>
      </c>
      <c r="K3225" s="258">
        <f t="shared" si="153"/>
        <v>10</v>
      </c>
      <c r="L3225" s="188">
        <v>0</v>
      </c>
      <c r="M3225" s="188">
        <v>7240000</v>
      </c>
      <c r="N3225" s="189">
        <v>800197268</v>
      </c>
      <c r="O3225"/>
      <c r="P3225" s="187">
        <v>45238.556851851798</v>
      </c>
      <c r="Q3225" s="186">
        <v>14443</v>
      </c>
      <c r="R3225" s="185" t="s">
        <v>983</v>
      </c>
      <c r="S3225" s="185" t="s">
        <v>1558</v>
      </c>
      <c r="T3225"/>
      <c r="U3225" t="str">
        <f>IF($L3225&gt;0,VLOOKUP($E3225,Valida!$A$1:$G$270,6,FALSE),IF($M3225&gt;=0,VLOOKUP($E3225,Valida!$A$1:$G$270,7,FALSE)))</f>
        <v>(+/-) Ajustes por el incremento (disminución) de cuentas por pagar de origen comercial</v>
      </c>
      <c r="V3225" s="190" t="str">
        <f>VLOOKUP(E3225,Valida!$A$2:$K$271,4,FALSE)</f>
        <v>Trade and other payables</v>
      </c>
      <c r="W3225" s="185" t="s">
        <v>1944</v>
      </c>
      <c r="X3225" s="185"/>
      <c r="Y3225" s="185" t="s">
        <v>1789</v>
      </c>
      <c r="Z3225"/>
    </row>
    <row r="3226" spans="1:26">
      <c r="A3226" s="185" t="s">
        <v>3917</v>
      </c>
      <c r="B3226" s="185" t="s">
        <v>3918</v>
      </c>
      <c r="C3226" s="185" t="s">
        <v>1991</v>
      </c>
      <c r="D3226" s="185" t="s">
        <v>1988</v>
      </c>
      <c r="E3226" s="185">
        <v>24081505</v>
      </c>
      <c r="F3226" s="185" t="s">
        <v>756</v>
      </c>
      <c r="G3226" s="185" t="s">
        <v>3919</v>
      </c>
      <c r="H3226" s="185" t="s">
        <v>1628</v>
      </c>
      <c r="I3226" s="258" t="str">
        <f t="shared" si="151"/>
        <v>2</v>
      </c>
      <c r="J3226" s="221">
        <f t="shared" si="152"/>
        <v>-402000</v>
      </c>
      <c r="K3226" s="258">
        <f t="shared" si="153"/>
        <v>10</v>
      </c>
      <c r="L3226" s="188">
        <v>0</v>
      </c>
      <c r="M3226" s="188">
        <v>402000</v>
      </c>
      <c r="N3226" s="189">
        <v>800197268</v>
      </c>
      <c r="O3226"/>
      <c r="P3226" s="187">
        <v>45238.556851851798</v>
      </c>
      <c r="Q3226" s="186">
        <v>14444</v>
      </c>
      <c r="R3226" s="185" t="s">
        <v>983</v>
      </c>
      <c r="S3226" s="185" t="s">
        <v>1558</v>
      </c>
      <c r="T3226"/>
      <c r="U3226" t="str">
        <f>IF($L3226&gt;0,VLOOKUP($E3226,Valida!$A$1:$G$270,6,FALSE),IF($M3226&gt;=0,VLOOKUP($E3226,Valida!$A$1:$G$270,7,FALSE)))</f>
        <v>(+/-) Ajustes por el incremento (disminución) de cuentas por pagar de origen comercial</v>
      </c>
      <c r="V3226" s="190" t="str">
        <f>VLOOKUP(E3226,Valida!$A$2:$K$271,4,FALSE)</f>
        <v>Trade and other payables</v>
      </c>
      <c r="W3226" s="185" t="s">
        <v>1944</v>
      </c>
      <c r="X3226" s="185"/>
      <c r="Y3226" s="185" t="s">
        <v>1789</v>
      </c>
      <c r="Z3226"/>
    </row>
    <row r="3227" spans="1:26">
      <c r="A3227" s="185" t="s">
        <v>3822</v>
      </c>
      <c r="B3227" s="185" t="s">
        <v>3922</v>
      </c>
      <c r="C3227" s="185" t="s">
        <v>1991</v>
      </c>
      <c r="D3227" s="185" t="s">
        <v>2206</v>
      </c>
      <c r="E3227" s="185">
        <v>23680503</v>
      </c>
      <c r="F3227" s="185" t="s">
        <v>665</v>
      </c>
      <c r="G3227" s="185" t="s">
        <v>3923</v>
      </c>
      <c r="H3227" s="185" t="s">
        <v>1515</v>
      </c>
      <c r="I3227" s="258" t="str">
        <f t="shared" si="151"/>
        <v>2</v>
      </c>
      <c r="J3227" s="221">
        <f t="shared" si="152"/>
        <v>262988</v>
      </c>
      <c r="K3227" s="258">
        <f t="shared" si="153"/>
        <v>10</v>
      </c>
      <c r="L3227" s="188">
        <v>262988</v>
      </c>
      <c r="M3227" s="188">
        <v>0</v>
      </c>
      <c r="N3227" s="189">
        <v>899999061</v>
      </c>
      <c r="O3227"/>
      <c r="P3227" s="187">
        <v>45240.351898148103</v>
      </c>
      <c r="Q3227" s="186">
        <v>14445</v>
      </c>
      <c r="R3227" s="185"/>
      <c r="S3227" s="185" t="s">
        <v>1584</v>
      </c>
      <c r="T3227"/>
      <c r="U3227" t="str">
        <f>IF($L3227&gt;0,VLOOKUP($E3227,Valida!$A$1:$G$270,6,FALSE),IF($M3227&gt;=0,VLOOKUP($E3227,Valida!$A$1:$G$270,7,FALSE)))</f>
        <v>(+/-) Ajustes por el incremento (disminución) de cuentas por pagar de origen comercial</v>
      </c>
      <c r="V3227" s="190" t="str">
        <f>VLOOKUP(E3227,Valida!$A$2:$K$271,4,FALSE)</f>
        <v>Trade and other payables</v>
      </c>
      <c r="W3227" s="185" t="s">
        <v>1893</v>
      </c>
      <c r="X3227" s="185"/>
      <c r="Y3227" s="185" t="s">
        <v>1789</v>
      </c>
      <c r="Z3227"/>
    </row>
    <row r="3228" spans="1:26">
      <c r="A3228" s="185" t="s">
        <v>3822</v>
      </c>
      <c r="B3228" s="185" t="s">
        <v>3922</v>
      </c>
      <c r="C3228" s="185" t="s">
        <v>1991</v>
      </c>
      <c r="D3228" s="185" t="s">
        <v>2206</v>
      </c>
      <c r="E3228" s="185">
        <v>23680504</v>
      </c>
      <c r="F3228" s="185" t="s">
        <v>668</v>
      </c>
      <c r="G3228" s="185" t="s">
        <v>3923</v>
      </c>
      <c r="H3228" s="185" t="s">
        <v>1515</v>
      </c>
      <c r="I3228" s="258" t="str">
        <f t="shared" si="151"/>
        <v>2</v>
      </c>
      <c r="J3228" s="221">
        <f t="shared" si="152"/>
        <v>154274</v>
      </c>
      <c r="K3228" s="258">
        <f t="shared" si="153"/>
        <v>10</v>
      </c>
      <c r="L3228" s="188">
        <v>154274</v>
      </c>
      <c r="M3228" s="188">
        <v>0</v>
      </c>
      <c r="N3228" s="189">
        <v>899999061</v>
      </c>
      <c r="O3228"/>
      <c r="P3228" s="187">
        <v>45240.351898148103</v>
      </c>
      <c r="Q3228" s="186">
        <v>14446</v>
      </c>
      <c r="R3228" s="185"/>
      <c r="S3228" s="185" t="s">
        <v>1584</v>
      </c>
      <c r="T3228"/>
      <c r="U3228" t="str">
        <f>IF($L3228&gt;0,VLOOKUP($E3228,Valida!$A$1:$G$270,6,FALSE),IF($M3228&gt;=0,VLOOKUP($E3228,Valida!$A$1:$G$270,7,FALSE)))</f>
        <v>(+/-) Ajustes por el incremento (disminución) de cuentas por pagar de origen comercial</v>
      </c>
      <c r="V3228" s="190" t="str">
        <f>VLOOKUP(E3228,Valida!$A$2:$K$271,4,FALSE)</f>
        <v>Trade and other payables</v>
      </c>
      <c r="W3228" s="185" t="s">
        <v>1893</v>
      </c>
      <c r="X3228" s="185"/>
      <c r="Y3228" s="185" t="s">
        <v>1789</v>
      </c>
      <c r="Z3228"/>
    </row>
    <row r="3229" spans="1:26">
      <c r="A3229" s="185" t="s">
        <v>3822</v>
      </c>
      <c r="B3229" s="185" t="s">
        <v>3922</v>
      </c>
      <c r="C3229" s="185" t="s">
        <v>1991</v>
      </c>
      <c r="D3229" s="185" t="s">
        <v>2206</v>
      </c>
      <c r="E3229" s="185">
        <v>236890</v>
      </c>
      <c r="F3229" s="185" t="s">
        <v>1648</v>
      </c>
      <c r="G3229" s="185" t="s">
        <v>3923</v>
      </c>
      <c r="H3229" s="185" t="s">
        <v>1628</v>
      </c>
      <c r="I3229" s="258" t="str">
        <f t="shared" si="151"/>
        <v>2</v>
      </c>
      <c r="J3229" s="221">
        <f t="shared" si="152"/>
        <v>-417000</v>
      </c>
      <c r="K3229" s="258">
        <f t="shared" si="153"/>
        <v>10</v>
      </c>
      <c r="L3229" s="188">
        <v>0</v>
      </c>
      <c r="M3229" s="188">
        <v>417000</v>
      </c>
      <c r="N3229" s="189">
        <v>899999061</v>
      </c>
      <c r="O3229"/>
      <c r="P3229" s="187">
        <v>45240.351898148103</v>
      </c>
      <c r="Q3229" s="186">
        <v>14447</v>
      </c>
      <c r="R3229" s="185"/>
      <c r="S3229" s="185" t="s">
        <v>1584</v>
      </c>
      <c r="T3229"/>
      <c r="U3229" t="str">
        <f>IF($L3229&gt;0,VLOOKUP($E3229,Valida!$A$1:$G$270,6,FALSE),IF($M3229&gt;=0,VLOOKUP($E3229,Valida!$A$1:$G$270,7,FALSE)))</f>
        <v>(+/-) Ajustes por el incremento (disminución) de cuentas por pagar de origen comercial</v>
      </c>
      <c r="V3229" s="190" t="str">
        <f>VLOOKUP(E3229,Valida!$A$2:$K$271,4,FALSE)</f>
        <v>Trade and other payables</v>
      </c>
      <c r="W3229" s="185" t="s">
        <v>1893</v>
      </c>
      <c r="X3229" s="185"/>
      <c r="Y3229" s="185" t="s">
        <v>1789</v>
      </c>
      <c r="Z3229"/>
    </row>
    <row r="3230" spans="1:26">
      <c r="A3230" s="185" t="s">
        <v>3822</v>
      </c>
      <c r="B3230" s="185" t="s">
        <v>3922</v>
      </c>
      <c r="C3230" s="185" t="s">
        <v>1991</v>
      </c>
      <c r="D3230" s="185" t="s">
        <v>2206</v>
      </c>
      <c r="E3230" s="185">
        <v>53059510</v>
      </c>
      <c r="F3230" s="185" t="s">
        <v>1065</v>
      </c>
      <c r="G3230" s="185" t="s">
        <v>3923</v>
      </c>
      <c r="H3230" s="185" t="s">
        <v>1628</v>
      </c>
      <c r="I3230" s="258" t="str">
        <f t="shared" si="151"/>
        <v>5</v>
      </c>
      <c r="J3230" s="221">
        <f t="shared" si="152"/>
        <v>-262</v>
      </c>
      <c r="K3230" s="258">
        <f t="shared" si="153"/>
        <v>10</v>
      </c>
      <c r="L3230" s="188">
        <v>0</v>
      </c>
      <c r="M3230" s="188">
        <v>262</v>
      </c>
      <c r="N3230" s="189">
        <v>899999061</v>
      </c>
      <c r="O3230"/>
      <c r="P3230" s="187">
        <v>45240.351898148103</v>
      </c>
      <c r="Q3230" s="186">
        <v>14448</v>
      </c>
      <c r="R3230" s="185"/>
      <c r="S3230" s="185" t="s">
        <v>1584</v>
      </c>
      <c r="T3230"/>
      <c r="U3230" t="str">
        <f>IF($L3230&gt;0,VLOOKUP($E3230,Valida!$A$1:$G$270,6,FALSE),IF($M3230&gt;=0,VLOOKUP($E3230,Valida!$A$1:$G$270,7,FALSE)))</f>
        <v>(+/-) Ganancia (pérdida)</v>
      </c>
      <c r="V3230" s="190" t="str">
        <f>VLOOKUP(E3230,Valida!$A$2:$K$271,4,FALSE)</f>
        <v>P&amp;L</v>
      </c>
      <c r="W3230" s="185" t="s">
        <v>1893</v>
      </c>
      <c r="X3230" s="185"/>
      <c r="Y3230" s="185" t="s">
        <v>1789</v>
      </c>
      <c r="Z3230"/>
    </row>
    <row r="3231" spans="1:26">
      <c r="A3231" s="185" t="s">
        <v>3810</v>
      </c>
      <c r="B3231" s="185" t="s">
        <v>3920</v>
      </c>
      <c r="C3231" s="185" t="s">
        <v>1897</v>
      </c>
      <c r="D3231" s="185" t="s">
        <v>3652</v>
      </c>
      <c r="E3231" s="185">
        <v>238030</v>
      </c>
      <c r="F3231" s="185" t="s">
        <v>721</v>
      </c>
      <c r="G3231" s="185" t="s">
        <v>3921</v>
      </c>
      <c r="H3231" s="185" t="s">
        <v>1628</v>
      </c>
      <c r="I3231" s="258" t="str">
        <f t="shared" si="151"/>
        <v>2</v>
      </c>
      <c r="J3231" s="221">
        <f t="shared" si="152"/>
        <v>-46400</v>
      </c>
      <c r="K3231" s="258">
        <f t="shared" si="153"/>
        <v>11</v>
      </c>
      <c r="L3231" s="188">
        <v>0</v>
      </c>
      <c r="M3231" s="188">
        <v>46400</v>
      </c>
      <c r="N3231" s="189">
        <v>800224808</v>
      </c>
      <c r="O3231" t="s">
        <v>3920</v>
      </c>
      <c r="P3231" s="187">
        <v>45257</v>
      </c>
      <c r="Q3231" s="186">
        <v>14453</v>
      </c>
      <c r="R3231" s="185" t="s">
        <v>1827</v>
      </c>
      <c r="S3231" s="185" t="s">
        <v>1662</v>
      </c>
      <c r="T3231" t="s">
        <v>2729</v>
      </c>
      <c r="U3231" t="str">
        <f>IF($L3231&gt;0,VLOOKUP($E3231,Valida!$A$1:$G$270,6,FALSE),IF($M3231&gt;=0,VLOOKUP($E3231,Valida!$A$1:$G$270,7,FALSE)))</f>
        <v>(+/-) Ajustes por el incremento (disminución) de cuentas por pagar de origen comercial</v>
      </c>
      <c r="V3231" s="190" t="str">
        <f>VLOOKUP(E3231,Valida!$A$2:$K$271,4,FALSE)</f>
        <v>Trade and other payables</v>
      </c>
      <c r="W3231" s="185" t="s">
        <v>1911</v>
      </c>
      <c r="X3231" s="185"/>
      <c r="Y3231" s="185" t="s">
        <v>1789</v>
      </c>
      <c r="Z3231"/>
    </row>
    <row r="3232" spans="1:26">
      <c r="A3232" s="185" t="s">
        <v>3810</v>
      </c>
      <c r="B3232" s="185" t="s">
        <v>3920</v>
      </c>
      <c r="C3232" s="185" t="s">
        <v>1897</v>
      </c>
      <c r="D3232" s="185" t="s">
        <v>3652</v>
      </c>
      <c r="E3232" s="185">
        <v>510506</v>
      </c>
      <c r="F3232" s="185" t="s">
        <v>1076</v>
      </c>
      <c r="G3232" s="185" t="s">
        <v>3921</v>
      </c>
      <c r="H3232" s="185" t="s">
        <v>1515</v>
      </c>
      <c r="I3232" s="258" t="str">
        <f t="shared" si="151"/>
        <v>5</v>
      </c>
      <c r="J3232" s="221">
        <f t="shared" si="152"/>
        <v>1500000</v>
      </c>
      <c r="K3232" s="258">
        <f t="shared" si="153"/>
        <v>11</v>
      </c>
      <c r="L3232" s="188">
        <v>1500000</v>
      </c>
      <c r="M3232" s="188">
        <v>0</v>
      </c>
      <c r="N3232" s="189">
        <v>1010101811</v>
      </c>
      <c r="O3232" t="s">
        <v>3920</v>
      </c>
      <c r="P3232" s="187">
        <v>45257</v>
      </c>
      <c r="Q3232" s="186">
        <v>14454</v>
      </c>
      <c r="R3232" s="185"/>
      <c r="S3232" s="185" t="s">
        <v>1528</v>
      </c>
      <c r="T3232" t="s">
        <v>2729</v>
      </c>
      <c r="U3232" t="str">
        <f>IF($L3232&gt;0,VLOOKUP($E3232,Valida!$A$1:$G$270,6,FALSE),IF($M3232&gt;=0,VLOOKUP($E3232,Valida!$A$1:$G$270,7,FALSE)))</f>
        <v>(+/-) Ganancia (pérdida)</v>
      </c>
      <c r="V3232" s="190" t="str">
        <f>VLOOKUP(E3232,Valida!$A$2:$K$271,4,FALSE)</f>
        <v>P&amp;L</v>
      </c>
      <c r="W3232" s="185" t="s">
        <v>1967</v>
      </c>
      <c r="X3232" s="185"/>
      <c r="Y3232" s="185" t="s">
        <v>1789</v>
      </c>
      <c r="Z3232"/>
    </row>
    <row r="3233" spans="1:26">
      <c r="A3233" s="185" t="s">
        <v>3810</v>
      </c>
      <c r="B3233" s="185" t="s">
        <v>3920</v>
      </c>
      <c r="C3233" s="185" t="s">
        <v>1897</v>
      </c>
      <c r="D3233" s="185" t="s">
        <v>3652</v>
      </c>
      <c r="E3233" s="185">
        <v>510527</v>
      </c>
      <c r="F3233" s="185" t="s">
        <v>1089</v>
      </c>
      <c r="G3233" s="185" t="s">
        <v>3921</v>
      </c>
      <c r="H3233" s="185" t="s">
        <v>1515</v>
      </c>
      <c r="I3233" s="258" t="str">
        <f t="shared" si="151"/>
        <v>5</v>
      </c>
      <c r="J3233" s="221">
        <f t="shared" si="152"/>
        <v>140606</v>
      </c>
      <c r="K3233" s="258">
        <f t="shared" si="153"/>
        <v>11</v>
      </c>
      <c r="L3233" s="188">
        <v>140606</v>
      </c>
      <c r="M3233" s="188">
        <v>0</v>
      </c>
      <c r="N3233" s="189">
        <v>1010101811</v>
      </c>
      <c r="O3233" t="s">
        <v>3920</v>
      </c>
      <c r="P3233" s="187">
        <v>45257</v>
      </c>
      <c r="Q3233" s="186">
        <v>14455</v>
      </c>
      <c r="R3233" s="185"/>
      <c r="S3233" s="185" t="s">
        <v>1528</v>
      </c>
      <c r="T3233" t="s">
        <v>2729</v>
      </c>
      <c r="U3233" t="str">
        <f>IF($L3233&gt;0,VLOOKUP($E3233,Valida!$A$1:$G$270,6,FALSE),IF($M3233&gt;=0,VLOOKUP($E3233,Valida!$A$1:$G$270,7,FALSE)))</f>
        <v>(+/-) Ganancia (pérdida)</v>
      </c>
      <c r="V3233" s="190" t="str">
        <f>VLOOKUP(E3233,Valida!$A$2:$K$271,4,FALSE)</f>
        <v>P&amp;L</v>
      </c>
      <c r="W3233" s="185" t="s">
        <v>1967</v>
      </c>
      <c r="X3233" s="185"/>
      <c r="Y3233" s="185" t="s">
        <v>1789</v>
      </c>
      <c r="Z3233"/>
    </row>
    <row r="3234" spans="1:26">
      <c r="A3234" s="185" t="s">
        <v>3810</v>
      </c>
      <c r="B3234" s="185" t="s">
        <v>3920</v>
      </c>
      <c r="C3234" s="185" t="s">
        <v>1897</v>
      </c>
      <c r="D3234" s="185" t="s">
        <v>3652</v>
      </c>
      <c r="E3234" s="185">
        <v>237005</v>
      </c>
      <c r="F3234" s="185" t="s">
        <v>676</v>
      </c>
      <c r="G3234" s="185" t="s">
        <v>3921</v>
      </c>
      <c r="H3234" s="185" t="s">
        <v>1628</v>
      </c>
      <c r="I3234" s="258" t="str">
        <f t="shared" si="151"/>
        <v>2</v>
      </c>
      <c r="J3234" s="221">
        <f t="shared" si="152"/>
        <v>-60000</v>
      </c>
      <c r="K3234" s="258">
        <f t="shared" si="153"/>
        <v>11</v>
      </c>
      <c r="L3234" s="188">
        <v>0</v>
      </c>
      <c r="M3234" s="188">
        <v>60000</v>
      </c>
      <c r="N3234" s="189">
        <v>860066942</v>
      </c>
      <c r="O3234" t="s">
        <v>3920</v>
      </c>
      <c r="P3234" s="187">
        <v>45257</v>
      </c>
      <c r="Q3234" s="186">
        <v>14456</v>
      </c>
      <c r="R3234" s="185" t="s">
        <v>1814</v>
      </c>
      <c r="S3234" s="185" t="s">
        <v>1574</v>
      </c>
      <c r="T3234" t="s">
        <v>2729</v>
      </c>
      <c r="U3234" t="str">
        <f>IF($L3234&gt;0,VLOOKUP($E3234,Valida!$A$1:$G$270,6,FALSE),IF($M3234&gt;=0,VLOOKUP($E3234,Valida!$A$1:$G$270,7,FALSE)))</f>
        <v>(+/-) Ajustes por el incremento (disminución) de cuentas por pagar de origen comercial</v>
      </c>
      <c r="V3234" s="190" t="str">
        <f>VLOOKUP(E3234,Valida!$A$2:$K$271,4,FALSE)</f>
        <v>Trade and other payables</v>
      </c>
      <c r="W3234" s="185" t="s">
        <v>1914</v>
      </c>
      <c r="X3234" s="185" t="s">
        <v>1915</v>
      </c>
      <c r="Y3234" s="185" t="s">
        <v>1789</v>
      </c>
      <c r="Z3234"/>
    </row>
    <row r="3235" spans="1:26">
      <c r="A3235" s="185" t="s">
        <v>3810</v>
      </c>
      <c r="B3235" s="185" t="s">
        <v>3920</v>
      </c>
      <c r="C3235" s="185" t="s">
        <v>1897</v>
      </c>
      <c r="D3235" s="185" t="s">
        <v>3652</v>
      </c>
      <c r="E3235" s="185">
        <v>238030</v>
      </c>
      <c r="F3235" s="185" t="s">
        <v>721</v>
      </c>
      <c r="G3235" s="185" t="s">
        <v>3921</v>
      </c>
      <c r="H3235" s="185" t="s">
        <v>1628</v>
      </c>
      <c r="I3235" s="258" t="str">
        <f t="shared" si="151"/>
        <v>2</v>
      </c>
      <c r="J3235" s="221">
        <f t="shared" si="152"/>
        <v>-60000</v>
      </c>
      <c r="K3235" s="258">
        <f t="shared" si="153"/>
        <v>11</v>
      </c>
      <c r="L3235" s="188">
        <v>0</v>
      </c>
      <c r="M3235" s="188">
        <v>60000</v>
      </c>
      <c r="N3235" s="189">
        <v>800224808</v>
      </c>
      <c r="O3235" t="s">
        <v>3920</v>
      </c>
      <c r="P3235" s="187">
        <v>45257</v>
      </c>
      <c r="Q3235" s="186">
        <v>14457</v>
      </c>
      <c r="R3235" s="185" t="s">
        <v>1827</v>
      </c>
      <c r="S3235" s="185" t="s">
        <v>1662</v>
      </c>
      <c r="T3235" t="s">
        <v>2729</v>
      </c>
      <c r="U3235" t="str">
        <f>IF($L3235&gt;0,VLOOKUP($E3235,Valida!$A$1:$G$270,6,FALSE),IF($M3235&gt;=0,VLOOKUP($E3235,Valida!$A$1:$G$270,7,FALSE)))</f>
        <v>(+/-) Ajustes por el incremento (disminución) de cuentas por pagar de origen comercial</v>
      </c>
      <c r="V3235" s="190" t="str">
        <f>VLOOKUP(E3235,Valida!$A$2:$K$271,4,FALSE)</f>
        <v>Trade and other payables</v>
      </c>
      <c r="W3235" s="185" t="s">
        <v>1911</v>
      </c>
      <c r="X3235" s="185"/>
      <c r="Y3235" s="185" t="s">
        <v>1789</v>
      </c>
      <c r="Z3235"/>
    </row>
    <row r="3236" spans="1:26">
      <c r="A3236" s="185" t="s">
        <v>3810</v>
      </c>
      <c r="B3236" s="185" t="s">
        <v>3920</v>
      </c>
      <c r="C3236" s="185" t="s">
        <v>1897</v>
      </c>
      <c r="D3236" s="185" t="s">
        <v>3652</v>
      </c>
      <c r="E3236" s="185">
        <v>51052403</v>
      </c>
      <c r="F3236" s="185" t="s">
        <v>1720</v>
      </c>
      <c r="G3236" s="185" t="s">
        <v>3921</v>
      </c>
      <c r="H3236" s="185" t="s">
        <v>1515</v>
      </c>
      <c r="I3236" s="258" t="str">
        <f t="shared" si="151"/>
        <v>5</v>
      </c>
      <c r="J3236" s="221">
        <f t="shared" si="152"/>
        <v>1044000</v>
      </c>
      <c r="K3236" s="258">
        <f t="shared" si="153"/>
        <v>11</v>
      </c>
      <c r="L3236" s="188">
        <v>1044000</v>
      </c>
      <c r="M3236" s="188">
        <v>0</v>
      </c>
      <c r="N3236" s="189">
        <v>1020842223</v>
      </c>
      <c r="O3236" t="s">
        <v>3920</v>
      </c>
      <c r="P3236" s="187">
        <v>45257</v>
      </c>
      <c r="Q3236" s="186">
        <v>14458</v>
      </c>
      <c r="R3236" s="185"/>
      <c r="S3236" s="185" t="s">
        <v>1532</v>
      </c>
      <c r="T3236" t="s">
        <v>2729</v>
      </c>
      <c r="U3236" t="str">
        <f>IF($L3236&gt;0,VLOOKUP($E3236,Valida!$A$1:$G$270,6,FALSE),IF($M3236&gt;=0,VLOOKUP($E3236,Valida!$A$1:$G$270,7,FALSE)))</f>
        <v>(+/-) Ganancia (pérdida)</v>
      </c>
      <c r="V3236" s="190" t="str">
        <f>VLOOKUP(E3236,Valida!$A$2:$K$271,4,FALSE)</f>
        <v>P&amp;L</v>
      </c>
      <c r="W3236" s="185" t="s">
        <v>1900</v>
      </c>
      <c r="X3236" s="185"/>
      <c r="Y3236" s="185" t="s">
        <v>1789</v>
      </c>
      <c r="Z3236"/>
    </row>
    <row r="3237" spans="1:26">
      <c r="A3237" s="185" t="s">
        <v>3810</v>
      </c>
      <c r="B3237" s="185" t="s">
        <v>3920</v>
      </c>
      <c r="C3237" s="185" t="s">
        <v>1897</v>
      </c>
      <c r="D3237" s="185" t="s">
        <v>3652</v>
      </c>
      <c r="E3237" s="185">
        <v>51052403</v>
      </c>
      <c r="F3237" s="185" t="s">
        <v>1720</v>
      </c>
      <c r="G3237" s="185" t="s">
        <v>3921</v>
      </c>
      <c r="H3237" s="185" t="s">
        <v>1515</v>
      </c>
      <c r="I3237" s="258" t="str">
        <f t="shared" si="151"/>
        <v>5</v>
      </c>
      <c r="J3237" s="221">
        <f t="shared" si="152"/>
        <v>116000</v>
      </c>
      <c r="K3237" s="258">
        <f t="shared" si="153"/>
        <v>11</v>
      </c>
      <c r="L3237" s="188">
        <v>116000</v>
      </c>
      <c r="M3237" s="188">
        <v>0</v>
      </c>
      <c r="N3237" s="189">
        <v>1020842223</v>
      </c>
      <c r="O3237" t="s">
        <v>3920</v>
      </c>
      <c r="P3237" s="187">
        <v>45257</v>
      </c>
      <c r="Q3237" s="186">
        <v>14459</v>
      </c>
      <c r="R3237" s="185"/>
      <c r="S3237" s="185" t="s">
        <v>1532</v>
      </c>
      <c r="T3237" t="s">
        <v>2729</v>
      </c>
      <c r="U3237" t="str">
        <f>IF($L3237&gt;0,VLOOKUP($E3237,Valida!$A$1:$G$270,6,FALSE),IF($M3237&gt;=0,VLOOKUP($E3237,Valida!$A$1:$G$270,7,FALSE)))</f>
        <v>(+/-) Ganancia (pérdida)</v>
      </c>
      <c r="V3237" s="190" t="str">
        <f>VLOOKUP(E3237,Valida!$A$2:$K$271,4,FALSE)</f>
        <v>P&amp;L</v>
      </c>
      <c r="W3237" s="185" t="s">
        <v>1900</v>
      </c>
      <c r="X3237" s="185"/>
      <c r="Y3237" s="185" t="s">
        <v>1789</v>
      </c>
      <c r="Z3237"/>
    </row>
    <row r="3238" spans="1:26">
      <c r="A3238" s="185" t="s">
        <v>3810</v>
      </c>
      <c r="B3238" s="185" t="s">
        <v>3920</v>
      </c>
      <c r="C3238" s="185" t="s">
        <v>1897</v>
      </c>
      <c r="D3238" s="185" t="s">
        <v>3652</v>
      </c>
      <c r="E3238" s="185">
        <v>237005</v>
      </c>
      <c r="F3238" s="185" t="s">
        <v>676</v>
      </c>
      <c r="G3238" s="185" t="s">
        <v>3921</v>
      </c>
      <c r="H3238" s="185" t="s">
        <v>1628</v>
      </c>
      <c r="I3238" s="258" t="str">
        <f t="shared" si="151"/>
        <v>2</v>
      </c>
      <c r="J3238" s="221">
        <f t="shared" si="152"/>
        <v>-46400</v>
      </c>
      <c r="K3238" s="258">
        <f t="shared" si="153"/>
        <v>11</v>
      </c>
      <c r="L3238" s="188">
        <v>0</v>
      </c>
      <c r="M3238" s="188">
        <v>46400</v>
      </c>
      <c r="N3238" s="189">
        <v>800251440</v>
      </c>
      <c r="O3238" t="s">
        <v>3920</v>
      </c>
      <c r="P3238" s="187">
        <v>45257</v>
      </c>
      <c r="Q3238" s="186">
        <v>14460</v>
      </c>
      <c r="R3238" s="185" t="s">
        <v>1901</v>
      </c>
      <c r="S3238" s="185" t="s">
        <v>1560</v>
      </c>
      <c r="T3238" t="s">
        <v>2729</v>
      </c>
      <c r="U3238" t="str">
        <f>IF($L3238&gt;0,VLOOKUP($E3238,Valida!$A$1:$G$270,6,FALSE),IF($M3238&gt;=0,VLOOKUP($E3238,Valida!$A$1:$G$270,7,FALSE)))</f>
        <v>(+/-) Ajustes por el incremento (disminución) de cuentas por pagar de origen comercial</v>
      </c>
      <c r="V3238" s="190" t="str">
        <f>VLOOKUP(E3238,Valida!$A$2:$K$271,4,FALSE)</f>
        <v>Trade and other payables</v>
      </c>
      <c r="W3238" s="185" t="s">
        <v>1902</v>
      </c>
      <c r="X3238" s="185" t="s">
        <v>1903</v>
      </c>
      <c r="Y3238" s="185" t="s">
        <v>1789</v>
      </c>
      <c r="Z3238"/>
    </row>
    <row r="3239" spans="1:26">
      <c r="A3239" s="185" t="s">
        <v>3810</v>
      </c>
      <c r="B3239" s="185" t="s">
        <v>3920</v>
      </c>
      <c r="C3239" s="185" t="s">
        <v>1897</v>
      </c>
      <c r="D3239" s="185" t="s">
        <v>3652</v>
      </c>
      <c r="E3239" s="185">
        <v>238030</v>
      </c>
      <c r="F3239" s="185" t="s">
        <v>721</v>
      </c>
      <c r="G3239" s="185" t="s">
        <v>3921</v>
      </c>
      <c r="H3239" s="185" t="s">
        <v>1628</v>
      </c>
      <c r="I3239" s="258" t="str">
        <f t="shared" si="151"/>
        <v>2</v>
      </c>
      <c r="J3239" s="221">
        <f t="shared" si="152"/>
        <v>-46400</v>
      </c>
      <c r="K3239" s="258">
        <f t="shared" si="153"/>
        <v>11</v>
      </c>
      <c r="L3239" s="188">
        <v>0</v>
      </c>
      <c r="M3239" s="188">
        <v>46400</v>
      </c>
      <c r="N3239" s="189">
        <v>800224808</v>
      </c>
      <c r="O3239" t="s">
        <v>3920</v>
      </c>
      <c r="P3239" s="187">
        <v>45257</v>
      </c>
      <c r="Q3239" s="186">
        <v>14461</v>
      </c>
      <c r="R3239" s="185" t="s">
        <v>1827</v>
      </c>
      <c r="S3239" s="185" t="s">
        <v>1662</v>
      </c>
      <c r="T3239" t="s">
        <v>2729</v>
      </c>
      <c r="U3239" t="str">
        <f>IF($L3239&gt;0,VLOOKUP($E3239,Valida!$A$1:$G$270,6,FALSE),IF($M3239&gt;=0,VLOOKUP($E3239,Valida!$A$1:$G$270,7,FALSE)))</f>
        <v>(+/-) Ajustes por el incremento (disminución) de cuentas por pagar de origen comercial</v>
      </c>
      <c r="V3239" s="190" t="str">
        <f>VLOOKUP(E3239,Valida!$A$2:$K$271,4,FALSE)</f>
        <v>Trade and other payables</v>
      </c>
      <c r="W3239" s="185" t="s">
        <v>1911</v>
      </c>
      <c r="X3239" s="185"/>
      <c r="Y3239" s="185" t="s">
        <v>1789</v>
      </c>
      <c r="Z3239"/>
    </row>
    <row r="3240" spans="1:26">
      <c r="A3240" s="185" t="s">
        <v>3810</v>
      </c>
      <c r="B3240" s="185" t="s">
        <v>3920</v>
      </c>
      <c r="C3240" s="185" t="s">
        <v>1897</v>
      </c>
      <c r="D3240" s="185" t="s">
        <v>3652</v>
      </c>
      <c r="E3240" s="185">
        <v>510506</v>
      </c>
      <c r="F3240" s="185" t="s">
        <v>1076</v>
      </c>
      <c r="G3240" s="185" t="s">
        <v>3921</v>
      </c>
      <c r="H3240" s="185" t="s">
        <v>1515</v>
      </c>
      <c r="I3240" s="258" t="str">
        <f t="shared" si="151"/>
        <v>5</v>
      </c>
      <c r="J3240" s="221">
        <f t="shared" si="152"/>
        <v>1276000</v>
      </c>
      <c r="K3240" s="258">
        <f t="shared" si="153"/>
        <v>11</v>
      </c>
      <c r="L3240" s="188">
        <v>1276000</v>
      </c>
      <c r="M3240" s="188">
        <v>0</v>
      </c>
      <c r="N3240" s="189">
        <v>1000018061</v>
      </c>
      <c r="O3240" t="s">
        <v>3920</v>
      </c>
      <c r="P3240" s="187">
        <v>45257</v>
      </c>
      <c r="Q3240" s="186">
        <v>14462</v>
      </c>
      <c r="R3240" s="185"/>
      <c r="S3240" s="185" t="s">
        <v>1522</v>
      </c>
      <c r="T3240" t="s">
        <v>2729</v>
      </c>
      <c r="U3240" t="str">
        <f>IF($L3240&gt;0,VLOOKUP($E3240,Valida!$A$1:$G$270,6,FALSE),IF($M3240&gt;=0,VLOOKUP($E3240,Valida!$A$1:$G$270,7,FALSE)))</f>
        <v>(+/-) Ganancia (pérdida)</v>
      </c>
      <c r="V3240" s="190" t="str">
        <f>VLOOKUP(E3240,Valida!$A$2:$K$271,4,FALSE)</f>
        <v>P&amp;L</v>
      </c>
      <c r="W3240" s="185" t="s">
        <v>1978</v>
      </c>
      <c r="X3240" s="185"/>
      <c r="Y3240" s="185" t="s">
        <v>1789</v>
      </c>
      <c r="Z3240"/>
    </row>
    <row r="3241" spans="1:26">
      <c r="A3241" s="185" t="s">
        <v>3810</v>
      </c>
      <c r="B3241" s="185" t="s">
        <v>3920</v>
      </c>
      <c r="C3241" s="185" t="s">
        <v>1897</v>
      </c>
      <c r="D3241" s="185" t="s">
        <v>3652</v>
      </c>
      <c r="E3241" s="185">
        <v>510527</v>
      </c>
      <c r="F3241" s="185" t="s">
        <v>1089</v>
      </c>
      <c r="G3241" s="185" t="s">
        <v>3921</v>
      </c>
      <c r="H3241" s="185" t="s">
        <v>1515</v>
      </c>
      <c r="I3241" s="258" t="str">
        <f t="shared" si="151"/>
        <v>5</v>
      </c>
      <c r="J3241" s="221">
        <f t="shared" si="152"/>
        <v>140606</v>
      </c>
      <c r="K3241" s="258">
        <f t="shared" si="153"/>
        <v>11</v>
      </c>
      <c r="L3241" s="188">
        <v>140606</v>
      </c>
      <c r="M3241" s="188">
        <v>0</v>
      </c>
      <c r="N3241" s="189">
        <v>1000018061</v>
      </c>
      <c r="O3241" t="s">
        <v>3920</v>
      </c>
      <c r="P3241" s="187">
        <v>45257</v>
      </c>
      <c r="Q3241" s="186">
        <v>14463</v>
      </c>
      <c r="R3241" s="185"/>
      <c r="S3241" s="185" t="s">
        <v>1522</v>
      </c>
      <c r="T3241" t="s">
        <v>2729</v>
      </c>
      <c r="U3241" t="str">
        <f>IF($L3241&gt;0,VLOOKUP($E3241,Valida!$A$1:$G$270,6,FALSE),IF($M3241&gt;=0,VLOOKUP($E3241,Valida!$A$1:$G$270,7,FALSE)))</f>
        <v>(+/-) Ganancia (pérdida)</v>
      </c>
      <c r="V3241" s="190" t="str">
        <f>VLOOKUP(E3241,Valida!$A$2:$K$271,4,FALSE)</f>
        <v>P&amp;L</v>
      </c>
      <c r="W3241" s="185" t="s">
        <v>1978</v>
      </c>
      <c r="X3241" s="185"/>
      <c r="Y3241" s="185" t="s">
        <v>1789</v>
      </c>
      <c r="Z3241"/>
    </row>
    <row r="3242" spans="1:26">
      <c r="A3242" s="185" t="s">
        <v>3810</v>
      </c>
      <c r="B3242" s="185" t="s">
        <v>3920</v>
      </c>
      <c r="C3242" s="185" t="s">
        <v>1897</v>
      </c>
      <c r="D3242" s="185" t="s">
        <v>3652</v>
      </c>
      <c r="E3242" s="185">
        <v>237005</v>
      </c>
      <c r="F3242" s="185" t="s">
        <v>676</v>
      </c>
      <c r="G3242" s="185" t="s">
        <v>3921</v>
      </c>
      <c r="H3242" s="185" t="s">
        <v>1628</v>
      </c>
      <c r="I3242" s="258" t="str">
        <f t="shared" si="151"/>
        <v>2</v>
      </c>
      <c r="J3242" s="221">
        <f t="shared" si="152"/>
        <v>-51040</v>
      </c>
      <c r="K3242" s="258">
        <f t="shared" si="153"/>
        <v>11</v>
      </c>
      <c r="L3242" s="188">
        <v>0</v>
      </c>
      <c r="M3242" s="188">
        <v>51040</v>
      </c>
      <c r="N3242" s="189">
        <v>830003564</v>
      </c>
      <c r="O3242" t="s">
        <v>3920</v>
      </c>
      <c r="P3242" s="187">
        <v>45257</v>
      </c>
      <c r="Q3242" s="186">
        <v>14464</v>
      </c>
      <c r="R3242" s="185" t="s">
        <v>1814</v>
      </c>
      <c r="S3242" s="185" t="s">
        <v>1652</v>
      </c>
      <c r="T3242" t="s">
        <v>2729</v>
      </c>
      <c r="U3242" t="str">
        <f>IF($L3242&gt;0,VLOOKUP($E3242,Valida!$A$1:$G$270,6,FALSE),IF($M3242&gt;=0,VLOOKUP($E3242,Valida!$A$1:$G$270,7,FALSE)))</f>
        <v>(+/-) Ajustes por el incremento (disminución) de cuentas por pagar de origen comercial</v>
      </c>
      <c r="V3242" s="190" t="str">
        <f>VLOOKUP(E3242,Valida!$A$2:$K$271,4,FALSE)</f>
        <v>Trade and other payables</v>
      </c>
      <c r="W3242" s="185" t="s">
        <v>1973</v>
      </c>
      <c r="X3242" s="185" t="s">
        <v>1974</v>
      </c>
      <c r="Y3242" s="185" t="s">
        <v>1789</v>
      </c>
      <c r="Z3242"/>
    </row>
    <row r="3243" spans="1:26">
      <c r="A3243" s="185" t="s">
        <v>3810</v>
      </c>
      <c r="B3243" s="185" t="s">
        <v>3920</v>
      </c>
      <c r="C3243" s="185" t="s">
        <v>1897</v>
      </c>
      <c r="D3243" s="185" t="s">
        <v>3652</v>
      </c>
      <c r="E3243" s="185">
        <v>238030</v>
      </c>
      <c r="F3243" s="185" t="s">
        <v>721</v>
      </c>
      <c r="G3243" s="185" t="s">
        <v>3921</v>
      </c>
      <c r="H3243" s="185" t="s">
        <v>1628</v>
      </c>
      <c r="I3243" s="258" t="str">
        <f t="shared" si="151"/>
        <v>2</v>
      </c>
      <c r="J3243" s="221">
        <f t="shared" si="152"/>
        <v>-51040</v>
      </c>
      <c r="K3243" s="258">
        <f t="shared" si="153"/>
        <v>11</v>
      </c>
      <c r="L3243" s="188">
        <v>0</v>
      </c>
      <c r="M3243" s="188">
        <v>51040</v>
      </c>
      <c r="N3243" s="189">
        <v>800227940</v>
      </c>
      <c r="O3243" t="s">
        <v>3920</v>
      </c>
      <c r="P3243" s="187">
        <v>45257</v>
      </c>
      <c r="Q3243" s="186">
        <v>14465</v>
      </c>
      <c r="R3243" s="185"/>
      <c r="S3243" s="185" t="s">
        <v>1664</v>
      </c>
      <c r="T3243" t="s">
        <v>2729</v>
      </c>
      <c r="U3243" t="str">
        <f>IF($L3243&gt;0,VLOOKUP($E3243,Valida!$A$1:$G$270,6,FALSE),IF($M3243&gt;=0,VLOOKUP($E3243,Valida!$A$1:$G$270,7,FALSE)))</f>
        <v>(+/-) Ajustes por el incremento (disminución) de cuentas por pagar de origen comercial</v>
      </c>
      <c r="V3243" s="190" t="str">
        <f>VLOOKUP(E3243,Valida!$A$2:$K$271,4,FALSE)</f>
        <v>Trade and other payables</v>
      </c>
      <c r="W3243" s="185"/>
      <c r="X3243" s="185"/>
      <c r="Y3243" s="185"/>
      <c r="Z3243"/>
    </row>
    <row r="3244" spans="1:26">
      <c r="A3244" s="185" t="s">
        <v>3810</v>
      </c>
      <c r="B3244" s="185" t="s">
        <v>3920</v>
      </c>
      <c r="C3244" s="185" t="s">
        <v>1897</v>
      </c>
      <c r="D3244" s="185" t="s">
        <v>3652</v>
      </c>
      <c r="E3244" s="185">
        <v>510506</v>
      </c>
      <c r="F3244" s="185" t="s">
        <v>1076</v>
      </c>
      <c r="G3244" s="185" t="s">
        <v>3921</v>
      </c>
      <c r="H3244" s="185" t="s">
        <v>1515</v>
      </c>
      <c r="I3244" s="258" t="str">
        <f t="shared" si="151"/>
        <v>5</v>
      </c>
      <c r="J3244" s="221">
        <f t="shared" si="152"/>
        <v>1800000</v>
      </c>
      <c r="K3244" s="258">
        <f t="shared" si="153"/>
        <v>11</v>
      </c>
      <c r="L3244" s="188">
        <v>1800000</v>
      </c>
      <c r="M3244" s="188">
        <v>0</v>
      </c>
      <c r="N3244" s="189">
        <v>1000036375</v>
      </c>
      <c r="O3244" t="s">
        <v>3920</v>
      </c>
      <c r="P3244" s="187">
        <v>45257</v>
      </c>
      <c r="Q3244" s="186">
        <v>14466</v>
      </c>
      <c r="R3244" s="185"/>
      <c r="S3244" s="185" t="s">
        <v>1524</v>
      </c>
      <c r="T3244" t="s">
        <v>2729</v>
      </c>
      <c r="U3244" t="str">
        <f>IF($L3244&gt;0,VLOOKUP($E3244,Valida!$A$1:$G$270,6,FALSE),IF($M3244&gt;=0,VLOOKUP($E3244,Valida!$A$1:$G$270,7,FALSE)))</f>
        <v>(+/-) Ganancia (pérdida)</v>
      </c>
      <c r="V3244" s="190" t="str">
        <f>VLOOKUP(E3244,Valida!$A$2:$K$271,4,FALSE)</f>
        <v>P&amp;L</v>
      </c>
      <c r="W3244" s="185" t="s">
        <v>1983</v>
      </c>
      <c r="X3244" s="185"/>
      <c r="Y3244" s="185" t="s">
        <v>1789</v>
      </c>
      <c r="Z3244"/>
    </row>
    <row r="3245" spans="1:26">
      <c r="A3245" s="185" t="s">
        <v>3810</v>
      </c>
      <c r="B3245" s="185" t="s">
        <v>3920</v>
      </c>
      <c r="C3245" s="185" t="s">
        <v>1897</v>
      </c>
      <c r="D3245" s="185" t="s">
        <v>3652</v>
      </c>
      <c r="E3245" s="185">
        <v>51054501</v>
      </c>
      <c r="F3245" s="185" t="s">
        <v>1724</v>
      </c>
      <c r="G3245" s="185" t="s">
        <v>3921</v>
      </c>
      <c r="H3245" s="185" t="s">
        <v>1515</v>
      </c>
      <c r="I3245" s="258" t="str">
        <f t="shared" si="151"/>
        <v>5</v>
      </c>
      <c r="J3245" s="221">
        <f t="shared" si="152"/>
        <v>50000</v>
      </c>
      <c r="K3245" s="258">
        <f t="shared" si="153"/>
        <v>11</v>
      </c>
      <c r="L3245" s="188">
        <v>50000</v>
      </c>
      <c r="M3245" s="188">
        <v>0</v>
      </c>
      <c r="N3245" s="189">
        <v>1000036375</v>
      </c>
      <c r="O3245" t="s">
        <v>3920</v>
      </c>
      <c r="P3245" s="187">
        <v>45257</v>
      </c>
      <c r="Q3245" s="186">
        <v>14467</v>
      </c>
      <c r="R3245" s="185"/>
      <c r="S3245" s="185" t="s">
        <v>1524</v>
      </c>
      <c r="T3245" t="s">
        <v>2729</v>
      </c>
      <c r="U3245" t="str">
        <f>IF($L3245&gt;0,VLOOKUP($E3245,Valida!$A$1:$G$270,6,FALSE),IF($M3245&gt;=0,VLOOKUP($E3245,Valida!$A$1:$G$270,7,FALSE)))</f>
        <v>(+/-) Ganancia (pérdida)</v>
      </c>
      <c r="V3245" s="190" t="str">
        <f>VLOOKUP(E3245,Valida!$A$2:$K$271,4,FALSE)</f>
        <v>P&amp;L</v>
      </c>
      <c r="W3245" s="185" t="s">
        <v>1983</v>
      </c>
      <c r="X3245" s="185"/>
      <c r="Y3245" s="185" t="s">
        <v>1789</v>
      </c>
      <c r="Z3245"/>
    </row>
    <row r="3246" spans="1:26">
      <c r="A3246" s="185" t="s">
        <v>3810</v>
      </c>
      <c r="B3246" s="185" t="s">
        <v>3920</v>
      </c>
      <c r="C3246" s="185" t="s">
        <v>1897</v>
      </c>
      <c r="D3246" s="185" t="s">
        <v>3652</v>
      </c>
      <c r="E3246" s="185">
        <v>510527</v>
      </c>
      <c r="F3246" s="185" t="s">
        <v>1089</v>
      </c>
      <c r="G3246" s="185" t="s">
        <v>3921</v>
      </c>
      <c r="H3246" s="185" t="s">
        <v>1515</v>
      </c>
      <c r="I3246" s="258" t="str">
        <f t="shared" si="151"/>
        <v>5</v>
      </c>
      <c r="J3246" s="221">
        <f t="shared" si="152"/>
        <v>140606</v>
      </c>
      <c r="K3246" s="258">
        <f t="shared" si="153"/>
        <v>11</v>
      </c>
      <c r="L3246" s="188">
        <v>140606</v>
      </c>
      <c r="M3246" s="188">
        <v>0</v>
      </c>
      <c r="N3246" s="189">
        <v>1000036375</v>
      </c>
      <c r="O3246" t="s">
        <v>3920</v>
      </c>
      <c r="P3246" s="187">
        <v>45257</v>
      </c>
      <c r="Q3246" s="186">
        <v>14468</v>
      </c>
      <c r="R3246" s="185"/>
      <c r="S3246" s="185" t="s">
        <v>1524</v>
      </c>
      <c r="T3246" t="s">
        <v>2729</v>
      </c>
      <c r="U3246" t="str">
        <f>IF($L3246&gt;0,VLOOKUP($E3246,Valida!$A$1:$G$270,6,FALSE),IF($M3246&gt;=0,VLOOKUP($E3246,Valida!$A$1:$G$270,7,FALSE)))</f>
        <v>(+/-) Ganancia (pérdida)</v>
      </c>
      <c r="V3246" s="190" t="str">
        <f>VLOOKUP(E3246,Valida!$A$2:$K$271,4,FALSE)</f>
        <v>P&amp;L</v>
      </c>
      <c r="W3246" s="185" t="s">
        <v>1983</v>
      </c>
      <c r="X3246" s="185"/>
      <c r="Y3246" s="185" t="s">
        <v>1789</v>
      </c>
      <c r="Z3246"/>
    </row>
    <row r="3247" spans="1:26">
      <c r="A3247" s="185" t="s">
        <v>3810</v>
      </c>
      <c r="B3247" s="185" t="s">
        <v>3920</v>
      </c>
      <c r="C3247" s="185" t="s">
        <v>1897</v>
      </c>
      <c r="D3247" s="185" t="s">
        <v>3652</v>
      </c>
      <c r="E3247" s="185">
        <v>510515</v>
      </c>
      <c r="F3247" s="185" t="s">
        <v>1080</v>
      </c>
      <c r="G3247" s="185" t="s">
        <v>3921</v>
      </c>
      <c r="H3247" s="185" t="s">
        <v>1515</v>
      </c>
      <c r="I3247" s="258" t="str">
        <f t="shared" si="151"/>
        <v>5</v>
      </c>
      <c r="J3247" s="221">
        <f t="shared" si="152"/>
        <v>51562</v>
      </c>
      <c r="K3247" s="258">
        <f t="shared" si="153"/>
        <v>11</v>
      </c>
      <c r="L3247" s="188">
        <v>51562</v>
      </c>
      <c r="M3247" s="188">
        <v>0</v>
      </c>
      <c r="N3247" s="189">
        <v>1000036375</v>
      </c>
      <c r="O3247" t="s">
        <v>3920</v>
      </c>
      <c r="P3247" s="187">
        <v>45257</v>
      </c>
      <c r="Q3247" s="186">
        <v>14469</v>
      </c>
      <c r="R3247" s="185"/>
      <c r="S3247" s="185" t="s">
        <v>1524</v>
      </c>
      <c r="T3247" t="s">
        <v>2729</v>
      </c>
      <c r="U3247" t="str">
        <f>IF($L3247&gt;0,VLOOKUP($E3247,Valida!$A$1:$G$270,6,FALSE),IF($M3247&gt;=0,VLOOKUP($E3247,Valida!$A$1:$G$270,7,FALSE)))</f>
        <v>(+/-) Ganancia (pérdida)</v>
      </c>
      <c r="V3247" s="190" t="str">
        <f>VLOOKUP(E3247,Valida!$A$2:$K$271,4,FALSE)</f>
        <v>P&amp;L</v>
      </c>
      <c r="W3247" s="185" t="s">
        <v>1983</v>
      </c>
      <c r="X3247" s="185"/>
      <c r="Y3247" s="185" t="s">
        <v>1789</v>
      </c>
      <c r="Z3247"/>
    </row>
    <row r="3248" spans="1:26">
      <c r="A3248" s="185" t="s">
        <v>3810</v>
      </c>
      <c r="B3248" s="185" t="s">
        <v>3920</v>
      </c>
      <c r="C3248" s="185" t="s">
        <v>1897</v>
      </c>
      <c r="D3248" s="185" t="s">
        <v>3652</v>
      </c>
      <c r="E3248" s="185">
        <v>237005</v>
      </c>
      <c r="F3248" s="185" t="s">
        <v>676</v>
      </c>
      <c r="G3248" s="185" t="s">
        <v>3921</v>
      </c>
      <c r="H3248" s="185" t="s">
        <v>1628</v>
      </c>
      <c r="I3248" s="258" t="str">
        <f t="shared" si="151"/>
        <v>2</v>
      </c>
      <c r="J3248" s="221">
        <f t="shared" si="152"/>
        <v>-74062</v>
      </c>
      <c r="K3248" s="258">
        <f t="shared" si="153"/>
        <v>11</v>
      </c>
      <c r="L3248" s="188">
        <v>0</v>
      </c>
      <c r="M3248" s="188">
        <v>74062</v>
      </c>
      <c r="N3248" s="189">
        <v>900156264</v>
      </c>
      <c r="O3248" t="s">
        <v>3920</v>
      </c>
      <c r="P3248" s="187">
        <v>45257</v>
      </c>
      <c r="Q3248" s="186">
        <v>14470</v>
      </c>
      <c r="R3248" s="185" t="s">
        <v>433</v>
      </c>
      <c r="S3248" s="185" t="s">
        <v>1654</v>
      </c>
      <c r="T3248" t="s">
        <v>2729</v>
      </c>
      <c r="U3248" t="str">
        <f>IF($L3248&gt;0,VLOOKUP($E3248,Valida!$A$1:$G$270,6,FALSE),IF($M3248&gt;=0,VLOOKUP($E3248,Valida!$A$1:$G$270,7,FALSE)))</f>
        <v>(+/-) Ajustes por el incremento (disminución) de cuentas por pagar de origen comercial</v>
      </c>
      <c r="V3248" s="190" t="str">
        <f>VLOOKUP(E3248,Valida!$A$2:$K$271,4,FALSE)</f>
        <v>Trade and other payables</v>
      </c>
      <c r="W3248" s="185" t="s">
        <v>1926</v>
      </c>
      <c r="X3248" s="185" t="s">
        <v>1927</v>
      </c>
      <c r="Y3248" s="185" t="s">
        <v>1789</v>
      </c>
      <c r="Z3248"/>
    </row>
    <row r="3249" spans="1:26">
      <c r="A3249" s="185" t="s">
        <v>3810</v>
      </c>
      <c r="B3249" s="185" t="s">
        <v>3920</v>
      </c>
      <c r="C3249" s="185" t="s">
        <v>1897</v>
      </c>
      <c r="D3249" s="185" t="s">
        <v>3652</v>
      </c>
      <c r="E3249" s="185">
        <v>238030</v>
      </c>
      <c r="F3249" s="185" t="s">
        <v>721</v>
      </c>
      <c r="G3249" s="185" t="s">
        <v>3921</v>
      </c>
      <c r="H3249" s="185" t="s">
        <v>1628</v>
      </c>
      <c r="I3249" s="258" t="str">
        <f t="shared" si="151"/>
        <v>2</v>
      </c>
      <c r="J3249" s="221">
        <f t="shared" si="152"/>
        <v>-74062</v>
      </c>
      <c r="K3249" s="258">
        <f t="shared" si="153"/>
        <v>11</v>
      </c>
      <c r="L3249" s="188">
        <v>0</v>
      </c>
      <c r="M3249" s="188">
        <v>74062</v>
      </c>
      <c r="N3249" s="189">
        <v>800224808</v>
      </c>
      <c r="O3249" t="s">
        <v>3920</v>
      </c>
      <c r="P3249" s="187">
        <v>45257</v>
      </c>
      <c r="Q3249" s="186">
        <v>14471</v>
      </c>
      <c r="R3249" s="185" t="s">
        <v>1827</v>
      </c>
      <c r="S3249" s="185" t="s">
        <v>1662</v>
      </c>
      <c r="T3249" t="s">
        <v>2729</v>
      </c>
      <c r="U3249" t="str">
        <f>IF($L3249&gt;0,VLOOKUP($E3249,Valida!$A$1:$G$270,6,FALSE),IF($M3249&gt;=0,VLOOKUP($E3249,Valida!$A$1:$G$270,7,FALSE)))</f>
        <v>(+/-) Ajustes por el incremento (disminución) de cuentas por pagar de origen comercial</v>
      </c>
      <c r="V3249" s="190" t="str">
        <f>VLOOKUP(E3249,Valida!$A$2:$K$271,4,FALSE)</f>
        <v>Trade and other payables</v>
      </c>
      <c r="W3249" s="185" t="s">
        <v>1911</v>
      </c>
      <c r="X3249" s="185"/>
      <c r="Y3249" s="185" t="s">
        <v>1789</v>
      </c>
      <c r="Z3249"/>
    </row>
    <row r="3250" spans="1:26">
      <c r="A3250" s="185" t="s">
        <v>3810</v>
      </c>
      <c r="B3250" s="185" t="s">
        <v>3920</v>
      </c>
      <c r="C3250" s="185" t="s">
        <v>1897</v>
      </c>
      <c r="D3250" s="185" t="s">
        <v>3652</v>
      </c>
      <c r="E3250" s="185">
        <v>510506</v>
      </c>
      <c r="F3250" s="185" t="s">
        <v>1076</v>
      </c>
      <c r="G3250" s="185" t="s">
        <v>3921</v>
      </c>
      <c r="H3250" s="185" t="s">
        <v>1515</v>
      </c>
      <c r="I3250" s="258" t="str">
        <f t="shared" si="151"/>
        <v>5</v>
      </c>
      <c r="J3250" s="221">
        <f t="shared" si="152"/>
        <v>1200000</v>
      </c>
      <c r="K3250" s="258">
        <f t="shared" si="153"/>
        <v>11</v>
      </c>
      <c r="L3250" s="188">
        <v>1200000</v>
      </c>
      <c r="M3250" s="188">
        <v>0</v>
      </c>
      <c r="N3250" s="189">
        <v>1001284057</v>
      </c>
      <c r="O3250" t="s">
        <v>3920</v>
      </c>
      <c r="P3250" s="187">
        <v>45257</v>
      </c>
      <c r="Q3250" s="186">
        <v>14472</v>
      </c>
      <c r="R3250" s="185"/>
      <c r="S3250" s="185" t="s">
        <v>1526</v>
      </c>
      <c r="T3250" t="s">
        <v>2729</v>
      </c>
      <c r="U3250" t="str">
        <f>IF($L3250&gt;0,VLOOKUP($E3250,Valida!$A$1:$G$270,6,FALSE),IF($M3250&gt;=0,VLOOKUP($E3250,Valida!$A$1:$G$270,7,FALSE)))</f>
        <v>(+/-) Ganancia (pérdida)</v>
      </c>
      <c r="V3250" s="190" t="str">
        <f>VLOOKUP(E3250,Valida!$A$2:$K$271,4,FALSE)</f>
        <v>P&amp;L</v>
      </c>
      <c r="W3250" s="185" t="s">
        <v>3454</v>
      </c>
      <c r="X3250" s="185" t="s">
        <v>3455</v>
      </c>
      <c r="Y3250" s="185" t="s">
        <v>1789</v>
      </c>
      <c r="Z3250"/>
    </row>
    <row r="3251" spans="1:26">
      <c r="A3251" s="185" t="s">
        <v>3810</v>
      </c>
      <c r="B3251" s="185" t="s">
        <v>3920</v>
      </c>
      <c r="C3251" s="185" t="s">
        <v>1897</v>
      </c>
      <c r="D3251" s="185" t="s">
        <v>3652</v>
      </c>
      <c r="E3251" s="185">
        <v>510527</v>
      </c>
      <c r="F3251" s="185" t="s">
        <v>1089</v>
      </c>
      <c r="G3251" s="185" t="s">
        <v>3921</v>
      </c>
      <c r="H3251" s="185" t="s">
        <v>1515</v>
      </c>
      <c r="I3251" s="258" t="str">
        <f t="shared" si="151"/>
        <v>5</v>
      </c>
      <c r="J3251" s="221">
        <f t="shared" si="152"/>
        <v>140606</v>
      </c>
      <c r="K3251" s="258">
        <f t="shared" si="153"/>
        <v>11</v>
      </c>
      <c r="L3251" s="188">
        <v>140606</v>
      </c>
      <c r="M3251" s="188">
        <v>0</v>
      </c>
      <c r="N3251" s="189">
        <v>1001284057</v>
      </c>
      <c r="O3251" t="s">
        <v>3920</v>
      </c>
      <c r="P3251" s="187">
        <v>45257</v>
      </c>
      <c r="Q3251" s="186">
        <v>14473</v>
      </c>
      <c r="R3251" s="185"/>
      <c r="S3251" s="185" t="s">
        <v>1526</v>
      </c>
      <c r="T3251" t="s">
        <v>2729</v>
      </c>
      <c r="U3251" t="str">
        <f>IF($L3251&gt;0,VLOOKUP($E3251,Valida!$A$1:$G$270,6,FALSE),IF($M3251&gt;=0,VLOOKUP($E3251,Valida!$A$1:$G$270,7,FALSE)))</f>
        <v>(+/-) Ganancia (pérdida)</v>
      </c>
      <c r="V3251" s="190" t="str">
        <f>VLOOKUP(E3251,Valida!$A$2:$K$271,4,FALSE)</f>
        <v>P&amp;L</v>
      </c>
      <c r="W3251" s="185" t="s">
        <v>3454</v>
      </c>
      <c r="X3251" s="185" t="s">
        <v>3455</v>
      </c>
      <c r="Y3251" s="185" t="s">
        <v>1789</v>
      </c>
      <c r="Z3251"/>
    </row>
    <row r="3252" spans="1:26">
      <c r="A3252" s="185" t="s">
        <v>3810</v>
      </c>
      <c r="B3252" s="185" t="s">
        <v>3920</v>
      </c>
      <c r="C3252" s="185" t="s">
        <v>1897</v>
      </c>
      <c r="D3252" s="185" t="s">
        <v>3652</v>
      </c>
      <c r="E3252" s="185">
        <v>510515</v>
      </c>
      <c r="F3252" s="185" t="s">
        <v>1080</v>
      </c>
      <c r="G3252" s="185" t="s">
        <v>3921</v>
      </c>
      <c r="H3252" s="185" t="s">
        <v>1515</v>
      </c>
      <c r="I3252" s="258" t="str">
        <f t="shared" si="151"/>
        <v>5</v>
      </c>
      <c r="J3252" s="221">
        <f t="shared" si="152"/>
        <v>203125</v>
      </c>
      <c r="K3252" s="258">
        <f t="shared" si="153"/>
        <v>11</v>
      </c>
      <c r="L3252" s="188">
        <v>203125</v>
      </c>
      <c r="M3252" s="188">
        <v>0</v>
      </c>
      <c r="N3252" s="189">
        <v>1001284057</v>
      </c>
      <c r="O3252" t="s">
        <v>3920</v>
      </c>
      <c r="P3252" s="187">
        <v>45257</v>
      </c>
      <c r="Q3252" s="186">
        <v>14474</v>
      </c>
      <c r="R3252" s="185"/>
      <c r="S3252" s="185" t="s">
        <v>1526</v>
      </c>
      <c r="T3252" t="s">
        <v>2729</v>
      </c>
      <c r="U3252" t="str">
        <f>IF($L3252&gt;0,VLOOKUP($E3252,Valida!$A$1:$G$270,6,FALSE),IF($M3252&gt;=0,VLOOKUP($E3252,Valida!$A$1:$G$270,7,FALSE)))</f>
        <v>(+/-) Ganancia (pérdida)</v>
      </c>
      <c r="V3252" s="190" t="str">
        <f>VLOOKUP(E3252,Valida!$A$2:$K$271,4,FALSE)</f>
        <v>P&amp;L</v>
      </c>
      <c r="W3252" s="185" t="s">
        <v>3454</v>
      </c>
      <c r="X3252" s="185" t="s">
        <v>3455</v>
      </c>
      <c r="Y3252" s="185" t="s">
        <v>1789</v>
      </c>
      <c r="Z3252"/>
    </row>
    <row r="3253" spans="1:26">
      <c r="A3253" s="185" t="s">
        <v>3810</v>
      </c>
      <c r="B3253" s="185" t="s">
        <v>3920</v>
      </c>
      <c r="C3253" s="185" t="s">
        <v>1897</v>
      </c>
      <c r="D3253" s="185" t="s">
        <v>3652</v>
      </c>
      <c r="E3253" s="185">
        <v>510515</v>
      </c>
      <c r="F3253" s="185" t="s">
        <v>1080</v>
      </c>
      <c r="G3253" s="185" t="s">
        <v>3921</v>
      </c>
      <c r="H3253" s="185" t="s">
        <v>1515</v>
      </c>
      <c r="I3253" s="258" t="str">
        <f t="shared" si="151"/>
        <v>5</v>
      </c>
      <c r="J3253" s="221">
        <f t="shared" si="152"/>
        <v>86250</v>
      </c>
      <c r="K3253" s="258">
        <f t="shared" si="153"/>
        <v>11</v>
      </c>
      <c r="L3253" s="188">
        <v>86250</v>
      </c>
      <c r="M3253" s="188">
        <v>0</v>
      </c>
      <c r="N3253" s="189">
        <v>1001284057</v>
      </c>
      <c r="O3253" t="s">
        <v>3920</v>
      </c>
      <c r="P3253" s="187">
        <v>45257</v>
      </c>
      <c r="Q3253" s="186">
        <v>14475</v>
      </c>
      <c r="R3253" s="185"/>
      <c r="S3253" s="185" t="s">
        <v>1526</v>
      </c>
      <c r="T3253" t="s">
        <v>2729</v>
      </c>
      <c r="U3253" t="str">
        <f>IF($L3253&gt;0,VLOOKUP($E3253,Valida!$A$1:$G$270,6,FALSE),IF($M3253&gt;=0,VLOOKUP($E3253,Valida!$A$1:$G$270,7,FALSE)))</f>
        <v>(+/-) Ganancia (pérdida)</v>
      </c>
      <c r="V3253" s="190" t="str">
        <f>VLOOKUP(E3253,Valida!$A$2:$K$271,4,FALSE)</f>
        <v>P&amp;L</v>
      </c>
      <c r="W3253" s="185" t="s">
        <v>3454</v>
      </c>
      <c r="X3253" s="185" t="s">
        <v>3455</v>
      </c>
      <c r="Y3253" s="185" t="s">
        <v>1789</v>
      </c>
      <c r="Z3253"/>
    </row>
    <row r="3254" spans="1:26">
      <c r="A3254" s="185" t="s">
        <v>3810</v>
      </c>
      <c r="B3254" s="185" t="s">
        <v>3920</v>
      </c>
      <c r="C3254" s="185" t="s">
        <v>1897</v>
      </c>
      <c r="D3254" s="185" t="s">
        <v>3652</v>
      </c>
      <c r="E3254" s="185">
        <v>237005</v>
      </c>
      <c r="F3254" s="185" t="s">
        <v>676</v>
      </c>
      <c r="G3254" s="185" t="s">
        <v>3921</v>
      </c>
      <c r="H3254" s="185" t="s">
        <v>1628</v>
      </c>
      <c r="I3254" s="258" t="str">
        <f t="shared" si="151"/>
        <v>2</v>
      </c>
      <c r="J3254" s="221">
        <f t="shared" si="152"/>
        <v>-59575</v>
      </c>
      <c r="K3254" s="258">
        <f t="shared" si="153"/>
        <v>11</v>
      </c>
      <c r="L3254" s="188">
        <v>0</v>
      </c>
      <c r="M3254" s="188">
        <v>59575</v>
      </c>
      <c r="N3254" s="189">
        <v>860066942</v>
      </c>
      <c r="O3254" t="s">
        <v>3920</v>
      </c>
      <c r="P3254" s="187">
        <v>45257</v>
      </c>
      <c r="Q3254" s="186">
        <v>14476</v>
      </c>
      <c r="R3254" s="185" t="s">
        <v>1814</v>
      </c>
      <c r="S3254" s="185" t="s">
        <v>1574</v>
      </c>
      <c r="T3254" t="s">
        <v>2729</v>
      </c>
      <c r="U3254" t="str">
        <f>IF($L3254&gt;0,VLOOKUP($E3254,Valida!$A$1:$G$270,6,FALSE),IF($M3254&gt;=0,VLOOKUP($E3254,Valida!$A$1:$G$270,7,FALSE)))</f>
        <v>(+/-) Ajustes por el incremento (disminución) de cuentas por pagar de origen comercial</v>
      </c>
      <c r="V3254" s="190" t="str">
        <f>VLOOKUP(E3254,Valida!$A$2:$K$271,4,FALSE)</f>
        <v>Trade and other payables</v>
      </c>
      <c r="W3254" s="185" t="s">
        <v>1914</v>
      </c>
      <c r="X3254" s="185" t="s">
        <v>1915</v>
      </c>
      <c r="Y3254" s="185" t="s">
        <v>1789</v>
      </c>
      <c r="Z3254"/>
    </row>
    <row r="3255" spans="1:26">
      <c r="A3255" s="185" t="s">
        <v>3810</v>
      </c>
      <c r="B3255" s="185" t="s">
        <v>3920</v>
      </c>
      <c r="C3255" s="185" t="s">
        <v>1897</v>
      </c>
      <c r="D3255" s="185" t="s">
        <v>3652</v>
      </c>
      <c r="E3255" s="185">
        <v>238030</v>
      </c>
      <c r="F3255" s="185" t="s">
        <v>721</v>
      </c>
      <c r="G3255" s="185" t="s">
        <v>3921</v>
      </c>
      <c r="H3255" s="185" t="s">
        <v>1628</v>
      </c>
      <c r="I3255" s="258" t="str">
        <f t="shared" si="151"/>
        <v>2</v>
      </c>
      <c r="J3255" s="221">
        <f t="shared" si="152"/>
        <v>-59575</v>
      </c>
      <c r="K3255" s="258">
        <f t="shared" si="153"/>
        <v>11</v>
      </c>
      <c r="L3255" s="188">
        <v>0</v>
      </c>
      <c r="M3255" s="188">
        <v>59575</v>
      </c>
      <c r="N3255" s="189">
        <v>800224808</v>
      </c>
      <c r="O3255" t="s">
        <v>3920</v>
      </c>
      <c r="P3255" s="187">
        <v>45257</v>
      </c>
      <c r="Q3255" s="186">
        <v>14477</v>
      </c>
      <c r="R3255" s="185" t="s">
        <v>1827</v>
      </c>
      <c r="S3255" s="185" t="s">
        <v>1662</v>
      </c>
      <c r="T3255" t="s">
        <v>2729</v>
      </c>
      <c r="U3255" t="str">
        <f>IF($L3255&gt;0,VLOOKUP($E3255,Valida!$A$1:$G$270,6,FALSE),IF($M3255&gt;=0,VLOOKUP($E3255,Valida!$A$1:$G$270,7,FALSE)))</f>
        <v>(+/-) Ajustes por el incremento (disminución) de cuentas por pagar de origen comercial</v>
      </c>
      <c r="V3255" s="190" t="str">
        <f>VLOOKUP(E3255,Valida!$A$2:$K$271,4,FALSE)</f>
        <v>Trade and other payables</v>
      </c>
      <c r="W3255" s="185" t="s">
        <v>1911</v>
      </c>
      <c r="X3255" s="185"/>
      <c r="Y3255" s="185" t="s">
        <v>1789</v>
      </c>
      <c r="Z3255"/>
    </row>
    <row r="3256" spans="1:26">
      <c r="A3256" s="185" t="s">
        <v>3810</v>
      </c>
      <c r="B3256" s="185" t="s">
        <v>3920</v>
      </c>
      <c r="C3256" s="185" t="s">
        <v>1897</v>
      </c>
      <c r="D3256" s="185" t="s">
        <v>3652</v>
      </c>
      <c r="E3256" s="185">
        <v>250505</v>
      </c>
      <c r="F3256" s="185" t="s">
        <v>767</v>
      </c>
      <c r="G3256" s="185" t="s">
        <v>3921</v>
      </c>
      <c r="H3256" s="185" t="s">
        <v>1628</v>
      </c>
      <c r="I3256" s="258" t="str">
        <f t="shared" si="151"/>
        <v>2</v>
      </c>
      <c r="J3256" s="221">
        <f t="shared" si="152"/>
        <v>-1314526</v>
      </c>
      <c r="K3256" s="258">
        <f t="shared" si="153"/>
        <v>11</v>
      </c>
      <c r="L3256" s="188">
        <v>0</v>
      </c>
      <c r="M3256" s="188">
        <v>1314526</v>
      </c>
      <c r="N3256" s="189">
        <v>1000018061</v>
      </c>
      <c r="O3256" t="s">
        <v>3920</v>
      </c>
      <c r="P3256" s="187">
        <v>45257</v>
      </c>
      <c r="Q3256" s="186">
        <v>14478</v>
      </c>
      <c r="R3256" s="185"/>
      <c r="S3256" s="185" t="s">
        <v>1522</v>
      </c>
      <c r="T3256" t="s">
        <v>2729</v>
      </c>
      <c r="U3256" t="str">
        <f>IF($L3256&gt;0,VLOOKUP($E3256,Valida!$A$1:$G$270,6,FALSE),IF($M3256&gt;=0,VLOOKUP($E3256,Valida!$A$1:$G$270,7,FALSE)))</f>
        <v>(+/-) Ajustes por el incremento (disminución) de cuentas por pagar de origen comercial</v>
      </c>
      <c r="V3256" s="190" t="str">
        <f>VLOOKUP(E3256,Valida!$A$2:$K$271,4,FALSE)</f>
        <v>Trade and other payables</v>
      </c>
      <c r="W3256" s="185" t="s">
        <v>1978</v>
      </c>
      <c r="X3256" s="185"/>
      <c r="Y3256" s="185" t="s">
        <v>1789</v>
      </c>
      <c r="Z3256"/>
    </row>
    <row r="3257" spans="1:26">
      <c r="A3257" s="185" t="s">
        <v>3810</v>
      </c>
      <c r="B3257" s="185" t="s">
        <v>3920</v>
      </c>
      <c r="C3257" s="185" t="s">
        <v>1897</v>
      </c>
      <c r="D3257" s="185" t="s">
        <v>3652</v>
      </c>
      <c r="E3257" s="185">
        <v>250505</v>
      </c>
      <c r="F3257" s="185" t="s">
        <v>767</v>
      </c>
      <c r="G3257" s="185" t="s">
        <v>3921</v>
      </c>
      <c r="H3257" s="185" t="s">
        <v>1628</v>
      </c>
      <c r="I3257" s="258" t="str">
        <f t="shared" si="151"/>
        <v>2</v>
      </c>
      <c r="J3257" s="221">
        <f t="shared" si="152"/>
        <v>-1894044</v>
      </c>
      <c r="K3257" s="258">
        <f t="shared" si="153"/>
        <v>11</v>
      </c>
      <c r="L3257" s="188">
        <v>0</v>
      </c>
      <c r="M3257" s="188">
        <v>1894044</v>
      </c>
      <c r="N3257" s="189">
        <v>1000036375</v>
      </c>
      <c r="O3257" t="s">
        <v>3920</v>
      </c>
      <c r="P3257" s="187">
        <v>45257</v>
      </c>
      <c r="Q3257" s="186">
        <v>14479</v>
      </c>
      <c r="R3257" s="185"/>
      <c r="S3257" s="185" t="s">
        <v>1524</v>
      </c>
      <c r="T3257" t="s">
        <v>2729</v>
      </c>
      <c r="U3257" t="str">
        <f>IF($L3257&gt;0,VLOOKUP($E3257,Valida!$A$1:$G$270,6,FALSE),IF($M3257&gt;=0,VLOOKUP($E3257,Valida!$A$1:$G$270,7,FALSE)))</f>
        <v>(+/-) Ajustes por el incremento (disminución) de cuentas por pagar de origen comercial</v>
      </c>
      <c r="V3257" s="190" t="str">
        <f>VLOOKUP(E3257,Valida!$A$2:$K$271,4,FALSE)</f>
        <v>Trade and other payables</v>
      </c>
      <c r="W3257" s="185" t="s">
        <v>1983</v>
      </c>
      <c r="X3257" s="185"/>
      <c r="Y3257" s="185" t="s">
        <v>1789</v>
      </c>
      <c r="Z3257"/>
    </row>
    <row r="3258" spans="1:26">
      <c r="A3258" s="185" t="s">
        <v>3810</v>
      </c>
      <c r="B3258" s="185" t="s">
        <v>3920</v>
      </c>
      <c r="C3258" s="185" t="s">
        <v>1897</v>
      </c>
      <c r="D3258" s="185" t="s">
        <v>3652</v>
      </c>
      <c r="E3258" s="185">
        <v>250505</v>
      </c>
      <c r="F3258" s="185" t="s">
        <v>767</v>
      </c>
      <c r="G3258" s="185" t="s">
        <v>3921</v>
      </c>
      <c r="H3258" s="185" t="s">
        <v>1628</v>
      </c>
      <c r="I3258" s="258" t="str">
        <f t="shared" si="151"/>
        <v>2</v>
      </c>
      <c r="J3258" s="221">
        <f t="shared" si="152"/>
        <v>-1510831</v>
      </c>
      <c r="K3258" s="258">
        <f t="shared" si="153"/>
        <v>11</v>
      </c>
      <c r="L3258" s="188">
        <v>0</v>
      </c>
      <c r="M3258" s="188">
        <v>1510831</v>
      </c>
      <c r="N3258" s="189">
        <v>1001284057</v>
      </c>
      <c r="O3258" t="s">
        <v>3920</v>
      </c>
      <c r="P3258" s="187">
        <v>45257</v>
      </c>
      <c r="Q3258" s="186">
        <v>14480</v>
      </c>
      <c r="R3258" s="185"/>
      <c r="S3258" s="185" t="s">
        <v>1526</v>
      </c>
      <c r="T3258" t="s">
        <v>2729</v>
      </c>
      <c r="U3258" t="str">
        <f>IF($L3258&gt;0,VLOOKUP($E3258,Valida!$A$1:$G$270,6,FALSE),IF($M3258&gt;=0,VLOOKUP($E3258,Valida!$A$1:$G$270,7,FALSE)))</f>
        <v>(+/-) Ajustes por el incremento (disminución) de cuentas por pagar de origen comercial</v>
      </c>
      <c r="V3258" s="190" t="str">
        <f>VLOOKUP(E3258,Valida!$A$2:$K$271,4,FALSE)</f>
        <v>Trade and other payables</v>
      </c>
      <c r="W3258" s="185" t="s">
        <v>3454</v>
      </c>
      <c r="X3258" s="185" t="s">
        <v>3455</v>
      </c>
      <c r="Y3258" s="185" t="s">
        <v>1789</v>
      </c>
      <c r="Z3258"/>
    </row>
    <row r="3259" spans="1:26">
      <c r="A3259" s="185" t="s">
        <v>3810</v>
      </c>
      <c r="B3259" s="185" t="s">
        <v>3920</v>
      </c>
      <c r="C3259" s="185" t="s">
        <v>1897</v>
      </c>
      <c r="D3259" s="185" t="s">
        <v>3652</v>
      </c>
      <c r="E3259" s="185">
        <v>250505</v>
      </c>
      <c r="F3259" s="185" t="s">
        <v>767</v>
      </c>
      <c r="G3259" s="185" t="s">
        <v>3921</v>
      </c>
      <c r="H3259" s="185" t="s">
        <v>1628</v>
      </c>
      <c r="I3259" s="258" t="str">
        <f t="shared" si="151"/>
        <v>2</v>
      </c>
      <c r="J3259" s="221">
        <f t="shared" si="152"/>
        <v>-1520606</v>
      </c>
      <c r="K3259" s="258">
        <f t="shared" si="153"/>
        <v>11</v>
      </c>
      <c r="L3259" s="188">
        <v>0</v>
      </c>
      <c r="M3259" s="188">
        <v>1520606</v>
      </c>
      <c r="N3259" s="189">
        <v>1010101811</v>
      </c>
      <c r="O3259" t="s">
        <v>3920</v>
      </c>
      <c r="P3259" s="187">
        <v>45257</v>
      </c>
      <c r="Q3259" s="186">
        <v>14481</v>
      </c>
      <c r="R3259" s="185"/>
      <c r="S3259" s="185" t="s">
        <v>1528</v>
      </c>
      <c r="T3259" t="s">
        <v>2729</v>
      </c>
      <c r="U3259" t="str">
        <f>IF($L3259&gt;0,VLOOKUP($E3259,Valida!$A$1:$G$270,6,FALSE),IF($M3259&gt;=0,VLOOKUP($E3259,Valida!$A$1:$G$270,7,FALSE)))</f>
        <v>(+/-) Ajustes por el incremento (disminución) de cuentas por pagar de origen comercial</v>
      </c>
      <c r="V3259" s="190" t="str">
        <f>VLOOKUP(E3259,Valida!$A$2:$K$271,4,FALSE)</f>
        <v>Trade and other payables</v>
      </c>
      <c r="W3259" s="185" t="s">
        <v>1967</v>
      </c>
      <c r="X3259" s="185"/>
      <c r="Y3259" s="185" t="s">
        <v>1789</v>
      </c>
      <c r="Z3259"/>
    </row>
    <row r="3260" spans="1:26">
      <c r="A3260" s="185" t="s">
        <v>3810</v>
      </c>
      <c r="B3260" s="185" t="s">
        <v>3920</v>
      </c>
      <c r="C3260" s="185" t="s">
        <v>1897</v>
      </c>
      <c r="D3260" s="185" t="s">
        <v>3652</v>
      </c>
      <c r="E3260" s="185">
        <v>250505</v>
      </c>
      <c r="F3260" s="185" t="s">
        <v>767</v>
      </c>
      <c r="G3260" s="185" t="s">
        <v>3921</v>
      </c>
      <c r="H3260" s="185" t="s">
        <v>1628</v>
      </c>
      <c r="I3260" s="258" t="str">
        <f t="shared" si="151"/>
        <v>2</v>
      </c>
      <c r="J3260" s="221">
        <f t="shared" si="152"/>
        <v>-1067200</v>
      </c>
      <c r="K3260" s="258">
        <f t="shared" si="153"/>
        <v>11</v>
      </c>
      <c r="L3260" s="188">
        <v>0</v>
      </c>
      <c r="M3260" s="188">
        <v>1067200</v>
      </c>
      <c r="N3260" s="189">
        <v>1020842223</v>
      </c>
      <c r="O3260" t="s">
        <v>3920</v>
      </c>
      <c r="P3260" s="187">
        <v>45257</v>
      </c>
      <c r="Q3260" s="186">
        <v>14482</v>
      </c>
      <c r="R3260" s="185"/>
      <c r="S3260" s="185" t="s">
        <v>1532</v>
      </c>
      <c r="T3260" t="s">
        <v>2729</v>
      </c>
      <c r="U3260" t="str">
        <f>IF($L3260&gt;0,VLOOKUP($E3260,Valida!$A$1:$G$270,6,FALSE),IF($M3260&gt;=0,VLOOKUP($E3260,Valida!$A$1:$G$270,7,FALSE)))</f>
        <v>(+/-) Ajustes por el incremento (disminución) de cuentas por pagar de origen comercial</v>
      </c>
      <c r="V3260" s="190" t="str">
        <f>VLOOKUP(E3260,Valida!$A$2:$K$271,4,FALSE)</f>
        <v>Trade and other payables</v>
      </c>
      <c r="W3260" s="185" t="s">
        <v>1900</v>
      </c>
      <c r="X3260" s="185"/>
      <c r="Y3260" s="185" t="s">
        <v>1789</v>
      </c>
      <c r="Z3260"/>
    </row>
    <row r="3261" spans="1:26">
      <c r="A3261" s="185" t="s">
        <v>3810</v>
      </c>
      <c r="B3261" s="185" t="s">
        <v>3920</v>
      </c>
      <c r="C3261" s="185" t="s">
        <v>1897</v>
      </c>
      <c r="D3261" s="185" t="s">
        <v>3652</v>
      </c>
      <c r="E3261" s="185">
        <v>250505</v>
      </c>
      <c r="F3261" s="185" t="s">
        <v>767</v>
      </c>
      <c r="G3261" s="185" t="s">
        <v>3921</v>
      </c>
      <c r="H3261" s="185" t="s">
        <v>1628</v>
      </c>
      <c r="I3261" s="258" t="str">
        <f t="shared" si="151"/>
        <v>2</v>
      </c>
      <c r="J3261" s="221">
        <f t="shared" si="152"/>
        <v>-1207806</v>
      </c>
      <c r="K3261" s="258">
        <f t="shared" si="153"/>
        <v>11</v>
      </c>
      <c r="L3261" s="188">
        <v>0</v>
      </c>
      <c r="M3261" s="188">
        <v>1207806</v>
      </c>
      <c r="N3261" s="189">
        <v>1130744136</v>
      </c>
      <c r="O3261" t="s">
        <v>3920</v>
      </c>
      <c r="P3261" s="187">
        <v>45257</v>
      </c>
      <c r="Q3261" s="186">
        <v>14483</v>
      </c>
      <c r="R3261" s="185"/>
      <c r="S3261" s="185" t="s">
        <v>1538</v>
      </c>
      <c r="T3261" t="s">
        <v>2729</v>
      </c>
      <c r="U3261" t="str">
        <f>IF($L3261&gt;0,VLOOKUP($E3261,Valida!$A$1:$G$270,6,FALSE),IF($M3261&gt;=0,VLOOKUP($E3261,Valida!$A$1:$G$270,7,FALSE)))</f>
        <v>(+/-) Ajustes por el incremento (disminución) de cuentas por pagar de origen comercial</v>
      </c>
      <c r="V3261" s="190" t="str">
        <f>VLOOKUP(E3261,Valida!$A$2:$K$271,4,FALSE)</f>
        <v>Trade and other payables</v>
      </c>
      <c r="W3261" s="185" t="s">
        <v>1909</v>
      </c>
      <c r="X3261" s="185" t="s">
        <v>1910</v>
      </c>
      <c r="Y3261" s="185" t="s">
        <v>1789</v>
      </c>
      <c r="Z3261"/>
    </row>
    <row r="3262" spans="1:26">
      <c r="A3262" s="185" t="s">
        <v>3810</v>
      </c>
      <c r="B3262" s="185" t="s">
        <v>3924</v>
      </c>
      <c r="C3262" s="185" t="s">
        <v>1897</v>
      </c>
      <c r="D3262" s="185" t="s">
        <v>3821</v>
      </c>
      <c r="E3262" s="185">
        <v>237006</v>
      </c>
      <c r="F3262" s="185" t="s">
        <v>680</v>
      </c>
      <c r="G3262" s="185" t="s">
        <v>3925</v>
      </c>
      <c r="H3262" s="185" t="s">
        <v>1628</v>
      </c>
      <c r="I3262" s="258" t="str">
        <f t="shared" si="151"/>
        <v>2</v>
      </c>
      <c r="J3262" s="221">
        <f t="shared" si="152"/>
        <v>-7830</v>
      </c>
      <c r="K3262" s="258">
        <f t="shared" si="153"/>
        <v>11</v>
      </c>
      <c r="L3262" s="188">
        <v>0</v>
      </c>
      <c r="M3262" s="188">
        <v>7830</v>
      </c>
      <c r="N3262" s="189">
        <v>860002503</v>
      </c>
      <c r="O3262" t="s">
        <v>3924</v>
      </c>
      <c r="P3262" s="187">
        <v>45257</v>
      </c>
      <c r="Q3262" s="186">
        <v>14484</v>
      </c>
      <c r="R3262" s="185" t="s">
        <v>433</v>
      </c>
      <c r="S3262" s="185" t="s">
        <v>1656</v>
      </c>
      <c r="T3262" t="s">
        <v>2729</v>
      </c>
      <c r="U3262" t="str">
        <f>IF($L3262&gt;0,VLOOKUP($E3262,Valida!$A$1:$G$270,6,FALSE),IF($M3262&gt;=0,VLOOKUP($E3262,Valida!$A$1:$G$270,7,FALSE)))</f>
        <v>(+/-) Ajustes por el incremento (disminución) de cuentas por pagar de origen comercial</v>
      </c>
      <c r="V3262" s="190" t="str">
        <f>VLOOKUP(E3262,Valida!$A$2:$K$271,4,FALSE)</f>
        <v>Trade and other payables</v>
      </c>
      <c r="W3262" s="185" t="s">
        <v>1912</v>
      </c>
      <c r="X3262" s="185" t="s">
        <v>1913</v>
      </c>
      <c r="Y3262" s="185" t="s">
        <v>1789</v>
      </c>
      <c r="Z3262"/>
    </row>
    <row r="3263" spans="1:26">
      <c r="A3263" s="185" t="s">
        <v>3810</v>
      </c>
      <c r="B3263" s="185" t="s">
        <v>3924</v>
      </c>
      <c r="C3263" s="185" t="s">
        <v>1897</v>
      </c>
      <c r="D3263" s="185" t="s">
        <v>3821</v>
      </c>
      <c r="E3263" s="185">
        <v>237006</v>
      </c>
      <c r="F3263" s="185" t="s">
        <v>680</v>
      </c>
      <c r="G3263" s="185" t="s">
        <v>3925</v>
      </c>
      <c r="H3263" s="185" t="s">
        <v>1628</v>
      </c>
      <c r="I3263" s="258" t="str">
        <f t="shared" si="151"/>
        <v>2</v>
      </c>
      <c r="J3263" s="221">
        <f t="shared" si="152"/>
        <v>-6661</v>
      </c>
      <c r="K3263" s="258">
        <f t="shared" si="153"/>
        <v>11</v>
      </c>
      <c r="L3263" s="188">
        <v>0</v>
      </c>
      <c r="M3263" s="188">
        <v>6661</v>
      </c>
      <c r="N3263" s="189">
        <v>860002503</v>
      </c>
      <c r="O3263" t="s">
        <v>3924</v>
      </c>
      <c r="P3263" s="187">
        <v>45257</v>
      </c>
      <c r="Q3263" s="186">
        <v>14485</v>
      </c>
      <c r="R3263" s="185" t="s">
        <v>433</v>
      </c>
      <c r="S3263" s="185" t="s">
        <v>1656</v>
      </c>
      <c r="T3263" t="s">
        <v>2729</v>
      </c>
      <c r="U3263" t="str">
        <f>IF($L3263&gt;0,VLOOKUP($E3263,Valida!$A$1:$G$270,6,FALSE),IF($M3263&gt;=0,VLOOKUP($E3263,Valida!$A$1:$G$270,7,FALSE)))</f>
        <v>(+/-) Ajustes por el incremento (disminución) de cuentas por pagar de origen comercial</v>
      </c>
      <c r="V3263" s="190" t="str">
        <f>VLOOKUP(E3263,Valida!$A$2:$K$271,4,FALSE)</f>
        <v>Trade and other payables</v>
      </c>
      <c r="W3263" s="185" t="s">
        <v>1912</v>
      </c>
      <c r="X3263" s="185" t="s">
        <v>1913</v>
      </c>
      <c r="Y3263" s="185" t="s">
        <v>1789</v>
      </c>
      <c r="Z3263"/>
    </row>
    <row r="3264" spans="1:26">
      <c r="A3264" s="185" t="s">
        <v>3810</v>
      </c>
      <c r="B3264" s="185" t="s">
        <v>3924</v>
      </c>
      <c r="C3264" s="185" t="s">
        <v>1897</v>
      </c>
      <c r="D3264" s="185" t="s">
        <v>3821</v>
      </c>
      <c r="E3264" s="185">
        <v>237006</v>
      </c>
      <c r="F3264" s="185" t="s">
        <v>680</v>
      </c>
      <c r="G3264" s="185" t="s">
        <v>3925</v>
      </c>
      <c r="H3264" s="185" t="s">
        <v>1628</v>
      </c>
      <c r="I3264" s="258" t="str">
        <f t="shared" si="151"/>
        <v>2</v>
      </c>
      <c r="J3264" s="221">
        <f t="shared" si="152"/>
        <v>-9665</v>
      </c>
      <c r="K3264" s="258">
        <f t="shared" si="153"/>
        <v>11</v>
      </c>
      <c r="L3264" s="188">
        <v>0</v>
      </c>
      <c r="M3264" s="188">
        <v>9665</v>
      </c>
      <c r="N3264" s="189">
        <v>860002503</v>
      </c>
      <c r="O3264" t="s">
        <v>3924</v>
      </c>
      <c r="P3264" s="187">
        <v>45257</v>
      </c>
      <c r="Q3264" s="186">
        <v>14486</v>
      </c>
      <c r="R3264" s="185" t="s">
        <v>433</v>
      </c>
      <c r="S3264" s="185" t="s">
        <v>1656</v>
      </c>
      <c r="T3264" t="s">
        <v>2729</v>
      </c>
      <c r="U3264" t="str">
        <f>IF($L3264&gt;0,VLOOKUP($E3264,Valida!$A$1:$G$270,6,FALSE),IF($M3264&gt;=0,VLOOKUP($E3264,Valida!$A$1:$G$270,7,FALSE)))</f>
        <v>(+/-) Ajustes por el incremento (disminución) de cuentas por pagar de origen comercial</v>
      </c>
      <c r="V3264" s="190" t="str">
        <f>VLOOKUP(E3264,Valida!$A$2:$K$271,4,FALSE)</f>
        <v>Trade and other payables</v>
      </c>
      <c r="W3264" s="185" t="s">
        <v>1912</v>
      </c>
      <c r="X3264" s="185" t="s">
        <v>1913</v>
      </c>
      <c r="Y3264" s="185" t="s">
        <v>1789</v>
      </c>
      <c r="Z3264"/>
    </row>
    <row r="3265" spans="1:26">
      <c r="A3265" s="185" t="s">
        <v>3810</v>
      </c>
      <c r="B3265" s="185" t="s">
        <v>3924</v>
      </c>
      <c r="C3265" s="185" t="s">
        <v>1897</v>
      </c>
      <c r="D3265" s="185" t="s">
        <v>3821</v>
      </c>
      <c r="E3265" s="185">
        <v>237006</v>
      </c>
      <c r="F3265" s="185" t="s">
        <v>680</v>
      </c>
      <c r="G3265" s="185" t="s">
        <v>3925</v>
      </c>
      <c r="H3265" s="185" t="s">
        <v>1628</v>
      </c>
      <c r="I3265" s="258" t="str">
        <f t="shared" si="151"/>
        <v>2</v>
      </c>
      <c r="J3265" s="221">
        <f t="shared" si="152"/>
        <v>-7775</v>
      </c>
      <c r="K3265" s="258">
        <f t="shared" si="153"/>
        <v>11</v>
      </c>
      <c r="L3265" s="188">
        <v>0</v>
      </c>
      <c r="M3265" s="188">
        <v>7775</v>
      </c>
      <c r="N3265" s="189">
        <v>860002503</v>
      </c>
      <c r="O3265" t="s">
        <v>3924</v>
      </c>
      <c r="P3265" s="187">
        <v>45257</v>
      </c>
      <c r="Q3265" s="186">
        <v>14487</v>
      </c>
      <c r="R3265" s="185" t="s">
        <v>433</v>
      </c>
      <c r="S3265" s="185" t="s">
        <v>1656</v>
      </c>
      <c r="T3265" t="s">
        <v>2729</v>
      </c>
      <c r="U3265" t="str">
        <f>IF($L3265&gt;0,VLOOKUP($E3265,Valida!$A$1:$G$270,6,FALSE),IF($M3265&gt;=0,VLOOKUP($E3265,Valida!$A$1:$G$270,7,FALSE)))</f>
        <v>(+/-) Ajustes por el incremento (disminución) de cuentas por pagar de origen comercial</v>
      </c>
      <c r="V3265" s="190" t="str">
        <f>VLOOKUP(E3265,Valida!$A$2:$K$271,4,FALSE)</f>
        <v>Trade and other payables</v>
      </c>
      <c r="W3265" s="185" t="s">
        <v>1912</v>
      </c>
      <c r="X3265" s="185" t="s">
        <v>1913</v>
      </c>
      <c r="Y3265" s="185" t="s">
        <v>1789</v>
      </c>
      <c r="Z3265"/>
    </row>
    <row r="3266" spans="1:26">
      <c r="A3266" s="185" t="s">
        <v>3810</v>
      </c>
      <c r="B3266" s="185" t="s">
        <v>3924</v>
      </c>
      <c r="C3266" s="185" t="s">
        <v>1897</v>
      </c>
      <c r="D3266" s="185" t="s">
        <v>3821</v>
      </c>
      <c r="E3266" s="185">
        <v>237006</v>
      </c>
      <c r="F3266" s="185" t="s">
        <v>680</v>
      </c>
      <c r="G3266" s="185" t="s">
        <v>3925</v>
      </c>
      <c r="H3266" s="185" t="s">
        <v>1628</v>
      </c>
      <c r="I3266" s="258" t="str">
        <f t="shared" si="151"/>
        <v>2</v>
      </c>
      <c r="J3266" s="221">
        <f t="shared" si="152"/>
        <v>-6055</v>
      </c>
      <c r="K3266" s="258">
        <f t="shared" si="153"/>
        <v>11</v>
      </c>
      <c r="L3266" s="188">
        <v>0</v>
      </c>
      <c r="M3266" s="188">
        <v>6055</v>
      </c>
      <c r="N3266" s="189">
        <v>860002503</v>
      </c>
      <c r="O3266" t="s">
        <v>3924</v>
      </c>
      <c r="P3266" s="187">
        <v>45257</v>
      </c>
      <c r="Q3266" s="186">
        <v>14488</v>
      </c>
      <c r="R3266" s="185" t="s">
        <v>433</v>
      </c>
      <c r="S3266" s="185" t="s">
        <v>1656</v>
      </c>
      <c r="T3266" t="s">
        <v>2729</v>
      </c>
      <c r="U3266" t="str">
        <f>IF($L3266&gt;0,VLOOKUP($E3266,Valida!$A$1:$G$270,6,FALSE),IF($M3266&gt;=0,VLOOKUP($E3266,Valida!$A$1:$G$270,7,FALSE)))</f>
        <v>(+/-) Ajustes por el incremento (disminución) de cuentas por pagar de origen comercial</v>
      </c>
      <c r="V3266" s="190" t="str">
        <f>VLOOKUP(E3266,Valida!$A$2:$K$271,4,FALSE)</f>
        <v>Trade and other payables</v>
      </c>
      <c r="W3266" s="185" t="s">
        <v>1912</v>
      </c>
      <c r="X3266" s="185" t="s">
        <v>1913</v>
      </c>
      <c r="Y3266" s="185" t="s">
        <v>1789</v>
      </c>
      <c r="Z3266"/>
    </row>
    <row r="3267" spans="1:26">
      <c r="A3267" s="185" t="s">
        <v>3810</v>
      </c>
      <c r="B3267" s="185" t="s">
        <v>3924</v>
      </c>
      <c r="C3267" s="185" t="s">
        <v>1897</v>
      </c>
      <c r="D3267" s="185" t="s">
        <v>3821</v>
      </c>
      <c r="E3267" s="185">
        <v>237010</v>
      </c>
      <c r="F3267" s="185" t="s">
        <v>683</v>
      </c>
      <c r="G3267" s="185" t="s">
        <v>3926</v>
      </c>
      <c r="H3267" s="185" t="s">
        <v>1628</v>
      </c>
      <c r="I3267" s="258" t="str">
        <f t="shared" ref="I3267:I3330" si="154">LEFT(E3267,1)</f>
        <v>2</v>
      </c>
      <c r="J3267" s="221">
        <f t="shared" ref="J3267:J3330" si="155">L3267-M3267</f>
        <v>-45000</v>
      </c>
      <c r="K3267" s="258">
        <f t="shared" ref="K3267:K3330" si="156">MONTH(A3267)</f>
        <v>11</v>
      </c>
      <c r="L3267" s="188">
        <v>0</v>
      </c>
      <c r="M3267" s="188">
        <v>45000</v>
      </c>
      <c r="N3267" s="189">
        <v>860066942</v>
      </c>
      <c r="O3267" t="s">
        <v>3924</v>
      </c>
      <c r="P3267" s="187">
        <v>45257</v>
      </c>
      <c r="Q3267" s="186">
        <v>14490</v>
      </c>
      <c r="R3267" s="185" t="s">
        <v>1814</v>
      </c>
      <c r="S3267" s="185" t="s">
        <v>1574</v>
      </c>
      <c r="T3267" t="s">
        <v>2729</v>
      </c>
      <c r="U3267" t="str">
        <f>IF($L3267&gt;0,VLOOKUP($E3267,Valida!$A$1:$G$270,6,FALSE),IF($M3267&gt;=0,VLOOKUP($E3267,Valida!$A$1:$G$270,7,FALSE)))</f>
        <v>(+/-) Ajustes por el incremento (disminución) de cuentas por pagar de origen comercial</v>
      </c>
      <c r="V3267" s="190" t="str">
        <f>VLOOKUP(E3267,Valida!$A$2:$K$271,4,FALSE)</f>
        <v>Trade and other payables</v>
      </c>
      <c r="W3267" s="185" t="s">
        <v>1914</v>
      </c>
      <c r="X3267" s="185" t="s">
        <v>1915</v>
      </c>
      <c r="Y3267" s="185" t="s">
        <v>1789</v>
      </c>
      <c r="Z3267"/>
    </row>
    <row r="3268" spans="1:26">
      <c r="A3268" s="185" t="s">
        <v>3810</v>
      </c>
      <c r="B3268" s="185" t="s">
        <v>3924</v>
      </c>
      <c r="C3268" s="185" t="s">
        <v>1897</v>
      </c>
      <c r="D3268" s="185" t="s">
        <v>3821</v>
      </c>
      <c r="E3268" s="185">
        <v>237010</v>
      </c>
      <c r="F3268" s="185" t="s">
        <v>683</v>
      </c>
      <c r="G3268" s="185" t="s">
        <v>3926</v>
      </c>
      <c r="H3268" s="185" t="s">
        <v>1628</v>
      </c>
      <c r="I3268" s="258" t="str">
        <f t="shared" si="154"/>
        <v>2</v>
      </c>
      <c r="J3268" s="221">
        <f t="shared" si="155"/>
        <v>-38280</v>
      </c>
      <c r="K3268" s="258">
        <f t="shared" si="156"/>
        <v>11</v>
      </c>
      <c r="L3268" s="188">
        <v>0</v>
      </c>
      <c r="M3268" s="188">
        <v>38280</v>
      </c>
      <c r="N3268" s="189">
        <v>860066942</v>
      </c>
      <c r="O3268" t="s">
        <v>3924</v>
      </c>
      <c r="P3268" s="187">
        <v>45257</v>
      </c>
      <c r="Q3268" s="186">
        <v>14491</v>
      </c>
      <c r="R3268" s="185" t="s">
        <v>1814</v>
      </c>
      <c r="S3268" s="185" t="s">
        <v>1574</v>
      </c>
      <c r="T3268" t="s">
        <v>2729</v>
      </c>
      <c r="U3268" t="str">
        <f>IF($L3268&gt;0,VLOOKUP($E3268,Valida!$A$1:$G$270,6,FALSE),IF($M3268&gt;=0,VLOOKUP($E3268,Valida!$A$1:$G$270,7,FALSE)))</f>
        <v>(+/-) Ajustes por el incremento (disminución) de cuentas por pagar de origen comercial</v>
      </c>
      <c r="V3268" s="190" t="str">
        <f>VLOOKUP(E3268,Valida!$A$2:$K$271,4,FALSE)</f>
        <v>Trade and other payables</v>
      </c>
      <c r="W3268" s="185" t="s">
        <v>1914</v>
      </c>
      <c r="X3268" s="185" t="s">
        <v>1915</v>
      </c>
      <c r="Y3268" s="185" t="s">
        <v>1789</v>
      </c>
      <c r="Z3268"/>
    </row>
    <row r="3269" spans="1:26">
      <c r="A3269" s="185" t="s">
        <v>3810</v>
      </c>
      <c r="B3269" s="185" t="s">
        <v>3924</v>
      </c>
      <c r="C3269" s="185" t="s">
        <v>1897</v>
      </c>
      <c r="D3269" s="185" t="s">
        <v>3821</v>
      </c>
      <c r="E3269" s="185">
        <v>237010</v>
      </c>
      <c r="F3269" s="185" t="s">
        <v>683</v>
      </c>
      <c r="G3269" s="185" t="s">
        <v>3926</v>
      </c>
      <c r="H3269" s="185" t="s">
        <v>1628</v>
      </c>
      <c r="I3269" s="258" t="str">
        <f t="shared" si="154"/>
        <v>2</v>
      </c>
      <c r="J3269" s="221">
        <f t="shared" si="155"/>
        <v>-55547</v>
      </c>
      <c r="K3269" s="258">
        <f t="shared" si="156"/>
        <v>11</v>
      </c>
      <c r="L3269" s="188">
        <v>0</v>
      </c>
      <c r="M3269" s="188">
        <v>55547</v>
      </c>
      <c r="N3269" s="189">
        <v>860066942</v>
      </c>
      <c r="O3269" t="s">
        <v>3924</v>
      </c>
      <c r="P3269" s="187">
        <v>45257</v>
      </c>
      <c r="Q3269" s="186">
        <v>14492</v>
      </c>
      <c r="R3269" s="185" t="s">
        <v>1814</v>
      </c>
      <c r="S3269" s="185" t="s">
        <v>1574</v>
      </c>
      <c r="T3269" t="s">
        <v>2729</v>
      </c>
      <c r="U3269" t="str">
        <f>IF($L3269&gt;0,VLOOKUP($E3269,Valida!$A$1:$G$270,6,FALSE),IF($M3269&gt;=0,VLOOKUP($E3269,Valida!$A$1:$G$270,7,FALSE)))</f>
        <v>(+/-) Ajustes por el incremento (disminución) de cuentas por pagar de origen comercial</v>
      </c>
      <c r="V3269" s="190" t="str">
        <f>VLOOKUP(E3269,Valida!$A$2:$K$271,4,FALSE)</f>
        <v>Trade and other payables</v>
      </c>
      <c r="W3269" s="185" t="s">
        <v>1914</v>
      </c>
      <c r="X3269" s="185" t="s">
        <v>1915</v>
      </c>
      <c r="Y3269" s="185" t="s">
        <v>1789</v>
      </c>
      <c r="Z3269"/>
    </row>
    <row r="3270" spans="1:26">
      <c r="A3270" s="185" t="s">
        <v>3810</v>
      </c>
      <c r="B3270" s="185" t="s">
        <v>3924</v>
      </c>
      <c r="C3270" s="185" t="s">
        <v>1897</v>
      </c>
      <c r="D3270" s="185" t="s">
        <v>3821</v>
      </c>
      <c r="E3270" s="185">
        <v>237010</v>
      </c>
      <c r="F3270" s="185" t="s">
        <v>683</v>
      </c>
      <c r="G3270" s="185" t="s">
        <v>3926</v>
      </c>
      <c r="H3270" s="185" t="s">
        <v>1628</v>
      </c>
      <c r="I3270" s="258" t="str">
        <f t="shared" si="154"/>
        <v>2</v>
      </c>
      <c r="J3270" s="221">
        <f t="shared" si="155"/>
        <v>-44681</v>
      </c>
      <c r="K3270" s="258">
        <f t="shared" si="156"/>
        <v>11</v>
      </c>
      <c r="L3270" s="188">
        <v>0</v>
      </c>
      <c r="M3270" s="188">
        <v>44681</v>
      </c>
      <c r="N3270" s="189">
        <v>860066942</v>
      </c>
      <c r="O3270" t="s">
        <v>3924</v>
      </c>
      <c r="P3270" s="187">
        <v>45257</v>
      </c>
      <c r="Q3270" s="186">
        <v>14493</v>
      </c>
      <c r="R3270" s="185" t="s">
        <v>1814</v>
      </c>
      <c r="S3270" s="185" t="s">
        <v>1574</v>
      </c>
      <c r="T3270" t="s">
        <v>2729</v>
      </c>
      <c r="U3270" t="str">
        <f>IF($L3270&gt;0,VLOOKUP($E3270,Valida!$A$1:$G$270,6,FALSE),IF($M3270&gt;=0,VLOOKUP($E3270,Valida!$A$1:$G$270,7,FALSE)))</f>
        <v>(+/-) Ajustes por el incremento (disminución) de cuentas por pagar de origen comercial</v>
      </c>
      <c r="V3270" s="190" t="str">
        <f>VLOOKUP(E3270,Valida!$A$2:$K$271,4,FALSE)</f>
        <v>Trade and other payables</v>
      </c>
      <c r="W3270" s="185" t="s">
        <v>1914</v>
      </c>
      <c r="X3270" s="185" t="s">
        <v>1915</v>
      </c>
      <c r="Y3270" s="185" t="s">
        <v>1789</v>
      </c>
      <c r="Z3270"/>
    </row>
    <row r="3271" spans="1:26">
      <c r="A3271" s="185" t="s">
        <v>3810</v>
      </c>
      <c r="B3271" s="185" t="s">
        <v>3924</v>
      </c>
      <c r="C3271" s="185" t="s">
        <v>1897</v>
      </c>
      <c r="D3271" s="185" t="s">
        <v>3821</v>
      </c>
      <c r="E3271" s="185">
        <v>237010</v>
      </c>
      <c r="F3271" s="185" t="s">
        <v>683</v>
      </c>
      <c r="G3271" s="185" t="s">
        <v>3926</v>
      </c>
      <c r="H3271" s="185" t="s">
        <v>1628</v>
      </c>
      <c r="I3271" s="258" t="str">
        <f t="shared" si="154"/>
        <v>2</v>
      </c>
      <c r="J3271" s="221">
        <f t="shared" si="155"/>
        <v>-34800</v>
      </c>
      <c r="K3271" s="258">
        <f t="shared" si="156"/>
        <v>11</v>
      </c>
      <c r="L3271" s="188">
        <v>0</v>
      </c>
      <c r="M3271" s="188">
        <v>34800</v>
      </c>
      <c r="N3271" s="189">
        <v>860066942</v>
      </c>
      <c r="O3271" t="s">
        <v>3924</v>
      </c>
      <c r="P3271" s="187">
        <v>45257</v>
      </c>
      <c r="Q3271" s="186">
        <v>14494</v>
      </c>
      <c r="R3271" s="185" t="s">
        <v>1814</v>
      </c>
      <c r="S3271" s="185" t="s">
        <v>1574</v>
      </c>
      <c r="T3271" t="s">
        <v>2729</v>
      </c>
      <c r="U3271" t="str">
        <f>IF($L3271&gt;0,VLOOKUP($E3271,Valida!$A$1:$G$270,6,FALSE),IF($M3271&gt;=0,VLOOKUP($E3271,Valida!$A$1:$G$270,7,FALSE)))</f>
        <v>(+/-) Ajustes por el incremento (disminución) de cuentas por pagar de origen comercial</v>
      </c>
      <c r="V3271" s="190" t="str">
        <f>VLOOKUP(E3271,Valida!$A$2:$K$271,4,FALSE)</f>
        <v>Trade and other payables</v>
      </c>
      <c r="W3271" s="185" t="s">
        <v>1914</v>
      </c>
      <c r="X3271" s="185" t="s">
        <v>1915</v>
      </c>
      <c r="Y3271" s="185" t="s">
        <v>1789</v>
      </c>
      <c r="Z3271"/>
    </row>
    <row r="3272" spans="1:26">
      <c r="A3272" s="185" t="s">
        <v>3810</v>
      </c>
      <c r="B3272" s="185" t="s">
        <v>3924</v>
      </c>
      <c r="C3272" s="185" t="s">
        <v>1897</v>
      </c>
      <c r="D3272" s="185" t="s">
        <v>3821</v>
      </c>
      <c r="E3272" s="185">
        <v>238030</v>
      </c>
      <c r="F3272" s="185" t="s">
        <v>721</v>
      </c>
      <c r="G3272" s="185" t="s">
        <v>3927</v>
      </c>
      <c r="H3272" s="185" t="s">
        <v>1628</v>
      </c>
      <c r="I3272" s="258" t="str">
        <f t="shared" si="154"/>
        <v>2</v>
      </c>
      <c r="J3272" s="221">
        <f t="shared" si="155"/>
        <v>-180000</v>
      </c>
      <c r="K3272" s="258">
        <f t="shared" si="156"/>
        <v>11</v>
      </c>
      <c r="L3272" s="188">
        <v>0</v>
      </c>
      <c r="M3272" s="188">
        <v>180000</v>
      </c>
      <c r="N3272" s="189">
        <v>800224808</v>
      </c>
      <c r="O3272" t="s">
        <v>3924</v>
      </c>
      <c r="P3272" s="187">
        <v>45257</v>
      </c>
      <c r="Q3272" s="186">
        <v>14495</v>
      </c>
      <c r="R3272" s="185" t="s">
        <v>1827</v>
      </c>
      <c r="S3272" s="185" t="s">
        <v>1662</v>
      </c>
      <c r="T3272" t="s">
        <v>2729</v>
      </c>
      <c r="U3272" t="str">
        <f>IF($L3272&gt;0,VLOOKUP($E3272,Valida!$A$1:$G$270,6,FALSE),IF($M3272&gt;=0,VLOOKUP($E3272,Valida!$A$1:$G$270,7,FALSE)))</f>
        <v>(+/-) Ajustes por el incremento (disminución) de cuentas por pagar de origen comercial</v>
      </c>
      <c r="V3272" s="190" t="str">
        <f>VLOOKUP(E3272,Valida!$A$2:$K$271,4,FALSE)</f>
        <v>Trade and other payables</v>
      </c>
      <c r="W3272" s="185" t="s">
        <v>1911</v>
      </c>
      <c r="X3272" s="185"/>
      <c r="Y3272" s="185" t="s">
        <v>1789</v>
      </c>
      <c r="Z3272"/>
    </row>
    <row r="3273" spans="1:26">
      <c r="A3273" s="185" t="s">
        <v>3810</v>
      </c>
      <c r="B3273" s="185" t="s">
        <v>3924</v>
      </c>
      <c r="C3273" s="185" t="s">
        <v>1897</v>
      </c>
      <c r="D3273" s="185" t="s">
        <v>3821</v>
      </c>
      <c r="E3273" s="185">
        <v>238030</v>
      </c>
      <c r="F3273" s="185" t="s">
        <v>721</v>
      </c>
      <c r="G3273" s="185" t="s">
        <v>3927</v>
      </c>
      <c r="H3273" s="185" t="s">
        <v>1628</v>
      </c>
      <c r="I3273" s="258" t="str">
        <f t="shared" si="154"/>
        <v>2</v>
      </c>
      <c r="J3273" s="221">
        <f t="shared" si="155"/>
        <v>-222187</v>
      </c>
      <c r="K3273" s="258">
        <f t="shared" si="156"/>
        <v>11</v>
      </c>
      <c r="L3273" s="188">
        <v>0</v>
      </c>
      <c r="M3273" s="188">
        <v>222187</v>
      </c>
      <c r="N3273" s="189">
        <v>800224808</v>
      </c>
      <c r="O3273" t="s">
        <v>3924</v>
      </c>
      <c r="P3273" s="187">
        <v>45257</v>
      </c>
      <c r="Q3273" s="186">
        <v>14496</v>
      </c>
      <c r="R3273" s="185" t="s">
        <v>1827</v>
      </c>
      <c r="S3273" s="185" t="s">
        <v>1662</v>
      </c>
      <c r="T3273" t="s">
        <v>2729</v>
      </c>
      <c r="U3273" t="str">
        <f>IF($L3273&gt;0,VLOOKUP($E3273,Valida!$A$1:$G$270,6,FALSE),IF($M3273&gt;=0,VLOOKUP($E3273,Valida!$A$1:$G$270,7,FALSE)))</f>
        <v>(+/-) Ajustes por el incremento (disminución) de cuentas por pagar de origen comercial</v>
      </c>
      <c r="V3273" s="190" t="str">
        <f>VLOOKUP(E3273,Valida!$A$2:$K$271,4,FALSE)</f>
        <v>Trade and other payables</v>
      </c>
      <c r="W3273" s="185" t="s">
        <v>1911</v>
      </c>
      <c r="X3273" s="185"/>
      <c r="Y3273" s="185" t="s">
        <v>1789</v>
      </c>
      <c r="Z3273"/>
    </row>
    <row r="3274" spans="1:26">
      <c r="A3274" s="185" t="s">
        <v>3810</v>
      </c>
      <c r="B3274" s="185" t="s">
        <v>3924</v>
      </c>
      <c r="C3274" s="185" t="s">
        <v>1897</v>
      </c>
      <c r="D3274" s="185" t="s">
        <v>3821</v>
      </c>
      <c r="E3274" s="185">
        <v>238030</v>
      </c>
      <c r="F3274" s="185" t="s">
        <v>721</v>
      </c>
      <c r="G3274" s="185" t="s">
        <v>3927</v>
      </c>
      <c r="H3274" s="185" t="s">
        <v>1628</v>
      </c>
      <c r="I3274" s="258" t="str">
        <f t="shared" si="154"/>
        <v>2</v>
      </c>
      <c r="J3274" s="221">
        <f t="shared" si="155"/>
        <v>-178725</v>
      </c>
      <c r="K3274" s="258">
        <f t="shared" si="156"/>
        <v>11</v>
      </c>
      <c r="L3274" s="188">
        <v>0</v>
      </c>
      <c r="M3274" s="188">
        <v>178725</v>
      </c>
      <c r="N3274" s="189">
        <v>800224808</v>
      </c>
      <c r="O3274" t="s">
        <v>3924</v>
      </c>
      <c r="P3274" s="187">
        <v>45257</v>
      </c>
      <c r="Q3274" s="186">
        <v>14497</v>
      </c>
      <c r="R3274" s="185" t="s">
        <v>1827</v>
      </c>
      <c r="S3274" s="185" t="s">
        <v>1662</v>
      </c>
      <c r="T3274" t="s">
        <v>2729</v>
      </c>
      <c r="U3274" t="str">
        <f>IF($L3274&gt;0,VLOOKUP($E3274,Valida!$A$1:$G$270,6,FALSE),IF($M3274&gt;=0,VLOOKUP($E3274,Valida!$A$1:$G$270,7,FALSE)))</f>
        <v>(+/-) Ajustes por el incremento (disminución) de cuentas por pagar de origen comercial</v>
      </c>
      <c r="V3274" s="190" t="str">
        <f>VLOOKUP(E3274,Valida!$A$2:$K$271,4,FALSE)</f>
        <v>Trade and other payables</v>
      </c>
      <c r="W3274" s="185" t="s">
        <v>1911</v>
      </c>
      <c r="X3274" s="185"/>
      <c r="Y3274" s="185" t="s">
        <v>1789</v>
      </c>
      <c r="Z3274"/>
    </row>
    <row r="3275" spans="1:26">
      <c r="A3275" s="185" t="s">
        <v>3810</v>
      </c>
      <c r="B3275" s="185" t="s">
        <v>3924</v>
      </c>
      <c r="C3275" s="185" t="s">
        <v>1897</v>
      </c>
      <c r="D3275" s="185" t="s">
        <v>3821</v>
      </c>
      <c r="E3275" s="185">
        <v>238030</v>
      </c>
      <c r="F3275" s="185" t="s">
        <v>721</v>
      </c>
      <c r="G3275" s="185" t="s">
        <v>3927</v>
      </c>
      <c r="H3275" s="185" t="s">
        <v>1628</v>
      </c>
      <c r="I3275" s="258" t="str">
        <f t="shared" si="154"/>
        <v>2</v>
      </c>
      <c r="J3275" s="221">
        <f t="shared" si="155"/>
        <v>-139200</v>
      </c>
      <c r="K3275" s="258">
        <f t="shared" si="156"/>
        <v>11</v>
      </c>
      <c r="L3275" s="188">
        <v>0</v>
      </c>
      <c r="M3275" s="188">
        <v>139200</v>
      </c>
      <c r="N3275" s="189">
        <v>800224808</v>
      </c>
      <c r="O3275" t="s">
        <v>3924</v>
      </c>
      <c r="P3275" s="187">
        <v>45257</v>
      </c>
      <c r="Q3275" s="186">
        <v>14498</v>
      </c>
      <c r="R3275" s="185" t="s">
        <v>1827</v>
      </c>
      <c r="S3275" s="185" t="s">
        <v>1662</v>
      </c>
      <c r="T3275" t="s">
        <v>2729</v>
      </c>
      <c r="U3275" t="str">
        <f>IF($L3275&gt;0,VLOOKUP($E3275,Valida!$A$1:$G$270,6,FALSE),IF($M3275&gt;=0,VLOOKUP($E3275,Valida!$A$1:$G$270,7,FALSE)))</f>
        <v>(+/-) Ajustes por el incremento (disminución) de cuentas por pagar de origen comercial</v>
      </c>
      <c r="V3275" s="190" t="str">
        <f>VLOOKUP(E3275,Valida!$A$2:$K$271,4,FALSE)</f>
        <v>Trade and other payables</v>
      </c>
      <c r="W3275" s="185" t="s">
        <v>1911</v>
      </c>
      <c r="X3275" s="185"/>
      <c r="Y3275" s="185" t="s">
        <v>1789</v>
      </c>
      <c r="Z3275"/>
    </row>
    <row r="3276" spans="1:26">
      <c r="A3276" s="185" t="s">
        <v>3810</v>
      </c>
      <c r="B3276" s="185" t="s">
        <v>3924</v>
      </c>
      <c r="C3276" s="185" t="s">
        <v>1897</v>
      </c>
      <c r="D3276" s="185" t="s">
        <v>3821</v>
      </c>
      <c r="E3276" s="185">
        <v>238030</v>
      </c>
      <c r="F3276" s="185" t="s">
        <v>721</v>
      </c>
      <c r="G3276" s="185" t="s">
        <v>3927</v>
      </c>
      <c r="H3276" s="185" t="s">
        <v>1628</v>
      </c>
      <c r="I3276" s="258" t="str">
        <f t="shared" si="154"/>
        <v>2</v>
      </c>
      <c r="J3276" s="221">
        <f t="shared" si="155"/>
        <v>-139200</v>
      </c>
      <c r="K3276" s="258">
        <f t="shared" si="156"/>
        <v>11</v>
      </c>
      <c r="L3276" s="188">
        <v>0</v>
      </c>
      <c r="M3276" s="188">
        <v>139200</v>
      </c>
      <c r="N3276" s="189">
        <v>800224808</v>
      </c>
      <c r="O3276" t="s">
        <v>3924</v>
      </c>
      <c r="P3276" s="187">
        <v>45257</v>
      </c>
      <c r="Q3276" s="186">
        <v>14499</v>
      </c>
      <c r="R3276" s="185" t="s">
        <v>1827</v>
      </c>
      <c r="S3276" s="185" t="s">
        <v>1662</v>
      </c>
      <c r="T3276" t="s">
        <v>2729</v>
      </c>
      <c r="U3276" t="str">
        <f>IF($L3276&gt;0,VLOOKUP($E3276,Valida!$A$1:$G$270,6,FALSE),IF($M3276&gt;=0,VLOOKUP($E3276,Valida!$A$1:$G$270,7,FALSE)))</f>
        <v>(+/-) Ajustes por el incremento (disminución) de cuentas por pagar de origen comercial</v>
      </c>
      <c r="V3276" s="190" t="str">
        <f>VLOOKUP(E3276,Valida!$A$2:$K$271,4,FALSE)</f>
        <v>Trade and other payables</v>
      </c>
      <c r="W3276" s="185" t="s">
        <v>1911</v>
      </c>
      <c r="X3276" s="185"/>
      <c r="Y3276" s="185" t="s">
        <v>1789</v>
      </c>
      <c r="Z3276"/>
    </row>
    <row r="3277" spans="1:26">
      <c r="A3277" s="185" t="s">
        <v>3810</v>
      </c>
      <c r="B3277" s="185" t="s">
        <v>3924</v>
      </c>
      <c r="C3277" s="185" t="s">
        <v>1897</v>
      </c>
      <c r="D3277" s="185" t="s">
        <v>3821</v>
      </c>
      <c r="E3277" s="185">
        <v>238030</v>
      </c>
      <c r="F3277" s="185" t="s">
        <v>721</v>
      </c>
      <c r="G3277" s="185" t="s">
        <v>3927</v>
      </c>
      <c r="H3277" s="185" t="s">
        <v>1628</v>
      </c>
      <c r="I3277" s="258" t="str">
        <f t="shared" si="154"/>
        <v>2</v>
      </c>
      <c r="J3277" s="221">
        <f t="shared" si="155"/>
        <v>-153120</v>
      </c>
      <c r="K3277" s="258">
        <f t="shared" si="156"/>
        <v>11</v>
      </c>
      <c r="L3277" s="188">
        <v>0</v>
      </c>
      <c r="M3277" s="188">
        <v>153120</v>
      </c>
      <c r="N3277" s="189">
        <v>800227940</v>
      </c>
      <c r="O3277" t="s">
        <v>3924</v>
      </c>
      <c r="P3277" s="187">
        <v>45257</v>
      </c>
      <c r="Q3277" s="186">
        <v>14500</v>
      </c>
      <c r="R3277" s="185"/>
      <c r="S3277" s="185" t="s">
        <v>1664</v>
      </c>
      <c r="T3277" t="s">
        <v>2729</v>
      </c>
      <c r="U3277" t="str">
        <f>IF($L3277&gt;0,VLOOKUP($E3277,Valida!$A$1:$G$270,6,FALSE),IF($M3277&gt;=0,VLOOKUP($E3277,Valida!$A$1:$G$270,7,FALSE)))</f>
        <v>(+/-) Ajustes por el incremento (disminución) de cuentas por pagar de origen comercial</v>
      </c>
      <c r="V3277" s="190" t="str">
        <f>VLOOKUP(E3277,Valida!$A$2:$K$271,4,FALSE)</f>
        <v>Trade and other payables</v>
      </c>
      <c r="W3277" s="185"/>
      <c r="X3277" s="185"/>
      <c r="Y3277" s="185"/>
      <c r="Z3277"/>
    </row>
    <row r="3278" spans="1:26">
      <c r="A3278" s="185" t="s">
        <v>3810</v>
      </c>
      <c r="B3278" s="185" t="s">
        <v>3924</v>
      </c>
      <c r="C3278" s="185" t="s">
        <v>1897</v>
      </c>
      <c r="D3278" s="185" t="s">
        <v>3821</v>
      </c>
      <c r="E3278" s="185">
        <v>251010</v>
      </c>
      <c r="F3278" s="185" t="s">
        <v>776</v>
      </c>
      <c r="G3278" s="185" t="s">
        <v>3928</v>
      </c>
      <c r="H3278" s="185" t="s">
        <v>1628</v>
      </c>
      <c r="I3278" s="258" t="str">
        <f t="shared" si="154"/>
        <v>2</v>
      </c>
      <c r="J3278" s="221">
        <f t="shared" si="155"/>
        <v>-118003</v>
      </c>
      <c r="K3278" s="258">
        <f t="shared" si="156"/>
        <v>11</v>
      </c>
      <c r="L3278" s="188">
        <v>0</v>
      </c>
      <c r="M3278" s="188">
        <v>118003</v>
      </c>
      <c r="N3278" s="189">
        <v>1000018061</v>
      </c>
      <c r="O3278" t="s">
        <v>3924</v>
      </c>
      <c r="P3278" s="187">
        <v>45257</v>
      </c>
      <c r="Q3278" s="186">
        <v>14501</v>
      </c>
      <c r="R3278" s="185"/>
      <c r="S3278" s="185" t="s">
        <v>1522</v>
      </c>
      <c r="T3278" t="s">
        <v>2729</v>
      </c>
      <c r="U3278" t="str">
        <f>IF($L3278&gt;0,VLOOKUP($E3278,Valida!$A$1:$G$270,6,FALSE),IF($M3278&gt;=0,VLOOKUP($E3278,Valida!$A$1:$G$270,7,FALSE)))</f>
        <v>(+/-) Ajustes por el incremento (disminución) de cuentas por pagar de origen comercial</v>
      </c>
      <c r="V3278" s="190" t="str">
        <f>VLOOKUP(E3278,Valida!$A$2:$K$271,4,FALSE)</f>
        <v>Trade and other payables</v>
      </c>
      <c r="W3278" s="185" t="s">
        <v>1978</v>
      </c>
      <c r="X3278" s="185"/>
      <c r="Y3278" s="185" t="s">
        <v>1789</v>
      </c>
      <c r="Z3278"/>
    </row>
    <row r="3279" spans="1:26">
      <c r="A3279" s="185" t="s">
        <v>3810</v>
      </c>
      <c r="B3279" s="185" t="s">
        <v>3924</v>
      </c>
      <c r="C3279" s="185" t="s">
        <v>1897</v>
      </c>
      <c r="D3279" s="185" t="s">
        <v>3821</v>
      </c>
      <c r="E3279" s="185">
        <v>251010</v>
      </c>
      <c r="F3279" s="185" t="s">
        <v>776</v>
      </c>
      <c r="G3279" s="185" t="s">
        <v>3928</v>
      </c>
      <c r="H3279" s="185" t="s">
        <v>1628</v>
      </c>
      <c r="I3279" s="258" t="str">
        <f t="shared" si="154"/>
        <v>2</v>
      </c>
      <c r="J3279" s="221">
        <f t="shared" si="155"/>
        <v>-165948</v>
      </c>
      <c r="K3279" s="258">
        <f t="shared" si="156"/>
        <v>11</v>
      </c>
      <c r="L3279" s="188">
        <v>0</v>
      </c>
      <c r="M3279" s="188">
        <v>165948</v>
      </c>
      <c r="N3279" s="189">
        <v>1000036375</v>
      </c>
      <c r="O3279" t="s">
        <v>3924</v>
      </c>
      <c r="P3279" s="187">
        <v>45257</v>
      </c>
      <c r="Q3279" s="186">
        <v>14502</v>
      </c>
      <c r="R3279" s="185"/>
      <c r="S3279" s="185" t="s">
        <v>1524</v>
      </c>
      <c r="T3279" t="s">
        <v>2729</v>
      </c>
      <c r="U3279" t="str">
        <f>IF($L3279&gt;0,VLOOKUP($E3279,Valida!$A$1:$G$270,6,FALSE),IF($M3279&gt;=0,VLOOKUP($E3279,Valida!$A$1:$G$270,7,FALSE)))</f>
        <v>(+/-) Ajustes por el incremento (disminución) de cuentas por pagar de origen comercial</v>
      </c>
      <c r="V3279" s="190" t="str">
        <f>VLOOKUP(E3279,Valida!$A$2:$K$271,4,FALSE)</f>
        <v>Trade and other payables</v>
      </c>
      <c r="W3279" s="185" t="s">
        <v>1983</v>
      </c>
      <c r="X3279" s="185"/>
      <c r="Y3279" s="185" t="s">
        <v>1789</v>
      </c>
      <c r="Z3279"/>
    </row>
    <row r="3280" spans="1:26">
      <c r="A3280" s="185" t="s">
        <v>3810</v>
      </c>
      <c r="B3280" s="185" t="s">
        <v>3924</v>
      </c>
      <c r="C3280" s="185" t="s">
        <v>1897</v>
      </c>
      <c r="D3280" s="185" t="s">
        <v>3821</v>
      </c>
      <c r="E3280" s="185">
        <v>251010</v>
      </c>
      <c r="F3280" s="185" t="s">
        <v>776</v>
      </c>
      <c r="G3280" s="185" t="s">
        <v>3928</v>
      </c>
      <c r="H3280" s="185" t="s">
        <v>1628</v>
      </c>
      <c r="I3280" s="258" t="str">
        <f t="shared" si="154"/>
        <v>2</v>
      </c>
      <c r="J3280" s="221">
        <f t="shared" si="155"/>
        <v>-135777</v>
      </c>
      <c r="K3280" s="258">
        <f t="shared" si="156"/>
        <v>11</v>
      </c>
      <c r="L3280" s="188">
        <v>0</v>
      </c>
      <c r="M3280" s="188">
        <v>135777</v>
      </c>
      <c r="N3280" s="189">
        <v>1001284057</v>
      </c>
      <c r="O3280" t="s">
        <v>3924</v>
      </c>
      <c r="P3280" s="187">
        <v>45257</v>
      </c>
      <c r="Q3280" s="186">
        <v>14503</v>
      </c>
      <c r="R3280" s="185"/>
      <c r="S3280" s="185" t="s">
        <v>1526</v>
      </c>
      <c r="T3280" t="s">
        <v>2729</v>
      </c>
      <c r="U3280" t="str">
        <f>IF($L3280&gt;0,VLOOKUP($E3280,Valida!$A$1:$G$270,6,FALSE),IF($M3280&gt;=0,VLOOKUP($E3280,Valida!$A$1:$G$270,7,FALSE)))</f>
        <v>(+/-) Ajustes por el incremento (disminución) de cuentas por pagar de origen comercial</v>
      </c>
      <c r="V3280" s="190" t="str">
        <f>VLOOKUP(E3280,Valida!$A$2:$K$271,4,FALSE)</f>
        <v>Trade and other payables</v>
      </c>
      <c r="W3280" s="185" t="s">
        <v>3454</v>
      </c>
      <c r="X3280" s="185" t="s">
        <v>3455</v>
      </c>
      <c r="Y3280" s="185" t="s">
        <v>1789</v>
      </c>
      <c r="Z3280"/>
    </row>
    <row r="3281" spans="1:26">
      <c r="A3281" s="185" t="s">
        <v>3810</v>
      </c>
      <c r="B3281" s="185" t="s">
        <v>3924</v>
      </c>
      <c r="C3281" s="185" t="s">
        <v>1897</v>
      </c>
      <c r="D3281" s="185" t="s">
        <v>3821</v>
      </c>
      <c r="E3281" s="185">
        <v>251010</v>
      </c>
      <c r="F3281" s="185" t="s">
        <v>776</v>
      </c>
      <c r="G3281" s="185" t="s">
        <v>3928</v>
      </c>
      <c r="H3281" s="185" t="s">
        <v>1628</v>
      </c>
      <c r="I3281" s="258" t="str">
        <f t="shared" si="154"/>
        <v>2</v>
      </c>
      <c r="J3281" s="221">
        <f t="shared" si="155"/>
        <v>-136662</v>
      </c>
      <c r="K3281" s="258">
        <f t="shared" si="156"/>
        <v>11</v>
      </c>
      <c r="L3281" s="188">
        <v>0</v>
      </c>
      <c r="M3281" s="188">
        <v>136662</v>
      </c>
      <c r="N3281" s="189">
        <v>1010101811</v>
      </c>
      <c r="O3281" t="s">
        <v>3924</v>
      </c>
      <c r="P3281" s="187">
        <v>45257</v>
      </c>
      <c r="Q3281" s="186">
        <v>14504</v>
      </c>
      <c r="R3281" s="185"/>
      <c r="S3281" s="185" t="s">
        <v>1528</v>
      </c>
      <c r="T3281" t="s">
        <v>2729</v>
      </c>
      <c r="U3281" t="str">
        <f>IF($L3281&gt;0,VLOOKUP($E3281,Valida!$A$1:$G$270,6,FALSE),IF($M3281&gt;=0,VLOOKUP($E3281,Valida!$A$1:$G$270,7,FALSE)))</f>
        <v>(+/-) Ajustes por el incremento (disminución) de cuentas por pagar de origen comercial</v>
      </c>
      <c r="V3281" s="190" t="str">
        <f>VLOOKUP(E3281,Valida!$A$2:$K$271,4,FALSE)</f>
        <v>Trade and other payables</v>
      </c>
      <c r="W3281" s="185" t="s">
        <v>1967</v>
      </c>
      <c r="X3281" s="185"/>
      <c r="Y3281" s="185" t="s">
        <v>1789</v>
      </c>
      <c r="Z3281"/>
    </row>
    <row r="3282" spans="1:26">
      <c r="A3282" s="185" t="s">
        <v>3810</v>
      </c>
      <c r="B3282" s="185" t="s">
        <v>3924</v>
      </c>
      <c r="C3282" s="185" t="s">
        <v>1897</v>
      </c>
      <c r="D3282" s="185" t="s">
        <v>3821</v>
      </c>
      <c r="E3282" s="185">
        <v>251010</v>
      </c>
      <c r="F3282" s="185" t="s">
        <v>776</v>
      </c>
      <c r="G3282" s="185" t="s">
        <v>3928</v>
      </c>
      <c r="H3282" s="185" t="s">
        <v>1628</v>
      </c>
      <c r="I3282" s="258" t="str">
        <f t="shared" si="154"/>
        <v>2</v>
      </c>
      <c r="J3282" s="221">
        <f t="shared" si="155"/>
        <v>-96628</v>
      </c>
      <c r="K3282" s="258">
        <f t="shared" si="156"/>
        <v>11</v>
      </c>
      <c r="L3282" s="188">
        <v>0</v>
      </c>
      <c r="M3282" s="188">
        <v>96628</v>
      </c>
      <c r="N3282" s="189">
        <v>1020842223</v>
      </c>
      <c r="O3282" t="s">
        <v>3924</v>
      </c>
      <c r="P3282" s="187">
        <v>45257</v>
      </c>
      <c r="Q3282" s="186">
        <v>14505</v>
      </c>
      <c r="R3282" s="185"/>
      <c r="S3282" s="185" t="s">
        <v>1532</v>
      </c>
      <c r="T3282" t="s">
        <v>2729</v>
      </c>
      <c r="U3282" t="str">
        <f>IF($L3282&gt;0,VLOOKUP($E3282,Valida!$A$1:$G$270,6,FALSE),IF($M3282&gt;=0,VLOOKUP($E3282,Valida!$A$1:$G$270,7,FALSE)))</f>
        <v>(+/-) Ajustes por el incremento (disminución) de cuentas por pagar de origen comercial</v>
      </c>
      <c r="V3282" s="190" t="str">
        <f>VLOOKUP(E3282,Valida!$A$2:$K$271,4,FALSE)</f>
        <v>Trade and other payables</v>
      </c>
      <c r="W3282" s="185" t="s">
        <v>1900</v>
      </c>
      <c r="X3282" s="185"/>
      <c r="Y3282" s="185" t="s">
        <v>1789</v>
      </c>
      <c r="Z3282"/>
    </row>
    <row r="3283" spans="1:26">
      <c r="A3283" s="185" t="s">
        <v>3810</v>
      </c>
      <c r="B3283" s="185" t="s">
        <v>3924</v>
      </c>
      <c r="C3283" s="185" t="s">
        <v>1897</v>
      </c>
      <c r="D3283" s="185" t="s">
        <v>3821</v>
      </c>
      <c r="E3283" s="185">
        <v>251010</v>
      </c>
      <c r="F3283" s="185" t="s">
        <v>776</v>
      </c>
      <c r="G3283" s="185" t="s">
        <v>3928</v>
      </c>
      <c r="H3283" s="185" t="s">
        <v>1628</v>
      </c>
      <c r="I3283" s="258" t="str">
        <f t="shared" si="154"/>
        <v>2</v>
      </c>
      <c r="J3283" s="221">
        <f t="shared" si="155"/>
        <v>-108340</v>
      </c>
      <c r="K3283" s="258">
        <f t="shared" si="156"/>
        <v>11</v>
      </c>
      <c r="L3283" s="188">
        <v>0</v>
      </c>
      <c r="M3283" s="188">
        <v>108340</v>
      </c>
      <c r="N3283" s="189">
        <v>1130744136</v>
      </c>
      <c r="O3283" t="s">
        <v>3924</v>
      </c>
      <c r="P3283" s="187">
        <v>45257</v>
      </c>
      <c r="Q3283" s="186">
        <v>14506</v>
      </c>
      <c r="R3283" s="185"/>
      <c r="S3283" s="185" t="s">
        <v>1538</v>
      </c>
      <c r="T3283" t="s">
        <v>2729</v>
      </c>
      <c r="U3283" t="str">
        <f>IF($L3283&gt;0,VLOOKUP($E3283,Valida!$A$1:$G$270,6,FALSE),IF($M3283&gt;=0,VLOOKUP($E3283,Valida!$A$1:$G$270,7,FALSE)))</f>
        <v>(+/-) Ajustes por el incremento (disminución) de cuentas por pagar de origen comercial</v>
      </c>
      <c r="V3283" s="190" t="str">
        <f>VLOOKUP(E3283,Valida!$A$2:$K$271,4,FALSE)</f>
        <v>Trade and other payables</v>
      </c>
      <c r="W3283" s="185" t="s">
        <v>1909</v>
      </c>
      <c r="X3283" s="185" t="s">
        <v>1910</v>
      </c>
      <c r="Y3283" s="185" t="s">
        <v>1789</v>
      </c>
      <c r="Z3283"/>
    </row>
    <row r="3284" spans="1:26">
      <c r="A3284" s="185" t="s">
        <v>3810</v>
      </c>
      <c r="B3284" s="185" t="s">
        <v>3924</v>
      </c>
      <c r="C3284" s="185" t="s">
        <v>1897</v>
      </c>
      <c r="D3284" s="185" t="s">
        <v>3821</v>
      </c>
      <c r="E3284" s="185">
        <v>251505</v>
      </c>
      <c r="F3284" s="185" t="s">
        <v>779</v>
      </c>
      <c r="G3284" s="185" t="s">
        <v>3929</v>
      </c>
      <c r="H3284" s="185" t="s">
        <v>1628</v>
      </c>
      <c r="I3284" s="258" t="str">
        <f t="shared" si="154"/>
        <v>2</v>
      </c>
      <c r="J3284" s="221">
        <f t="shared" si="155"/>
        <v>-16406</v>
      </c>
      <c r="K3284" s="258">
        <f t="shared" si="156"/>
        <v>11</v>
      </c>
      <c r="L3284" s="188">
        <v>0</v>
      </c>
      <c r="M3284" s="188">
        <v>16406</v>
      </c>
      <c r="N3284" s="189">
        <v>800224808</v>
      </c>
      <c r="O3284" t="s">
        <v>3924</v>
      </c>
      <c r="P3284" s="187">
        <v>45257</v>
      </c>
      <c r="Q3284" s="186">
        <v>14507</v>
      </c>
      <c r="R3284" s="185" t="s">
        <v>1827</v>
      </c>
      <c r="S3284" s="185" t="s">
        <v>1662</v>
      </c>
      <c r="T3284" t="s">
        <v>2729</v>
      </c>
      <c r="U3284" t="str">
        <f>IF($L3284&gt;0,VLOOKUP($E3284,Valida!$A$1:$G$270,6,FALSE),IF($M3284&gt;=0,VLOOKUP($E3284,Valida!$A$1:$G$270,7,FALSE)))</f>
        <v>(+/-) Ajustes por el incremento (disminución) de cuentas por pagar de origen comercial</v>
      </c>
      <c r="V3284" s="190" t="str">
        <f>VLOOKUP(E3284,Valida!$A$2:$K$271,4,FALSE)</f>
        <v>Trade and other payables</v>
      </c>
      <c r="W3284" s="185" t="s">
        <v>1911</v>
      </c>
      <c r="X3284" s="185"/>
      <c r="Y3284" s="185" t="s">
        <v>1789</v>
      </c>
      <c r="Z3284"/>
    </row>
    <row r="3285" spans="1:26">
      <c r="A3285" s="185" t="s">
        <v>3810</v>
      </c>
      <c r="B3285" s="185" t="s">
        <v>3924</v>
      </c>
      <c r="C3285" s="185" t="s">
        <v>1897</v>
      </c>
      <c r="D3285" s="185" t="s">
        <v>3821</v>
      </c>
      <c r="E3285" s="185">
        <v>251505</v>
      </c>
      <c r="F3285" s="185" t="s">
        <v>779</v>
      </c>
      <c r="G3285" s="185" t="s">
        <v>3929</v>
      </c>
      <c r="H3285" s="185" t="s">
        <v>1628</v>
      </c>
      <c r="I3285" s="258" t="str">
        <f t="shared" si="154"/>
        <v>2</v>
      </c>
      <c r="J3285" s="221">
        <f t="shared" si="155"/>
        <v>-19922</v>
      </c>
      <c r="K3285" s="258">
        <f t="shared" si="156"/>
        <v>11</v>
      </c>
      <c r="L3285" s="188">
        <v>0</v>
      </c>
      <c r="M3285" s="188">
        <v>19922</v>
      </c>
      <c r="N3285" s="189">
        <v>800224808</v>
      </c>
      <c r="O3285" t="s">
        <v>3924</v>
      </c>
      <c r="P3285" s="187">
        <v>45257</v>
      </c>
      <c r="Q3285" s="186">
        <v>14508</v>
      </c>
      <c r="R3285" s="185" t="s">
        <v>1827</v>
      </c>
      <c r="S3285" s="185" t="s">
        <v>1662</v>
      </c>
      <c r="T3285" t="s">
        <v>2729</v>
      </c>
      <c r="U3285" t="str">
        <f>IF($L3285&gt;0,VLOOKUP($E3285,Valida!$A$1:$G$270,6,FALSE),IF($M3285&gt;=0,VLOOKUP($E3285,Valida!$A$1:$G$270,7,FALSE)))</f>
        <v>(+/-) Ajustes por el incremento (disminución) de cuentas por pagar de origen comercial</v>
      </c>
      <c r="V3285" s="190" t="str">
        <f>VLOOKUP(E3285,Valida!$A$2:$K$271,4,FALSE)</f>
        <v>Trade and other payables</v>
      </c>
      <c r="W3285" s="185" t="s">
        <v>1911</v>
      </c>
      <c r="X3285" s="185"/>
      <c r="Y3285" s="185" t="s">
        <v>1789</v>
      </c>
      <c r="Z3285"/>
    </row>
    <row r="3286" spans="1:26">
      <c r="A3286" s="185" t="s">
        <v>3810</v>
      </c>
      <c r="B3286" s="185" t="s">
        <v>3924</v>
      </c>
      <c r="C3286" s="185" t="s">
        <v>1897</v>
      </c>
      <c r="D3286" s="185" t="s">
        <v>3821</v>
      </c>
      <c r="E3286" s="185">
        <v>251505</v>
      </c>
      <c r="F3286" s="185" t="s">
        <v>779</v>
      </c>
      <c r="G3286" s="185" t="s">
        <v>3929</v>
      </c>
      <c r="H3286" s="185" t="s">
        <v>1628</v>
      </c>
      <c r="I3286" s="258" t="str">
        <f t="shared" si="154"/>
        <v>2</v>
      </c>
      <c r="J3286" s="221">
        <f t="shared" si="155"/>
        <v>-16300</v>
      </c>
      <c r="K3286" s="258">
        <f t="shared" si="156"/>
        <v>11</v>
      </c>
      <c r="L3286" s="188">
        <v>0</v>
      </c>
      <c r="M3286" s="188">
        <v>16300</v>
      </c>
      <c r="N3286" s="189">
        <v>800224808</v>
      </c>
      <c r="O3286" t="s">
        <v>3924</v>
      </c>
      <c r="P3286" s="187">
        <v>45257</v>
      </c>
      <c r="Q3286" s="186">
        <v>14509</v>
      </c>
      <c r="R3286" s="185" t="s">
        <v>1827</v>
      </c>
      <c r="S3286" s="185" t="s">
        <v>1662</v>
      </c>
      <c r="T3286" t="s">
        <v>2729</v>
      </c>
      <c r="U3286" t="str">
        <f>IF($L3286&gt;0,VLOOKUP($E3286,Valida!$A$1:$G$270,6,FALSE),IF($M3286&gt;=0,VLOOKUP($E3286,Valida!$A$1:$G$270,7,FALSE)))</f>
        <v>(+/-) Ajustes por el incremento (disminución) de cuentas por pagar de origen comercial</v>
      </c>
      <c r="V3286" s="190" t="str">
        <f>VLOOKUP(E3286,Valida!$A$2:$K$271,4,FALSE)</f>
        <v>Trade and other payables</v>
      </c>
      <c r="W3286" s="185" t="s">
        <v>1911</v>
      </c>
      <c r="X3286" s="185"/>
      <c r="Y3286" s="185" t="s">
        <v>1789</v>
      </c>
      <c r="Z3286"/>
    </row>
    <row r="3287" spans="1:26">
      <c r="A3287" s="185" t="s">
        <v>3810</v>
      </c>
      <c r="B3287" s="185" t="s">
        <v>3924</v>
      </c>
      <c r="C3287" s="185" t="s">
        <v>1897</v>
      </c>
      <c r="D3287" s="185" t="s">
        <v>3821</v>
      </c>
      <c r="E3287" s="185">
        <v>251505</v>
      </c>
      <c r="F3287" s="185" t="s">
        <v>779</v>
      </c>
      <c r="G3287" s="185" t="s">
        <v>3929</v>
      </c>
      <c r="H3287" s="185" t="s">
        <v>1628</v>
      </c>
      <c r="I3287" s="258" t="str">
        <f t="shared" si="154"/>
        <v>2</v>
      </c>
      <c r="J3287" s="221">
        <f t="shared" si="155"/>
        <v>-13006</v>
      </c>
      <c r="K3287" s="258">
        <f t="shared" si="156"/>
        <v>11</v>
      </c>
      <c r="L3287" s="188">
        <v>0</v>
      </c>
      <c r="M3287" s="188">
        <v>13006</v>
      </c>
      <c r="N3287" s="189">
        <v>800224808</v>
      </c>
      <c r="O3287" t="s">
        <v>3924</v>
      </c>
      <c r="P3287" s="187">
        <v>45257</v>
      </c>
      <c r="Q3287" s="186">
        <v>14510</v>
      </c>
      <c r="R3287" s="185" t="s">
        <v>1827</v>
      </c>
      <c r="S3287" s="185" t="s">
        <v>1662</v>
      </c>
      <c r="T3287" t="s">
        <v>2729</v>
      </c>
      <c r="U3287" t="str">
        <f>IF($L3287&gt;0,VLOOKUP($E3287,Valida!$A$1:$G$270,6,FALSE),IF($M3287&gt;=0,VLOOKUP($E3287,Valida!$A$1:$G$270,7,FALSE)))</f>
        <v>(+/-) Ajustes por el incremento (disminución) de cuentas por pagar de origen comercial</v>
      </c>
      <c r="V3287" s="190" t="str">
        <f>VLOOKUP(E3287,Valida!$A$2:$K$271,4,FALSE)</f>
        <v>Trade and other payables</v>
      </c>
      <c r="W3287" s="185" t="s">
        <v>1911</v>
      </c>
      <c r="X3287" s="185"/>
      <c r="Y3287" s="185" t="s">
        <v>1789</v>
      </c>
      <c r="Z3287"/>
    </row>
    <row r="3288" spans="1:26">
      <c r="A3288" s="185" t="s">
        <v>3810</v>
      </c>
      <c r="B3288" s="185" t="s">
        <v>3924</v>
      </c>
      <c r="C3288" s="185" t="s">
        <v>1897</v>
      </c>
      <c r="D3288" s="185" t="s">
        <v>3821</v>
      </c>
      <c r="E3288" s="185">
        <v>251505</v>
      </c>
      <c r="F3288" s="185" t="s">
        <v>779</v>
      </c>
      <c r="G3288" s="185" t="s">
        <v>3929</v>
      </c>
      <c r="H3288" s="185" t="s">
        <v>1628</v>
      </c>
      <c r="I3288" s="258" t="str">
        <f t="shared" si="154"/>
        <v>2</v>
      </c>
      <c r="J3288" s="221">
        <f t="shared" si="155"/>
        <v>-11600</v>
      </c>
      <c r="K3288" s="258">
        <f t="shared" si="156"/>
        <v>11</v>
      </c>
      <c r="L3288" s="188">
        <v>0</v>
      </c>
      <c r="M3288" s="188">
        <v>11600</v>
      </c>
      <c r="N3288" s="189">
        <v>800224808</v>
      </c>
      <c r="O3288" t="s">
        <v>3924</v>
      </c>
      <c r="P3288" s="187">
        <v>45257</v>
      </c>
      <c r="Q3288" s="186">
        <v>14511</v>
      </c>
      <c r="R3288" s="185" t="s">
        <v>1827</v>
      </c>
      <c r="S3288" s="185" t="s">
        <v>1662</v>
      </c>
      <c r="T3288" t="s">
        <v>2729</v>
      </c>
      <c r="U3288" t="str">
        <f>IF($L3288&gt;0,VLOOKUP($E3288,Valida!$A$1:$G$270,6,FALSE),IF($M3288&gt;=0,VLOOKUP($E3288,Valida!$A$1:$G$270,7,FALSE)))</f>
        <v>(+/-) Ajustes por el incremento (disminución) de cuentas por pagar de origen comercial</v>
      </c>
      <c r="V3288" s="190" t="str">
        <f>VLOOKUP(E3288,Valida!$A$2:$K$271,4,FALSE)</f>
        <v>Trade and other payables</v>
      </c>
      <c r="W3288" s="185" t="s">
        <v>1911</v>
      </c>
      <c r="X3288" s="185"/>
      <c r="Y3288" s="185" t="s">
        <v>1789</v>
      </c>
      <c r="Z3288"/>
    </row>
    <row r="3289" spans="1:26">
      <c r="A3289" s="185" t="s">
        <v>3810</v>
      </c>
      <c r="B3289" s="185" t="s">
        <v>3924</v>
      </c>
      <c r="C3289" s="185" t="s">
        <v>1897</v>
      </c>
      <c r="D3289" s="185" t="s">
        <v>3821</v>
      </c>
      <c r="E3289" s="185">
        <v>251505</v>
      </c>
      <c r="F3289" s="185" t="s">
        <v>779</v>
      </c>
      <c r="G3289" s="185" t="s">
        <v>3929</v>
      </c>
      <c r="H3289" s="185" t="s">
        <v>1628</v>
      </c>
      <c r="I3289" s="258" t="str">
        <f t="shared" si="154"/>
        <v>2</v>
      </c>
      <c r="J3289" s="221">
        <f t="shared" si="155"/>
        <v>-14166</v>
      </c>
      <c r="K3289" s="258">
        <f t="shared" si="156"/>
        <v>11</v>
      </c>
      <c r="L3289" s="188">
        <v>0</v>
      </c>
      <c r="M3289" s="188">
        <v>14166</v>
      </c>
      <c r="N3289" s="189">
        <v>800227940</v>
      </c>
      <c r="O3289" t="s">
        <v>3924</v>
      </c>
      <c r="P3289" s="187">
        <v>45257</v>
      </c>
      <c r="Q3289" s="186">
        <v>14512</v>
      </c>
      <c r="R3289" s="185"/>
      <c r="S3289" s="185" t="s">
        <v>1664</v>
      </c>
      <c r="T3289" t="s">
        <v>2729</v>
      </c>
      <c r="U3289" t="str">
        <f>IF($L3289&gt;0,VLOOKUP($E3289,Valida!$A$1:$G$270,6,FALSE),IF($M3289&gt;=0,VLOOKUP($E3289,Valida!$A$1:$G$270,7,FALSE)))</f>
        <v>(+/-) Ajustes por el incremento (disminución) de cuentas por pagar de origen comercial</v>
      </c>
      <c r="V3289" s="190" t="str">
        <f>VLOOKUP(E3289,Valida!$A$2:$K$271,4,FALSE)</f>
        <v>Trade and other payables</v>
      </c>
      <c r="W3289" s="185"/>
      <c r="X3289" s="185"/>
      <c r="Y3289" s="185"/>
      <c r="Z3289"/>
    </row>
    <row r="3290" spans="1:26">
      <c r="A3290" s="185" t="s">
        <v>3810</v>
      </c>
      <c r="B3290" s="185" t="s">
        <v>3924</v>
      </c>
      <c r="C3290" s="185" t="s">
        <v>1897</v>
      </c>
      <c r="D3290" s="185" t="s">
        <v>3821</v>
      </c>
      <c r="E3290" s="185">
        <v>252005</v>
      </c>
      <c r="F3290" s="185" t="s">
        <v>783</v>
      </c>
      <c r="G3290" s="185" t="s">
        <v>3930</v>
      </c>
      <c r="H3290" s="185" t="s">
        <v>1628</v>
      </c>
      <c r="I3290" s="258" t="str">
        <f t="shared" si="154"/>
        <v>2</v>
      </c>
      <c r="J3290" s="221">
        <f t="shared" si="155"/>
        <v>-118003</v>
      </c>
      <c r="K3290" s="258">
        <f t="shared" si="156"/>
        <v>11</v>
      </c>
      <c r="L3290" s="188">
        <v>0</v>
      </c>
      <c r="M3290" s="188">
        <v>118003</v>
      </c>
      <c r="N3290" s="189">
        <v>1000018061</v>
      </c>
      <c r="O3290" t="s">
        <v>3924</v>
      </c>
      <c r="P3290" s="187">
        <v>45257</v>
      </c>
      <c r="Q3290" s="186">
        <v>14513</v>
      </c>
      <c r="R3290" s="185"/>
      <c r="S3290" s="185" t="s">
        <v>1522</v>
      </c>
      <c r="T3290" t="s">
        <v>2729</v>
      </c>
      <c r="U3290" t="str">
        <f>IF($L3290&gt;0,VLOOKUP($E3290,Valida!$A$1:$G$270,6,FALSE),IF($M3290&gt;=0,VLOOKUP($E3290,Valida!$A$1:$G$270,7,FALSE)))</f>
        <v>(+/-) Ajustes por el incremento (disminución) de cuentas por pagar de origen comercial</v>
      </c>
      <c r="V3290" s="190" t="str">
        <f>VLOOKUP(E3290,Valida!$A$2:$K$271,4,FALSE)</f>
        <v>Trade and other payables</v>
      </c>
      <c r="W3290" s="185" t="s">
        <v>1978</v>
      </c>
      <c r="X3290" s="185"/>
      <c r="Y3290" s="185" t="s">
        <v>1789</v>
      </c>
      <c r="Z3290"/>
    </row>
    <row r="3291" spans="1:26">
      <c r="A3291" s="185" t="s">
        <v>3810</v>
      </c>
      <c r="B3291" s="185" t="s">
        <v>3924</v>
      </c>
      <c r="C3291" s="185" t="s">
        <v>1897</v>
      </c>
      <c r="D3291" s="185" t="s">
        <v>3821</v>
      </c>
      <c r="E3291" s="185">
        <v>252005</v>
      </c>
      <c r="F3291" s="185" t="s">
        <v>783</v>
      </c>
      <c r="G3291" s="185" t="s">
        <v>3930</v>
      </c>
      <c r="H3291" s="185" t="s">
        <v>1628</v>
      </c>
      <c r="I3291" s="258" t="str">
        <f t="shared" si="154"/>
        <v>2</v>
      </c>
      <c r="J3291" s="221">
        <f t="shared" si="155"/>
        <v>-165948</v>
      </c>
      <c r="K3291" s="258">
        <f t="shared" si="156"/>
        <v>11</v>
      </c>
      <c r="L3291" s="188">
        <v>0</v>
      </c>
      <c r="M3291" s="188">
        <v>165948</v>
      </c>
      <c r="N3291" s="189">
        <v>1000036375</v>
      </c>
      <c r="O3291" t="s">
        <v>3924</v>
      </c>
      <c r="P3291" s="187">
        <v>45257</v>
      </c>
      <c r="Q3291" s="186">
        <v>14514</v>
      </c>
      <c r="R3291" s="185"/>
      <c r="S3291" s="185" t="s">
        <v>1524</v>
      </c>
      <c r="T3291" t="s">
        <v>2729</v>
      </c>
      <c r="U3291" t="str">
        <f>IF($L3291&gt;0,VLOOKUP($E3291,Valida!$A$1:$G$270,6,FALSE),IF($M3291&gt;=0,VLOOKUP($E3291,Valida!$A$1:$G$270,7,FALSE)))</f>
        <v>(+/-) Ajustes por el incremento (disminución) de cuentas por pagar de origen comercial</v>
      </c>
      <c r="V3291" s="190" t="str">
        <f>VLOOKUP(E3291,Valida!$A$2:$K$271,4,FALSE)</f>
        <v>Trade and other payables</v>
      </c>
      <c r="W3291" s="185" t="s">
        <v>1983</v>
      </c>
      <c r="X3291" s="185"/>
      <c r="Y3291" s="185" t="s">
        <v>1789</v>
      </c>
      <c r="Z3291"/>
    </row>
    <row r="3292" spans="1:26">
      <c r="A3292" s="185" t="s">
        <v>3810</v>
      </c>
      <c r="B3292" s="185" t="s">
        <v>3924</v>
      </c>
      <c r="C3292" s="185" t="s">
        <v>1897</v>
      </c>
      <c r="D3292" s="185" t="s">
        <v>3821</v>
      </c>
      <c r="E3292" s="185">
        <v>252005</v>
      </c>
      <c r="F3292" s="185" t="s">
        <v>783</v>
      </c>
      <c r="G3292" s="185" t="s">
        <v>3930</v>
      </c>
      <c r="H3292" s="185" t="s">
        <v>1628</v>
      </c>
      <c r="I3292" s="258" t="str">
        <f t="shared" si="154"/>
        <v>2</v>
      </c>
      <c r="J3292" s="221">
        <f t="shared" si="155"/>
        <v>-135777</v>
      </c>
      <c r="K3292" s="258">
        <f t="shared" si="156"/>
        <v>11</v>
      </c>
      <c r="L3292" s="188">
        <v>0</v>
      </c>
      <c r="M3292" s="188">
        <v>135777</v>
      </c>
      <c r="N3292" s="189">
        <v>1001284057</v>
      </c>
      <c r="O3292" t="s">
        <v>3924</v>
      </c>
      <c r="P3292" s="187">
        <v>45257</v>
      </c>
      <c r="Q3292" s="186">
        <v>14515</v>
      </c>
      <c r="R3292" s="185"/>
      <c r="S3292" s="185" t="s">
        <v>1526</v>
      </c>
      <c r="T3292" t="s">
        <v>2729</v>
      </c>
      <c r="U3292" t="str">
        <f>IF($L3292&gt;0,VLOOKUP($E3292,Valida!$A$1:$G$270,6,FALSE),IF($M3292&gt;=0,VLOOKUP($E3292,Valida!$A$1:$G$270,7,FALSE)))</f>
        <v>(+/-) Ajustes por el incremento (disminución) de cuentas por pagar de origen comercial</v>
      </c>
      <c r="V3292" s="190" t="str">
        <f>VLOOKUP(E3292,Valida!$A$2:$K$271,4,FALSE)</f>
        <v>Trade and other payables</v>
      </c>
      <c r="W3292" s="185" t="s">
        <v>3454</v>
      </c>
      <c r="X3292" s="185" t="s">
        <v>3455</v>
      </c>
      <c r="Y3292" s="185" t="s">
        <v>1789</v>
      </c>
      <c r="Z3292"/>
    </row>
    <row r="3293" spans="1:26">
      <c r="A3293" s="185" t="s">
        <v>3810</v>
      </c>
      <c r="B3293" s="185" t="s">
        <v>3924</v>
      </c>
      <c r="C3293" s="185" t="s">
        <v>1897</v>
      </c>
      <c r="D3293" s="185" t="s">
        <v>3821</v>
      </c>
      <c r="E3293" s="185">
        <v>252005</v>
      </c>
      <c r="F3293" s="185" t="s">
        <v>783</v>
      </c>
      <c r="G3293" s="185" t="s">
        <v>3930</v>
      </c>
      <c r="H3293" s="185" t="s">
        <v>1628</v>
      </c>
      <c r="I3293" s="258" t="str">
        <f t="shared" si="154"/>
        <v>2</v>
      </c>
      <c r="J3293" s="221">
        <f t="shared" si="155"/>
        <v>-136662</v>
      </c>
      <c r="K3293" s="258">
        <f t="shared" si="156"/>
        <v>11</v>
      </c>
      <c r="L3293" s="188">
        <v>0</v>
      </c>
      <c r="M3293" s="188">
        <v>136662</v>
      </c>
      <c r="N3293" s="189">
        <v>1010101811</v>
      </c>
      <c r="O3293" t="s">
        <v>3924</v>
      </c>
      <c r="P3293" s="187">
        <v>45257</v>
      </c>
      <c r="Q3293" s="186">
        <v>14516</v>
      </c>
      <c r="R3293" s="185"/>
      <c r="S3293" s="185" t="s">
        <v>1528</v>
      </c>
      <c r="T3293" t="s">
        <v>2729</v>
      </c>
      <c r="U3293" t="str">
        <f>IF($L3293&gt;0,VLOOKUP($E3293,Valida!$A$1:$G$270,6,FALSE),IF($M3293&gt;=0,VLOOKUP($E3293,Valida!$A$1:$G$270,7,FALSE)))</f>
        <v>(+/-) Ajustes por el incremento (disminución) de cuentas por pagar de origen comercial</v>
      </c>
      <c r="V3293" s="190" t="str">
        <f>VLOOKUP(E3293,Valida!$A$2:$K$271,4,FALSE)</f>
        <v>Trade and other payables</v>
      </c>
      <c r="W3293" s="185" t="s">
        <v>1967</v>
      </c>
      <c r="X3293" s="185"/>
      <c r="Y3293" s="185" t="s">
        <v>1789</v>
      </c>
      <c r="Z3293"/>
    </row>
    <row r="3294" spans="1:26">
      <c r="A3294" s="185" t="s">
        <v>3810</v>
      </c>
      <c r="B3294" s="185" t="s">
        <v>3924</v>
      </c>
      <c r="C3294" s="185" t="s">
        <v>1897</v>
      </c>
      <c r="D3294" s="185" t="s">
        <v>3821</v>
      </c>
      <c r="E3294" s="185">
        <v>252005</v>
      </c>
      <c r="F3294" s="185" t="s">
        <v>783</v>
      </c>
      <c r="G3294" s="185" t="s">
        <v>3930</v>
      </c>
      <c r="H3294" s="185" t="s">
        <v>1628</v>
      </c>
      <c r="I3294" s="258" t="str">
        <f t="shared" si="154"/>
        <v>2</v>
      </c>
      <c r="J3294" s="221">
        <f t="shared" si="155"/>
        <v>-96628</v>
      </c>
      <c r="K3294" s="258">
        <f t="shared" si="156"/>
        <v>11</v>
      </c>
      <c r="L3294" s="188">
        <v>0</v>
      </c>
      <c r="M3294" s="188">
        <v>96628</v>
      </c>
      <c r="N3294" s="189">
        <v>1020842223</v>
      </c>
      <c r="O3294" t="s">
        <v>3924</v>
      </c>
      <c r="P3294" s="187">
        <v>45257</v>
      </c>
      <c r="Q3294" s="186">
        <v>14517</v>
      </c>
      <c r="R3294" s="185"/>
      <c r="S3294" s="185" t="s">
        <v>1532</v>
      </c>
      <c r="T3294" t="s">
        <v>2729</v>
      </c>
      <c r="U3294" t="str">
        <f>IF($L3294&gt;0,VLOOKUP($E3294,Valida!$A$1:$G$270,6,FALSE),IF($M3294&gt;=0,VLOOKUP($E3294,Valida!$A$1:$G$270,7,FALSE)))</f>
        <v>(+/-) Ajustes por el incremento (disminución) de cuentas por pagar de origen comercial</v>
      </c>
      <c r="V3294" s="190" t="str">
        <f>VLOOKUP(E3294,Valida!$A$2:$K$271,4,FALSE)</f>
        <v>Trade and other payables</v>
      </c>
      <c r="W3294" s="185" t="s">
        <v>1900</v>
      </c>
      <c r="X3294" s="185"/>
      <c r="Y3294" s="185" t="s">
        <v>1789</v>
      </c>
      <c r="Z3294"/>
    </row>
    <row r="3295" spans="1:26">
      <c r="A3295" s="185" t="s">
        <v>3810</v>
      </c>
      <c r="B3295" s="185" t="s">
        <v>3924</v>
      </c>
      <c r="C3295" s="185" t="s">
        <v>1897</v>
      </c>
      <c r="D3295" s="185" t="s">
        <v>3821</v>
      </c>
      <c r="E3295" s="185">
        <v>252005</v>
      </c>
      <c r="F3295" s="185" t="s">
        <v>783</v>
      </c>
      <c r="G3295" s="185" t="s">
        <v>3930</v>
      </c>
      <c r="H3295" s="185" t="s">
        <v>1628</v>
      </c>
      <c r="I3295" s="258" t="str">
        <f t="shared" si="154"/>
        <v>2</v>
      </c>
      <c r="J3295" s="221">
        <f t="shared" si="155"/>
        <v>-108340</v>
      </c>
      <c r="K3295" s="258">
        <f t="shared" si="156"/>
        <v>11</v>
      </c>
      <c r="L3295" s="188">
        <v>0</v>
      </c>
      <c r="M3295" s="188">
        <v>108340</v>
      </c>
      <c r="N3295" s="189">
        <v>1130744136</v>
      </c>
      <c r="O3295" t="s">
        <v>3924</v>
      </c>
      <c r="P3295" s="187">
        <v>45257</v>
      </c>
      <c r="Q3295" s="186">
        <v>14518</v>
      </c>
      <c r="R3295" s="185"/>
      <c r="S3295" s="185" t="s">
        <v>1538</v>
      </c>
      <c r="T3295" t="s">
        <v>2729</v>
      </c>
      <c r="U3295" t="str">
        <f>IF($L3295&gt;0,VLOOKUP($E3295,Valida!$A$1:$G$270,6,FALSE),IF($M3295&gt;=0,VLOOKUP($E3295,Valida!$A$1:$G$270,7,FALSE)))</f>
        <v>(+/-) Ajustes por el incremento (disminución) de cuentas por pagar de origen comercial</v>
      </c>
      <c r="V3295" s="190" t="str">
        <f>VLOOKUP(E3295,Valida!$A$2:$K$271,4,FALSE)</f>
        <v>Trade and other payables</v>
      </c>
      <c r="W3295" s="185" t="s">
        <v>1909</v>
      </c>
      <c r="X3295" s="185" t="s">
        <v>1910</v>
      </c>
      <c r="Y3295" s="185" t="s">
        <v>1789</v>
      </c>
      <c r="Z3295"/>
    </row>
    <row r="3296" spans="1:26">
      <c r="A3296" s="185" t="s">
        <v>3810</v>
      </c>
      <c r="B3296" s="185" t="s">
        <v>3924</v>
      </c>
      <c r="C3296" s="185" t="s">
        <v>1897</v>
      </c>
      <c r="D3296" s="185" t="s">
        <v>3821</v>
      </c>
      <c r="E3296" s="185">
        <v>252505</v>
      </c>
      <c r="F3296" s="185" t="s">
        <v>787</v>
      </c>
      <c r="G3296" s="185" t="s">
        <v>3931</v>
      </c>
      <c r="H3296" s="185" t="s">
        <v>1628</v>
      </c>
      <c r="I3296" s="258" t="str">
        <f t="shared" si="154"/>
        <v>2</v>
      </c>
      <c r="J3296" s="221">
        <f t="shared" si="155"/>
        <v>-53209</v>
      </c>
      <c r="K3296" s="258">
        <f t="shared" si="156"/>
        <v>11</v>
      </c>
      <c r="L3296" s="188">
        <v>0</v>
      </c>
      <c r="M3296" s="188">
        <v>53209</v>
      </c>
      <c r="N3296" s="189">
        <v>1000018061</v>
      </c>
      <c r="O3296" t="s">
        <v>3924</v>
      </c>
      <c r="P3296" s="187">
        <v>45257</v>
      </c>
      <c r="Q3296" s="186">
        <v>14519</v>
      </c>
      <c r="R3296" s="185"/>
      <c r="S3296" s="185" t="s">
        <v>1522</v>
      </c>
      <c r="T3296" t="s">
        <v>2729</v>
      </c>
      <c r="U3296" t="str">
        <f>IF($L3296&gt;0,VLOOKUP($E3296,Valida!$A$1:$G$270,6,FALSE),IF($M3296&gt;=0,VLOOKUP($E3296,Valida!$A$1:$G$270,7,FALSE)))</f>
        <v>(+/-) Ajustes por el incremento (disminución) de cuentas por pagar de origen comercial</v>
      </c>
      <c r="V3296" s="190" t="str">
        <f>VLOOKUP(E3296,Valida!$A$2:$K$271,4,FALSE)</f>
        <v>Trade and other payables</v>
      </c>
      <c r="W3296" s="185" t="s">
        <v>1978</v>
      </c>
      <c r="X3296" s="185"/>
      <c r="Y3296" s="185" t="s">
        <v>1789</v>
      </c>
      <c r="Z3296"/>
    </row>
    <row r="3297" spans="1:26">
      <c r="A3297" s="185" t="s">
        <v>3810</v>
      </c>
      <c r="B3297" s="185" t="s">
        <v>3924</v>
      </c>
      <c r="C3297" s="185" t="s">
        <v>1897</v>
      </c>
      <c r="D3297" s="185" t="s">
        <v>3821</v>
      </c>
      <c r="E3297" s="185">
        <v>252505</v>
      </c>
      <c r="F3297" s="185" t="s">
        <v>787</v>
      </c>
      <c r="G3297" s="185" t="s">
        <v>3931</v>
      </c>
      <c r="H3297" s="185" t="s">
        <v>1628</v>
      </c>
      <c r="I3297" s="258" t="str">
        <f t="shared" si="154"/>
        <v>2</v>
      </c>
      <c r="J3297" s="221">
        <f t="shared" si="155"/>
        <v>-75060</v>
      </c>
      <c r="K3297" s="258">
        <f t="shared" si="156"/>
        <v>11</v>
      </c>
      <c r="L3297" s="188">
        <v>0</v>
      </c>
      <c r="M3297" s="188">
        <v>75060</v>
      </c>
      <c r="N3297" s="189">
        <v>1000036375</v>
      </c>
      <c r="O3297" t="s">
        <v>3924</v>
      </c>
      <c r="P3297" s="187">
        <v>45257</v>
      </c>
      <c r="Q3297" s="186">
        <v>14520</v>
      </c>
      <c r="R3297" s="185"/>
      <c r="S3297" s="185" t="s">
        <v>1524</v>
      </c>
      <c r="T3297" t="s">
        <v>2729</v>
      </c>
      <c r="U3297" t="str">
        <f>IF($L3297&gt;0,VLOOKUP($E3297,Valida!$A$1:$G$270,6,FALSE),IF($M3297&gt;=0,VLOOKUP($E3297,Valida!$A$1:$G$270,7,FALSE)))</f>
        <v>(+/-) Ajustes por el incremento (disminución) de cuentas por pagar de origen comercial</v>
      </c>
      <c r="V3297" s="190" t="str">
        <f>VLOOKUP(E3297,Valida!$A$2:$K$271,4,FALSE)</f>
        <v>Trade and other payables</v>
      </c>
      <c r="W3297" s="185" t="s">
        <v>1983</v>
      </c>
      <c r="X3297" s="185"/>
      <c r="Y3297" s="185" t="s">
        <v>1789</v>
      </c>
      <c r="Z3297"/>
    </row>
    <row r="3298" spans="1:26">
      <c r="A3298" s="185" t="s">
        <v>3810</v>
      </c>
      <c r="B3298" s="185" t="s">
        <v>3924</v>
      </c>
      <c r="C3298" s="185" t="s">
        <v>1897</v>
      </c>
      <c r="D3298" s="185" t="s">
        <v>3821</v>
      </c>
      <c r="E3298" s="185">
        <v>252505</v>
      </c>
      <c r="F3298" s="185" t="s">
        <v>787</v>
      </c>
      <c r="G3298" s="185" t="s">
        <v>3931</v>
      </c>
      <c r="H3298" s="185" t="s">
        <v>1628</v>
      </c>
      <c r="I3298" s="258" t="str">
        <f t="shared" si="154"/>
        <v>2</v>
      </c>
      <c r="J3298" s="221">
        <f t="shared" si="155"/>
        <v>-53637</v>
      </c>
      <c r="K3298" s="258">
        <f t="shared" si="156"/>
        <v>11</v>
      </c>
      <c r="L3298" s="188">
        <v>0</v>
      </c>
      <c r="M3298" s="188">
        <v>53637</v>
      </c>
      <c r="N3298" s="189">
        <v>1001284057</v>
      </c>
      <c r="O3298" t="s">
        <v>3924</v>
      </c>
      <c r="P3298" s="187">
        <v>45257</v>
      </c>
      <c r="Q3298" s="186">
        <v>14521</v>
      </c>
      <c r="R3298" s="185"/>
      <c r="S3298" s="185" t="s">
        <v>1526</v>
      </c>
      <c r="T3298" t="s">
        <v>2729</v>
      </c>
      <c r="U3298" t="str">
        <f>IF($L3298&gt;0,VLOOKUP($E3298,Valida!$A$1:$G$270,6,FALSE),IF($M3298&gt;=0,VLOOKUP($E3298,Valida!$A$1:$G$270,7,FALSE)))</f>
        <v>(+/-) Ajustes por el incremento (disminución) de cuentas por pagar de origen comercial</v>
      </c>
      <c r="V3298" s="190" t="str">
        <f>VLOOKUP(E3298,Valida!$A$2:$K$271,4,FALSE)</f>
        <v>Trade and other payables</v>
      </c>
      <c r="W3298" s="185" t="s">
        <v>3454</v>
      </c>
      <c r="X3298" s="185" t="s">
        <v>3455</v>
      </c>
      <c r="Y3298" s="185" t="s">
        <v>1789</v>
      </c>
      <c r="Z3298"/>
    </row>
    <row r="3299" spans="1:26">
      <c r="A3299" s="185" t="s">
        <v>3810</v>
      </c>
      <c r="B3299" s="185" t="s">
        <v>3924</v>
      </c>
      <c r="C3299" s="185" t="s">
        <v>1897</v>
      </c>
      <c r="D3299" s="185" t="s">
        <v>3821</v>
      </c>
      <c r="E3299" s="185">
        <v>252505</v>
      </c>
      <c r="F3299" s="185" t="s">
        <v>787</v>
      </c>
      <c r="G3299" s="185" t="s">
        <v>3931</v>
      </c>
      <c r="H3299" s="185" t="s">
        <v>1628</v>
      </c>
      <c r="I3299" s="258" t="str">
        <f t="shared" si="154"/>
        <v>2</v>
      </c>
      <c r="J3299" s="221">
        <f t="shared" si="155"/>
        <v>-62550</v>
      </c>
      <c r="K3299" s="258">
        <f t="shared" si="156"/>
        <v>11</v>
      </c>
      <c r="L3299" s="188">
        <v>0</v>
      </c>
      <c r="M3299" s="188">
        <v>62550</v>
      </c>
      <c r="N3299" s="189">
        <v>1010101811</v>
      </c>
      <c r="O3299" t="s">
        <v>3924</v>
      </c>
      <c r="P3299" s="187">
        <v>45257</v>
      </c>
      <c r="Q3299" s="186">
        <v>14522</v>
      </c>
      <c r="R3299" s="185"/>
      <c r="S3299" s="185" t="s">
        <v>1528</v>
      </c>
      <c r="T3299" t="s">
        <v>2729</v>
      </c>
      <c r="U3299" t="str">
        <f>IF($L3299&gt;0,VLOOKUP($E3299,Valida!$A$1:$G$270,6,FALSE),IF($M3299&gt;=0,VLOOKUP($E3299,Valida!$A$1:$G$270,7,FALSE)))</f>
        <v>(+/-) Ajustes por el incremento (disminución) de cuentas por pagar de origen comercial</v>
      </c>
      <c r="V3299" s="190" t="str">
        <f>VLOOKUP(E3299,Valida!$A$2:$K$271,4,FALSE)</f>
        <v>Trade and other payables</v>
      </c>
      <c r="W3299" s="185" t="s">
        <v>1967</v>
      </c>
      <c r="X3299" s="185"/>
      <c r="Y3299" s="185" t="s">
        <v>1789</v>
      </c>
      <c r="Z3299"/>
    </row>
    <row r="3300" spans="1:26">
      <c r="A3300" s="185" t="s">
        <v>3810</v>
      </c>
      <c r="B3300" s="185" t="s">
        <v>3924</v>
      </c>
      <c r="C3300" s="185" t="s">
        <v>1897</v>
      </c>
      <c r="D3300" s="185" t="s">
        <v>3821</v>
      </c>
      <c r="E3300" s="185">
        <v>252505</v>
      </c>
      <c r="F3300" s="185" t="s">
        <v>787</v>
      </c>
      <c r="G3300" s="185" t="s">
        <v>3931</v>
      </c>
      <c r="H3300" s="185" t="s">
        <v>1628</v>
      </c>
      <c r="I3300" s="258" t="str">
        <f t="shared" si="154"/>
        <v>2</v>
      </c>
      <c r="J3300" s="221">
        <f t="shared" si="155"/>
        <v>-48372</v>
      </c>
      <c r="K3300" s="258">
        <f t="shared" si="156"/>
        <v>11</v>
      </c>
      <c r="L3300" s="188">
        <v>0</v>
      </c>
      <c r="M3300" s="188">
        <v>48372</v>
      </c>
      <c r="N3300" s="189">
        <v>1020842223</v>
      </c>
      <c r="O3300" t="s">
        <v>3924</v>
      </c>
      <c r="P3300" s="187">
        <v>45257</v>
      </c>
      <c r="Q3300" s="186">
        <v>14523</v>
      </c>
      <c r="R3300" s="185"/>
      <c r="S3300" s="185" t="s">
        <v>1532</v>
      </c>
      <c r="T3300" t="s">
        <v>2729</v>
      </c>
      <c r="U3300" t="str">
        <f>IF($L3300&gt;0,VLOOKUP($E3300,Valida!$A$1:$G$270,6,FALSE),IF($M3300&gt;=0,VLOOKUP($E3300,Valida!$A$1:$G$270,7,FALSE)))</f>
        <v>(+/-) Ajustes por el incremento (disminución) de cuentas por pagar de origen comercial</v>
      </c>
      <c r="V3300" s="190" t="str">
        <f>VLOOKUP(E3300,Valida!$A$2:$K$271,4,FALSE)</f>
        <v>Trade and other payables</v>
      </c>
      <c r="W3300" s="185" t="s">
        <v>1900</v>
      </c>
      <c r="X3300" s="185"/>
      <c r="Y3300" s="185" t="s">
        <v>1789</v>
      </c>
      <c r="Z3300"/>
    </row>
    <row r="3301" spans="1:26">
      <c r="A3301" s="185" t="s">
        <v>3810</v>
      </c>
      <c r="B3301" s="185" t="s">
        <v>3924</v>
      </c>
      <c r="C3301" s="185" t="s">
        <v>1897</v>
      </c>
      <c r="D3301" s="185" t="s">
        <v>3821</v>
      </c>
      <c r="E3301" s="185">
        <v>252505</v>
      </c>
      <c r="F3301" s="185" t="s">
        <v>787</v>
      </c>
      <c r="G3301" s="185" t="s">
        <v>3931</v>
      </c>
      <c r="H3301" s="185" t="s">
        <v>1628</v>
      </c>
      <c r="I3301" s="258" t="str">
        <f t="shared" si="154"/>
        <v>2</v>
      </c>
      <c r="J3301" s="221">
        <f t="shared" si="155"/>
        <v>-48372</v>
      </c>
      <c r="K3301" s="258">
        <f t="shared" si="156"/>
        <v>11</v>
      </c>
      <c r="L3301" s="188">
        <v>0</v>
      </c>
      <c r="M3301" s="188">
        <v>48372</v>
      </c>
      <c r="N3301" s="189">
        <v>1130744136</v>
      </c>
      <c r="O3301" t="s">
        <v>3924</v>
      </c>
      <c r="P3301" s="187">
        <v>45257</v>
      </c>
      <c r="Q3301" s="186">
        <v>14524</v>
      </c>
      <c r="R3301" s="185"/>
      <c r="S3301" s="185" t="s">
        <v>1538</v>
      </c>
      <c r="T3301" t="s">
        <v>2729</v>
      </c>
      <c r="U3301" t="str">
        <f>IF($L3301&gt;0,VLOOKUP($E3301,Valida!$A$1:$G$270,6,FALSE),IF($M3301&gt;=0,VLOOKUP($E3301,Valida!$A$1:$G$270,7,FALSE)))</f>
        <v>(+/-) Ajustes por el incremento (disminución) de cuentas por pagar de origen comercial</v>
      </c>
      <c r="V3301" s="190" t="str">
        <f>VLOOKUP(E3301,Valida!$A$2:$K$271,4,FALSE)</f>
        <v>Trade and other payables</v>
      </c>
      <c r="W3301" s="185" t="s">
        <v>1909</v>
      </c>
      <c r="X3301" s="185" t="s">
        <v>1910</v>
      </c>
      <c r="Y3301" s="185" t="s">
        <v>1789</v>
      </c>
      <c r="Z3301"/>
    </row>
    <row r="3302" spans="1:26">
      <c r="A3302" s="185" t="s">
        <v>3810</v>
      </c>
      <c r="B3302" s="185" t="s">
        <v>3924</v>
      </c>
      <c r="C3302" s="185" t="s">
        <v>1897</v>
      </c>
      <c r="D3302" s="185" t="s">
        <v>3821</v>
      </c>
      <c r="E3302" s="185">
        <v>510530</v>
      </c>
      <c r="F3302" s="185" t="s">
        <v>813</v>
      </c>
      <c r="G3302" s="185" t="s">
        <v>3928</v>
      </c>
      <c r="H3302" s="185" t="s">
        <v>1515</v>
      </c>
      <c r="I3302" s="258" t="str">
        <f t="shared" si="154"/>
        <v>5</v>
      </c>
      <c r="J3302" s="221">
        <f t="shared" si="155"/>
        <v>118003</v>
      </c>
      <c r="K3302" s="258">
        <f t="shared" si="156"/>
        <v>11</v>
      </c>
      <c r="L3302" s="188">
        <v>118003</v>
      </c>
      <c r="M3302" s="188">
        <v>0</v>
      </c>
      <c r="N3302" s="189">
        <v>1000018061</v>
      </c>
      <c r="O3302" t="s">
        <v>3924</v>
      </c>
      <c r="P3302" s="187">
        <v>45257</v>
      </c>
      <c r="Q3302" s="186">
        <v>14525</v>
      </c>
      <c r="R3302" s="185"/>
      <c r="S3302" s="185" t="s">
        <v>1522</v>
      </c>
      <c r="T3302" t="s">
        <v>2729</v>
      </c>
      <c r="U3302" t="str">
        <f>IF($L3302&gt;0,VLOOKUP($E3302,Valida!$A$1:$G$270,6,FALSE),IF($M3302&gt;=0,VLOOKUP($E3302,Valida!$A$1:$G$270,7,FALSE)))</f>
        <v>(+/-) Ganancia (pérdida)</v>
      </c>
      <c r="V3302" s="190" t="str">
        <f>VLOOKUP(E3302,Valida!$A$2:$K$271,4,FALSE)</f>
        <v>P&amp;L</v>
      </c>
      <c r="W3302" s="185" t="s">
        <v>1978</v>
      </c>
      <c r="X3302" s="185"/>
      <c r="Y3302" s="185" t="s">
        <v>1789</v>
      </c>
      <c r="Z3302"/>
    </row>
    <row r="3303" spans="1:26">
      <c r="A3303" s="185" t="s">
        <v>3810</v>
      </c>
      <c r="B3303" s="185" t="s">
        <v>3924</v>
      </c>
      <c r="C3303" s="185" t="s">
        <v>1897</v>
      </c>
      <c r="D3303" s="185" t="s">
        <v>3821</v>
      </c>
      <c r="E3303" s="185">
        <v>510530</v>
      </c>
      <c r="F3303" s="185" t="s">
        <v>813</v>
      </c>
      <c r="G3303" s="185" t="s">
        <v>3928</v>
      </c>
      <c r="H3303" s="185" t="s">
        <v>1515</v>
      </c>
      <c r="I3303" s="258" t="str">
        <f t="shared" si="154"/>
        <v>5</v>
      </c>
      <c r="J3303" s="221">
        <f t="shared" si="155"/>
        <v>165948</v>
      </c>
      <c r="K3303" s="258">
        <f t="shared" si="156"/>
        <v>11</v>
      </c>
      <c r="L3303" s="188">
        <v>165948</v>
      </c>
      <c r="M3303" s="188">
        <v>0</v>
      </c>
      <c r="N3303" s="189">
        <v>1000036375</v>
      </c>
      <c r="O3303" t="s">
        <v>3924</v>
      </c>
      <c r="P3303" s="187">
        <v>45257</v>
      </c>
      <c r="Q3303" s="186">
        <v>14526</v>
      </c>
      <c r="R3303" s="185"/>
      <c r="S3303" s="185" t="s">
        <v>1524</v>
      </c>
      <c r="T3303" t="s">
        <v>2729</v>
      </c>
      <c r="U3303" t="str">
        <f>IF($L3303&gt;0,VLOOKUP($E3303,Valida!$A$1:$G$270,6,FALSE),IF($M3303&gt;=0,VLOOKUP($E3303,Valida!$A$1:$G$270,7,FALSE)))</f>
        <v>(+/-) Ganancia (pérdida)</v>
      </c>
      <c r="V3303" s="190" t="str">
        <f>VLOOKUP(E3303,Valida!$A$2:$K$271,4,FALSE)</f>
        <v>P&amp;L</v>
      </c>
      <c r="W3303" s="185" t="s">
        <v>1983</v>
      </c>
      <c r="X3303" s="185"/>
      <c r="Y3303" s="185" t="s">
        <v>1789</v>
      </c>
      <c r="Z3303"/>
    </row>
    <row r="3304" spans="1:26">
      <c r="A3304" s="185" t="s">
        <v>3810</v>
      </c>
      <c r="B3304" s="185" t="s">
        <v>3924</v>
      </c>
      <c r="C3304" s="185" t="s">
        <v>1897</v>
      </c>
      <c r="D3304" s="185" t="s">
        <v>3821</v>
      </c>
      <c r="E3304" s="185">
        <v>510530</v>
      </c>
      <c r="F3304" s="185" t="s">
        <v>813</v>
      </c>
      <c r="G3304" s="185" t="s">
        <v>3928</v>
      </c>
      <c r="H3304" s="185" t="s">
        <v>1515</v>
      </c>
      <c r="I3304" s="258" t="str">
        <f t="shared" si="154"/>
        <v>5</v>
      </c>
      <c r="J3304" s="221">
        <f t="shared" si="155"/>
        <v>135777</v>
      </c>
      <c r="K3304" s="258">
        <f t="shared" si="156"/>
        <v>11</v>
      </c>
      <c r="L3304" s="188">
        <v>135777</v>
      </c>
      <c r="M3304" s="188">
        <v>0</v>
      </c>
      <c r="N3304" s="189">
        <v>1001284057</v>
      </c>
      <c r="O3304" t="s">
        <v>3924</v>
      </c>
      <c r="P3304" s="187">
        <v>45257</v>
      </c>
      <c r="Q3304" s="186">
        <v>14527</v>
      </c>
      <c r="R3304" s="185"/>
      <c r="S3304" s="185" t="s">
        <v>1526</v>
      </c>
      <c r="T3304" t="s">
        <v>2729</v>
      </c>
      <c r="U3304" t="str">
        <f>IF($L3304&gt;0,VLOOKUP($E3304,Valida!$A$1:$G$270,6,FALSE),IF($M3304&gt;=0,VLOOKUP($E3304,Valida!$A$1:$G$270,7,FALSE)))</f>
        <v>(+/-) Ganancia (pérdida)</v>
      </c>
      <c r="V3304" s="190" t="str">
        <f>VLOOKUP(E3304,Valida!$A$2:$K$271,4,FALSE)</f>
        <v>P&amp;L</v>
      </c>
      <c r="W3304" s="185" t="s">
        <v>3454</v>
      </c>
      <c r="X3304" s="185" t="s">
        <v>3455</v>
      </c>
      <c r="Y3304" s="185" t="s">
        <v>1789</v>
      </c>
      <c r="Z3304"/>
    </row>
    <row r="3305" spans="1:26">
      <c r="A3305" s="185" t="s">
        <v>3810</v>
      </c>
      <c r="B3305" s="185" t="s">
        <v>3924</v>
      </c>
      <c r="C3305" s="185" t="s">
        <v>1897</v>
      </c>
      <c r="D3305" s="185" t="s">
        <v>3821</v>
      </c>
      <c r="E3305" s="185">
        <v>510530</v>
      </c>
      <c r="F3305" s="185" t="s">
        <v>813</v>
      </c>
      <c r="G3305" s="185" t="s">
        <v>3928</v>
      </c>
      <c r="H3305" s="185" t="s">
        <v>1515</v>
      </c>
      <c r="I3305" s="258" t="str">
        <f t="shared" si="154"/>
        <v>5</v>
      </c>
      <c r="J3305" s="221">
        <f t="shared" si="155"/>
        <v>136662</v>
      </c>
      <c r="K3305" s="258">
        <f t="shared" si="156"/>
        <v>11</v>
      </c>
      <c r="L3305" s="188">
        <v>136662</v>
      </c>
      <c r="M3305" s="188">
        <v>0</v>
      </c>
      <c r="N3305" s="189">
        <v>1010101811</v>
      </c>
      <c r="O3305" t="s">
        <v>3924</v>
      </c>
      <c r="P3305" s="187">
        <v>45257</v>
      </c>
      <c r="Q3305" s="186">
        <v>14528</v>
      </c>
      <c r="R3305" s="185"/>
      <c r="S3305" s="185" t="s">
        <v>1528</v>
      </c>
      <c r="T3305" t="s">
        <v>2729</v>
      </c>
      <c r="U3305" t="str">
        <f>IF($L3305&gt;0,VLOOKUP($E3305,Valida!$A$1:$G$270,6,FALSE),IF($M3305&gt;=0,VLOOKUP($E3305,Valida!$A$1:$G$270,7,FALSE)))</f>
        <v>(+/-) Ganancia (pérdida)</v>
      </c>
      <c r="V3305" s="190" t="str">
        <f>VLOOKUP(E3305,Valida!$A$2:$K$271,4,FALSE)</f>
        <v>P&amp;L</v>
      </c>
      <c r="W3305" s="185" t="s">
        <v>1967</v>
      </c>
      <c r="X3305" s="185"/>
      <c r="Y3305" s="185" t="s">
        <v>1789</v>
      </c>
      <c r="Z3305"/>
    </row>
    <row r="3306" spans="1:26">
      <c r="A3306" s="185" t="s">
        <v>3810</v>
      </c>
      <c r="B3306" s="185" t="s">
        <v>3924</v>
      </c>
      <c r="C3306" s="185" t="s">
        <v>1897</v>
      </c>
      <c r="D3306" s="185" t="s">
        <v>3821</v>
      </c>
      <c r="E3306" s="185">
        <v>510530</v>
      </c>
      <c r="F3306" s="185" t="s">
        <v>813</v>
      </c>
      <c r="G3306" s="185" t="s">
        <v>3928</v>
      </c>
      <c r="H3306" s="185" t="s">
        <v>1515</v>
      </c>
      <c r="I3306" s="258" t="str">
        <f t="shared" si="154"/>
        <v>5</v>
      </c>
      <c r="J3306" s="221">
        <f t="shared" si="155"/>
        <v>96628</v>
      </c>
      <c r="K3306" s="258">
        <f t="shared" si="156"/>
        <v>11</v>
      </c>
      <c r="L3306" s="188">
        <v>96628</v>
      </c>
      <c r="M3306" s="188">
        <v>0</v>
      </c>
      <c r="N3306" s="189">
        <v>1020842223</v>
      </c>
      <c r="O3306" t="s">
        <v>3924</v>
      </c>
      <c r="P3306" s="187">
        <v>45257</v>
      </c>
      <c r="Q3306" s="186">
        <v>14529</v>
      </c>
      <c r="R3306" s="185"/>
      <c r="S3306" s="185" t="s">
        <v>1532</v>
      </c>
      <c r="T3306" t="s">
        <v>2729</v>
      </c>
      <c r="U3306" t="str">
        <f>IF($L3306&gt;0,VLOOKUP($E3306,Valida!$A$1:$G$270,6,FALSE),IF($M3306&gt;=0,VLOOKUP($E3306,Valida!$A$1:$G$270,7,FALSE)))</f>
        <v>(+/-) Ganancia (pérdida)</v>
      </c>
      <c r="V3306" s="190" t="str">
        <f>VLOOKUP(E3306,Valida!$A$2:$K$271,4,FALSE)</f>
        <v>P&amp;L</v>
      </c>
      <c r="W3306" s="185" t="s">
        <v>1900</v>
      </c>
      <c r="X3306" s="185"/>
      <c r="Y3306" s="185" t="s">
        <v>1789</v>
      </c>
      <c r="Z3306"/>
    </row>
    <row r="3307" spans="1:26">
      <c r="A3307" s="185" t="s">
        <v>3810</v>
      </c>
      <c r="B3307" s="185" t="s">
        <v>3924</v>
      </c>
      <c r="C3307" s="185" t="s">
        <v>1897</v>
      </c>
      <c r="D3307" s="185" t="s">
        <v>3821</v>
      </c>
      <c r="E3307" s="185">
        <v>510530</v>
      </c>
      <c r="F3307" s="185" t="s">
        <v>813</v>
      </c>
      <c r="G3307" s="185" t="s">
        <v>3928</v>
      </c>
      <c r="H3307" s="185" t="s">
        <v>1515</v>
      </c>
      <c r="I3307" s="258" t="str">
        <f t="shared" si="154"/>
        <v>5</v>
      </c>
      <c r="J3307" s="221">
        <f t="shared" si="155"/>
        <v>108340</v>
      </c>
      <c r="K3307" s="258">
        <f t="shared" si="156"/>
        <v>11</v>
      </c>
      <c r="L3307" s="188">
        <v>108340</v>
      </c>
      <c r="M3307" s="188">
        <v>0</v>
      </c>
      <c r="N3307" s="189">
        <v>1130744136</v>
      </c>
      <c r="O3307" t="s">
        <v>3924</v>
      </c>
      <c r="P3307" s="187">
        <v>45257</v>
      </c>
      <c r="Q3307" s="186">
        <v>14530</v>
      </c>
      <c r="R3307" s="185"/>
      <c r="S3307" s="185" t="s">
        <v>1538</v>
      </c>
      <c r="T3307" t="s">
        <v>2729</v>
      </c>
      <c r="U3307" t="str">
        <f>IF($L3307&gt;0,VLOOKUP($E3307,Valida!$A$1:$G$270,6,FALSE),IF($M3307&gt;=0,VLOOKUP($E3307,Valida!$A$1:$G$270,7,FALSE)))</f>
        <v>(+/-) Ganancia (pérdida)</v>
      </c>
      <c r="V3307" s="190" t="str">
        <f>VLOOKUP(E3307,Valida!$A$2:$K$271,4,FALSE)</f>
        <v>P&amp;L</v>
      </c>
      <c r="W3307" s="185" t="s">
        <v>1909</v>
      </c>
      <c r="X3307" s="185" t="s">
        <v>1910</v>
      </c>
      <c r="Y3307" s="185" t="s">
        <v>1789</v>
      </c>
      <c r="Z3307"/>
    </row>
    <row r="3308" spans="1:26">
      <c r="A3308" s="185" t="s">
        <v>3810</v>
      </c>
      <c r="B3308" s="185" t="s">
        <v>3924</v>
      </c>
      <c r="C3308" s="185" t="s">
        <v>1897</v>
      </c>
      <c r="D3308" s="185" t="s">
        <v>3821</v>
      </c>
      <c r="E3308" s="185">
        <v>510533</v>
      </c>
      <c r="F3308" s="185" t="s">
        <v>779</v>
      </c>
      <c r="G3308" s="185" t="s">
        <v>3929</v>
      </c>
      <c r="H3308" s="185" t="s">
        <v>1515</v>
      </c>
      <c r="I3308" s="258" t="str">
        <f t="shared" si="154"/>
        <v>5</v>
      </c>
      <c r="J3308" s="221">
        <f t="shared" si="155"/>
        <v>14166</v>
      </c>
      <c r="K3308" s="258">
        <f t="shared" si="156"/>
        <v>11</v>
      </c>
      <c r="L3308" s="188">
        <v>14166</v>
      </c>
      <c r="M3308" s="188">
        <v>0</v>
      </c>
      <c r="N3308" s="189">
        <v>1000018061</v>
      </c>
      <c r="O3308" t="s">
        <v>3924</v>
      </c>
      <c r="P3308" s="187">
        <v>45257</v>
      </c>
      <c r="Q3308" s="186">
        <v>14531</v>
      </c>
      <c r="R3308" s="185"/>
      <c r="S3308" s="185" t="s">
        <v>1522</v>
      </c>
      <c r="T3308" t="s">
        <v>2729</v>
      </c>
      <c r="U3308" t="str">
        <f>IF($L3308&gt;0,VLOOKUP($E3308,Valida!$A$1:$G$270,6,FALSE),IF($M3308&gt;=0,VLOOKUP($E3308,Valida!$A$1:$G$270,7,FALSE)))</f>
        <v>(+/-) Ganancia (pérdida)</v>
      </c>
      <c r="V3308" s="190" t="str">
        <f>VLOOKUP(E3308,Valida!$A$2:$K$271,4,FALSE)</f>
        <v>P&amp;L</v>
      </c>
      <c r="W3308" s="185" t="s">
        <v>1978</v>
      </c>
      <c r="X3308" s="185"/>
      <c r="Y3308" s="185" t="s">
        <v>1789</v>
      </c>
      <c r="Z3308"/>
    </row>
    <row r="3309" spans="1:26">
      <c r="A3309" s="185" t="s">
        <v>3810</v>
      </c>
      <c r="B3309" s="185" t="s">
        <v>3924</v>
      </c>
      <c r="C3309" s="185" t="s">
        <v>1897</v>
      </c>
      <c r="D3309" s="185" t="s">
        <v>3821</v>
      </c>
      <c r="E3309" s="185">
        <v>510533</v>
      </c>
      <c r="F3309" s="185" t="s">
        <v>779</v>
      </c>
      <c r="G3309" s="185" t="s">
        <v>3929</v>
      </c>
      <c r="H3309" s="185" t="s">
        <v>1515</v>
      </c>
      <c r="I3309" s="258" t="str">
        <f t="shared" si="154"/>
        <v>5</v>
      </c>
      <c r="J3309" s="221">
        <f t="shared" si="155"/>
        <v>19922</v>
      </c>
      <c r="K3309" s="258">
        <f t="shared" si="156"/>
        <v>11</v>
      </c>
      <c r="L3309" s="188">
        <v>19922</v>
      </c>
      <c r="M3309" s="188">
        <v>0</v>
      </c>
      <c r="N3309" s="189">
        <v>1000036375</v>
      </c>
      <c r="O3309" t="s">
        <v>3924</v>
      </c>
      <c r="P3309" s="187">
        <v>45257</v>
      </c>
      <c r="Q3309" s="186">
        <v>14532</v>
      </c>
      <c r="R3309" s="185"/>
      <c r="S3309" s="185" t="s">
        <v>1524</v>
      </c>
      <c r="T3309" t="s">
        <v>2729</v>
      </c>
      <c r="U3309" t="str">
        <f>IF($L3309&gt;0,VLOOKUP($E3309,Valida!$A$1:$G$270,6,FALSE),IF($M3309&gt;=0,VLOOKUP($E3309,Valida!$A$1:$G$270,7,FALSE)))</f>
        <v>(+/-) Ganancia (pérdida)</v>
      </c>
      <c r="V3309" s="190" t="str">
        <f>VLOOKUP(E3309,Valida!$A$2:$K$271,4,FALSE)</f>
        <v>P&amp;L</v>
      </c>
      <c r="W3309" s="185" t="s">
        <v>1983</v>
      </c>
      <c r="X3309" s="185"/>
      <c r="Y3309" s="185" t="s">
        <v>1789</v>
      </c>
      <c r="Z3309"/>
    </row>
    <row r="3310" spans="1:26">
      <c r="A3310" s="185" t="s">
        <v>3810</v>
      </c>
      <c r="B3310" s="185" t="s">
        <v>3924</v>
      </c>
      <c r="C3310" s="185" t="s">
        <v>1897</v>
      </c>
      <c r="D3310" s="185" t="s">
        <v>3821</v>
      </c>
      <c r="E3310" s="185">
        <v>510533</v>
      </c>
      <c r="F3310" s="185" t="s">
        <v>779</v>
      </c>
      <c r="G3310" s="185" t="s">
        <v>3929</v>
      </c>
      <c r="H3310" s="185" t="s">
        <v>1515</v>
      </c>
      <c r="I3310" s="258" t="str">
        <f t="shared" si="154"/>
        <v>5</v>
      </c>
      <c r="J3310" s="221">
        <f t="shared" si="155"/>
        <v>16300</v>
      </c>
      <c r="K3310" s="258">
        <f t="shared" si="156"/>
        <v>11</v>
      </c>
      <c r="L3310" s="188">
        <v>16300</v>
      </c>
      <c r="M3310" s="188">
        <v>0</v>
      </c>
      <c r="N3310" s="189">
        <v>1001284057</v>
      </c>
      <c r="O3310" t="s">
        <v>3924</v>
      </c>
      <c r="P3310" s="187">
        <v>45257</v>
      </c>
      <c r="Q3310" s="186">
        <v>14533</v>
      </c>
      <c r="R3310" s="185"/>
      <c r="S3310" s="185" t="s">
        <v>1526</v>
      </c>
      <c r="T3310" t="s">
        <v>2729</v>
      </c>
      <c r="U3310" t="str">
        <f>IF($L3310&gt;0,VLOOKUP($E3310,Valida!$A$1:$G$270,6,FALSE),IF($M3310&gt;=0,VLOOKUP($E3310,Valida!$A$1:$G$270,7,FALSE)))</f>
        <v>(+/-) Ganancia (pérdida)</v>
      </c>
      <c r="V3310" s="190" t="str">
        <f>VLOOKUP(E3310,Valida!$A$2:$K$271,4,FALSE)</f>
        <v>P&amp;L</v>
      </c>
      <c r="W3310" s="185" t="s">
        <v>3454</v>
      </c>
      <c r="X3310" s="185" t="s">
        <v>3455</v>
      </c>
      <c r="Y3310" s="185" t="s">
        <v>1789</v>
      </c>
      <c r="Z3310"/>
    </row>
    <row r="3311" spans="1:26">
      <c r="A3311" s="185" t="s">
        <v>3810</v>
      </c>
      <c r="B3311" s="185" t="s">
        <v>3924</v>
      </c>
      <c r="C3311" s="185" t="s">
        <v>1897</v>
      </c>
      <c r="D3311" s="185" t="s">
        <v>3821</v>
      </c>
      <c r="E3311" s="185">
        <v>510533</v>
      </c>
      <c r="F3311" s="185" t="s">
        <v>779</v>
      </c>
      <c r="G3311" s="185" t="s">
        <v>3929</v>
      </c>
      <c r="H3311" s="185" t="s">
        <v>1515</v>
      </c>
      <c r="I3311" s="258" t="str">
        <f t="shared" si="154"/>
        <v>5</v>
      </c>
      <c r="J3311" s="221">
        <f t="shared" si="155"/>
        <v>16406</v>
      </c>
      <c r="K3311" s="258">
        <f t="shared" si="156"/>
        <v>11</v>
      </c>
      <c r="L3311" s="188">
        <v>16406</v>
      </c>
      <c r="M3311" s="188">
        <v>0</v>
      </c>
      <c r="N3311" s="189">
        <v>1010101811</v>
      </c>
      <c r="O3311" t="s">
        <v>3924</v>
      </c>
      <c r="P3311" s="187">
        <v>45257</v>
      </c>
      <c r="Q3311" s="186">
        <v>14534</v>
      </c>
      <c r="R3311" s="185"/>
      <c r="S3311" s="185" t="s">
        <v>1528</v>
      </c>
      <c r="T3311" t="s">
        <v>2729</v>
      </c>
      <c r="U3311" t="str">
        <f>IF($L3311&gt;0,VLOOKUP($E3311,Valida!$A$1:$G$270,6,FALSE),IF($M3311&gt;=0,VLOOKUP($E3311,Valida!$A$1:$G$270,7,FALSE)))</f>
        <v>(+/-) Ganancia (pérdida)</v>
      </c>
      <c r="V3311" s="190" t="str">
        <f>VLOOKUP(E3311,Valida!$A$2:$K$271,4,FALSE)</f>
        <v>P&amp;L</v>
      </c>
      <c r="W3311" s="185" t="s">
        <v>1967</v>
      </c>
      <c r="X3311" s="185"/>
      <c r="Y3311" s="185" t="s">
        <v>1789</v>
      </c>
      <c r="Z3311"/>
    </row>
    <row r="3312" spans="1:26">
      <c r="A3312" s="185" t="s">
        <v>3810</v>
      </c>
      <c r="B3312" s="185" t="s">
        <v>3924</v>
      </c>
      <c r="C3312" s="185" t="s">
        <v>1897</v>
      </c>
      <c r="D3312" s="185" t="s">
        <v>3821</v>
      </c>
      <c r="E3312" s="185">
        <v>510533</v>
      </c>
      <c r="F3312" s="185" t="s">
        <v>779</v>
      </c>
      <c r="G3312" s="185" t="s">
        <v>3929</v>
      </c>
      <c r="H3312" s="185" t="s">
        <v>1515</v>
      </c>
      <c r="I3312" s="258" t="str">
        <f t="shared" si="154"/>
        <v>5</v>
      </c>
      <c r="J3312" s="221">
        <f t="shared" si="155"/>
        <v>11600</v>
      </c>
      <c r="K3312" s="258">
        <f t="shared" si="156"/>
        <v>11</v>
      </c>
      <c r="L3312" s="188">
        <v>11600</v>
      </c>
      <c r="M3312" s="188">
        <v>0</v>
      </c>
      <c r="N3312" s="189">
        <v>1020842223</v>
      </c>
      <c r="O3312" t="s">
        <v>3924</v>
      </c>
      <c r="P3312" s="187">
        <v>45257</v>
      </c>
      <c r="Q3312" s="186">
        <v>14535</v>
      </c>
      <c r="R3312" s="185"/>
      <c r="S3312" s="185" t="s">
        <v>1532</v>
      </c>
      <c r="T3312" t="s">
        <v>2729</v>
      </c>
      <c r="U3312" t="str">
        <f>IF($L3312&gt;0,VLOOKUP($E3312,Valida!$A$1:$G$270,6,FALSE),IF($M3312&gt;=0,VLOOKUP($E3312,Valida!$A$1:$G$270,7,FALSE)))</f>
        <v>(+/-) Ganancia (pérdida)</v>
      </c>
      <c r="V3312" s="190" t="str">
        <f>VLOOKUP(E3312,Valida!$A$2:$K$271,4,FALSE)</f>
        <v>P&amp;L</v>
      </c>
      <c r="W3312" s="185" t="s">
        <v>1900</v>
      </c>
      <c r="X3312" s="185"/>
      <c r="Y3312" s="185" t="s">
        <v>1789</v>
      </c>
      <c r="Z3312"/>
    </row>
    <row r="3313" spans="1:26">
      <c r="A3313" s="185" t="s">
        <v>3810</v>
      </c>
      <c r="B3313" s="185" t="s">
        <v>3924</v>
      </c>
      <c r="C3313" s="185" t="s">
        <v>1897</v>
      </c>
      <c r="D3313" s="185" t="s">
        <v>3821</v>
      </c>
      <c r="E3313" s="185">
        <v>510533</v>
      </c>
      <c r="F3313" s="185" t="s">
        <v>779</v>
      </c>
      <c r="G3313" s="185" t="s">
        <v>3929</v>
      </c>
      <c r="H3313" s="185" t="s">
        <v>1515</v>
      </c>
      <c r="I3313" s="258" t="str">
        <f t="shared" si="154"/>
        <v>5</v>
      </c>
      <c r="J3313" s="221">
        <f t="shared" si="155"/>
        <v>13006</v>
      </c>
      <c r="K3313" s="258">
        <f t="shared" si="156"/>
        <v>11</v>
      </c>
      <c r="L3313" s="188">
        <v>13006</v>
      </c>
      <c r="M3313" s="188">
        <v>0</v>
      </c>
      <c r="N3313" s="189">
        <v>1130744136</v>
      </c>
      <c r="O3313" t="s">
        <v>3924</v>
      </c>
      <c r="P3313" s="187">
        <v>45257</v>
      </c>
      <c r="Q3313" s="186">
        <v>14536</v>
      </c>
      <c r="R3313" s="185"/>
      <c r="S3313" s="185" t="s">
        <v>1538</v>
      </c>
      <c r="T3313" t="s">
        <v>2729</v>
      </c>
      <c r="U3313" t="str">
        <f>IF($L3313&gt;0,VLOOKUP($E3313,Valida!$A$1:$G$270,6,FALSE),IF($M3313&gt;=0,VLOOKUP($E3313,Valida!$A$1:$G$270,7,FALSE)))</f>
        <v>(+/-) Ganancia (pérdida)</v>
      </c>
      <c r="V3313" s="190" t="str">
        <f>VLOOKUP(E3313,Valida!$A$2:$K$271,4,FALSE)</f>
        <v>P&amp;L</v>
      </c>
      <c r="W3313" s="185" t="s">
        <v>1909</v>
      </c>
      <c r="X3313" s="185" t="s">
        <v>1910</v>
      </c>
      <c r="Y3313" s="185" t="s">
        <v>1789</v>
      </c>
      <c r="Z3313"/>
    </row>
    <row r="3314" spans="1:26">
      <c r="A3314" s="185" t="s">
        <v>3810</v>
      </c>
      <c r="B3314" s="185" t="s">
        <v>3924</v>
      </c>
      <c r="C3314" s="185" t="s">
        <v>1897</v>
      </c>
      <c r="D3314" s="185" t="s">
        <v>3821</v>
      </c>
      <c r="E3314" s="185">
        <v>510536</v>
      </c>
      <c r="F3314" s="185" t="s">
        <v>783</v>
      </c>
      <c r="G3314" s="185" t="s">
        <v>3930</v>
      </c>
      <c r="H3314" s="185" t="s">
        <v>1515</v>
      </c>
      <c r="I3314" s="258" t="str">
        <f t="shared" si="154"/>
        <v>5</v>
      </c>
      <c r="J3314" s="221">
        <f t="shared" si="155"/>
        <v>118003</v>
      </c>
      <c r="K3314" s="258">
        <f t="shared" si="156"/>
        <v>11</v>
      </c>
      <c r="L3314" s="188">
        <v>118003</v>
      </c>
      <c r="M3314" s="188">
        <v>0</v>
      </c>
      <c r="N3314" s="189">
        <v>1000018061</v>
      </c>
      <c r="O3314" t="s">
        <v>3924</v>
      </c>
      <c r="P3314" s="187">
        <v>45257</v>
      </c>
      <c r="Q3314" s="186">
        <v>14537</v>
      </c>
      <c r="R3314" s="185"/>
      <c r="S3314" s="185" t="s">
        <v>1522</v>
      </c>
      <c r="T3314" t="s">
        <v>2729</v>
      </c>
      <c r="U3314" t="str">
        <f>IF($L3314&gt;0,VLOOKUP($E3314,Valida!$A$1:$G$270,6,FALSE),IF($M3314&gt;=0,VLOOKUP($E3314,Valida!$A$1:$G$270,7,FALSE)))</f>
        <v>(+/-) Ganancia (pérdida)</v>
      </c>
      <c r="V3314" s="190" t="str">
        <f>VLOOKUP(E3314,Valida!$A$2:$K$271,4,FALSE)</f>
        <v>P&amp;L</v>
      </c>
      <c r="W3314" s="185" t="s">
        <v>1978</v>
      </c>
      <c r="X3314" s="185"/>
      <c r="Y3314" s="185" t="s">
        <v>1789</v>
      </c>
      <c r="Z3314"/>
    </row>
    <row r="3315" spans="1:26">
      <c r="A3315" s="185" t="s">
        <v>3810</v>
      </c>
      <c r="B3315" s="185" t="s">
        <v>3924</v>
      </c>
      <c r="C3315" s="185" t="s">
        <v>1897</v>
      </c>
      <c r="D3315" s="185" t="s">
        <v>3821</v>
      </c>
      <c r="E3315" s="185">
        <v>510536</v>
      </c>
      <c r="F3315" s="185" t="s">
        <v>783</v>
      </c>
      <c r="G3315" s="185" t="s">
        <v>3930</v>
      </c>
      <c r="H3315" s="185" t="s">
        <v>1515</v>
      </c>
      <c r="I3315" s="258" t="str">
        <f t="shared" si="154"/>
        <v>5</v>
      </c>
      <c r="J3315" s="221">
        <f t="shared" si="155"/>
        <v>165948</v>
      </c>
      <c r="K3315" s="258">
        <f t="shared" si="156"/>
        <v>11</v>
      </c>
      <c r="L3315" s="188">
        <v>165948</v>
      </c>
      <c r="M3315" s="188">
        <v>0</v>
      </c>
      <c r="N3315" s="189">
        <v>1000036375</v>
      </c>
      <c r="O3315" t="s">
        <v>3924</v>
      </c>
      <c r="P3315" s="187">
        <v>45257</v>
      </c>
      <c r="Q3315" s="186">
        <v>14538</v>
      </c>
      <c r="R3315" s="185"/>
      <c r="S3315" s="185" t="s">
        <v>1524</v>
      </c>
      <c r="T3315" t="s">
        <v>2729</v>
      </c>
      <c r="U3315" t="str">
        <f>IF($L3315&gt;0,VLOOKUP($E3315,Valida!$A$1:$G$270,6,FALSE),IF($M3315&gt;=0,VLOOKUP($E3315,Valida!$A$1:$G$270,7,FALSE)))</f>
        <v>(+/-) Ganancia (pérdida)</v>
      </c>
      <c r="V3315" s="190" t="str">
        <f>VLOOKUP(E3315,Valida!$A$2:$K$271,4,FALSE)</f>
        <v>P&amp;L</v>
      </c>
      <c r="W3315" s="185" t="s">
        <v>1983</v>
      </c>
      <c r="X3315" s="185"/>
      <c r="Y3315" s="185" t="s">
        <v>1789</v>
      </c>
      <c r="Z3315"/>
    </row>
    <row r="3316" spans="1:26">
      <c r="A3316" s="185" t="s">
        <v>3810</v>
      </c>
      <c r="B3316" s="185" t="s">
        <v>3924</v>
      </c>
      <c r="C3316" s="185" t="s">
        <v>1897</v>
      </c>
      <c r="D3316" s="185" t="s">
        <v>3821</v>
      </c>
      <c r="E3316" s="185">
        <v>510536</v>
      </c>
      <c r="F3316" s="185" t="s">
        <v>783</v>
      </c>
      <c r="G3316" s="185" t="s">
        <v>3930</v>
      </c>
      <c r="H3316" s="185" t="s">
        <v>1515</v>
      </c>
      <c r="I3316" s="258" t="str">
        <f t="shared" si="154"/>
        <v>5</v>
      </c>
      <c r="J3316" s="221">
        <f t="shared" si="155"/>
        <v>135777</v>
      </c>
      <c r="K3316" s="258">
        <f t="shared" si="156"/>
        <v>11</v>
      </c>
      <c r="L3316" s="188">
        <v>135777</v>
      </c>
      <c r="M3316" s="188">
        <v>0</v>
      </c>
      <c r="N3316" s="189">
        <v>1001284057</v>
      </c>
      <c r="O3316" t="s">
        <v>3924</v>
      </c>
      <c r="P3316" s="187">
        <v>45257</v>
      </c>
      <c r="Q3316" s="186">
        <v>14539</v>
      </c>
      <c r="R3316" s="185"/>
      <c r="S3316" s="185" t="s">
        <v>1526</v>
      </c>
      <c r="T3316" t="s">
        <v>2729</v>
      </c>
      <c r="U3316" t="str">
        <f>IF($L3316&gt;0,VLOOKUP($E3316,Valida!$A$1:$G$270,6,FALSE),IF($M3316&gt;=0,VLOOKUP($E3316,Valida!$A$1:$G$270,7,FALSE)))</f>
        <v>(+/-) Ganancia (pérdida)</v>
      </c>
      <c r="V3316" s="190" t="str">
        <f>VLOOKUP(E3316,Valida!$A$2:$K$271,4,FALSE)</f>
        <v>P&amp;L</v>
      </c>
      <c r="W3316" s="185" t="s">
        <v>3454</v>
      </c>
      <c r="X3316" s="185" t="s">
        <v>3455</v>
      </c>
      <c r="Y3316" s="185" t="s">
        <v>1789</v>
      </c>
      <c r="Z3316"/>
    </row>
    <row r="3317" spans="1:26">
      <c r="A3317" s="185" t="s">
        <v>3810</v>
      </c>
      <c r="B3317" s="185" t="s">
        <v>3924</v>
      </c>
      <c r="C3317" s="185" t="s">
        <v>1897</v>
      </c>
      <c r="D3317" s="185" t="s">
        <v>3821</v>
      </c>
      <c r="E3317" s="185">
        <v>510536</v>
      </c>
      <c r="F3317" s="185" t="s">
        <v>783</v>
      </c>
      <c r="G3317" s="185" t="s">
        <v>3930</v>
      </c>
      <c r="H3317" s="185" t="s">
        <v>1515</v>
      </c>
      <c r="I3317" s="258" t="str">
        <f t="shared" si="154"/>
        <v>5</v>
      </c>
      <c r="J3317" s="221">
        <f t="shared" si="155"/>
        <v>136662</v>
      </c>
      <c r="K3317" s="258">
        <f t="shared" si="156"/>
        <v>11</v>
      </c>
      <c r="L3317" s="188">
        <v>136662</v>
      </c>
      <c r="M3317" s="188">
        <v>0</v>
      </c>
      <c r="N3317" s="189">
        <v>1010101811</v>
      </c>
      <c r="O3317" t="s">
        <v>3924</v>
      </c>
      <c r="P3317" s="187">
        <v>45257</v>
      </c>
      <c r="Q3317" s="186">
        <v>14540</v>
      </c>
      <c r="R3317" s="185"/>
      <c r="S3317" s="185" t="s">
        <v>1528</v>
      </c>
      <c r="T3317" t="s">
        <v>2729</v>
      </c>
      <c r="U3317" t="str">
        <f>IF($L3317&gt;0,VLOOKUP($E3317,Valida!$A$1:$G$270,6,FALSE),IF($M3317&gt;=0,VLOOKUP($E3317,Valida!$A$1:$G$270,7,FALSE)))</f>
        <v>(+/-) Ganancia (pérdida)</v>
      </c>
      <c r="V3317" s="190" t="str">
        <f>VLOOKUP(E3317,Valida!$A$2:$K$271,4,FALSE)</f>
        <v>P&amp;L</v>
      </c>
      <c r="W3317" s="185" t="s">
        <v>1967</v>
      </c>
      <c r="X3317" s="185"/>
      <c r="Y3317" s="185" t="s">
        <v>1789</v>
      </c>
      <c r="Z3317"/>
    </row>
    <row r="3318" spans="1:26">
      <c r="A3318" s="185" t="s">
        <v>3810</v>
      </c>
      <c r="B3318" s="185" t="s">
        <v>3924</v>
      </c>
      <c r="C3318" s="185" t="s">
        <v>1897</v>
      </c>
      <c r="D3318" s="185" t="s">
        <v>3821</v>
      </c>
      <c r="E3318" s="185">
        <v>510536</v>
      </c>
      <c r="F3318" s="185" t="s">
        <v>783</v>
      </c>
      <c r="G3318" s="185" t="s">
        <v>3930</v>
      </c>
      <c r="H3318" s="185" t="s">
        <v>1515</v>
      </c>
      <c r="I3318" s="258" t="str">
        <f t="shared" si="154"/>
        <v>5</v>
      </c>
      <c r="J3318" s="221">
        <f t="shared" si="155"/>
        <v>96628</v>
      </c>
      <c r="K3318" s="258">
        <f t="shared" si="156"/>
        <v>11</v>
      </c>
      <c r="L3318" s="188">
        <v>96628</v>
      </c>
      <c r="M3318" s="188">
        <v>0</v>
      </c>
      <c r="N3318" s="189">
        <v>1020842223</v>
      </c>
      <c r="O3318" t="s">
        <v>3924</v>
      </c>
      <c r="P3318" s="187">
        <v>45257</v>
      </c>
      <c r="Q3318" s="186">
        <v>14541</v>
      </c>
      <c r="R3318" s="185"/>
      <c r="S3318" s="185" t="s">
        <v>1532</v>
      </c>
      <c r="T3318" t="s">
        <v>2729</v>
      </c>
      <c r="U3318" t="str">
        <f>IF($L3318&gt;0,VLOOKUP($E3318,Valida!$A$1:$G$270,6,FALSE),IF($M3318&gt;=0,VLOOKUP($E3318,Valida!$A$1:$G$270,7,FALSE)))</f>
        <v>(+/-) Ganancia (pérdida)</v>
      </c>
      <c r="V3318" s="190" t="str">
        <f>VLOOKUP(E3318,Valida!$A$2:$K$271,4,FALSE)</f>
        <v>P&amp;L</v>
      </c>
      <c r="W3318" s="185" t="s">
        <v>1900</v>
      </c>
      <c r="X3318" s="185"/>
      <c r="Y3318" s="185" t="s">
        <v>1789</v>
      </c>
      <c r="Z3318"/>
    </row>
    <row r="3319" spans="1:26">
      <c r="A3319" s="185" t="s">
        <v>3810</v>
      </c>
      <c r="B3319" s="185" t="s">
        <v>3924</v>
      </c>
      <c r="C3319" s="185" t="s">
        <v>1897</v>
      </c>
      <c r="D3319" s="185" t="s">
        <v>3821</v>
      </c>
      <c r="E3319" s="185">
        <v>510536</v>
      </c>
      <c r="F3319" s="185" t="s">
        <v>783</v>
      </c>
      <c r="G3319" s="185" t="s">
        <v>3930</v>
      </c>
      <c r="H3319" s="185" t="s">
        <v>1515</v>
      </c>
      <c r="I3319" s="258" t="str">
        <f t="shared" si="154"/>
        <v>5</v>
      </c>
      <c r="J3319" s="221">
        <f t="shared" si="155"/>
        <v>108340</v>
      </c>
      <c r="K3319" s="258">
        <f t="shared" si="156"/>
        <v>11</v>
      </c>
      <c r="L3319" s="188">
        <v>108340</v>
      </c>
      <c r="M3319" s="188">
        <v>0</v>
      </c>
      <c r="N3319" s="189">
        <v>1130744136</v>
      </c>
      <c r="O3319" t="s">
        <v>3924</v>
      </c>
      <c r="P3319" s="187">
        <v>45257</v>
      </c>
      <c r="Q3319" s="186">
        <v>14542</v>
      </c>
      <c r="R3319" s="185"/>
      <c r="S3319" s="185" t="s">
        <v>1538</v>
      </c>
      <c r="T3319" t="s">
        <v>2729</v>
      </c>
      <c r="U3319" t="str">
        <f>IF($L3319&gt;0,VLOOKUP($E3319,Valida!$A$1:$G$270,6,FALSE),IF($M3319&gt;=0,VLOOKUP($E3319,Valida!$A$1:$G$270,7,FALSE)))</f>
        <v>(+/-) Ganancia (pérdida)</v>
      </c>
      <c r="V3319" s="190" t="str">
        <f>VLOOKUP(E3319,Valida!$A$2:$K$271,4,FALSE)</f>
        <v>P&amp;L</v>
      </c>
      <c r="W3319" s="185" t="s">
        <v>1909</v>
      </c>
      <c r="X3319" s="185" t="s">
        <v>1910</v>
      </c>
      <c r="Y3319" s="185" t="s">
        <v>1789</v>
      </c>
      <c r="Z3319"/>
    </row>
    <row r="3320" spans="1:26">
      <c r="A3320" s="185" t="s">
        <v>3810</v>
      </c>
      <c r="B3320" s="185" t="s">
        <v>3924</v>
      </c>
      <c r="C3320" s="185" t="s">
        <v>1897</v>
      </c>
      <c r="D3320" s="185" t="s">
        <v>3821</v>
      </c>
      <c r="E3320" s="185">
        <v>510539</v>
      </c>
      <c r="F3320" s="185" t="s">
        <v>818</v>
      </c>
      <c r="G3320" s="185" t="s">
        <v>3931</v>
      </c>
      <c r="H3320" s="185" t="s">
        <v>1515</v>
      </c>
      <c r="I3320" s="258" t="str">
        <f t="shared" si="154"/>
        <v>5</v>
      </c>
      <c r="J3320" s="221">
        <f t="shared" si="155"/>
        <v>53209</v>
      </c>
      <c r="K3320" s="258">
        <f t="shared" si="156"/>
        <v>11</v>
      </c>
      <c r="L3320" s="188">
        <v>53209</v>
      </c>
      <c r="M3320" s="188">
        <v>0</v>
      </c>
      <c r="N3320" s="189">
        <v>1000018061</v>
      </c>
      <c r="O3320" t="s">
        <v>3924</v>
      </c>
      <c r="P3320" s="187">
        <v>45257</v>
      </c>
      <c r="Q3320" s="186">
        <v>14543</v>
      </c>
      <c r="R3320" s="185"/>
      <c r="S3320" s="185" t="s">
        <v>1522</v>
      </c>
      <c r="T3320" t="s">
        <v>2729</v>
      </c>
      <c r="U3320" t="str">
        <f>IF($L3320&gt;0,VLOOKUP($E3320,Valida!$A$1:$G$270,6,FALSE),IF($M3320&gt;=0,VLOOKUP($E3320,Valida!$A$1:$G$270,7,FALSE)))</f>
        <v>(+/-) Ganancia (pérdida)</v>
      </c>
      <c r="V3320" s="190" t="str">
        <f>VLOOKUP(E3320,Valida!$A$2:$K$271,4,FALSE)</f>
        <v>P&amp;L</v>
      </c>
      <c r="W3320" s="185" t="s">
        <v>1978</v>
      </c>
      <c r="X3320" s="185"/>
      <c r="Y3320" s="185" t="s">
        <v>1789</v>
      </c>
      <c r="Z3320"/>
    </row>
    <row r="3321" spans="1:26">
      <c r="A3321" s="185" t="s">
        <v>3810</v>
      </c>
      <c r="B3321" s="185" t="s">
        <v>3924</v>
      </c>
      <c r="C3321" s="185" t="s">
        <v>1897</v>
      </c>
      <c r="D3321" s="185" t="s">
        <v>3821</v>
      </c>
      <c r="E3321" s="185">
        <v>510539</v>
      </c>
      <c r="F3321" s="185" t="s">
        <v>818</v>
      </c>
      <c r="G3321" s="185" t="s">
        <v>3931</v>
      </c>
      <c r="H3321" s="185" t="s">
        <v>1515</v>
      </c>
      <c r="I3321" s="258" t="str">
        <f t="shared" si="154"/>
        <v>5</v>
      </c>
      <c r="J3321" s="221">
        <f t="shared" si="155"/>
        <v>75060</v>
      </c>
      <c r="K3321" s="258">
        <f t="shared" si="156"/>
        <v>11</v>
      </c>
      <c r="L3321" s="188">
        <v>75060</v>
      </c>
      <c r="M3321" s="188">
        <v>0</v>
      </c>
      <c r="N3321" s="189">
        <v>1000036375</v>
      </c>
      <c r="O3321" t="s">
        <v>3924</v>
      </c>
      <c r="P3321" s="187">
        <v>45257</v>
      </c>
      <c r="Q3321" s="186">
        <v>14544</v>
      </c>
      <c r="R3321" s="185"/>
      <c r="S3321" s="185" t="s">
        <v>1524</v>
      </c>
      <c r="T3321" t="s">
        <v>2729</v>
      </c>
      <c r="U3321" t="str">
        <f>IF($L3321&gt;0,VLOOKUP($E3321,Valida!$A$1:$G$270,6,FALSE),IF($M3321&gt;=0,VLOOKUP($E3321,Valida!$A$1:$G$270,7,FALSE)))</f>
        <v>(+/-) Ganancia (pérdida)</v>
      </c>
      <c r="V3321" s="190" t="str">
        <f>VLOOKUP(E3321,Valida!$A$2:$K$271,4,FALSE)</f>
        <v>P&amp;L</v>
      </c>
      <c r="W3321" s="185" t="s">
        <v>1983</v>
      </c>
      <c r="X3321" s="185"/>
      <c r="Y3321" s="185" t="s">
        <v>1789</v>
      </c>
      <c r="Z3321"/>
    </row>
    <row r="3322" spans="1:26">
      <c r="A3322" s="185" t="s">
        <v>3810</v>
      </c>
      <c r="B3322" s="185" t="s">
        <v>3924</v>
      </c>
      <c r="C3322" s="185" t="s">
        <v>1897</v>
      </c>
      <c r="D3322" s="185" t="s">
        <v>3821</v>
      </c>
      <c r="E3322" s="185">
        <v>510539</v>
      </c>
      <c r="F3322" s="185" t="s">
        <v>818</v>
      </c>
      <c r="G3322" s="185" t="s">
        <v>3931</v>
      </c>
      <c r="H3322" s="185" t="s">
        <v>1515</v>
      </c>
      <c r="I3322" s="258" t="str">
        <f t="shared" si="154"/>
        <v>5</v>
      </c>
      <c r="J3322" s="221">
        <f t="shared" si="155"/>
        <v>53637</v>
      </c>
      <c r="K3322" s="258">
        <f t="shared" si="156"/>
        <v>11</v>
      </c>
      <c r="L3322" s="188">
        <v>53637</v>
      </c>
      <c r="M3322" s="188">
        <v>0</v>
      </c>
      <c r="N3322" s="189">
        <v>1001284057</v>
      </c>
      <c r="O3322" t="s">
        <v>3924</v>
      </c>
      <c r="P3322" s="187">
        <v>45257</v>
      </c>
      <c r="Q3322" s="186">
        <v>14545</v>
      </c>
      <c r="R3322" s="185"/>
      <c r="S3322" s="185" t="s">
        <v>1526</v>
      </c>
      <c r="T3322" t="s">
        <v>2729</v>
      </c>
      <c r="U3322" t="str">
        <f>IF($L3322&gt;0,VLOOKUP($E3322,Valida!$A$1:$G$270,6,FALSE),IF($M3322&gt;=0,VLOOKUP($E3322,Valida!$A$1:$G$270,7,FALSE)))</f>
        <v>(+/-) Ganancia (pérdida)</v>
      </c>
      <c r="V3322" s="190" t="str">
        <f>VLOOKUP(E3322,Valida!$A$2:$K$271,4,FALSE)</f>
        <v>P&amp;L</v>
      </c>
      <c r="W3322" s="185" t="s">
        <v>3454</v>
      </c>
      <c r="X3322" s="185" t="s">
        <v>3455</v>
      </c>
      <c r="Y3322" s="185" t="s">
        <v>1789</v>
      </c>
      <c r="Z3322"/>
    </row>
    <row r="3323" spans="1:26">
      <c r="A3323" s="185" t="s">
        <v>3810</v>
      </c>
      <c r="B3323" s="185" t="s">
        <v>3924</v>
      </c>
      <c r="C3323" s="185" t="s">
        <v>1897</v>
      </c>
      <c r="D3323" s="185" t="s">
        <v>3821</v>
      </c>
      <c r="E3323" s="185">
        <v>510539</v>
      </c>
      <c r="F3323" s="185" t="s">
        <v>818</v>
      </c>
      <c r="G3323" s="185" t="s">
        <v>3931</v>
      </c>
      <c r="H3323" s="185" t="s">
        <v>1515</v>
      </c>
      <c r="I3323" s="258" t="str">
        <f t="shared" si="154"/>
        <v>5</v>
      </c>
      <c r="J3323" s="221">
        <f t="shared" si="155"/>
        <v>62550</v>
      </c>
      <c r="K3323" s="258">
        <f t="shared" si="156"/>
        <v>11</v>
      </c>
      <c r="L3323" s="188">
        <v>62550</v>
      </c>
      <c r="M3323" s="188">
        <v>0</v>
      </c>
      <c r="N3323" s="189">
        <v>1010101811</v>
      </c>
      <c r="O3323" t="s">
        <v>3924</v>
      </c>
      <c r="P3323" s="187">
        <v>45257</v>
      </c>
      <c r="Q3323" s="186">
        <v>14546</v>
      </c>
      <c r="R3323" s="185"/>
      <c r="S3323" s="185" t="s">
        <v>1528</v>
      </c>
      <c r="T3323" t="s">
        <v>2729</v>
      </c>
      <c r="U3323" t="str">
        <f>IF($L3323&gt;0,VLOOKUP($E3323,Valida!$A$1:$G$270,6,FALSE),IF($M3323&gt;=0,VLOOKUP($E3323,Valida!$A$1:$G$270,7,FALSE)))</f>
        <v>(+/-) Ganancia (pérdida)</v>
      </c>
      <c r="V3323" s="190" t="str">
        <f>VLOOKUP(E3323,Valida!$A$2:$K$271,4,FALSE)</f>
        <v>P&amp;L</v>
      </c>
      <c r="W3323" s="185" t="s">
        <v>1967</v>
      </c>
      <c r="X3323" s="185"/>
      <c r="Y3323" s="185" t="s">
        <v>1789</v>
      </c>
      <c r="Z3323"/>
    </row>
    <row r="3324" spans="1:26">
      <c r="A3324" s="185" t="s">
        <v>3810</v>
      </c>
      <c r="B3324" s="185" t="s">
        <v>3924</v>
      </c>
      <c r="C3324" s="185" t="s">
        <v>1897</v>
      </c>
      <c r="D3324" s="185" t="s">
        <v>3821</v>
      </c>
      <c r="E3324" s="185">
        <v>510539</v>
      </c>
      <c r="F3324" s="185" t="s">
        <v>818</v>
      </c>
      <c r="G3324" s="185" t="s">
        <v>3931</v>
      </c>
      <c r="H3324" s="185" t="s">
        <v>1515</v>
      </c>
      <c r="I3324" s="258" t="str">
        <f t="shared" si="154"/>
        <v>5</v>
      </c>
      <c r="J3324" s="221">
        <f t="shared" si="155"/>
        <v>48372</v>
      </c>
      <c r="K3324" s="258">
        <f t="shared" si="156"/>
        <v>11</v>
      </c>
      <c r="L3324" s="188">
        <v>48372</v>
      </c>
      <c r="M3324" s="188">
        <v>0</v>
      </c>
      <c r="N3324" s="189">
        <v>1020842223</v>
      </c>
      <c r="O3324" t="s">
        <v>3924</v>
      </c>
      <c r="P3324" s="187">
        <v>45257</v>
      </c>
      <c r="Q3324" s="186">
        <v>14547</v>
      </c>
      <c r="R3324" s="185"/>
      <c r="S3324" s="185" t="s">
        <v>1532</v>
      </c>
      <c r="T3324" t="s">
        <v>2729</v>
      </c>
      <c r="U3324" t="str">
        <f>IF($L3324&gt;0,VLOOKUP($E3324,Valida!$A$1:$G$270,6,FALSE),IF($M3324&gt;=0,VLOOKUP($E3324,Valida!$A$1:$G$270,7,FALSE)))</f>
        <v>(+/-) Ganancia (pérdida)</v>
      </c>
      <c r="V3324" s="190" t="str">
        <f>VLOOKUP(E3324,Valida!$A$2:$K$271,4,FALSE)</f>
        <v>P&amp;L</v>
      </c>
      <c r="W3324" s="185" t="s">
        <v>1900</v>
      </c>
      <c r="X3324" s="185"/>
      <c r="Y3324" s="185" t="s">
        <v>1789</v>
      </c>
      <c r="Z3324"/>
    </row>
    <row r="3325" spans="1:26">
      <c r="A3325" s="185" t="s">
        <v>3810</v>
      </c>
      <c r="B3325" s="185" t="s">
        <v>3924</v>
      </c>
      <c r="C3325" s="185" t="s">
        <v>1897</v>
      </c>
      <c r="D3325" s="185" t="s">
        <v>3821</v>
      </c>
      <c r="E3325" s="185">
        <v>510539</v>
      </c>
      <c r="F3325" s="185" t="s">
        <v>818</v>
      </c>
      <c r="G3325" s="185" t="s">
        <v>3931</v>
      </c>
      <c r="H3325" s="185" t="s">
        <v>1515</v>
      </c>
      <c r="I3325" s="258" t="str">
        <f t="shared" si="154"/>
        <v>5</v>
      </c>
      <c r="J3325" s="221">
        <f t="shared" si="155"/>
        <v>48372</v>
      </c>
      <c r="K3325" s="258">
        <f t="shared" si="156"/>
        <v>11</v>
      </c>
      <c r="L3325" s="188">
        <v>48372</v>
      </c>
      <c r="M3325" s="188">
        <v>0</v>
      </c>
      <c r="N3325" s="189">
        <v>1130744136</v>
      </c>
      <c r="O3325" t="s">
        <v>3924</v>
      </c>
      <c r="P3325" s="187">
        <v>45257</v>
      </c>
      <c r="Q3325" s="186">
        <v>14548</v>
      </c>
      <c r="R3325" s="185"/>
      <c r="S3325" s="185" t="s">
        <v>1538</v>
      </c>
      <c r="T3325" t="s">
        <v>2729</v>
      </c>
      <c r="U3325" t="str">
        <f>IF($L3325&gt;0,VLOOKUP($E3325,Valida!$A$1:$G$270,6,FALSE),IF($M3325&gt;=0,VLOOKUP($E3325,Valida!$A$1:$G$270,7,FALSE)))</f>
        <v>(+/-) Ganancia (pérdida)</v>
      </c>
      <c r="V3325" s="190" t="str">
        <f>VLOOKUP(E3325,Valida!$A$2:$K$271,4,FALSE)</f>
        <v>P&amp;L</v>
      </c>
      <c r="W3325" s="185" t="s">
        <v>1909</v>
      </c>
      <c r="X3325" s="185" t="s">
        <v>1910</v>
      </c>
      <c r="Y3325" s="185" t="s">
        <v>1789</v>
      </c>
      <c r="Z3325"/>
    </row>
    <row r="3326" spans="1:26">
      <c r="A3326" s="185" t="s">
        <v>3810</v>
      </c>
      <c r="B3326" s="185" t="s">
        <v>3924</v>
      </c>
      <c r="C3326" s="185" t="s">
        <v>1897</v>
      </c>
      <c r="D3326" s="185" t="s">
        <v>3821</v>
      </c>
      <c r="E3326" s="185">
        <v>510568</v>
      </c>
      <c r="F3326" s="185" t="s">
        <v>680</v>
      </c>
      <c r="G3326" s="185" t="s">
        <v>3925</v>
      </c>
      <c r="H3326" s="185" t="s">
        <v>1515</v>
      </c>
      <c r="I3326" s="258" t="str">
        <f t="shared" si="154"/>
        <v>5</v>
      </c>
      <c r="J3326" s="221">
        <f t="shared" si="155"/>
        <v>7830</v>
      </c>
      <c r="K3326" s="258">
        <f t="shared" si="156"/>
        <v>11</v>
      </c>
      <c r="L3326" s="188">
        <v>7830</v>
      </c>
      <c r="M3326" s="188">
        <v>0</v>
      </c>
      <c r="N3326" s="189">
        <v>860002503</v>
      </c>
      <c r="O3326" t="s">
        <v>3924</v>
      </c>
      <c r="P3326" s="187">
        <v>45257</v>
      </c>
      <c r="Q3326" s="186">
        <v>14549</v>
      </c>
      <c r="R3326" s="185" t="s">
        <v>433</v>
      </c>
      <c r="S3326" s="185" t="s">
        <v>1656</v>
      </c>
      <c r="T3326" t="s">
        <v>2729</v>
      </c>
      <c r="U3326" t="str">
        <f>IF($L3326&gt;0,VLOOKUP($E3326,Valida!$A$1:$G$270,6,FALSE),IF($M3326&gt;=0,VLOOKUP($E3326,Valida!$A$1:$G$270,7,FALSE)))</f>
        <v>(+/-) Ganancia (pérdida)</v>
      </c>
      <c r="V3326" s="190" t="str">
        <f>VLOOKUP(E3326,Valida!$A$2:$K$271,4,FALSE)</f>
        <v>P&amp;L</v>
      </c>
      <c r="W3326" s="185" t="s">
        <v>1912</v>
      </c>
      <c r="X3326" s="185" t="s">
        <v>1913</v>
      </c>
      <c r="Y3326" s="185" t="s">
        <v>1789</v>
      </c>
      <c r="Z3326"/>
    </row>
    <row r="3327" spans="1:26">
      <c r="A3327" s="185" t="s">
        <v>3810</v>
      </c>
      <c r="B3327" s="185" t="s">
        <v>3924</v>
      </c>
      <c r="C3327" s="185" t="s">
        <v>1897</v>
      </c>
      <c r="D3327" s="185" t="s">
        <v>3821</v>
      </c>
      <c r="E3327" s="185">
        <v>510568</v>
      </c>
      <c r="F3327" s="185" t="s">
        <v>680</v>
      </c>
      <c r="G3327" s="185" t="s">
        <v>3925</v>
      </c>
      <c r="H3327" s="185" t="s">
        <v>1515</v>
      </c>
      <c r="I3327" s="258" t="str">
        <f t="shared" si="154"/>
        <v>5</v>
      </c>
      <c r="J3327" s="221">
        <f t="shared" si="155"/>
        <v>6661</v>
      </c>
      <c r="K3327" s="258">
        <f t="shared" si="156"/>
        <v>11</v>
      </c>
      <c r="L3327" s="188">
        <v>6661</v>
      </c>
      <c r="M3327" s="188">
        <v>0</v>
      </c>
      <c r="N3327" s="189">
        <v>860002503</v>
      </c>
      <c r="O3327" t="s">
        <v>3924</v>
      </c>
      <c r="P3327" s="187">
        <v>45257</v>
      </c>
      <c r="Q3327" s="186">
        <v>14550</v>
      </c>
      <c r="R3327" s="185" t="s">
        <v>433</v>
      </c>
      <c r="S3327" s="185" t="s">
        <v>1656</v>
      </c>
      <c r="T3327" t="s">
        <v>2729</v>
      </c>
      <c r="U3327" t="str">
        <f>IF($L3327&gt;0,VLOOKUP($E3327,Valida!$A$1:$G$270,6,FALSE),IF($M3327&gt;=0,VLOOKUP($E3327,Valida!$A$1:$G$270,7,FALSE)))</f>
        <v>(+/-) Ganancia (pérdida)</v>
      </c>
      <c r="V3327" s="190" t="str">
        <f>VLOOKUP(E3327,Valida!$A$2:$K$271,4,FALSE)</f>
        <v>P&amp;L</v>
      </c>
      <c r="W3327" s="185" t="s">
        <v>1912</v>
      </c>
      <c r="X3327" s="185" t="s">
        <v>1913</v>
      </c>
      <c r="Y3327" s="185" t="s">
        <v>1789</v>
      </c>
      <c r="Z3327"/>
    </row>
    <row r="3328" spans="1:26">
      <c r="A3328" s="185" t="s">
        <v>3810</v>
      </c>
      <c r="B3328" s="185" t="s">
        <v>3924</v>
      </c>
      <c r="C3328" s="185" t="s">
        <v>1897</v>
      </c>
      <c r="D3328" s="185" t="s">
        <v>3821</v>
      </c>
      <c r="E3328" s="185">
        <v>510568</v>
      </c>
      <c r="F3328" s="185" t="s">
        <v>680</v>
      </c>
      <c r="G3328" s="185" t="s">
        <v>3925</v>
      </c>
      <c r="H3328" s="185" t="s">
        <v>1515</v>
      </c>
      <c r="I3328" s="258" t="str">
        <f t="shared" si="154"/>
        <v>5</v>
      </c>
      <c r="J3328" s="221">
        <f t="shared" si="155"/>
        <v>9665</v>
      </c>
      <c r="K3328" s="258">
        <f t="shared" si="156"/>
        <v>11</v>
      </c>
      <c r="L3328" s="188">
        <v>9665</v>
      </c>
      <c r="M3328" s="188">
        <v>0</v>
      </c>
      <c r="N3328" s="189">
        <v>860002503</v>
      </c>
      <c r="O3328" t="s">
        <v>3924</v>
      </c>
      <c r="P3328" s="187">
        <v>45257</v>
      </c>
      <c r="Q3328" s="186">
        <v>14551</v>
      </c>
      <c r="R3328" s="185" t="s">
        <v>433</v>
      </c>
      <c r="S3328" s="185" t="s">
        <v>1656</v>
      </c>
      <c r="T3328" t="s">
        <v>2729</v>
      </c>
      <c r="U3328" t="str">
        <f>IF($L3328&gt;0,VLOOKUP($E3328,Valida!$A$1:$G$270,6,FALSE),IF($M3328&gt;=0,VLOOKUP($E3328,Valida!$A$1:$G$270,7,FALSE)))</f>
        <v>(+/-) Ganancia (pérdida)</v>
      </c>
      <c r="V3328" s="190" t="str">
        <f>VLOOKUP(E3328,Valida!$A$2:$K$271,4,FALSE)</f>
        <v>P&amp;L</v>
      </c>
      <c r="W3328" s="185" t="s">
        <v>1912</v>
      </c>
      <c r="X3328" s="185" t="s">
        <v>1913</v>
      </c>
      <c r="Y3328" s="185" t="s">
        <v>1789</v>
      </c>
      <c r="Z3328"/>
    </row>
    <row r="3329" spans="1:26">
      <c r="A3329" s="185" t="s">
        <v>3810</v>
      </c>
      <c r="B3329" s="185" t="s">
        <v>3924</v>
      </c>
      <c r="C3329" s="185" t="s">
        <v>1897</v>
      </c>
      <c r="D3329" s="185" t="s">
        <v>3821</v>
      </c>
      <c r="E3329" s="185">
        <v>510568</v>
      </c>
      <c r="F3329" s="185" t="s">
        <v>680</v>
      </c>
      <c r="G3329" s="185" t="s">
        <v>3925</v>
      </c>
      <c r="H3329" s="185" t="s">
        <v>1515</v>
      </c>
      <c r="I3329" s="258" t="str">
        <f t="shared" si="154"/>
        <v>5</v>
      </c>
      <c r="J3329" s="221">
        <f t="shared" si="155"/>
        <v>7775</v>
      </c>
      <c r="K3329" s="258">
        <f t="shared" si="156"/>
        <v>11</v>
      </c>
      <c r="L3329" s="188">
        <v>7775</v>
      </c>
      <c r="M3329" s="188">
        <v>0</v>
      </c>
      <c r="N3329" s="189">
        <v>860002503</v>
      </c>
      <c r="O3329" t="s">
        <v>3924</v>
      </c>
      <c r="P3329" s="187">
        <v>45257</v>
      </c>
      <c r="Q3329" s="186">
        <v>14552</v>
      </c>
      <c r="R3329" s="185" t="s">
        <v>433</v>
      </c>
      <c r="S3329" s="185" t="s">
        <v>1656</v>
      </c>
      <c r="T3329" t="s">
        <v>2729</v>
      </c>
      <c r="U3329" t="str">
        <f>IF($L3329&gt;0,VLOOKUP($E3329,Valida!$A$1:$G$270,6,FALSE),IF($M3329&gt;=0,VLOOKUP($E3329,Valida!$A$1:$G$270,7,FALSE)))</f>
        <v>(+/-) Ganancia (pérdida)</v>
      </c>
      <c r="V3329" s="190" t="str">
        <f>VLOOKUP(E3329,Valida!$A$2:$K$271,4,FALSE)</f>
        <v>P&amp;L</v>
      </c>
      <c r="W3329" s="185" t="s">
        <v>1912</v>
      </c>
      <c r="X3329" s="185" t="s">
        <v>1913</v>
      </c>
      <c r="Y3329" s="185" t="s">
        <v>1789</v>
      </c>
      <c r="Z3329"/>
    </row>
    <row r="3330" spans="1:26">
      <c r="A3330" s="185" t="s">
        <v>3810</v>
      </c>
      <c r="B3330" s="185" t="s">
        <v>3924</v>
      </c>
      <c r="C3330" s="185" t="s">
        <v>1897</v>
      </c>
      <c r="D3330" s="185" t="s">
        <v>3821</v>
      </c>
      <c r="E3330" s="185">
        <v>510568</v>
      </c>
      <c r="F3330" s="185" t="s">
        <v>680</v>
      </c>
      <c r="G3330" s="185" t="s">
        <v>3925</v>
      </c>
      <c r="H3330" s="185" t="s">
        <v>1515</v>
      </c>
      <c r="I3330" s="258" t="str">
        <f t="shared" si="154"/>
        <v>5</v>
      </c>
      <c r="J3330" s="221">
        <f t="shared" si="155"/>
        <v>6055</v>
      </c>
      <c r="K3330" s="258">
        <f t="shared" si="156"/>
        <v>11</v>
      </c>
      <c r="L3330" s="188">
        <v>6055</v>
      </c>
      <c r="M3330" s="188">
        <v>0</v>
      </c>
      <c r="N3330" s="189">
        <v>860002503</v>
      </c>
      <c r="O3330" t="s">
        <v>3924</v>
      </c>
      <c r="P3330" s="187">
        <v>45257</v>
      </c>
      <c r="Q3330" s="186">
        <v>14553</v>
      </c>
      <c r="R3330" s="185" t="s">
        <v>433</v>
      </c>
      <c r="S3330" s="185" t="s">
        <v>1656</v>
      </c>
      <c r="T3330" t="s">
        <v>2729</v>
      </c>
      <c r="U3330" t="str">
        <f>IF($L3330&gt;0,VLOOKUP($E3330,Valida!$A$1:$G$270,6,FALSE),IF($M3330&gt;=0,VLOOKUP($E3330,Valida!$A$1:$G$270,7,FALSE)))</f>
        <v>(+/-) Ganancia (pérdida)</v>
      </c>
      <c r="V3330" s="190" t="str">
        <f>VLOOKUP(E3330,Valida!$A$2:$K$271,4,FALSE)</f>
        <v>P&amp;L</v>
      </c>
      <c r="W3330" s="185" t="s">
        <v>1912</v>
      </c>
      <c r="X3330" s="185" t="s">
        <v>1913</v>
      </c>
      <c r="Y3330" s="185" t="s">
        <v>1789</v>
      </c>
      <c r="Z3330"/>
    </row>
    <row r="3331" spans="1:26">
      <c r="A3331" s="185" t="s">
        <v>3810</v>
      </c>
      <c r="B3331" s="185" t="s">
        <v>3924</v>
      </c>
      <c r="C3331" s="185" t="s">
        <v>1897</v>
      </c>
      <c r="D3331" s="185" t="s">
        <v>3821</v>
      </c>
      <c r="E3331" s="185">
        <v>510568</v>
      </c>
      <c r="F3331" s="185" t="s">
        <v>680</v>
      </c>
      <c r="G3331" s="185" t="s">
        <v>3925</v>
      </c>
      <c r="H3331" s="185" t="s">
        <v>1628</v>
      </c>
      <c r="I3331" s="258" t="str">
        <f t="shared" ref="I3331:I3394" si="157">LEFT(E3331,1)</f>
        <v>5</v>
      </c>
      <c r="J3331" s="221">
        <f t="shared" ref="J3331:J3394" si="158">L3331-M3331</f>
        <v>0</v>
      </c>
      <c r="K3331" s="258">
        <f t="shared" ref="K3331:K3394" si="159">MONTH(A3331)</f>
        <v>11</v>
      </c>
      <c r="L3331" s="188">
        <v>0</v>
      </c>
      <c r="M3331" s="188">
        <v>0</v>
      </c>
      <c r="N3331" s="189">
        <v>860002503</v>
      </c>
      <c r="O3331" t="s">
        <v>3924</v>
      </c>
      <c r="P3331" s="187">
        <v>45257</v>
      </c>
      <c r="Q3331" s="186">
        <v>14554</v>
      </c>
      <c r="R3331" s="185" t="s">
        <v>433</v>
      </c>
      <c r="S3331" s="185" t="s">
        <v>1656</v>
      </c>
      <c r="T3331" t="s">
        <v>2729</v>
      </c>
      <c r="U3331" t="str">
        <f>IF($L3331&gt;0,VLOOKUP($E3331,Valida!$A$1:$G$270,6,FALSE),IF($M3331&gt;=0,VLOOKUP($E3331,Valida!$A$1:$G$270,7,FALSE)))</f>
        <v>(+/-) Ganancia (pérdida)</v>
      </c>
      <c r="V3331" s="190" t="str">
        <f>VLOOKUP(E3331,Valida!$A$2:$K$271,4,FALSE)</f>
        <v>P&amp;L</v>
      </c>
      <c r="W3331" s="185" t="s">
        <v>1912</v>
      </c>
      <c r="X3331" s="185" t="s">
        <v>1913</v>
      </c>
      <c r="Y3331" s="185" t="s">
        <v>1789</v>
      </c>
      <c r="Z3331"/>
    </row>
    <row r="3332" spans="1:26">
      <c r="A3332" s="185" t="s">
        <v>3810</v>
      </c>
      <c r="B3332" s="185" t="s">
        <v>3924</v>
      </c>
      <c r="C3332" s="185" t="s">
        <v>1897</v>
      </c>
      <c r="D3332" s="185" t="s">
        <v>3821</v>
      </c>
      <c r="E3332" s="185">
        <v>510570</v>
      </c>
      <c r="F3332" s="185" t="s">
        <v>1116</v>
      </c>
      <c r="G3332" s="185" t="s">
        <v>3927</v>
      </c>
      <c r="H3332" s="185" t="s">
        <v>1515</v>
      </c>
      <c r="I3332" s="258" t="str">
        <f t="shared" si="157"/>
        <v>5</v>
      </c>
      <c r="J3332" s="221">
        <f t="shared" si="158"/>
        <v>180000</v>
      </c>
      <c r="K3332" s="258">
        <f t="shared" si="159"/>
        <v>11</v>
      </c>
      <c r="L3332" s="188">
        <v>180000</v>
      </c>
      <c r="M3332" s="188">
        <v>0</v>
      </c>
      <c r="N3332" s="189">
        <v>800224808</v>
      </c>
      <c r="O3332" t="s">
        <v>3924</v>
      </c>
      <c r="P3332" s="187">
        <v>45257</v>
      </c>
      <c r="Q3332" s="186">
        <v>14555</v>
      </c>
      <c r="R3332" s="185" t="s">
        <v>1827</v>
      </c>
      <c r="S3332" s="185" t="s">
        <v>1662</v>
      </c>
      <c r="T3332" t="s">
        <v>2729</v>
      </c>
      <c r="U3332" t="str">
        <f>IF($L3332&gt;0,VLOOKUP($E3332,Valida!$A$1:$G$270,6,FALSE),IF($M3332&gt;=0,VLOOKUP($E3332,Valida!$A$1:$G$270,7,FALSE)))</f>
        <v>(+/-) Ganancia (pérdida)</v>
      </c>
      <c r="V3332" s="190" t="str">
        <f>VLOOKUP(E3332,Valida!$A$2:$K$271,4,FALSE)</f>
        <v>P&amp;L</v>
      </c>
      <c r="W3332" s="185" t="s">
        <v>1911</v>
      </c>
      <c r="X3332" s="185"/>
      <c r="Y3332" s="185" t="s">
        <v>1789</v>
      </c>
      <c r="Z3332"/>
    </row>
    <row r="3333" spans="1:26">
      <c r="A3333" s="185" t="s">
        <v>3810</v>
      </c>
      <c r="B3333" s="185" t="s">
        <v>3924</v>
      </c>
      <c r="C3333" s="185" t="s">
        <v>1897</v>
      </c>
      <c r="D3333" s="185" t="s">
        <v>3821</v>
      </c>
      <c r="E3333" s="185">
        <v>510570</v>
      </c>
      <c r="F3333" s="185" t="s">
        <v>1116</v>
      </c>
      <c r="G3333" s="185" t="s">
        <v>3927</v>
      </c>
      <c r="H3333" s="185" t="s">
        <v>1515</v>
      </c>
      <c r="I3333" s="258" t="str">
        <f t="shared" si="157"/>
        <v>5</v>
      </c>
      <c r="J3333" s="221">
        <f t="shared" si="158"/>
        <v>222187</v>
      </c>
      <c r="K3333" s="258">
        <f t="shared" si="159"/>
        <v>11</v>
      </c>
      <c r="L3333" s="188">
        <v>222187</v>
      </c>
      <c r="M3333" s="188">
        <v>0</v>
      </c>
      <c r="N3333" s="189">
        <v>800224808</v>
      </c>
      <c r="O3333" t="s">
        <v>3924</v>
      </c>
      <c r="P3333" s="187">
        <v>45257</v>
      </c>
      <c r="Q3333" s="186">
        <v>14556</v>
      </c>
      <c r="R3333" s="185" t="s">
        <v>1827</v>
      </c>
      <c r="S3333" s="185" t="s">
        <v>1662</v>
      </c>
      <c r="T3333" t="s">
        <v>2729</v>
      </c>
      <c r="U3333" t="str">
        <f>IF($L3333&gt;0,VLOOKUP($E3333,Valida!$A$1:$G$270,6,FALSE),IF($M3333&gt;=0,VLOOKUP($E3333,Valida!$A$1:$G$270,7,FALSE)))</f>
        <v>(+/-) Ganancia (pérdida)</v>
      </c>
      <c r="V3333" s="190" t="str">
        <f>VLOOKUP(E3333,Valida!$A$2:$K$271,4,FALSE)</f>
        <v>P&amp;L</v>
      </c>
      <c r="W3333" s="185" t="s">
        <v>1911</v>
      </c>
      <c r="X3333" s="185"/>
      <c r="Y3333" s="185" t="s">
        <v>1789</v>
      </c>
      <c r="Z3333"/>
    </row>
    <row r="3334" spans="1:26">
      <c r="A3334" s="185" t="s">
        <v>3810</v>
      </c>
      <c r="B3334" s="185" t="s">
        <v>3924</v>
      </c>
      <c r="C3334" s="185" t="s">
        <v>1897</v>
      </c>
      <c r="D3334" s="185" t="s">
        <v>3821</v>
      </c>
      <c r="E3334" s="185">
        <v>510570</v>
      </c>
      <c r="F3334" s="185" t="s">
        <v>1116</v>
      </c>
      <c r="G3334" s="185" t="s">
        <v>3927</v>
      </c>
      <c r="H3334" s="185" t="s">
        <v>1515</v>
      </c>
      <c r="I3334" s="258" t="str">
        <f t="shared" si="157"/>
        <v>5</v>
      </c>
      <c r="J3334" s="221">
        <f t="shared" si="158"/>
        <v>178725</v>
      </c>
      <c r="K3334" s="258">
        <f t="shared" si="159"/>
        <v>11</v>
      </c>
      <c r="L3334" s="188">
        <v>178725</v>
      </c>
      <c r="M3334" s="188">
        <v>0</v>
      </c>
      <c r="N3334" s="189">
        <v>800224808</v>
      </c>
      <c r="O3334" t="s">
        <v>3924</v>
      </c>
      <c r="P3334" s="187">
        <v>45257</v>
      </c>
      <c r="Q3334" s="186">
        <v>14557</v>
      </c>
      <c r="R3334" s="185" t="s">
        <v>1827</v>
      </c>
      <c r="S3334" s="185" t="s">
        <v>1662</v>
      </c>
      <c r="T3334" t="s">
        <v>2729</v>
      </c>
      <c r="U3334" t="str">
        <f>IF($L3334&gt;0,VLOOKUP($E3334,Valida!$A$1:$G$270,6,FALSE),IF($M3334&gt;=0,VLOOKUP($E3334,Valida!$A$1:$G$270,7,FALSE)))</f>
        <v>(+/-) Ganancia (pérdida)</v>
      </c>
      <c r="V3334" s="190" t="str">
        <f>VLOOKUP(E3334,Valida!$A$2:$K$271,4,FALSE)</f>
        <v>P&amp;L</v>
      </c>
      <c r="W3334" s="185" t="s">
        <v>1911</v>
      </c>
      <c r="X3334" s="185"/>
      <c r="Y3334" s="185" t="s">
        <v>1789</v>
      </c>
      <c r="Z3334"/>
    </row>
    <row r="3335" spans="1:26">
      <c r="A3335" s="185" t="s">
        <v>3810</v>
      </c>
      <c r="B3335" s="185" t="s">
        <v>3924</v>
      </c>
      <c r="C3335" s="185" t="s">
        <v>1897</v>
      </c>
      <c r="D3335" s="185" t="s">
        <v>3821</v>
      </c>
      <c r="E3335" s="185">
        <v>510570</v>
      </c>
      <c r="F3335" s="185" t="s">
        <v>1116</v>
      </c>
      <c r="G3335" s="185" t="s">
        <v>3927</v>
      </c>
      <c r="H3335" s="185" t="s">
        <v>1515</v>
      </c>
      <c r="I3335" s="258" t="str">
        <f t="shared" si="157"/>
        <v>5</v>
      </c>
      <c r="J3335" s="221">
        <f t="shared" si="158"/>
        <v>139200</v>
      </c>
      <c r="K3335" s="258">
        <f t="shared" si="159"/>
        <v>11</v>
      </c>
      <c r="L3335" s="188">
        <v>139200</v>
      </c>
      <c r="M3335" s="188">
        <v>0</v>
      </c>
      <c r="N3335" s="189">
        <v>800224808</v>
      </c>
      <c r="O3335" t="s">
        <v>3924</v>
      </c>
      <c r="P3335" s="187">
        <v>45257</v>
      </c>
      <c r="Q3335" s="186">
        <v>14558</v>
      </c>
      <c r="R3335" s="185" t="s">
        <v>1827</v>
      </c>
      <c r="S3335" s="185" t="s">
        <v>1662</v>
      </c>
      <c r="T3335" t="s">
        <v>2729</v>
      </c>
      <c r="U3335" t="str">
        <f>IF($L3335&gt;0,VLOOKUP($E3335,Valida!$A$1:$G$270,6,FALSE),IF($M3335&gt;=0,VLOOKUP($E3335,Valida!$A$1:$G$270,7,FALSE)))</f>
        <v>(+/-) Ganancia (pérdida)</v>
      </c>
      <c r="V3335" s="190" t="str">
        <f>VLOOKUP(E3335,Valida!$A$2:$K$271,4,FALSE)</f>
        <v>P&amp;L</v>
      </c>
      <c r="W3335" s="185" t="s">
        <v>1911</v>
      </c>
      <c r="X3335" s="185"/>
      <c r="Y3335" s="185" t="s">
        <v>1789</v>
      </c>
      <c r="Z3335"/>
    </row>
    <row r="3336" spans="1:26">
      <c r="A3336" s="185" t="s">
        <v>3810</v>
      </c>
      <c r="B3336" s="185" t="s">
        <v>3924</v>
      </c>
      <c r="C3336" s="185" t="s">
        <v>1897</v>
      </c>
      <c r="D3336" s="185" t="s">
        <v>3821</v>
      </c>
      <c r="E3336" s="185">
        <v>510570</v>
      </c>
      <c r="F3336" s="185" t="s">
        <v>1116</v>
      </c>
      <c r="G3336" s="185" t="s">
        <v>3927</v>
      </c>
      <c r="H3336" s="185" t="s">
        <v>1515</v>
      </c>
      <c r="I3336" s="258" t="str">
        <f t="shared" si="157"/>
        <v>5</v>
      </c>
      <c r="J3336" s="221">
        <f t="shared" si="158"/>
        <v>139200</v>
      </c>
      <c r="K3336" s="258">
        <f t="shared" si="159"/>
        <v>11</v>
      </c>
      <c r="L3336" s="188">
        <v>139200</v>
      </c>
      <c r="M3336" s="188">
        <v>0</v>
      </c>
      <c r="N3336" s="189">
        <v>800224808</v>
      </c>
      <c r="O3336" t="s">
        <v>3924</v>
      </c>
      <c r="P3336" s="187">
        <v>45257</v>
      </c>
      <c r="Q3336" s="186">
        <v>14559</v>
      </c>
      <c r="R3336" s="185" t="s">
        <v>1827</v>
      </c>
      <c r="S3336" s="185" t="s">
        <v>1662</v>
      </c>
      <c r="T3336" t="s">
        <v>2729</v>
      </c>
      <c r="U3336" t="str">
        <f>IF($L3336&gt;0,VLOOKUP($E3336,Valida!$A$1:$G$270,6,FALSE),IF($M3336&gt;=0,VLOOKUP($E3336,Valida!$A$1:$G$270,7,FALSE)))</f>
        <v>(+/-) Ganancia (pérdida)</v>
      </c>
      <c r="V3336" s="190" t="str">
        <f>VLOOKUP(E3336,Valida!$A$2:$K$271,4,FALSE)</f>
        <v>P&amp;L</v>
      </c>
      <c r="W3336" s="185" t="s">
        <v>1911</v>
      </c>
      <c r="X3336" s="185"/>
      <c r="Y3336" s="185" t="s">
        <v>1789</v>
      </c>
      <c r="Z3336"/>
    </row>
    <row r="3337" spans="1:26">
      <c r="A3337" s="185" t="s">
        <v>3810</v>
      </c>
      <c r="B3337" s="185" t="s">
        <v>3924</v>
      </c>
      <c r="C3337" s="185" t="s">
        <v>1897</v>
      </c>
      <c r="D3337" s="185" t="s">
        <v>3821</v>
      </c>
      <c r="E3337" s="185">
        <v>510570</v>
      </c>
      <c r="F3337" s="185" t="s">
        <v>1116</v>
      </c>
      <c r="G3337" s="185" t="s">
        <v>3927</v>
      </c>
      <c r="H3337" s="185" t="s">
        <v>1515</v>
      </c>
      <c r="I3337" s="258" t="str">
        <f t="shared" si="157"/>
        <v>5</v>
      </c>
      <c r="J3337" s="221">
        <f t="shared" si="158"/>
        <v>153120</v>
      </c>
      <c r="K3337" s="258">
        <f t="shared" si="159"/>
        <v>11</v>
      </c>
      <c r="L3337" s="188">
        <v>153120</v>
      </c>
      <c r="M3337" s="188">
        <v>0</v>
      </c>
      <c r="N3337" s="189">
        <v>800227940</v>
      </c>
      <c r="O3337" t="s">
        <v>3924</v>
      </c>
      <c r="P3337" s="187">
        <v>45257</v>
      </c>
      <c r="Q3337" s="186">
        <v>14560</v>
      </c>
      <c r="R3337" s="185"/>
      <c r="S3337" s="185" t="s">
        <v>1664</v>
      </c>
      <c r="T3337" t="s">
        <v>2729</v>
      </c>
      <c r="U3337" t="str">
        <f>IF($L3337&gt;0,VLOOKUP($E3337,Valida!$A$1:$G$270,6,FALSE),IF($M3337&gt;=0,VLOOKUP($E3337,Valida!$A$1:$G$270,7,FALSE)))</f>
        <v>(+/-) Ganancia (pérdida)</v>
      </c>
      <c r="V3337" s="190" t="str">
        <f>VLOOKUP(E3337,Valida!$A$2:$K$271,4,FALSE)</f>
        <v>P&amp;L</v>
      </c>
      <c r="W3337" s="185"/>
      <c r="X3337" s="185"/>
      <c r="Y3337" s="185"/>
      <c r="Z3337"/>
    </row>
    <row r="3338" spans="1:26">
      <c r="A3338" s="185" t="s">
        <v>3810</v>
      </c>
      <c r="B3338" s="185" t="s">
        <v>3924</v>
      </c>
      <c r="C3338" s="185" t="s">
        <v>1897</v>
      </c>
      <c r="D3338" s="185" t="s">
        <v>3821</v>
      </c>
      <c r="E3338" s="185">
        <v>510572</v>
      </c>
      <c r="F3338" s="185" t="s">
        <v>1118</v>
      </c>
      <c r="G3338" s="185" t="s">
        <v>3926</v>
      </c>
      <c r="H3338" s="185" t="s">
        <v>1515</v>
      </c>
      <c r="I3338" s="258" t="str">
        <f t="shared" si="157"/>
        <v>5</v>
      </c>
      <c r="J3338" s="221">
        <f t="shared" si="158"/>
        <v>45000</v>
      </c>
      <c r="K3338" s="258">
        <f t="shared" si="159"/>
        <v>11</v>
      </c>
      <c r="L3338" s="188">
        <v>45000</v>
      </c>
      <c r="M3338" s="188">
        <v>0</v>
      </c>
      <c r="N3338" s="189">
        <v>860066942</v>
      </c>
      <c r="O3338" t="s">
        <v>3924</v>
      </c>
      <c r="P3338" s="187">
        <v>45257</v>
      </c>
      <c r="Q3338" s="186">
        <v>14561</v>
      </c>
      <c r="R3338" s="185" t="s">
        <v>1814</v>
      </c>
      <c r="S3338" s="185" t="s">
        <v>1574</v>
      </c>
      <c r="T3338" t="s">
        <v>2729</v>
      </c>
      <c r="U3338" t="str">
        <f>IF($L3338&gt;0,VLOOKUP($E3338,Valida!$A$1:$G$270,6,FALSE),IF($M3338&gt;=0,VLOOKUP($E3338,Valida!$A$1:$G$270,7,FALSE)))</f>
        <v>(+/-) Ganancia (pérdida)</v>
      </c>
      <c r="V3338" s="190" t="str">
        <f>VLOOKUP(E3338,Valida!$A$2:$K$271,4,FALSE)</f>
        <v>P&amp;L</v>
      </c>
      <c r="W3338" s="185" t="s">
        <v>1914</v>
      </c>
      <c r="X3338" s="185" t="s">
        <v>1915</v>
      </c>
      <c r="Y3338" s="185" t="s">
        <v>1789</v>
      </c>
      <c r="Z3338"/>
    </row>
    <row r="3339" spans="1:26">
      <c r="A3339" s="185" t="s">
        <v>3810</v>
      </c>
      <c r="B3339" s="185" t="s">
        <v>3924</v>
      </c>
      <c r="C3339" s="185" t="s">
        <v>1897</v>
      </c>
      <c r="D3339" s="185" t="s">
        <v>3821</v>
      </c>
      <c r="E3339" s="185">
        <v>510572</v>
      </c>
      <c r="F3339" s="185" t="s">
        <v>1118</v>
      </c>
      <c r="G3339" s="185" t="s">
        <v>3926</v>
      </c>
      <c r="H3339" s="185" t="s">
        <v>1515</v>
      </c>
      <c r="I3339" s="258" t="str">
        <f t="shared" si="157"/>
        <v>5</v>
      </c>
      <c r="J3339" s="221">
        <f t="shared" si="158"/>
        <v>38280</v>
      </c>
      <c r="K3339" s="258">
        <f t="shared" si="159"/>
        <v>11</v>
      </c>
      <c r="L3339" s="188">
        <v>38280</v>
      </c>
      <c r="M3339" s="188">
        <v>0</v>
      </c>
      <c r="N3339" s="189">
        <v>860066942</v>
      </c>
      <c r="O3339" t="s">
        <v>3924</v>
      </c>
      <c r="P3339" s="187">
        <v>45257</v>
      </c>
      <c r="Q3339" s="186">
        <v>14562</v>
      </c>
      <c r="R3339" s="185" t="s">
        <v>1814</v>
      </c>
      <c r="S3339" s="185" t="s">
        <v>1574</v>
      </c>
      <c r="T3339" t="s">
        <v>2729</v>
      </c>
      <c r="U3339" t="str">
        <f>IF($L3339&gt;0,VLOOKUP($E3339,Valida!$A$1:$G$270,6,FALSE),IF($M3339&gt;=0,VLOOKUP($E3339,Valida!$A$1:$G$270,7,FALSE)))</f>
        <v>(+/-) Ganancia (pérdida)</v>
      </c>
      <c r="V3339" s="190" t="str">
        <f>VLOOKUP(E3339,Valida!$A$2:$K$271,4,FALSE)</f>
        <v>P&amp;L</v>
      </c>
      <c r="W3339" s="185" t="s">
        <v>1914</v>
      </c>
      <c r="X3339" s="185" t="s">
        <v>1915</v>
      </c>
      <c r="Y3339" s="185" t="s">
        <v>1789</v>
      </c>
      <c r="Z3339"/>
    </row>
    <row r="3340" spans="1:26">
      <c r="A3340" s="185" t="s">
        <v>3810</v>
      </c>
      <c r="B3340" s="185" t="s">
        <v>3924</v>
      </c>
      <c r="C3340" s="185" t="s">
        <v>1897</v>
      </c>
      <c r="D3340" s="185" t="s">
        <v>3821</v>
      </c>
      <c r="E3340" s="185">
        <v>510572</v>
      </c>
      <c r="F3340" s="185" t="s">
        <v>1118</v>
      </c>
      <c r="G3340" s="185" t="s">
        <v>3926</v>
      </c>
      <c r="H3340" s="185" t="s">
        <v>1515</v>
      </c>
      <c r="I3340" s="258" t="str">
        <f t="shared" si="157"/>
        <v>5</v>
      </c>
      <c r="J3340" s="221">
        <f t="shared" si="158"/>
        <v>55547</v>
      </c>
      <c r="K3340" s="258">
        <f t="shared" si="159"/>
        <v>11</v>
      </c>
      <c r="L3340" s="188">
        <v>55547</v>
      </c>
      <c r="M3340" s="188">
        <v>0</v>
      </c>
      <c r="N3340" s="189">
        <v>860066942</v>
      </c>
      <c r="O3340" t="s">
        <v>3924</v>
      </c>
      <c r="P3340" s="187">
        <v>45257</v>
      </c>
      <c r="Q3340" s="186">
        <v>14563</v>
      </c>
      <c r="R3340" s="185" t="s">
        <v>1814</v>
      </c>
      <c r="S3340" s="185" t="s">
        <v>1574</v>
      </c>
      <c r="T3340" t="s">
        <v>2729</v>
      </c>
      <c r="U3340" t="str">
        <f>IF($L3340&gt;0,VLOOKUP($E3340,Valida!$A$1:$G$270,6,FALSE),IF($M3340&gt;=0,VLOOKUP($E3340,Valida!$A$1:$G$270,7,FALSE)))</f>
        <v>(+/-) Ganancia (pérdida)</v>
      </c>
      <c r="V3340" s="190" t="str">
        <f>VLOOKUP(E3340,Valida!$A$2:$K$271,4,FALSE)</f>
        <v>P&amp;L</v>
      </c>
      <c r="W3340" s="185" t="s">
        <v>1914</v>
      </c>
      <c r="X3340" s="185" t="s">
        <v>1915</v>
      </c>
      <c r="Y3340" s="185" t="s">
        <v>1789</v>
      </c>
      <c r="Z3340"/>
    </row>
    <row r="3341" spans="1:26">
      <c r="A3341" s="185" t="s">
        <v>3810</v>
      </c>
      <c r="B3341" s="185" t="s">
        <v>3924</v>
      </c>
      <c r="C3341" s="185" t="s">
        <v>1897</v>
      </c>
      <c r="D3341" s="185" t="s">
        <v>3821</v>
      </c>
      <c r="E3341" s="185">
        <v>510572</v>
      </c>
      <c r="F3341" s="185" t="s">
        <v>1118</v>
      </c>
      <c r="G3341" s="185" t="s">
        <v>3926</v>
      </c>
      <c r="H3341" s="185" t="s">
        <v>1515</v>
      </c>
      <c r="I3341" s="258" t="str">
        <f t="shared" si="157"/>
        <v>5</v>
      </c>
      <c r="J3341" s="221">
        <f t="shared" si="158"/>
        <v>44681</v>
      </c>
      <c r="K3341" s="258">
        <f t="shared" si="159"/>
        <v>11</v>
      </c>
      <c r="L3341" s="188">
        <v>44681</v>
      </c>
      <c r="M3341" s="188">
        <v>0</v>
      </c>
      <c r="N3341" s="189">
        <v>860066942</v>
      </c>
      <c r="O3341" t="s">
        <v>3924</v>
      </c>
      <c r="P3341" s="187">
        <v>45257</v>
      </c>
      <c r="Q3341" s="186">
        <v>14564</v>
      </c>
      <c r="R3341" s="185" t="s">
        <v>1814</v>
      </c>
      <c r="S3341" s="185" t="s">
        <v>1574</v>
      </c>
      <c r="T3341" t="s">
        <v>2729</v>
      </c>
      <c r="U3341" t="str">
        <f>IF($L3341&gt;0,VLOOKUP($E3341,Valida!$A$1:$G$270,6,FALSE),IF($M3341&gt;=0,VLOOKUP($E3341,Valida!$A$1:$G$270,7,FALSE)))</f>
        <v>(+/-) Ganancia (pérdida)</v>
      </c>
      <c r="V3341" s="190" t="str">
        <f>VLOOKUP(E3341,Valida!$A$2:$K$271,4,FALSE)</f>
        <v>P&amp;L</v>
      </c>
      <c r="W3341" s="185" t="s">
        <v>1914</v>
      </c>
      <c r="X3341" s="185" t="s">
        <v>1915</v>
      </c>
      <c r="Y3341" s="185" t="s">
        <v>1789</v>
      </c>
      <c r="Z3341"/>
    </row>
    <row r="3342" spans="1:26">
      <c r="A3342" s="185" t="s">
        <v>3810</v>
      </c>
      <c r="B3342" s="185" t="s">
        <v>3924</v>
      </c>
      <c r="C3342" s="185" t="s">
        <v>1897</v>
      </c>
      <c r="D3342" s="185" t="s">
        <v>3821</v>
      </c>
      <c r="E3342" s="185">
        <v>510572</v>
      </c>
      <c r="F3342" s="185" t="s">
        <v>1118</v>
      </c>
      <c r="G3342" s="185" t="s">
        <v>3926</v>
      </c>
      <c r="H3342" s="185" t="s">
        <v>1515</v>
      </c>
      <c r="I3342" s="258" t="str">
        <f t="shared" si="157"/>
        <v>5</v>
      </c>
      <c r="J3342" s="221">
        <f t="shared" si="158"/>
        <v>34800</v>
      </c>
      <c r="K3342" s="258">
        <f t="shared" si="159"/>
        <v>11</v>
      </c>
      <c r="L3342" s="188">
        <v>34800</v>
      </c>
      <c r="M3342" s="188">
        <v>0</v>
      </c>
      <c r="N3342" s="189">
        <v>860066942</v>
      </c>
      <c r="O3342" t="s">
        <v>3924</v>
      </c>
      <c r="P3342" s="187">
        <v>45257</v>
      </c>
      <c r="Q3342" s="186">
        <v>14565</v>
      </c>
      <c r="R3342" s="185" t="s">
        <v>1814</v>
      </c>
      <c r="S3342" s="185" t="s">
        <v>1574</v>
      </c>
      <c r="T3342" t="s">
        <v>2729</v>
      </c>
      <c r="U3342" t="str">
        <f>IF($L3342&gt;0,VLOOKUP($E3342,Valida!$A$1:$G$270,6,FALSE),IF($M3342&gt;=0,VLOOKUP($E3342,Valida!$A$1:$G$270,7,FALSE)))</f>
        <v>(+/-) Ganancia (pérdida)</v>
      </c>
      <c r="V3342" s="190" t="str">
        <f>VLOOKUP(E3342,Valida!$A$2:$K$271,4,FALSE)</f>
        <v>P&amp;L</v>
      </c>
      <c r="W3342" s="185" t="s">
        <v>1914</v>
      </c>
      <c r="X3342" s="185" t="s">
        <v>1915</v>
      </c>
      <c r="Y3342" s="185" t="s">
        <v>1789</v>
      </c>
      <c r="Z3342"/>
    </row>
    <row r="3343" spans="1:26">
      <c r="A3343" s="185" t="s">
        <v>3932</v>
      </c>
      <c r="B3343" s="185" t="s">
        <v>3933</v>
      </c>
      <c r="C3343" s="185" t="s">
        <v>1897</v>
      </c>
      <c r="D3343" s="185" t="s">
        <v>3830</v>
      </c>
      <c r="E3343" s="185">
        <v>510506</v>
      </c>
      <c r="F3343" s="185" t="s">
        <v>1076</v>
      </c>
      <c r="G3343" s="185" t="s">
        <v>3934</v>
      </c>
      <c r="H3343" s="185" t="s">
        <v>1515</v>
      </c>
      <c r="I3343" s="258" t="str">
        <f t="shared" si="157"/>
        <v>5</v>
      </c>
      <c r="J3343" s="221">
        <f t="shared" si="158"/>
        <v>1160000</v>
      </c>
      <c r="K3343" s="258">
        <f t="shared" si="159"/>
        <v>12</v>
      </c>
      <c r="L3343" s="188">
        <v>1160000</v>
      </c>
      <c r="M3343" s="188">
        <v>0</v>
      </c>
      <c r="N3343" s="189">
        <v>1130744136</v>
      </c>
      <c r="O3343" t="s">
        <v>3933</v>
      </c>
      <c r="P3343" s="187">
        <v>45280</v>
      </c>
      <c r="Q3343" s="186">
        <v>14764</v>
      </c>
      <c r="R3343" s="185"/>
      <c r="S3343" s="185" t="s">
        <v>1538</v>
      </c>
      <c r="T3343" t="s">
        <v>2729</v>
      </c>
      <c r="U3343" t="str">
        <f>IF($L3343&gt;0,VLOOKUP($E3343,Valida!$A$1:$G$270,6,FALSE),IF($M3343&gt;=0,VLOOKUP($E3343,Valida!$A$1:$G$270,7,FALSE)))</f>
        <v>(+/-) Ganancia (pérdida)</v>
      </c>
      <c r="V3343" s="190" t="str">
        <f>VLOOKUP(E3343,Valida!$A$2:$K$271,4,FALSE)</f>
        <v>P&amp;L</v>
      </c>
      <c r="W3343" s="185" t="s">
        <v>1909</v>
      </c>
      <c r="X3343" s="185" t="s">
        <v>1910</v>
      </c>
      <c r="Y3343" s="185" t="s">
        <v>1789</v>
      </c>
      <c r="Z3343"/>
    </row>
    <row r="3344" spans="1:26">
      <c r="A3344" s="185" t="s">
        <v>3932</v>
      </c>
      <c r="B3344" s="185" t="s">
        <v>3933</v>
      </c>
      <c r="C3344" s="185" t="s">
        <v>1897</v>
      </c>
      <c r="D3344" s="185" t="s">
        <v>3830</v>
      </c>
      <c r="E3344" s="185">
        <v>252005</v>
      </c>
      <c r="F3344" s="185" t="s">
        <v>783</v>
      </c>
      <c r="G3344" s="185" t="s">
        <v>3934</v>
      </c>
      <c r="H3344" s="185" t="s">
        <v>1515</v>
      </c>
      <c r="I3344" s="258" t="str">
        <f t="shared" si="157"/>
        <v>2</v>
      </c>
      <c r="J3344" s="221">
        <f t="shared" si="158"/>
        <v>650303</v>
      </c>
      <c r="K3344" s="258">
        <f t="shared" si="159"/>
        <v>12</v>
      </c>
      <c r="L3344" s="188">
        <v>650303</v>
      </c>
      <c r="M3344" s="188">
        <v>0</v>
      </c>
      <c r="N3344" s="189">
        <v>1130744136</v>
      </c>
      <c r="O3344" t="s">
        <v>3933</v>
      </c>
      <c r="P3344" s="187">
        <v>45280</v>
      </c>
      <c r="Q3344" s="186">
        <v>14765</v>
      </c>
      <c r="R3344" s="185"/>
      <c r="S3344" s="185" t="s">
        <v>1538</v>
      </c>
      <c r="T3344" t="s">
        <v>2729</v>
      </c>
      <c r="U3344" t="str">
        <f>IF($L3344&gt;0,VLOOKUP($E3344,Valida!$A$1:$G$270,6,FALSE),IF($M3344&gt;=0,VLOOKUP($E3344,Valida!$A$1:$G$270,7,FALSE)))</f>
        <v>(+/-) Ajustes por el incremento (disminución) de cuentas por pagar de origen comercial</v>
      </c>
      <c r="V3344" s="190" t="str">
        <f>VLOOKUP(E3344,Valida!$A$2:$K$271,4,FALSE)</f>
        <v>Trade and other payables</v>
      </c>
      <c r="W3344" s="185" t="s">
        <v>1909</v>
      </c>
      <c r="X3344" s="185" t="s">
        <v>1910</v>
      </c>
      <c r="Y3344" s="185" t="s">
        <v>1789</v>
      </c>
      <c r="Z3344"/>
    </row>
    <row r="3345" spans="1:26">
      <c r="A3345" s="185" t="s">
        <v>3932</v>
      </c>
      <c r="B3345" s="185" t="s">
        <v>3933</v>
      </c>
      <c r="C3345" s="185" t="s">
        <v>1897</v>
      </c>
      <c r="D3345" s="185" t="s">
        <v>3830</v>
      </c>
      <c r="E3345" s="185">
        <v>510527</v>
      </c>
      <c r="F3345" s="185" t="s">
        <v>1089</v>
      </c>
      <c r="G3345" s="185" t="s">
        <v>3934</v>
      </c>
      <c r="H3345" s="185" t="s">
        <v>1515</v>
      </c>
      <c r="I3345" s="258" t="str">
        <f t="shared" si="157"/>
        <v>5</v>
      </c>
      <c r="J3345" s="221">
        <f t="shared" si="158"/>
        <v>140606</v>
      </c>
      <c r="K3345" s="258">
        <f t="shared" si="159"/>
        <v>12</v>
      </c>
      <c r="L3345" s="188">
        <v>140606</v>
      </c>
      <c r="M3345" s="188">
        <v>0</v>
      </c>
      <c r="N3345" s="189">
        <v>1130744136</v>
      </c>
      <c r="O3345" t="s">
        <v>3933</v>
      </c>
      <c r="P3345" s="187">
        <v>45280</v>
      </c>
      <c r="Q3345" s="186">
        <v>14766</v>
      </c>
      <c r="R3345" s="185"/>
      <c r="S3345" s="185" t="s">
        <v>1538</v>
      </c>
      <c r="T3345" t="s">
        <v>2729</v>
      </c>
      <c r="U3345" t="str">
        <f>IF($L3345&gt;0,VLOOKUP($E3345,Valida!$A$1:$G$270,6,FALSE),IF($M3345&gt;=0,VLOOKUP($E3345,Valida!$A$1:$G$270,7,FALSE)))</f>
        <v>(+/-) Ganancia (pérdida)</v>
      </c>
      <c r="V3345" s="190" t="str">
        <f>VLOOKUP(E3345,Valida!$A$2:$K$271,4,FALSE)</f>
        <v>P&amp;L</v>
      </c>
      <c r="W3345" s="185" t="s">
        <v>1909</v>
      </c>
      <c r="X3345" s="185" t="s">
        <v>1910</v>
      </c>
      <c r="Y3345" s="185" t="s">
        <v>1789</v>
      </c>
      <c r="Z3345"/>
    </row>
    <row r="3346" spans="1:26">
      <c r="A3346" s="185" t="s">
        <v>3932</v>
      </c>
      <c r="B3346" s="185" t="s">
        <v>3933</v>
      </c>
      <c r="C3346" s="185" t="s">
        <v>1897</v>
      </c>
      <c r="D3346" s="185" t="s">
        <v>3830</v>
      </c>
      <c r="E3346" s="185">
        <v>237005</v>
      </c>
      <c r="F3346" s="185" t="s">
        <v>676</v>
      </c>
      <c r="G3346" s="185" t="s">
        <v>3934</v>
      </c>
      <c r="H3346" s="185" t="s">
        <v>1628</v>
      </c>
      <c r="I3346" s="258" t="str">
        <f t="shared" si="157"/>
        <v>2</v>
      </c>
      <c r="J3346" s="221">
        <f t="shared" si="158"/>
        <v>-46400</v>
      </c>
      <c r="K3346" s="258">
        <f t="shared" si="159"/>
        <v>12</v>
      </c>
      <c r="L3346" s="188">
        <v>0</v>
      </c>
      <c r="M3346" s="188">
        <v>46400</v>
      </c>
      <c r="N3346" s="189">
        <v>800251440</v>
      </c>
      <c r="O3346" t="s">
        <v>3933</v>
      </c>
      <c r="P3346" s="187">
        <v>45280</v>
      </c>
      <c r="Q3346" s="186">
        <v>14767</v>
      </c>
      <c r="R3346" s="185" t="s">
        <v>1901</v>
      </c>
      <c r="S3346" s="185" t="s">
        <v>1560</v>
      </c>
      <c r="T3346" t="s">
        <v>2729</v>
      </c>
      <c r="U3346" t="str">
        <f>IF($L3346&gt;0,VLOOKUP($E3346,Valida!$A$1:$G$270,6,FALSE),IF($M3346&gt;=0,VLOOKUP($E3346,Valida!$A$1:$G$270,7,FALSE)))</f>
        <v>(+/-) Ajustes por el incremento (disminución) de cuentas por pagar de origen comercial</v>
      </c>
      <c r="V3346" s="190" t="str">
        <f>VLOOKUP(E3346,Valida!$A$2:$K$271,4,FALSE)</f>
        <v>Trade and other payables</v>
      </c>
      <c r="W3346" s="185" t="s">
        <v>1902</v>
      </c>
      <c r="X3346" s="185" t="s">
        <v>1903</v>
      </c>
      <c r="Y3346" s="185" t="s">
        <v>1789</v>
      </c>
      <c r="Z3346"/>
    </row>
    <row r="3347" spans="1:26">
      <c r="A3347" s="185" t="s">
        <v>3932</v>
      </c>
      <c r="B3347" s="185" t="s">
        <v>3933</v>
      </c>
      <c r="C3347" s="185" t="s">
        <v>1897</v>
      </c>
      <c r="D3347" s="185" t="s">
        <v>3830</v>
      </c>
      <c r="E3347" s="185">
        <v>238030</v>
      </c>
      <c r="F3347" s="185" t="s">
        <v>721</v>
      </c>
      <c r="G3347" s="185" t="s">
        <v>3934</v>
      </c>
      <c r="H3347" s="185" t="s">
        <v>1628</v>
      </c>
      <c r="I3347" s="258" t="str">
        <f t="shared" si="157"/>
        <v>2</v>
      </c>
      <c r="J3347" s="221">
        <f t="shared" si="158"/>
        <v>-46400</v>
      </c>
      <c r="K3347" s="258">
        <f t="shared" si="159"/>
        <v>12</v>
      </c>
      <c r="L3347" s="188">
        <v>0</v>
      </c>
      <c r="M3347" s="188">
        <v>46400</v>
      </c>
      <c r="N3347" s="189">
        <v>800224808</v>
      </c>
      <c r="O3347" t="s">
        <v>3933</v>
      </c>
      <c r="P3347" s="187">
        <v>45280</v>
      </c>
      <c r="Q3347" s="186">
        <v>14768</v>
      </c>
      <c r="R3347" s="185" t="s">
        <v>1827</v>
      </c>
      <c r="S3347" s="185" t="s">
        <v>1662</v>
      </c>
      <c r="T3347" t="s">
        <v>2729</v>
      </c>
      <c r="U3347" t="str">
        <f>IF($L3347&gt;0,VLOOKUP($E3347,Valida!$A$1:$G$270,6,FALSE),IF($M3347&gt;=0,VLOOKUP($E3347,Valida!$A$1:$G$270,7,FALSE)))</f>
        <v>(+/-) Ajustes por el incremento (disminución) de cuentas por pagar de origen comercial</v>
      </c>
      <c r="V3347" s="190" t="str">
        <f>VLOOKUP(E3347,Valida!$A$2:$K$271,4,FALSE)</f>
        <v>Trade and other payables</v>
      </c>
      <c r="W3347" s="185" t="s">
        <v>1911</v>
      </c>
      <c r="X3347" s="185"/>
      <c r="Y3347" s="185" t="s">
        <v>1789</v>
      </c>
      <c r="Z3347"/>
    </row>
    <row r="3348" spans="1:26">
      <c r="A3348" s="185" t="s">
        <v>3932</v>
      </c>
      <c r="B3348" s="185" t="s">
        <v>3933</v>
      </c>
      <c r="C3348" s="185" t="s">
        <v>1897</v>
      </c>
      <c r="D3348" s="185" t="s">
        <v>3830</v>
      </c>
      <c r="E3348" s="185">
        <v>510506</v>
      </c>
      <c r="F3348" s="185" t="s">
        <v>1076</v>
      </c>
      <c r="G3348" s="185" t="s">
        <v>3934</v>
      </c>
      <c r="H3348" s="185" t="s">
        <v>1515</v>
      </c>
      <c r="I3348" s="258" t="str">
        <f t="shared" si="157"/>
        <v>5</v>
      </c>
      <c r="J3348" s="221">
        <f t="shared" si="158"/>
        <v>850000</v>
      </c>
      <c r="K3348" s="258">
        <f t="shared" si="159"/>
        <v>12</v>
      </c>
      <c r="L3348" s="188">
        <v>850000</v>
      </c>
      <c r="M3348" s="188">
        <v>0</v>
      </c>
      <c r="N3348" s="189">
        <v>1010101811</v>
      </c>
      <c r="O3348" t="s">
        <v>3933</v>
      </c>
      <c r="P3348" s="187">
        <v>45280</v>
      </c>
      <c r="Q3348" s="186">
        <v>14769</v>
      </c>
      <c r="R3348" s="185"/>
      <c r="S3348" s="185" t="s">
        <v>1528</v>
      </c>
      <c r="T3348" t="s">
        <v>2729</v>
      </c>
      <c r="U3348" t="str">
        <f>IF($L3348&gt;0,VLOOKUP($E3348,Valida!$A$1:$G$270,6,FALSE),IF($M3348&gt;=0,VLOOKUP($E3348,Valida!$A$1:$G$270,7,FALSE)))</f>
        <v>(+/-) Ganancia (pérdida)</v>
      </c>
      <c r="V3348" s="190" t="str">
        <f>VLOOKUP(E3348,Valida!$A$2:$K$271,4,FALSE)</f>
        <v>P&amp;L</v>
      </c>
      <c r="W3348" s="185" t="s">
        <v>1967</v>
      </c>
      <c r="X3348" s="185"/>
      <c r="Y3348" s="185" t="s">
        <v>1789</v>
      </c>
      <c r="Z3348"/>
    </row>
    <row r="3349" spans="1:26">
      <c r="A3349" s="185" t="s">
        <v>3932</v>
      </c>
      <c r="B3349" s="185" t="s">
        <v>3933</v>
      </c>
      <c r="C3349" s="185" t="s">
        <v>1897</v>
      </c>
      <c r="D3349" s="185" t="s">
        <v>3830</v>
      </c>
      <c r="E3349" s="185">
        <v>510506</v>
      </c>
      <c r="F3349" s="185" t="s">
        <v>1076</v>
      </c>
      <c r="G3349" s="185" t="s">
        <v>3934</v>
      </c>
      <c r="H3349" s="185" t="s">
        <v>1515</v>
      </c>
      <c r="I3349" s="258" t="str">
        <f t="shared" si="157"/>
        <v>5</v>
      </c>
      <c r="J3349" s="221">
        <f t="shared" si="158"/>
        <v>100000</v>
      </c>
      <c r="K3349" s="258">
        <f t="shared" si="159"/>
        <v>12</v>
      </c>
      <c r="L3349" s="188">
        <v>100000</v>
      </c>
      <c r="M3349" s="188">
        <v>0</v>
      </c>
      <c r="N3349" s="189">
        <v>1010101811</v>
      </c>
      <c r="O3349" t="s">
        <v>3933</v>
      </c>
      <c r="P3349" s="187">
        <v>45280</v>
      </c>
      <c r="Q3349" s="186">
        <v>14770</v>
      </c>
      <c r="R3349" s="185"/>
      <c r="S3349" s="185" t="s">
        <v>1528</v>
      </c>
      <c r="T3349" t="s">
        <v>2729</v>
      </c>
      <c r="U3349" t="str">
        <f>IF($L3349&gt;0,VLOOKUP($E3349,Valida!$A$1:$G$270,6,FALSE),IF($M3349&gt;=0,VLOOKUP($E3349,Valida!$A$1:$G$270,7,FALSE)))</f>
        <v>(+/-) Ganancia (pérdida)</v>
      </c>
      <c r="V3349" s="190" t="str">
        <f>VLOOKUP(E3349,Valida!$A$2:$K$271,4,FALSE)</f>
        <v>P&amp;L</v>
      </c>
      <c r="W3349" s="185" t="s">
        <v>1967</v>
      </c>
      <c r="X3349" s="185"/>
      <c r="Y3349" s="185" t="s">
        <v>1789</v>
      </c>
      <c r="Z3349"/>
    </row>
    <row r="3350" spans="1:26">
      <c r="A3350" s="185" t="s">
        <v>3932</v>
      </c>
      <c r="B3350" s="185" t="s">
        <v>3933</v>
      </c>
      <c r="C3350" s="185" t="s">
        <v>1897</v>
      </c>
      <c r="D3350" s="185" t="s">
        <v>3830</v>
      </c>
      <c r="E3350" s="185">
        <v>252005</v>
      </c>
      <c r="F3350" s="185" t="s">
        <v>783</v>
      </c>
      <c r="G3350" s="185" t="s">
        <v>3934</v>
      </c>
      <c r="H3350" s="185" t="s">
        <v>1515</v>
      </c>
      <c r="I3350" s="258" t="str">
        <f t="shared" si="157"/>
        <v>2</v>
      </c>
      <c r="J3350" s="221">
        <f t="shared" si="158"/>
        <v>820303</v>
      </c>
      <c r="K3350" s="258">
        <f t="shared" si="159"/>
        <v>12</v>
      </c>
      <c r="L3350" s="188">
        <v>820303</v>
      </c>
      <c r="M3350" s="188">
        <v>0</v>
      </c>
      <c r="N3350" s="189">
        <v>1010101811</v>
      </c>
      <c r="O3350" t="s">
        <v>3933</v>
      </c>
      <c r="P3350" s="187">
        <v>45280</v>
      </c>
      <c r="Q3350" s="186">
        <v>14771</v>
      </c>
      <c r="R3350" s="185"/>
      <c r="S3350" s="185" t="s">
        <v>1528</v>
      </c>
      <c r="T3350" t="s">
        <v>2729</v>
      </c>
      <c r="U3350" t="str">
        <f>IF($L3350&gt;0,VLOOKUP($E3350,Valida!$A$1:$G$270,6,FALSE),IF($M3350&gt;=0,VLOOKUP($E3350,Valida!$A$1:$G$270,7,FALSE)))</f>
        <v>(+/-) Ajustes por el incremento (disminución) de cuentas por pagar de origen comercial</v>
      </c>
      <c r="V3350" s="190" t="str">
        <f>VLOOKUP(E3350,Valida!$A$2:$K$271,4,FALSE)</f>
        <v>Trade and other payables</v>
      </c>
      <c r="W3350" s="185" t="s">
        <v>1967</v>
      </c>
      <c r="X3350" s="185"/>
      <c r="Y3350" s="185" t="s">
        <v>1789</v>
      </c>
      <c r="Z3350"/>
    </row>
    <row r="3351" spans="1:26">
      <c r="A3351" s="185" t="s">
        <v>3932</v>
      </c>
      <c r="B3351" s="185" t="s">
        <v>3933</v>
      </c>
      <c r="C3351" s="185" t="s">
        <v>1897</v>
      </c>
      <c r="D3351" s="185" t="s">
        <v>3830</v>
      </c>
      <c r="E3351" s="185">
        <v>510527</v>
      </c>
      <c r="F3351" s="185" t="s">
        <v>1089</v>
      </c>
      <c r="G3351" s="185" t="s">
        <v>3934</v>
      </c>
      <c r="H3351" s="185" t="s">
        <v>1515</v>
      </c>
      <c r="I3351" s="258" t="str">
        <f t="shared" si="157"/>
        <v>5</v>
      </c>
      <c r="J3351" s="221">
        <f t="shared" si="158"/>
        <v>79677</v>
      </c>
      <c r="K3351" s="258">
        <f t="shared" si="159"/>
        <v>12</v>
      </c>
      <c r="L3351" s="188">
        <v>79677</v>
      </c>
      <c r="M3351" s="188">
        <v>0</v>
      </c>
      <c r="N3351" s="189">
        <v>1010101811</v>
      </c>
      <c r="O3351" t="s">
        <v>3933</v>
      </c>
      <c r="P3351" s="187">
        <v>45280</v>
      </c>
      <c r="Q3351" s="186">
        <v>14772</v>
      </c>
      <c r="R3351" s="185"/>
      <c r="S3351" s="185" t="s">
        <v>1528</v>
      </c>
      <c r="T3351" t="s">
        <v>2729</v>
      </c>
      <c r="U3351" t="str">
        <f>IF($L3351&gt;0,VLOOKUP($E3351,Valida!$A$1:$G$270,6,FALSE),IF($M3351&gt;=0,VLOOKUP($E3351,Valida!$A$1:$G$270,7,FALSE)))</f>
        <v>(+/-) Ganancia (pérdida)</v>
      </c>
      <c r="V3351" s="190" t="str">
        <f>VLOOKUP(E3351,Valida!$A$2:$K$271,4,FALSE)</f>
        <v>P&amp;L</v>
      </c>
      <c r="W3351" s="185" t="s">
        <v>1967</v>
      </c>
      <c r="X3351" s="185"/>
      <c r="Y3351" s="185" t="s">
        <v>1789</v>
      </c>
      <c r="Z3351"/>
    </row>
    <row r="3352" spans="1:26">
      <c r="A3352" s="185" t="s">
        <v>3932</v>
      </c>
      <c r="B3352" s="185" t="s">
        <v>3933</v>
      </c>
      <c r="C3352" s="185" t="s">
        <v>1897</v>
      </c>
      <c r="D3352" s="185" t="s">
        <v>3830</v>
      </c>
      <c r="E3352" s="185">
        <v>510527</v>
      </c>
      <c r="F3352" s="185" t="s">
        <v>1089</v>
      </c>
      <c r="G3352" s="185" t="s">
        <v>3934</v>
      </c>
      <c r="H3352" s="185" t="s">
        <v>1515</v>
      </c>
      <c r="I3352" s="258" t="str">
        <f t="shared" si="157"/>
        <v>5</v>
      </c>
      <c r="J3352" s="221">
        <f t="shared" si="158"/>
        <v>9374</v>
      </c>
      <c r="K3352" s="258">
        <f t="shared" si="159"/>
        <v>12</v>
      </c>
      <c r="L3352" s="188">
        <v>9374</v>
      </c>
      <c r="M3352" s="188">
        <v>0</v>
      </c>
      <c r="N3352" s="189">
        <v>1010101811</v>
      </c>
      <c r="O3352" t="s">
        <v>3933</v>
      </c>
      <c r="P3352" s="187">
        <v>45280</v>
      </c>
      <c r="Q3352" s="186">
        <v>14773</v>
      </c>
      <c r="R3352" s="185"/>
      <c r="S3352" s="185" t="s">
        <v>1528</v>
      </c>
      <c r="T3352" t="s">
        <v>2729</v>
      </c>
      <c r="U3352" t="str">
        <f>IF($L3352&gt;0,VLOOKUP($E3352,Valida!$A$1:$G$270,6,FALSE),IF($M3352&gt;=0,VLOOKUP($E3352,Valida!$A$1:$G$270,7,FALSE)))</f>
        <v>(+/-) Ganancia (pérdida)</v>
      </c>
      <c r="V3352" s="190" t="str">
        <f>VLOOKUP(E3352,Valida!$A$2:$K$271,4,FALSE)</f>
        <v>P&amp;L</v>
      </c>
      <c r="W3352" s="185" t="s">
        <v>1967</v>
      </c>
      <c r="X3352" s="185"/>
      <c r="Y3352" s="185" t="s">
        <v>1789</v>
      </c>
      <c r="Z3352"/>
    </row>
    <row r="3353" spans="1:26">
      <c r="A3353" s="185" t="s">
        <v>3932</v>
      </c>
      <c r="B3353" s="185" t="s">
        <v>3933</v>
      </c>
      <c r="C3353" s="185" t="s">
        <v>1897</v>
      </c>
      <c r="D3353" s="185" t="s">
        <v>3830</v>
      </c>
      <c r="E3353" s="185">
        <v>510539</v>
      </c>
      <c r="F3353" s="185" t="s">
        <v>818</v>
      </c>
      <c r="G3353" s="185" t="s">
        <v>3934</v>
      </c>
      <c r="H3353" s="185" t="s">
        <v>1515</v>
      </c>
      <c r="I3353" s="258" t="str">
        <f t="shared" si="157"/>
        <v>5</v>
      </c>
      <c r="J3353" s="221">
        <f t="shared" si="158"/>
        <v>100000</v>
      </c>
      <c r="K3353" s="258">
        <f t="shared" si="159"/>
        <v>12</v>
      </c>
      <c r="L3353" s="188">
        <v>100000</v>
      </c>
      <c r="M3353" s="188">
        <v>0</v>
      </c>
      <c r="N3353" s="189">
        <v>1010101811</v>
      </c>
      <c r="O3353" t="s">
        <v>3933</v>
      </c>
      <c r="P3353" s="187">
        <v>45280</v>
      </c>
      <c r="Q3353" s="186">
        <v>14774</v>
      </c>
      <c r="R3353" s="185"/>
      <c r="S3353" s="185" t="s">
        <v>1528</v>
      </c>
      <c r="T3353" t="s">
        <v>2729</v>
      </c>
      <c r="U3353" t="str">
        <f>IF($L3353&gt;0,VLOOKUP($E3353,Valida!$A$1:$G$270,6,FALSE),IF($M3353&gt;=0,VLOOKUP($E3353,Valida!$A$1:$G$270,7,FALSE)))</f>
        <v>(+/-) Ganancia (pérdida)</v>
      </c>
      <c r="V3353" s="190" t="str">
        <f>VLOOKUP(E3353,Valida!$A$2:$K$271,4,FALSE)</f>
        <v>P&amp;L</v>
      </c>
      <c r="W3353" s="185" t="s">
        <v>1967</v>
      </c>
      <c r="X3353" s="185"/>
      <c r="Y3353" s="185" t="s">
        <v>1789</v>
      </c>
      <c r="Z3353"/>
    </row>
    <row r="3354" spans="1:26">
      <c r="A3354" s="185" t="s">
        <v>3932</v>
      </c>
      <c r="B3354" s="185" t="s">
        <v>3933</v>
      </c>
      <c r="C3354" s="185" t="s">
        <v>1897</v>
      </c>
      <c r="D3354" s="185" t="s">
        <v>3830</v>
      </c>
      <c r="E3354" s="185">
        <v>252505</v>
      </c>
      <c r="F3354" s="185" t="s">
        <v>787</v>
      </c>
      <c r="G3354" s="185" t="s">
        <v>3934</v>
      </c>
      <c r="H3354" s="185" t="s">
        <v>1515</v>
      </c>
      <c r="I3354" s="258" t="str">
        <f t="shared" si="157"/>
        <v>2</v>
      </c>
      <c r="J3354" s="221">
        <f t="shared" si="158"/>
        <v>450000</v>
      </c>
      <c r="K3354" s="258">
        <f t="shared" si="159"/>
        <v>12</v>
      </c>
      <c r="L3354" s="188">
        <v>450000</v>
      </c>
      <c r="M3354" s="188">
        <v>0</v>
      </c>
      <c r="N3354" s="189">
        <v>1010101811</v>
      </c>
      <c r="O3354" t="s">
        <v>3933</v>
      </c>
      <c r="P3354" s="187">
        <v>45280</v>
      </c>
      <c r="Q3354" s="186">
        <v>14775</v>
      </c>
      <c r="R3354" s="185"/>
      <c r="S3354" s="185" t="s">
        <v>1528</v>
      </c>
      <c r="T3354" t="s">
        <v>2729</v>
      </c>
      <c r="U3354" t="str">
        <f>IF($L3354&gt;0,VLOOKUP($E3354,Valida!$A$1:$G$270,6,FALSE),IF($M3354&gt;=0,VLOOKUP($E3354,Valida!$A$1:$G$270,7,FALSE)))</f>
        <v>(+/-) Ajustes por el incremento (disminución) de cuentas por pagar de origen comercial</v>
      </c>
      <c r="V3354" s="190" t="str">
        <f>VLOOKUP(E3354,Valida!$A$2:$K$271,4,FALSE)</f>
        <v>Trade and other payables</v>
      </c>
      <c r="W3354" s="185" t="s">
        <v>1967</v>
      </c>
      <c r="X3354" s="185"/>
      <c r="Y3354" s="185" t="s">
        <v>1789</v>
      </c>
      <c r="Z3354"/>
    </row>
    <row r="3355" spans="1:26">
      <c r="A3355" s="185" t="s">
        <v>3932</v>
      </c>
      <c r="B3355" s="185" t="s">
        <v>3933</v>
      </c>
      <c r="C3355" s="185" t="s">
        <v>1897</v>
      </c>
      <c r="D3355" s="185" t="s">
        <v>3830</v>
      </c>
      <c r="E3355" s="185">
        <v>237005</v>
      </c>
      <c r="F3355" s="185" t="s">
        <v>676</v>
      </c>
      <c r="G3355" s="185" t="s">
        <v>3934</v>
      </c>
      <c r="H3355" s="185" t="s">
        <v>1628</v>
      </c>
      <c r="I3355" s="258" t="str">
        <f t="shared" si="157"/>
        <v>2</v>
      </c>
      <c r="J3355" s="221">
        <f t="shared" si="158"/>
        <v>-56000</v>
      </c>
      <c r="K3355" s="258">
        <f t="shared" si="159"/>
        <v>12</v>
      </c>
      <c r="L3355" s="188">
        <v>0</v>
      </c>
      <c r="M3355" s="188">
        <v>56000</v>
      </c>
      <c r="N3355" s="189">
        <v>860066942</v>
      </c>
      <c r="O3355" t="s">
        <v>3933</v>
      </c>
      <c r="P3355" s="187">
        <v>45280</v>
      </c>
      <c r="Q3355" s="186">
        <v>14776</v>
      </c>
      <c r="R3355" s="185" t="s">
        <v>1814</v>
      </c>
      <c r="S3355" s="185" t="s">
        <v>1574</v>
      </c>
      <c r="T3355" t="s">
        <v>2729</v>
      </c>
      <c r="U3355" t="str">
        <f>IF($L3355&gt;0,VLOOKUP($E3355,Valida!$A$1:$G$270,6,FALSE),IF($M3355&gt;=0,VLOOKUP($E3355,Valida!$A$1:$G$270,7,FALSE)))</f>
        <v>(+/-) Ajustes por el incremento (disminución) de cuentas por pagar de origen comercial</v>
      </c>
      <c r="V3355" s="190" t="str">
        <f>VLOOKUP(E3355,Valida!$A$2:$K$271,4,FALSE)</f>
        <v>Trade and other payables</v>
      </c>
      <c r="W3355" s="185" t="s">
        <v>1914</v>
      </c>
      <c r="X3355" s="185" t="s">
        <v>1915</v>
      </c>
      <c r="Y3355" s="185" t="s">
        <v>1789</v>
      </c>
      <c r="Z3355"/>
    </row>
    <row r="3356" spans="1:26">
      <c r="A3356" s="185" t="s">
        <v>3932</v>
      </c>
      <c r="B3356" s="185" t="s">
        <v>3933</v>
      </c>
      <c r="C3356" s="185" t="s">
        <v>1897</v>
      </c>
      <c r="D3356" s="185" t="s">
        <v>3830</v>
      </c>
      <c r="E3356" s="185">
        <v>237005</v>
      </c>
      <c r="F3356" s="185" t="s">
        <v>676</v>
      </c>
      <c r="G3356" s="185" t="s">
        <v>3934</v>
      </c>
      <c r="H3356" s="185" t="s">
        <v>1628</v>
      </c>
      <c r="I3356" s="258" t="str">
        <f t="shared" si="157"/>
        <v>2</v>
      </c>
      <c r="J3356" s="221">
        <f t="shared" si="158"/>
        <v>-4000</v>
      </c>
      <c r="K3356" s="258">
        <f t="shared" si="159"/>
        <v>12</v>
      </c>
      <c r="L3356" s="188">
        <v>0</v>
      </c>
      <c r="M3356" s="188">
        <v>4000</v>
      </c>
      <c r="N3356" s="189">
        <v>860066942</v>
      </c>
      <c r="O3356" t="s">
        <v>3933</v>
      </c>
      <c r="P3356" s="187">
        <v>45280</v>
      </c>
      <c r="Q3356" s="186">
        <v>14777</v>
      </c>
      <c r="R3356" s="185" t="s">
        <v>1814</v>
      </c>
      <c r="S3356" s="185" t="s">
        <v>1574</v>
      </c>
      <c r="T3356" t="s">
        <v>2729</v>
      </c>
      <c r="U3356" t="str">
        <f>IF($L3356&gt;0,VLOOKUP($E3356,Valida!$A$1:$G$270,6,FALSE),IF($M3356&gt;=0,VLOOKUP($E3356,Valida!$A$1:$G$270,7,FALSE)))</f>
        <v>(+/-) Ajustes por el incremento (disminución) de cuentas por pagar de origen comercial</v>
      </c>
      <c r="V3356" s="190" t="str">
        <f>VLOOKUP(E3356,Valida!$A$2:$K$271,4,FALSE)</f>
        <v>Trade and other payables</v>
      </c>
      <c r="W3356" s="185" t="s">
        <v>1914</v>
      </c>
      <c r="X3356" s="185" t="s">
        <v>1915</v>
      </c>
      <c r="Y3356" s="185" t="s">
        <v>1789</v>
      </c>
      <c r="Z3356"/>
    </row>
    <row r="3357" spans="1:26">
      <c r="A3357" s="185" t="s">
        <v>3932</v>
      </c>
      <c r="B3357" s="185" t="s">
        <v>3933</v>
      </c>
      <c r="C3357" s="185" t="s">
        <v>1897</v>
      </c>
      <c r="D3357" s="185" t="s">
        <v>3830</v>
      </c>
      <c r="E3357" s="185">
        <v>238030</v>
      </c>
      <c r="F3357" s="185" t="s">
        <v>721</v>
      </c>
      <c r="G3357" s="185" t="s">
        <v>3934</v>
      </c>
      <c r="H3357" s="185" t="s">
        <v>1628</v>
      </c>
      <c r="I3357" s="258" t="str">
        <f t="shared" si="157"/>
        <v>2</v>
      </c>
      <c r="J3357" s="221">
        <f t="shared" si="158"/>
        <v>-56000</v>
      </c>
      <c r="K3357" s="258">
        <f t="shared" si="159"/>
        <v>12</v>
      </c>
      <c r="L3357" s="188">
        <v>0</v>
      </c>
      <c r="M3357" s="188">
        <v>56000</v>
      </c>
      <c r="N3357" s="189">
        <v>800224808</v>
      </c>
      <c r="O3357" t="s">
        <v>3933</v>
      </c>
      <c r="P3357" s="187">
        <v>45280</v>
      </c>
      <c r="Q3357" s="186">
        <v>14778</v>
      </c>
      <c r="R3357" s="185" t="s">
        <v>1827</v>
      </c>
      <c r="S3357" s="185" t="s">
        <v>1662</v>
      </c>
      <c r="T3357" t="s">
        <v>2729</v>
      </c>
      <c r="U3357" t="str">
        <f>IF($L3357&gt;0,VLOOKUP($E3357,Valida!$A$1:$G$270,6,FALSE),IF($M3357&gt;=0,VLOOKUP($E3357,Valida!$A$1:$G$270,7,FALSE)))</f>
        <v>(+/-) Ajustes por el incremento (disminución) de cuentas por pagar de origen comercial</v>
      </c>
      <c r="V3357" s="190" t="str">
        <f>VLOOKUP(E3357,Valida!$A$2:$K$271,4,FALSE)</f>
        <v>Trade and other payables</v>
      </c>
      <c r="W3357" s="185" t="s">
        <v>1911</v>
      </c>
      <c r="X3357" s="185"/>
      <c r="Y3357" s="185" t="s">
        <v>1789</v>
      </c>
      <c r="Z3357"/>
    </row>
    <row r="3358" spans="1:26">
      <c r="A3358" s="185" t="s">
        <v>3932</v>
      </c>
      <c r="B3358" s="185" t="s">
        <v>3933</v>
      </c>
      <c r="C3358" s="185" t="s">
        <v>1897</v>
      </c>
      <c r="D3358" s="185" t="s">
        <v>3830</v>
      </c>
      <c r="E3358" s="185">
        <v>238030</v>
      </c>
      <c r="F3358" s="185" t="s">
        <v>721</v>
      </c>
      <c r="G3358" s="185" t="s">
        <v>3934</v>
      </c>
      <c r="H3358" s="185" t="s">
        <v>1628</v>
      </c>
      <c r="I3358" s="258" t="str">
        <f t="shared" si="157"/>
        <v>2</v>
      </c>
      <c r="J3358" s="221">
        <f t="shared" si="158"/>
        <v>-4000</v>
      </c>
      <c r="K3358" s="258">
        <f t="shared" si="159"/>
        <v>12</v>
      </c>
      <c r="L3358" s="188">
        <v>0</v>
      </c>
      <c r="M3358" s="188">
        <v>4000</v>
      </c>
      <c r="N3358" s="189">
        <v>800224808</v>
      </c>
      <c r="O3358" t="s">
        <v>3933</v>
      </c>
      <c r="P3358" s="187">
        <v>45280</v>
      </c>
      <c r="Q3358" s="186">
        <v>14779</v>
      </c>
      <c r="R3358" s="185" t="s">
        <v>1827</v>
      </c>
      <c r="S3358" s="185" t="s">
        <v>1662</v>
      </c>
      <c r="T3358" t="s">
        <v>2729</v>
      </c>
      <c r="U3358" t="str">
        <f>IF($L3358&gt;0,VLOOKUP($E3358,Valida!$A$1:$G$270,6,FALSE),IF($M3358&gt;=0,VLOOKUP($E3358,Valida!$A$1:$G$270,7,FALSE)))</f>
        <v>(+/-) Ajustes por el incremento (disminución) de cuentas por pagar de origen comercial</v>
      </c>
      <c r="V3358" s="190" t="str">
        <f>VLOOKUP(E3358,Valida!$A$2:$K$271,4,FALSE)</f>
        <v>Trade and other payables</v>
      </c>
      <c r="W3358" s="185" t="s">
        <v>1911</v>
      </c>
      <c r="X3358" s="185"/>
      <c r="Y3358" s="185" t="s">
        <v>1789</v>
      </c>
      <c r="Z3358"/>
    </row>
    <row r="3359" spans="1:26">
      <c r="A3359" s="185" t="s">
        <v>3932</v>
      </c>
      <c r="B3359" s="185" t="s">
        <v>3933</v>
      </c>
      <c r="C3359" s="185" t="s">
        <v>1897</v>
      </c>
      <c r="D3359" s="185" t="s">
        <v>3830</v>
      </c>
      <c r="E3359" s="185">
        <v>510506</v>
      </c>
      <c r="F3359" s="185" t="s">
        <v>1076</v>
      </c>
      <c r="G3359" s="185" t="s">
        <v>3934</v>
      </c>
      <c r="H3359" s="185" t="s">
        <v>1515</v>
      </c>
      <c r="I3359" s="258" t="str">
        <f t="shared" si="157"/>
        <v>5</v>
      </c>
      <c r="J3359" s="221">
        <f t="shared" si="158"/>
        <v>1276000</v>
      </c>
      <c r="K3359" s="258">
        <f t="shared" si="159"/>
        <v>12</v>
      </c>
      <c r="L3359" s="188">
        <v>1276000</v>
      </c>
      <c r="M3359" s="188">
        <v>0</v>
      </c>
      <c r="N3359" s="189">
        <v>1000018061</v>
      </c>
      <c r="O3359" t="s">
        <v>3933</v>
      </c>
      <c r="P3359" s="187">
        <v>45280</v>
      </c>
      <c r="Q3359" s="186">
        <v>14780</v>
      </c>
      <c r="R3359" s="185"/>
      <c r="S3359" s="185" t="s">
        <v>1522</v>
      </c>
      <c r="T3359" t="s">
        <v>2729</v>
      </c>
      <c r="U3359" t="str">
        <f>IF($L3359&gt;0,VLOOKUP($E3359,Valida!$A$1:$G$270,6,FALSE),IF($M3359&gt;=0,VLOOKUP($E3359,Valida!$A$1:$G$270,7,FALSE)))</f>
        <v>(+/-) Ganancia (pérdida)</v>
      </c>
      <c r="V3359" s="190" t="str">
        <f>VLOOKUP(E3359,Valida!$A$2:$K$271,4,FALSE)</f>
        <v>P&amp;L</v>
      </c>
      <c r="W3359" s="185" t="s">
        <v>1978</v>
      </c>
      <c r="X3359" s="185"/>
      <c r="Y3359" s="185" t="s">
        <v>1789</v>
      </c>
      <c r="Z3359"/>
    </row>
    <row r="3360" spans="1:26">
      <c r="A3360" s="185" t="s">
        <v>3932</v>
      </c>
      <c r="B3360" s="185" t="s">
        <v>3933</v>
      </c>
      <c r="C3360" s="185" t="s">
        <v>1897</v>
      </c>
      <c r="D3360" s="185" t="s">
        <v>3830</v>
      </c>
      <c r="E3360" s="185">
        <v>252005</v>
      </c>
      <c r="F3360" s="185" t="s">
        <v>783</v>
      </c>
      <c r="G3360" s="185" t="s">
        <v>3934</v>
      </c>
      <c r="H3360" s="185" t="s">
        <v>1515</v>
      </c>
      <c r="I3360" s="258" t="str">
        <f t="shared" si="157"/>
        <v>2</v>
      </c>
      <c r="J3360" s="221">
        <f t="shared" si="158"/>
        <v>708303</v>
      </c>
      <c r="K3360" s="258">
        <f t="shared" si="159"/>
        <v>12</v>
      </c>
      <c r="L3360" s="188">
        <v>708303</v>
      </c>
      <c r="M3360" s="188">
        <v>0</v>
      </c>
      <c r="N3360" s="189">
        <v>1000018061</v>
      </c>
      <c r="O3360" t="s">
        <v>3933</v>
      </c>
      <c r="P3360" s="187">
        <v>45280</v>
      </c>
      <c r="Q3360" s="186">
        <v>14781</v>
      </c>
      <c r="R3360" s="185"/>
      <c r="S3360" s="185" t="s">
        <v>1522</v>
      </c>
      <c r="T3360" t="s">
        <v>2729</v>
      </c>
      <c r="U3360" t="str">
        <f>IF($L3360&gt;0,VLOOKUP($E3360,Valida!$A$1:$G$270,6,FALSE),IF($M3360&gt;=0,VLOOKUP($E3360,Valida!$A$1:$G$270,7,FALSE)))</f>
        <v>(+/-) Ajustes por el incremento (disminución) de cuentas por pagar de origen comercial</v>
      </c>
      <c r="V3360" s="190" t="str">
        <f>VLOOKUP(E3360,Valida!$A$2:$K$271,4,FALSE)</f>
        <v>Trade and other payables</v>
      </c>
      <c r="W3360" s="185" t="s">
        <v>1978</v>
      </c>
      <c r="X3360" s="185"/>
      <c r="Y3360" s="185" t="s">
        <v>1789</v>
      </c>
      <c r="Z3360"/>
    </row>
    <row r="3361" spans="1:26">
      <c r="A3361" s="185" t="s">
        <v>3932</v>
      </c>
      <c r="B3361" s="185" t="s">
        <v>3933</v>
      </c>
      <c r="C3361" s="185" t="s">
        <v>1897</v>
      </c>
      <c r="D3361" s="185" t="s">
        <v>3830</v>
      </c>
      <c r="E3361" s="185">
        <v>510527</v>
      </c>
      <c r="F3361" s="185" t="s">
        <v>1089</v>
      </c>
      <c r="G3361" s="185" t="s">
        <v>3934</v>
      </c>
      <c r="H3361" s="185" t="s">
        <v>1515</v>
      </c>
      <c r="I3361" s="258" t="str">
        <f t="shared" si="157"/>
        <v>5</v>
      </c>
      <c r="J3361" s="221">
        <f t="shared" si="158"/>
        <v>140606</v>
      </c>
      <c r="K3361" s="258">
        <f t="shared" si="159"/>
        <v>12</v>
      </c>
      <c r="L3361" s="188">
        <v>140606</v>
      </c>
      <c r="M3361" s="188">
        <v>0</v>
      </c>
      <c r="N3361" s="189">
        <v>1000018061</v>
      </c>
      <c r="O3361" t="s">
        <v>3933</v>
      </c>
      <c r="P3361" s="187">
        <v>45280</v>
      </c>
      <c r="Q3361" s="186">
        <v>14782</v>
      </c>
      <c r="R3361" s="185"/>
      <c r="S3361" s="185" t="s">
        <v>1522</v>
      </c>
      <c r="T3361" t="s">
        <v>2729</v>
      </c>
      <c r="U3361" t="str">
        <f>IF($L3361&gt;0,VLOOKUP($E3361,Valida!$A$1:$G$270,6,FALSE),IF($M3361&gt;=0,VLOOKUP($E3361,Valida!$A$1:$G$270,7,FALSE)))</f>
        <v>(+/-) Ganancia (pérdida)</v>
      </c>
      <c r="V3361" s="190" t="str">
        <f>VLOOKUP(E3361,Valida!$A$2:$K$271,4,FALSE)</f>
        <v>P&amp;L</v>
      </c>
      <c r="W3361" s="185" t="s">
        <v>1978</v>
      </c>
      <c r="X3361" s="185"/>
      <c r="Y3361" s="185" t="s">
        <v>1789</v>
      </c>
      <c r="Z3361"/>
    </row>
    <row r="3362" spans="1:26">
      <c r="A3362" s="185" t="s">
        <v>3932</v>
      </c>
      <c r="B3362" s="185" t="s">
        <v>3933</v>
      </c>
      <c r="C3362" s="185" t="s">
        <v>1897</v>
      </c>
      <c r="D3362" s="185" t="s">
        <v>3830</v>
      </c>
      <c r="E3362" s="185">
        <v>237005</v>
      </c>
      <c r="F3362" s="185" t="s">
        <v>676</v>
      </c>
      <c r="G3362" s="185" t="s">
        <v>3934</v>
      </c>
      <c r="H3362" s="185" t="s">
        <v>1628</v>
      </c>
      <c r="I3362" s="258" t="str">
        <f t="shared" si="157"/>
        <v>2</v>
      </c>
      <c r="J3362" s="221">
        <f t="shared" si="158"/>
        <v>-51040</v>
      </c>
      <c r="K3362" s="258">
        <f t="shared" si="159"/>
        <v>12</v>
      </c>
      <c r="L3362" s="188">
        <v>0</v>
      </c>
      <c r="M3362" s="188">
        <v>51040</v>
      </c>
      <c r="N3362" s="189">
        <v>830003564</v>
      </c>
      <c r="O3362" t="s">
        <v>3933</v>
      </c>
      <c r="P3362" s="187">
        <v>45280</v>
      </c>
      <c r="Q3362" s="186">
        <v>14783</v>
      </c>
      <c r="R3362" s="185" t="s">
        <v>1814</v>
      </c>
      <c r="S3362" s="185" t="s">
        <v>1652</v>
      </c>
      <c r="T3362" t="s">
        <v>2729</v>
      </c>
      <c r="U3362" t="str">
        <f>IF($L3362&gt;0,VLOOKUP($E3362,Valida!$A$1:$G$270,6,FALSE),IF($M3362&gt;=0,VLOOKUP($E3362,Valida!$A$1:$G$270,7,FALSE)))</f>
        <v>(+/-) Ajustes por el incremento (disminución) de cuentas por pagar de origen comercial</v>
      </c>
      <c r="V3362" s="190" t="str">
        <f>VLOOKUP(E3362,Valida!$A$2:$K$271,4,FALSE)</f>
        <v>Trade and other payables</v>
      </c>
      <c r="W3362" s="185" t="s">
        <v>1973</v>
      </c>
      <c r="X3362" s="185" t="s">
        <v>1974</v>
      </c>
      <c r="Y3362" s="185" t="s">
        <v>1789</v>
      </c>
      <c r="Z3362"/>
    </row>
    <row r="3363" spans="1:26">
      <c r="A3363" s="185" t="s">
        <v>3932</v>
      </c>
      <c r="B3363" s="185" t="s">
        <v>3933</v>
      </c>
      <c r="C3363" s="185" t="s">
        <v>1897</v>
      </c>
      <c r="D3363" s="185" t="s">
        <v>3830</v>
      </c>
      <c r="E3363" s="185">
        <v>238030</v>
      </c>
      <c r="F3363" s="185" t="s">
        <v>721</v>
      </c>
      <c r="G3363" s="185" t="s">
        <v>3934</v>
      </c>
      <c r="H3363" s="185" t="s">
        <v>1628</v>
      </c>
      <c r="I3363" s="258" t="str">
        <f t="shared" si="157"/>
        <v>2</v>
      </c>
      <c r="J3363" s="221">
        <f t="shared" si="158"/>
        <v>-51040</v>
      </c>
      <c r="K3363" s="258">
        <f t="shared" si="159"/>
        <v>12</v>
      </c>
      <c r="L3363" s="188">
        <v>0</v>
      </c>
      <c r="M3363" s="188">
        <v>51040</v>
      </c>
      <c r="N3363" s="189">
        <v>800227940</v>
      </c>
      <c r="O3363" t="s">
        <v>3933</v>
      </c>
      <c r="P3363" s="187">
        <v>45280</v>
      </c>
      <c r="Q3363" s="186">
        <v>14784</v>
      </c>
      <c r="R3363" s="185"/>
      <c r="S3363" s="185" t="s">
        <v>1664</v>
      </c>
      <c r="T3363" t="s">
        <v>2729</v>
      </c>
      <c r="U3363" t="str">
        <f>IF($L3363&gt;0,VLOOKUP($E3363,Valida!$A$1:$G$270,6,FALSE),IF($M3363&gt;=0,VLOOKUP($E3363,Valida!$A$1:$G$270,7,FALSE)))</f>
        <v>(+/-) Ajustes por el incremento (disminución) de cuentas por pagar de origen comercial</v>
      </c>
      <c r="V3363" s="190" t="str">
        <f>VLOOKUP(E3363,Valida!$A$2:$K$271,4,FALSE)</f>
        <v>Trade and other payables</v>
      </c>
      <c r="W3363" s="185"/>
      <c r="X3363" s="185"/>
      <c r="Y3363" s="185"/>
      <c r="Z3363"/>
    </row>
    <row r="3364" spans="1:26">
      <c r="A3364" s="185" t="s">
        <v>3932</v>
      </c>
      <c r="B3364" s="185" t="s">
        <v>3933</v>
      </c>
      <c r="C3364" s="185" t="s">
        <v>1897</v>
      </c>
      <c r="D3364" s="185" t="s">
        <v>3830</v>
      </c>
      <c r="E3364" s="185">
        <v>510506</v>
      </c>
      <c r="F3364" s="185" t="s">
        <v>1076</v>
      </c>
      <c r="G3364" s="185" t="s">
        <v>3934</v>
      </c>
      <c r="H3364" s="185" t="s">
        <v>1515</v>
      </c>
      <c r="I3364" s="258" t="str">
        <f t="shared" si="157"/>
        <v>5</v>
      </c>
      <c r="J3364" s="221">
        <f t="shared" si="158"/>
        <v>180000</v>
      </c>
      <c r="K3364" s="258">
        <f t="shared" si="159"/>
        <v>12</v>
      </c>
      <c r="L3364" s="188">
        <v>180000</v>
      </c>
      <c r="M3364" s="188">
        <v>0</v>
      </c>
      <c r="N3364" s="189">
        <v>1000036375</v>
      </c>
      <c r="O3364" t="s">
        <v>3933</v>
      </c>
      <c r="P3364" s="187">
        <v>45280</v>
      </c>
      <c r="Q3364" s="186">
        <v>14785</v>
      </c>
      <c r="R3364" s="185"/>
      <c r="S3364" s="185" t="s">
        <v>1524</v>
      </c>
      <c r="T3364" t="s">
        <v>2729</v>
      </c>
      <c r="U3364" t="str">
        <f>IF($L3364&gt;0,VLOOKUP($E3364,Valida!$A$1:$G$270,6,FALSE),IF($M3364&gt;=0,VLOOKUP($E3364,Valida!$A$1:$G$270,7,FALSE)))</f>
        <v>(+/-) Ganancia (pérdida)</v>
      </c>
      <c r="V3364" s="190" t="str">
        <f>VLOOKUP(E3364,Valida!$A$2:$K$271,4,FALSE)</f>
        <v>P&amp;L</v>
      </c>
      <c r="W3364" s="185" t="s">
        <v>1983</v>
      </c>
      <c r="X3364" s="185"/>
      <c r="Y3364" s="185" t="s">
        <v>1789</v>
      </c>
      <c r="Z3364"/>
    </row>
    <row r="3365" spans="1:26">
      <c r="A3365" s="185" t="s">
        <v>3932</v>
      </c>
      <c r="B3365" s="185" t="s">
        <v>3933</v>
      </c>
      <c r="C3365" s="185" t="s">
        <v>1897</v>
      </c>
      <c r="D3365" s="185" t="s">
        <v>3830</v>
      </c>
      <c r="E3365" s="185">
        <v>510506</v>
      </c>
      <c r="F3365" s="185" t="s">
        <v>1076</v>
      </c>
      <c r="G3365" s="185" t="s">
        <v>3934</v>
      </c>
      <c r="H3365" s="185" t="s">
        <v>1515</v>
      </c>
      <c r="I3365" s="258" t="str">
        <f t="shared" si="157"/>
        <v>5</v>
      </c>
      <c r="J3365" s="221">
        <f t="shared" si="158"/>
        <v>1320000</v>
      </c>
      <c r="K3365" s="258">
        <f t="shared" si="159"/>
        <v>12</v>
      </c>
      <c r="L3365" s="188">
        <v>1320000</v>
      </c>
      <c r="M3365" s="188">
        <v>0</v>
      </c>
      <c r="N3365" s="189">
        <v>1000036375</v>
      </c>
      <c r="O3365" t="s">
        <v>3933</v>
      </c>
      <c r="P3365" s="187">
        <v>45280</v>
      </c>
      <c r="Q3365" s="186">
        <v>14786</v>
      </c>
      <c r="R3365" s="185"/>
      <c r="S3365" s="185" t="s">
        <v>1524</v>
      </c>
      <c r="T3365" t="s">
        <v>2729</v>
      </c>
      <c r="U3365" t="str">
        <f>IF($L3365&gt;0,VLOOKUP($E3365,Valida!$A$1:$G$270,6,FALSE),IF($M3365&gt;=0,VLOOKUP($E3365,Valida!$A$1:$G$270,7,FALSE)))</f>
        <v>(+/-) Ganancia (pérdida)</v>
      </c>
      <c r="V3365" s="190" t="str">
        <f>VLOOKUP(E3365,Valida!$A$2:$K$271,4,FALSE)</f>
        <v>P&amp;L</v>
      </c>
      <c r="W3365" s="185" t="s">
        <v>1983</v>
      </c>
      <c r="X3365" s="185"/>
      <c r="Y3365" s="185" t="s">
        <v>1789</v>
      </c>
      <c r="Z3365"/>
    </row>
    <row r="3366" spans="1:26">
      <c r="A3366" s="185" t="s">
        <v>3932</v>
      </c>
      <c r="B3366" s="185" t="s">
        <v>3933</v>
      </c>
      <c r="C3366" s="185" t="s">
        <v>1897</v>
      </c>
      <c r="D3366" s="185" t="s">
        <v>3830</v>
      </c>
      <c r="E3366" s="185">
        <v>51054501</v>
      </c>
      <c r="F3366" s="185" t="s">
        <v>1724</v>
      </c>
      <c r="G3366" s="185" t="s">
        <v>3934</v>
      </c>
      <c r="H3366" s="185" t="s">
        <v>1515</v>
      </c>
      <c r="I3366" s="258" t="str">
        <f t="shared" si="157"/>
        <v>5</v>
      </c>
      <c r="J3366" s="221">
        <f t="shared" si="158"/>
        <v>50000</v>
      </c>
      <c r="K3366" s="258">
        <f t="shared" si="159"/>
        <v>12</v>
      </c>
      <c r="L3366" s="188">
        <v>50000</v>
      </c>
      <c r="M3366" s="188">
        <v>0</v>
      </c>
      <c r="N3366" s="189">
        <v>1000036375</v>
      </c>
      <c r="O3366" t="s">
        <v>3933</v>
      </c>
      <c r="P3366" s="187">
        <v>45280</v>
      </c>
      <c r="Q3366" s="186">
        <v>14787</v>
      </c>
      <c r="R3366" s="185"/>
      <c r="S3366" s="185" t="s">
        <v>1524</v>
      </c>
      <c r="T3366" t="s">
        <v>2729</v>
      </c>
      <c r="U3366" t="str">
        <f>IF($L3366&gt;0,VLOOKUP($E3366,Valida!$A$1:$G$270,6,FALSE),IF($M3366&gt;=0,VLOOKUP($E3366,Valida!$A$1:$G$270,7,FALSE)))</f>
        <v>(+/-) Ganancia (pérdida)</v>
      </c>
      <c r="V3366" s="190" t="str">
        <f>VLOOKUP(E3366,Valida!$A$2:$K$271,4,FALSE)</f>
        <v>P&amp;L</v>
      </c>
      <c r="W3366" s="185" t="s">
        <v>1983</v>
      </c>
      <c r="X3366" s="185"/>
      <c r="Y3366" s="185" t="s">
        <v>1789</v>
      </c>
      <c r="Z3366"/>
    </row>
    <row r="3367" spans="1:26">
      <c r="A3367" s="185" t="s">
        <v>3932</v>
      </c>
      <c r="B3367" s="185" t="s">
        <v>3933</v>
      </c>
      <c r="C3367" s="185" t="s">
        <v>1897</v>
      </c>
      <c r="D3367" s="185" t="s">
        <v>3830</v>
      </c>
      <c r="E3367" s="185">
        <v>252005</v>
      </c>
      <c r="F3367" s="185" t="s">
        <v>783</v>
      </c>
      <c r="G3367" s="185" t="s">
        <v>3934</v>
      </c>
      <c r="H3367" s="185" t="s">
        <v>1515</v>
      </c>
      <c r="I3367" s="258" t="str">
        <f t="shared" si="157"/>
        <v>2</v>
      </c>
      <c r="J3367" s="221">
        <f t="shared" si="158"/>
        <v>1130732</v>
      </c>
      <c r="K3367" s="258">
        <f t="shared" si="159"/>
        <v>12</v>
      </c>
      <c r="L3367" s="188">
        <v>1130732</v>
      </c>
      <c r="M3367" s="188">
        <v>0</v>
      </c>
      <c r="N3367" s="189">
        <v>1000036375</v>
      </c>
      <c r="O3367" t="s">
        <v>3933</v>
      </c>
      <c r="P3367" s="187">
        <v>45280</v>
      </c>
      <c r="Q3367" s="186">
        <v>14788</v>
      </c>
      <c r="R3367" s="185"/>
      <c r="S3367" s="185" t="s">
        <v>1524</v>
      </c>
      <c r="T3367" t="s">
        <v>2729</v>
      </c>
      <c r="U3367" t="str">
        <f>IF($L3367&gt;0,VLOOKUP($E3367,Valida!$A$1:$G$270,6,FALSE),IF($M3367&gt;=0,VLOOKUP($E3367,Valida!$A$1:$G$270,7,FALSE)))</f>
        <v>(+/-) Ajustes por el incremento (disminución) de cuentas por pagar de origen comercial</v>
      </c>
      <c r="V3367" s="190" t="str">
        <f>VLOOKUP(E3367,Valida!$A$2:$K$271,4,FALSE)</f>
        <v>Trade and other payables</v>
      </c>
      <c r="W3367" s="185" t="s">
        <v>1983</v>
      </c>
      <c r="X3367" s="185"/>
      <c r="Y3367" s="185" t="s">
        <v>1789</v>
      </c>
      <c r="Z3367"/>
    </row>
    <row r="3368" spans="1:26">
      <c r="A3368" s="185" t="s">
        <v>3932</v>
      </c>
      <c r="B3368" s="185" t="s">
        <v>3933</v>
      </c>
      <c r="C3368" s="185" t="s">
        <v>1897</v>
      </c>
      <c r="D3368" s="185" t="s">
        <v>3830</v>
      </c>
      <c r="E3368" s="185">
        <v>510527</v>
      </c>
      <c r="F3368" s="185" t="s">
        <v>1089</v>
      </c>
      <c r="G3368" s="185" t="s">
        <v>3934</v>
      </c>
      <c r="H3368" s="185" t="s">
        <v>1515</v>
      </c>
      <c r="I3368" s="258" t="str">
        <f t="shared" si="157"/>
        <v>5</v>
      </c>
      <c r="J3368" s="221">
        <f t="shared" si="158"/>
        <v>14061</v>
      </c>
      <c r="K3368" s="258">
        <f t="shared" si="159"/>
        <v>12</v>
      </c>
      <c r="L3368" s="188">
        <v>14061</v>
      </c>
      <c r="M3368" s="188">
        <v>0</v>
      </c>
      <c r="N3368" s="189">
        <v>1000036375</v>
      </c>
      <c r="O3368" t="s">
        <v>3933</v>
      </c>
      <c r="P3368" s="187">
        <v>45280</v>
      </c>
      <c r="Q3368" s="186">
        <v>14789</v>
      </c>
      <c r="R3368" s="185"/>
      <c r="S3368" s="185" t="s">
        <v>1524</v>
      </c>
      <c r="T3368" t="s">
        <v>2729</v>
      </c>
      <c r="U3368" t="str">
        <f>IF($L3368&gt;0,VLOOKUP($E3368,Valida!$A$1:$G$270,6,FALSE),IF($M3368&gt;=0,VLOOKUP($E3368,Valida!$A$1:$G$270,7,FALSE)))</f>
        <v>(+/-) Ganancia (pérdida)</v>
      </c>
      <c r="V3368" s="190" t="str">
        <f>VLOOKUP(E3368,Valida!$A$2:$K$271,4,FALSE)</f>
        <v>P&amp;L</v>
      </c>
      <c r="W3368" s="185" t="s">
        <v>1983</v>
      </c>
      <c r="X3368" s="185"/>
      <c r="Y3368" s="185" t="s">
        <v>1789</v>
      </c>
      <c r="Z3368"/>
    </row>
    <row r="3369" spans="1:26">
      <c r="A3369" s="185" t="s">
        <v>3932</v>
      </c>
      <c r="B3369" s="185" t="s">
        <v>3933</v>
      </c>
      <c r="C3369" s="185" t="s">
        <v>1897</v>
      </c>
      <c r="D3369" s="185" t="s">
        <v>3830</v>
      </c>
      <c r="E3369" s="185">
        <v>510527</v>
      </c>
      <c r="F3369" s="185" t="s">
        <v>1089</v>
      </c>
      <c r="G3369" s="185" t="s">
        <v>3934</v>
      </c>
      <c r="H3369" s="185" t="s">
        <v>1515</v>
      </c>
      <c r="I3369" s="258" t="str">
        <f t="shared" si="157"/>
        <v>5</v>
      </c>
      <c r="J3369" s="221">
        <f t="shared" si="158"/>
        <v>103111</v>
      </c>
      <c r="K3369" s="258">
        <f t="shared" si="159"/>
        <v>12</v>
      </c>
      <c r="L3369" s="188">
        <v>103111</v>
      </c>
      <c r="M3369" s="188">
        <v>0</v>
      </c>
      <c r="N3369" s="189">
        <v>1000036375</v>
      </c>
      <c r="O3369" t="s">
        <v>3933</v>
      </c>
      <c r="P3369" s="187">
        <v>45280</v>
      </c>
      <c r="Q3369" s="186">
        <v>14790</v>
      </c>
      <c r="R3369" s="185"/>
      <c r="S3369" s="185" t="s">
        <v>1524</v>
      </c>
      <c r="T3369" t="s">
        <v>2729</v>
      </c>
      <c r="U3369" t="str">
        <f>IF($L3369&gt;0,VLOOKUP($E3369,Valida!$A$1:$G$270,6,FALSE),IF($M3369&gt;=0,VLOOKUP($E3369,Valida!$A$1:$G$270,7,FALSE)))</f>
        <v>(+/-) Ganancia (pérdida)</v>
      </c>
      <c r="V3369" s="190" t="str">
        <f>VLOOKUP(E3369,Valida!$A$2:$K$271,4,FALSE)</f>
        <v>P&amp;L</v>
      </c>
      <c r="W3369" s="185" t="s">
        <v>1983</v>
      </c>
      <c r="X3369" s="185"/>
      <c r="Y3369" s="185" t="s">
        <v>1789</v>
      </c>
      <c r="Z3369"/>
    </row>
    <row r="3370" spans="1:26">
      <c r="A3370" s="185" t="s">
        <v>3932</v>
      </c>
      <c r="B3370" s="185" t="s">
        <v>3933</v>
      </c>
      <c r="C3370" s="185" t="s">
        <v>1897</v>
      </c>
      <c r="D3370" s="185" t="s">
        <v>3830</v>
      </c>
      <c r="E3370" s="185">
        <v>510539</v>
      </c>
      <c r="F3370" s="185" t="s">
        <v>818</v>
      </c>
      <c r="G3370" s="185" t="s">
        <v>3934</v>
      </c>
      <c r="H3370" s="185" t="s">
        <v>1515</v>
      </c>
      <c r="I3370" s="258" t="str">
        <f t="shared" si="157"/>
        <v>5</v>
      </c>
      <c r="J3370" s="221">
        <f t="shared" si="158"/>
        <v>65598</v>
      </c>
      <c r="K3370" s="258">
        <f t="shared" si="159"/>
        <v>12</v>
      </c>
      <c r="L3370" s="188">
        <v>65598</v>
      </c>
      <c r="M3370" s="188">
        <v>0</v>
      </c>
      <c r="N3370" s="189">
        <v>1000036375</v>
      </c>
      <c r="O3370" t="s">
        <v>3933</v>
      </c>
      <c r="P3370" s="187">
        <v>45280</v>
      </c>
      <c r="Q3370" s="186">
        <v>14791</v>
      </c>
      <c r="R3370" s="185"/>
      <c r="S3370" s="185" t="s">
        <v>1524</v>
      </c>
      <c r="T3370" t="s">
        <v>2729</v>
      </c>
      <c r="U3370" t="str">
        <f>IF($L3370&gt;0,VLOOKUP($E3370,Valida!$A$1:$G$270,6,FALSE),IF($M3370&gt;=0,VLOOKUP($E3370,Valida!$A$1:$G$270,7,FALSE)))</f>
        <v>(+/-) Ganancia (pérdida)</v>
      </c>
      <c r="V3370" s="190" t="str">
        <f>VLOOKUP(E3370,Valida!$A$2:$K$271,4,FALSE)</f>
        <v>P&amp;L</v>
      </c>
      <c r="W3370" s="185" t="s">
        <v>1983</v>
      </c>
      <c r="X3370" s="185"/>
      <c r="Y3370" s="185" t="s">
        <v>1789</v>
      </c>
      <c r="Z3370"/>
    </row>
    <row r="3371" spans="1:26">
      <c r="A3371" s="185" t="s">
        <v>3932</v>
      </c>
      <c r="B3371" s="185" t="s">
        <v>3933</v>
      </c>
      <c r="C3371" s="185" t="s">
        <v>1897</v>
      </c>
      <c r="D3371" s="185" t="s">
        <v>3830</v>
      </c>
      <c r="E3371" s="185">
        <v>252505</v>
      </c>
      <c r="F3371" s="185" t="s">
        <v>787</v>
      </c>
      <c r="G3371" s="185" t="s">
        <v>3934</v>
      </c>
      <c r="H3371" s="185" t="s">
        <v>1515</v>
      </c>
      <c r="I3371" s="258" t="str">
        <f t="shared" si="157"/>
        <v>2</v>
      </c>
      <c r="J3371" s="221">
        <f t="shared" si="158"/>
        <v>262390</v>
      </c>
      <c r="K3371" s="258">
        <f t="shared" si="159"/>
        <v>12</v>
      </c>
      <c r="L3371" s="188">
        <v>262390</v>
      </c>
      <c r="M3371" s="188">
        <v>0</v>
      </c>
      <c r="N3371" s="189">
        <v>1000036375</v>
      </c>
      <c r="O3371" t="s">
        <v>3933</v>
      </c>
      <c r="P3371" s="187">
        <v>45280</v>
      </c>
      <c r="Q3371" s="186">
        <v>14792</v>
      </c>
      <c r="R3371" s="185"/>
      <c r="S3371" s="185" t="s">
        <v>1524</v>
      </c>
      <c r="T3371" t="s">
        <v>2729</v>
      </c>
      <c r="U3371" t="str">
        <f>IF($L3371&gt;0,VLOOKUP($E3371,Valida!$A$1:$G$270,6,FALSE),IF($M3371&gt;=0,VLOOKUP($E3371,Valida!$A$1:$G$270,7,FALSE)))</f>
        <v>(+/-) Ajustes por el incremento (disminución) de cuentas por pagar de origen comercial</v>
      </c>
      <c r="V3371" s="190" t="str">
        <f>VLOOKUP(E3371,Valida!$A$2:$K$271,4,FALSE)</f>
        <v>Trade and other payables</v>
      </c>
      <c r="W3371" s="185" t="s">
        <v>1983</v>
      </c>
      <c r="X3371" s="185"/>
      <c r="Y3371" s="185" t="s">
        <v>1789</v>
      </c>
      <c r="Z3371"/>
    </row>
    <row r="3372" spans="1:26">
      <c r="A3372" s="185" t="s">
        <v>3932</v>
      </c>
      <c r="B3372" s="185" t="s">
        <v>3933</v>
      </c>
      <c r="C3372" s="185" t="s">
        <v>1897</v>
      </c>
      <c r="D3372" s="185" t="s">
        <v>3830</v>
      </c>
      <c r="E3372" s="185">
        <v>510515</v>
      </c>
      <c r="F3372" s="185" t="s">
        <v>1080</v>
      </c>
      <c r="G3372" s="185" t="s">
        <v>3934</v>
      </c>
      <c r="H3372" s="185" t="s">
        <v>1515</v>
      </c>
      <c r="I3372" s="258" t="str">
        <f t="shared" si="157"/>
        <v>5</v>
      </c>
      <c r="J3372" s="221">
        <f t="shared" si="158"/>
        <v>25781</v>
      </c>
      <c r="K3372" s="258">
        <f t="shared" si="159"/>
        <v>12</v>
      </c>
      <c r="L3372" s="188">
        <v>25781</v>
      </c>
      <c r="M3372" s="188">
        <v>0</v>
      </c>
      <c r="N3372" s="189">
        <v>1000036375</v>
      </c>
      <c r="O3372" t="s">
        <v>3933</v>
      </c>
      <c r="P3372" s="187">
        <v>45280</v>
      </c>
      <c r="Q3372" s="186">
        <v>14793</v>
      </c>
      <c r="R3372" s="185"/>
      <c r="S3372" s="185" t="s">
        <v>1524</v>
      </c>
      <c r="T3372" t="s">
        <v>2729</v>
      </c>
      <c r="U3372" t="str">
        <f>IF($L3372&gt;0,VLOOKUP($E3372,Valida!$A$1:$G$270,6,FALSE),IF($M3372&gt;=0,VLOOKUP($E3372,Valida!$A$1:$G$270,7,FALSE)))</f>
        <v>(+/-) Ganancia (pérdida)</v>
      </c>
      <c r="V3372" s="190" t="str">
        <f>VLOOKUP(E3372,Valida!$A$2:$K$271,4,FALSE)</f>
        <v>P&amp;L</v>
      </c>
      <c r="W3372" s="185" t="s">
        <v>1983</v>
      </c>
      <c r="X3372" s="185"/>
      <c r="Y3372" s="185" t="s">
        <v>1789</v>
      </c>
      <c r="Z3372"/>
    </row>
    <row r="3373" spans="1:26">
      <c r="A3373" s="185" t="s">
        <v>3932</v>
      </c>
      <c r="B3373" s="185" t="s">
        <v>3933</v>
      </c>
      <c r="C3373" s="185" t="s">
        <v>1897</v>
      </c>
      <c r="D3373" s="185" t="s">
        <v>3830</v>
      </c>
      <c r="E3373" s="185">
        <v>237005</v>
      </c>
      <c r="F3373" s="185" t="s">
        <v>676</v>
      </c>
      <c r="G3373" s="185" t="s">
        <v>3934</v>
      </c>
      <c r="H3373" s="185" t="s">
        <v>1628</v>
      </c>
      <c r="I3373" s="258" t="str">
        <f t="shared" si="157"/>
        <v>2</v>
      </c>
      <c r="J3373" s="221">
        <f t="shared" si="158"/>
        <v>-19544</v>
      </c>
      <c r="K3373" s="258">
        <f t="shared" si="159"/>
        <v>12</v>
      </c>
      <c r="L3373" s="188">
        <v>0</v>
      </c>
      <c r="M3373" s="188">
        <v>19544</v>
      </c>
      <c r="N3373" s="189">
        <v>900156264</v>
      </c>
      <c r="O3373" t="s">
        <v>3933</v>
      </c>
      <c r="P3373" s="187">
        <v>45280</v>
      </c>
      <c r="Q3373" s="186">
        <v>14794</v>
      </c>
      <c r="R3373" s="185" t="s">
        <v>433</v>
      </c>
      <c r="S3373" s="185" t="s">
        <v>1654</v>
      </c>
      <c r="T3373" t="s">
        <v>2729</v>
      </c>
      <c r="U3373" t="str">
        <f>IF($L3373&gt;0,VLOOKUP($E3373,Valida!$A$1:$G$270,6,FALSE),IF($M3373&gt;=0,VLOOKUP($E3373,Valida!$A$1:$G$270,7,FALSE)))</f>
        <v>(+/-) Ajustes por el incremento (disminución) de cuentas por pagar de origen comercial</v>
      </c>
      <c r="V3373" s="190" t="str">
        <f>VLOOKUP(E3373,Valida!$A$2:$K$271,4,FALSE)</f>
        <v>Trade and other payables</v>
      </c>
      <c r="W3373" s="185" t="s">
        <v>1926</v>
      </c>
      <c r="X3373" s="185" t="s">
        <v>1927</v>
      </c>
      <c r="Y3373" s="185" t="s">
        <v>1789</v>
      </c>
      <c r="Z3373"/>
    </row>
    <row r="3374" spans="1:26">
      <c r="A3374" s="185" t="s">
        <v>3932</v>
      </c>
      <c r="B3374" s="185" t="s">
        <v>3933</v>
      </c>
      <c r="C3374" s="185" t="s">
        <v>1897</v>
      </c>
      <c r="D3374" s="185" t="s">
        <v>3830</v>
      </c>
      <c r="E3374" s="185">
        <v>237005</v>
      </c>
      <c r="F3374" s="185" t="s">
        <v>676</v>
      </c>
      <c r="G3374" s="185" t="s">
        <v>3934</v>
      </c>
      <c r="H3374" s="185" t="s">
        <v>1628</v>
      </c>
      <c r="I3374" s="258" t="str">
        <f t="shared" si="157"/>
        <v>2</v>
      </c>
      <c r="J3374" s="221">
        <f t="shared" si="158"/>
        <v>-53831</v>
      </c>
      <c r="K3374" s="258">
        <f t="shared" si="159"/>
        <v>12</v>
      </c>
      <c r="L3374" s="188">
        <v>0</v>
      </c>
      <c r="M3374" s="188">
        <v>53831</v>
      </c>
      <c r="N3374" s="189">
        <v>900156264</v>
      </c>
      <c r="O3374" t="s">
        <v>3933</v>
      </c>
      <c r="P3374" s="187">
        <v>45280</v>
      </c>
      <c r="Q3374" s="186">
        <v>14795</v>
      </c>
      <c r="R3374" s="185" t="s">
        <v>433</v>
      </c>
      <c r="S3374" s="185" t="s">
        <v>1654</v>
      </c>
      <c r="T3374" t="s">
        <v>2729</v>
      </c>
      <c r="U3374" t="str">
        <f>IF($L3374&gt;0,VLOOKUP($E3374,Valida!$A$1:$G$270,6,FALSE),IF($M3374&gt;=0,VLOOKUP($E3374,Valida!$A$1:$G$270,7,FALSE)))</f>
        <v>(+/-) Ajustes por el incremento (disminución) de cuentas por pagar de origen comercial</v>
      </c>
      <c r="V3374" s="190" t="str">
        <f>VLOOKUP(E3374,Valida!$A$2:$K$271,4,FALSE)</f>
        <v>Trade and other payables</v>
      </c>
      <c r="W3374" s="185" t="s">
        <v>1926</v>
      </c>
      <c r="X3374" s="185" t="s">
        <v>1927</v>
      </c>
      <c r="Y3374" s="185" t="s">
        <v>1789</v>
      </c>
      <c r="Z3374"/>
    </row>
    <row r="3375" spans="1:26">
      <c r="A3375" s="185" t="s">
        <v>3932</v>
      </c>
      <c r="B3375" s="185" t="s">
        <v>3933</v>
      </c>
      <c r="C3375" s="185" t="s">
        <v>1897</v>
      </c>
      <c r="D3375" s="185" t="s">
        <v>3830</v>
      </c>
      <c r="E3375" s="185">
        <v>238030</v>
      </c>
      <c r="F3375" s="185" t="s">
        <v>721</v>
      </c>
      <c r="G3375" s="185" t="s">
        <v>3934</v>
      </c>
      <c r="H3375" s="185" t="s">
        <v>1628</v>
      </c>
      <c r="I3375" s="258" t="str">
        <f t="shared" si="157"/>
        <v>2</v>
      </c>
      <c r="J3375" s="221">
        <f t="shared" si="158"/>
        <v>-19544</v>
      </c>
      <c r="K3375" s="258">
        <f t="shared" si="159"/>
        <v>12</v>
      </c>
      <c r="L3375" s="188">
        <v>0</v>
      </c>
      <c r="M3375" s="188">
        <v>19544</v>
      </c>
      <c r="N3375" s="189">
        <v>800224808</v>
      </c>
      <c r="O3375" t="s">
        <v>3933</v>
      </c>
      <c r="P3375" s="187">
        <v>45280</v>
      </c>
      <c r="Q3375" s="186">
        <v>14796</v>
      </c>
      <c r="R3375" s="185" t="s">
        <v>1827</v>
      </c>
      <c r="S3375" s="185" t="s">
        <v>1662</v>
      </c>
      <c r="T3375" t="s">
        <v>2729</v>
      </c>
      <c r="U3375" t="str">
        <f>IF($L3375&gt;0,VLOOKUP($E3375,Valida!$A$1:$G$270,6,FALSE),IF($M3375&gt;=0,VLOOKUP($E3375,Valida!$A$1:$G$270,7,FALSE)))</f>
        <v>(+/-) Ajustes por el incremento (disminución) de cuentas por pagar de origen comercial</v>
      </c>
      <c r="V3375" s="190" t="str">
        <f>VLOOKUP(E3375,Valida!$A$2:$K$271,4,FALSE)</f>
        <v>Trade and other payables</v>
      </c>
      <c r="W3375" s="185" t="s">
        <v>1911</v>
      </c>
      <c r="X3375" s="185"/>
      <c r="Y3375" s="185" t="s">
        <v>1789</v>
      </c>
      <c r="Z3375"/>
    </row>
    <row r="3376" spans="1:26">
      <c r="A3376" s="185" t="s">
        <v>3932</v>
      </c>
      <c r="B3376" s="185" t="s">
        <v>3933</v>
      </c>
      <c r="C3376" s="185" t="s">
        <v>1897</v>
      </c>
      <c r="D3376" s="185" t="s">
        <v>3830</v>
      </c>
      <c r="E3376" s="185">
        <v>238030</v>
      </c>
      <c r="F3376" s="185" t="s">
        <v>721</v>
      </c>
      <c r="G3376" s="185" t="s">
        <v>3934</v>
      </c>
      <c r="H3376" s="185" t="s">
        <v>1628</v>
      </c>
      <c r="I3376" s="258" t="str">
        <f t="shared" si="157"/>
        <v>2</v>
      </c>
      <c r="J3376" s="221">
        <f t="shared" si="158"/>
        <v>-53831</v>
      </c>
      <c r="K3376" s="258">
        <f t="shared" si="159"/>
        <v>12</v>
      </c>
      <c r="L3376" s="188">
        <v>0</v>
      </c>
      <c r="M3376" s="188">
        <v>53831</v>
      </c>
      <c r="N3376" s="189">
        <v>800224808</v>
      </c>
      <c r="O3376" t="s">
        <v>3933</v>
      </c>
      <c r="P3376" s="187">
        <v>45280</v>
      </c>
      <c r="Q3376" s="186">
        <v>14797</v>
      </c>
      <c r="R3376" s="185" t="s">
        <v>1827</v>
      </c>
      <c r="S3376" s="185" t="s">
        <v>1662</v>
      </c>
      <c r="T3376" t="s">
        <v>2729</v>
      </c>
      <c r="U3376" t="str">
        <f>IF($L3376&gt;0,VLOOKUP($E3376,Valida!$A$1:$G$270,6,FALSE),IF($M3376&gt;=0,VLOOKUP($E3376,Valida!$A$1:$G$270,7,FALSE)))</f>
        <v>(+/-) Ajustes por el incremento (disminución) de cuentas por pagar de origen comercial</v>
      </c>
      <c r="V3376" s="190" t="str">
        <f>VLOOKUP(E3376,Valida!$A$2:$K$271,4,FALSE)</f>
        <v>Trade and other payables</v>
      </c>
      <c r="W3376" s="185" t="s">
        <v>1911</v>
      </c>
      <c r="X3376" s="185"/>
      <c r="Y3376" s="185" t="s">
        <v>1789</v>
      </c>
      <c r="Z3376"/>
    </row>
    <row r="3377" spans="1:26">
      <c r="A3377" s="185" t="s">
        <v>3932</v>
      </c>
      <c r="B3377" s="185" t="s">
        <v>3933</v>
      </c>
      <c r="C3377" s="185" t="s">
        <v>1897</v>
      </c>
      <c r="D3377" s="185" t="s">
        <v>3830</v>
      </c>
      <c r="E3377" s="185">
        <v>250505</v>
      </c>
      <c r="F3377" s="185" t="s">
        <v>767</v>
      </c>
      <c r="G3377" s="185" t="s">
        <v>3934</v>
      </c>
      <c r="H3377" s="185" t="s">
        <v>1628</v>
      </c>
      <c r="I3377" s="258" t="str">
        <f t="shared" si="157"/>
        <v>2</v>
      </c>
      <c r="J3377" s="221">
        <f t="shared" si="158"/>
        <v>-2022829</v>
      </c>
      <c r="K3377" s="258">
        <f t="shared" si="159"/>
        <v>12</v>
      </c>
      <c r="L3377" s="188">
        <v>0</v>
      </c>
      <c r="M3377" s="188">
        <v>2022829</v>
      </c>
      <c r="N3377" s="189">
        <v>1000018061</v>
      </c>
      <c r="O3377" t="s">
        <v>3933</v>
      </c>
      <c r="P3377" s="187">
        <v>45280</v>
      </c>
      <c r="Q3377" s="186">
        <v>14798</v>
      </c>
      <c r="R3377" s="185"/>
      <c r="S3377" s="185" t="s">
        <v>1522</v>
      </c>
      <c r="T3377" t="s">
        <v>2729</v>
      </c>
      <c r="U3377" t="str">
        <f>IF($L3377&gt;0,VLOOKUP($E3377,Valida!$A$1:$G$270,6,FALSE),IF($M3377&gt;=0,VLOOKUP($E3377,Valida!$A$1:$G$270,7,FALSE)))</f>
        <v>(+/-) Ajustes por el incremento (disminución) de cuentas por pagar de origen comercial</v>
      </c>
      <c r="V3377" s="190" t="str">
        <f>VLOOKUP(E3377,Valida!$A$2:$K$271,4,FALSE)</f>
        <v>Trade and other payables</v>
      </c>
      <c r="W3377" s="185" t="s">
        <v>1978</v>
      </c>
      <c r="X3377" s="185"/>
      <c r="Y3377" s="185" t="s">
        <v>1789</v>
      </c>
      <c r="Z3377"/>
    </row>
    <row r="3378" spans="1:26">
      <c r="A3378" s="185" t="s">
        <v>3932</v>
      </c>
      <c r="B3378" s="185" t="s">
        <v>3933</v>
      </c>
      <c r="C3378" s="185" t="s">
        <v>1897</v>
      </c>
      <c r="D3378" s="185" t="s">
        <v>3830</v>
      </c>
      <c r="E3378" s="185">
        <v>250505</v>
      </c>
      <c r="F3378" s="185" t="s">
        <v>767</v>
      </c>
      <c r="G3378" s="185" t="s">
        <v>3934</v>
      </c>
      <c r="H3378" s="185" t="s">
        <v>1628</v>
      </c>
      <c r="I3378" s="258" t="str">
        <f t="shared" si="157"/>
        <v>2</v>
      </c>
      <c r="J3378" s="221">
        <f t="shared" si="158"/>
        <v>-3004923</v>
      </c>
      <c r="K3378" s="258">
        <f t="shared" si="159"/>
        <v>12</v>
      </c>
      <c r="L3378" s="188">
        <v>0</v>
      </c>
      <c r="M3378" s="188">
        <v>3004923</v>
      </c>
      <c r="N3378" s="189">
        <v>1000036375</v>
      </c>
      <c r="O3378" t="s">
        <v>3933</v>
      </c>
      <c r="P3378" s="187">
        <v>45280</v>
      </c>
      <c r="Q3378" s="186">
        <v>14799</v>
      </c>
      <c r="R3378" s="185"/>
      <c r="S3378" s="185" t="s">
        <v>1524</v>
      </c>
      <c r="T3378" t="s">
        <v>2729</v>
      </c>
      <c r="U3378" t="str">
        <f>IF($L3378&gt;0,VLOOKUP($E3378,Valida!$A$1:$G$270,6,FALSE),IF($M3378&gt;=0,VLOOKUP($E3378,Valida!$A$1:$G$270,7,FALSE)))</f>
        <v>(+/-) Ajustes por el incremento (disminución) de cuentas por pagar de origen comercial</v>
      </c>
      <c r="V3378" s="190" t="str">
        <f>VLOOKUP(E3378,Valida!$A$2:$K$271,4,FALSE)</f>
        <v>Trade and other payables</v>
      </c>
      <c r="W3378" s="185" t="s">
        <v>1983</v>
      </c>
      <c r="X3378" s="185"/>
      <c r="Y3378" s="185" t="s">
        <v>1789</v>
      </c>
      <c r="Z3378"/>
    </row>
    <row r="3379" spans="1:26">
      <c r="A3379" s="185" t="s">
        <v>3932</v>
      </c>
      <c r="B3379" s="185" t="s">
        <v>3933</v>
      </c>
      <c r="C3379" s="185" t="s">
        <v>1897</v>
      </c>
      <c r="D3379" s="185" t="s">
        <v>3830</v>
      </c>
      <c r="E3379" s="185">
        <v>250505</v>
      </c>
      <c r="F3379" s="185" t="s">
        <v>767</v>
      </c>
      <c r="G3379" s="185" t="s">
        <v>3934</v>
      </c>
      <c r="H3379" s="185" t="s">
        <v>1628</v>
      </c>
      <c r="I3379" s="258" t="str">
        <f t="shared" si="157"/>
        <v>2</v>
      </c>
      <c r="J3379" s="221">
        <f t="shared" si="158"/>
        <v>-2289354</v>
      </c>
      <c r="K3379" s="258">
        <f t="shared" si="159"/>
        <v>12</v>
      </c>
      <c r="L3379" s="188">
        <v>0</v>
      </c>
      <c r="M3379" s="188">
        <v>2289354</v>
      </c>
      <c r="N3379" s="189">
        <v>1010101811</v>
      </c>
      <c r="O3379" t="s">
        <v>3933</v>
      </c>
      <c r="P3379" s="187">
        <v>45280</v>
      </c>
      <c r="Q3379" s="186">
        <v>14800</v>
      </c>
      <c r="R3379" s="185"/>
      <c r="S3379" s="185" t="s">
        <v>1528</v>
      </c>
      <c r="T3379" t="s">
        <v>2729</v>
      </c>
      <c r="U3379" t="str">
        <f>IF($L3379&gt;0,VLOOKUP($E3379,Valida!$A$1:$G$270,6,FALSE),IF($M3379&gt;=0,VLOOKUP($E3379,Valida!$A$1:$G$270,7,FALSE)))</f>
        <v>(+/-) Ajustes por el incremento (disminución) de cuentas por pagar de origen comercial</v>
      </c>
      <c r="V3379" s="190" t="str">
        <f>VLOOKUP(E3379,Valida!$A$2:$K$271,4,FALSE)</f>
        <v>Trade and other payables</v>
      </c>
      <c r="W3379" s="185" t="s">
        <v>1967</v>
      </c>
      <c r="X3379" s="185"/>
      <c r="Y3379" s="185" t="s">
        <v>1789</v>
      </c>
      <c r="Z3379"/>
    </row>
    <row r="3380" spans="1:26">
      <c r="A3380" s="185" t="s">
        <v>3932</v>
      </c>
      <c r="B3380" s="185" t="s">
        <v>3933</v>
      </c>
      <c r="C3380" s="185" t="s">
        <v>1897</v>
      </c>
      <c r="D3380" s="185" t="s">
        <v>3830</v>
      </c>
      <c r="E3380" s="185">
        <v>250505</v>
      </c>
      <c r="F3380" s="185" t="s">
        <v>767</v>
      </c>
      <c r="G3380" s="185" t="s">
        <v>3934</v>
      </c>
      <c r="H3380" s="185" t="s">
        <v>1628</v>
      </c>
      <c r="I3380" s="258" t="str">
        <f t="shared" si="157"/>
        <v>2</v>
      </c>
      <c r="J3380" s="221">
        <f t="shared" si="158"/>
        <v>-1858109</v>
      </c>
      <c r="K3380" s="258">
        <f t="shared" si="159"/>
        <v>12</v>
      </c>
      <c r="L3380" s="188">
        <v>0</v>
      </c>
      <c r="M3380" s="188">
        <v>1858109</v>
      </c>
      <c r="N3380" s="189">
        <v>1130744136</v>
      </c>
      <c r="O3380" t="s">
        <v>3933</v>
      </c>
      <c r="P3380" s="187">
        <v>45280</v>
      </c>
      <c r="Q3380" s="186">
        <v>14801</v>
      </c>
      <c r="R3380" s="185"/>
      <c r="S3380" s="185" t="s">
        <v>1538</v>
      </c>
      <c r="T3380" t="s">
        <v>2729</v>
      </c>
      <c r="U3380" t="str">
        <f>IF($L3380&gt;0,VLOOKUP($E3380,Valida!$A$1:$G$270,6,FALSE),IF($M3380&gt;=0,VLOOKUP($E3380,Valida!$A$1:$G$270,7,FALSE)))</f>
        <v>(+/-) Ajustes por el incremento (disminución) de cuentas por pagar de origen comercial</v>
      </c>
      <c r="V3380" s="190" t="str">
        <f>VLOOKUP(E3380,Valida!$A$2:$K$271,4,FALSE)</f>
        <v>Trade and other payables</v>
      </c>
      <c r="W3380" s="185" t="s">
        <v>1909</v>
      </c>
      <c r="X3380" s="185" t="s">
        <v>1910</v>
      </c>
      <c r="Y3380" s="185" t="s">
        <v>1789</v>
      </c>
      <c r="Z3380"/>
    </row>
    <row r="3381" spans="1:26">
      <c r="A3381" s="185" t="s">
        <v>3932</v>
      </c>
      <c r="B3381" s="185" t="s">
        <v>3935</v>
      </c>
      <c r="C3381" s="185" t="s">
        <v>1897</v>
      </c>
      <c r="D3381" s="185" t="s">
        <v>3936</v>
      </c>
      <c r="E3381" s="185">
        <v>237006</v>
      </c>
      <c r="F3381" s="185" t="s">
        <v>680</v>
      </c>
      <c r="G3381" s="185" t="s">
        <v>3937</v>
      </c>
      <c r="H3381" s="185" t="s">
        <v>1628</v>
      </c>
      <c r="I3381" s="258" t="str">
        <f t="shared" si="157"/>
        <v>2</v>
      </c>
      <c r="J3381" s="221">
        <f t="shared" si="158"/>
        <v>-4959</v>
      </c>
      <c r="K3381" s="258">
        <f t="shared" si="159"/>
        <v>12</v>
      </c>
      <c r="L3381" s="188">
        <v>0</v>
      </c>
      <c r="M3381" s="188">
        <v>4959</v>
      </c>
      <c r="N3381" s="189">
        <v>860002503</v>
      </c>
      <c r="O3381" t="s">
        <v>3935</v>
      </c>
      <c r="P3381" s="187">
        <v>45280</v>
      </c>
      <c r="Q3381" s="186">
        <v>14802</v>
      </c>
      <c r="R3381" s="185" t="s">
        <v>433</v>
      </c>
      <c r="S3381" s="185" t="s">
        <v>1656</v>
      </c>
      <c r="T3381" t="s">
        <v>2729</v>
      </c>
      <c r="U3381" t="str">
        <f>IF($L3381&gt;0,VLOOKUP($E3381,Valida!$A$1:$G$270,6,FALSE),IF($M3381&gt;=0,VLOOKUP($E3381,Valida!$A$1:$G$270,7,FALSE)))</f>
        <v>(+/-) Ajustes por el incremento (disminución) de cuentas por pagar de origen comercial</v>
      </c>
      <c r="V3381" s="190" t="str">
        <f>VLOOKUP(E3381,Valida!$A$2:$K$271,4,FALSE)</f>
        <v>Trade and other payables</v>
      </c>
      <c r="W3381" s="185" t="s">
        <v>1912</v>
      </c>
      <c r="X3381" s="185" t="s">
        <v>1913</v>
      </c>
      <c r="Y3381" s="185" t="s">
        <v>1789</v>
      </c>
      <c r="Z3381"/>
    </row>
    <row r="3382" spans="1:26">
      <c r="A3382" s="185" t="s">
        <v>3932</v>
      </c>
      <c r="B3382" s="185" t="s">
        <v>3935</v>
      </c>
      <c r="C3382" s="185" t="s">
        <v>1897</v>
      </c>
      <c r="D3382" s="185" t="s">
        <v>3936</v>
      </c>
      <c r="E3382" s="185">
        <v>237006</v>
      </c>
      <c r="F3382" s="185" t="s">
        <v>680</v>
      </c>
      <c r="G3382" s="185" t="s">
        <v>3937</v>
      </c>
      <c r="H3382" s="185" t="s">
        <v>1628</v>
      </c>
      <c r="I3382" s="258" t="str">
        <f t="shared" si="157"/>
        <v>2</v>
      </c>
      <c r="J3382" s="221">
        <f t="shared" si="158"/>
        <v>-6661</v>
      </c>
      <c r="K3382" s="258">
        <f t="shared" si="159"/>
        <v>12</v>
      </c>
      <c r="L3382" s="188">
        <v>0</v>
      </c>
      <c r="M3382" s="188">
        <v>6661</v>
      </c>
      <c r="N3382" s="189">
        <v>860002503</v>
      </c>
      <c r="O3382" t="s">
        <v>3935</v>
      </c>
      <c r="P3382" s="187">
        <v>45280</v>
      </c>
      <c r="Q3382" s="186">
        <v>14803</v>
      </c>
      <c r="R3382" s="185" t="s">
        <v>433</v>
      </c>
      <c r="S3382" s="185" t="s">
        <v>1656</v>
      </c>
      <c r="T3382" t="s">
        <v>2729</v>
      </c>
      <c r="U3382" t="str">
        <f>IF($L3382&gt;0,VLOOKUP($E3382,Valida!$A$1:$G$270,6,FALSE),IF($M3382&gt;=0,VLOOKUP($E3382,Valida!$A$1:$G$270,7,FALSE)))</f>
        <v>(+/-) Ajustes por el incremento (disminución) de cuentas por pagar de origen comercial</v>
      </c>
      <c r="V3382" s="190" t="str">
        <f>VLOOKUP(E3382,Valida!$A$2:$K$271,4,FALSE)</f>
        <v>Trade and other payables</v>
      </c>
      <c r="W3382" s="185" t="s">
        <v>1912</v>
      </c>
      <c r="X3382" s="185" t="s">
        <v>1913</v>
      </c>
      <c r="Y3382" s="185" t="s">
        <v>1789</v>
      </c>
      <c r="Z3382"/>
    </row>
    <row r="3383" spans="1:26">
      <c r="A3383" s="185" t="s">
        <v>3932</v>
      </c>
      <c r="B3383" s="185" t="s">
        <v>3935</v>
      </c>
      <c r="C3383" s="185" t="s">
        <v>1897</v>
      </c>
      <c r="D3383" s="185" t="s">
        <v>3936</v>
      </c>
      <c r="E3383" s="185">
        <v>237006</v>
      </c>
      <c r="F3383" s="185" t="s">
        <v>680</v>
      </c>
      <c r="G3383" s="185" t="s">
        <v>3937</v>
      </c>
      <c r="H3383" s="185" t="s">
        <v>1628</v>
      </c>
      <c r="I3383" s="258" t="str">
        <f t="shared" si="157"/>
        <v>2</v>
      </c>
      <c r="J3383" s="221">
        <f t="shared" si="158"/>
        <v>-7965</v>
      </c>
      <c r="K3383" s="258">
        <f t="shared" si="159"/>
        <v>12</v>
      </c>
      <c r="L3383" s="188">
        <v>0</v>
      </c>
      <c r="M3383" s="188">
        <v>7965</v>
      </c>
      <c r="N3383" s="189">
        <v>860002503</v>
      </c>
      <c r="O3383" t="s">
        <v>3935</v>
      </c>
      <c r="P3383" s="187">
        <v>45280</v>
      </c>
      <c r="Q3383" s="186">
        <v>14804</v>
      </c>
      <c r="R3383" s="185" t="s">
        <v>433</v>
      </c>
      <c r="S3383" s="185" t="s">
        <v>1656</v>
      </c>
      <c r="T3383" t="s">
        <v>2729</v>
      </c>
      <c r="U3383" t="str">
        <f>IF($L3383&gt;0,VLOOKUP($E3383,Valida!$A$1:$G$270,6,FALSE),IF($M3383&gt;=0,VLOOKUP($E3383,Valida!$A$1:$G$270,7,FALSE)))</f>
        <v>(+/-) Ajustes por el incremento (disminución) de cuentas por pagar de origen comercial</v>
      </c>
      <c r="V3383" s="190" t="str">
        <f>VLOOKUP(E3383,Valida!$A$2:$K$271,4,FALSE)</f>
        <v>Trade and other payables</v>
      </c>
      <c r="W3383" s="185" t="s">
        <v>1912</v>
      </c>
      <c r="X3383" s="185" t="s">
        <v>1913</v>
      </c>
      <c r="Y3383" s="185" t="s">
        <v>1789</v>
      </c>
      <c r="Z3383"/>
    </row>
    <row r="3384" spans="1:26">
      <c r="A3384" s="185" t="s">
        <v>3932</v>
      </c>
      <c r="B3384" s="185" t="s">
        <v>3935</v>
      </c>
      <c r="C3384" s="185" t="s">
        <v>1897</v>
      </c>
      <c r="D3384" s="185" t="s">
        <v>3936</v>
      </c>
      <c r="E3384" s="185">
        <v>237006</v>
      </c>
      <c r="F3384" s="185" t="s">
        <v>680</v>
      </c>
      <c r="G3384" s="185" t="s">
        <v>3937</v>
      </c>
      <c r="H3384" s="185" t="s">
        <v>1628</v>
      </c>
      <c r="I3384" s="258" t="str">
        <f t="shared" si="157"/>
        <v>2</v>
      </c>
      <c r="J3384" s="221">
        <f t="shared" si="158"/>
        <v>-6055</v>
      </c>
      <c r="K3384" s="258">
        <f t="shared" si="159"/>
        <v>12</v>
      </c>
      <c r="L3384" s="188">
        <v>0</v>
      </c>
      <c r="M3384" s="188">
        <v>6055</v>
      </c>
      <c r="N3384" s="189">
        <v>860002503</v>
      </c>
      <c r="O3384" t="s">
        <v>3935</v>
      </c>
      <c r="P3384" s="187">
        <v>45280</v>
      </c>
      <c r="Q3384" s="186">
        <v>14805</v>
      </c>
      <c r="R3384" s="185" t="s">
        <v>433</v>
      </c>
      <c r="S3384" s="185" t="s">
        <v>1656</v>
      </c>
      <c r="T3384" t="s">
        <v>2729</v>
      </c>
      <c r="U3384" t="str">
        <f>IF($L3384&gt;0,VLOOKUP($E3384,Valida!$A$1:$G$270,6,FALSE),IF($M3384&gt;=0,VLOOKUP($E3384,Valida!$A$1:$G$270,7,FALSE)))</f>
        <v>(+/-) Ajustes por el incremento (disminución) de cuentas por pagar de origen comercial</v>
      </c>
      <c r="V3384" s="190" t="str">
        <f>VLOOKUP(E3384,Valida!$A$2:$K$271,4,FALSE)</f>
        <v>Trade and other payables</v>
      </c>
      <c r="W3384" s="185" t="s">
        <v>1912</v>
      </c>
      <c r="X3384" s="185" t="s">
        <v>1913</v>
      </c>
      <c r="Y3384" s="185" t="s">
        <v>1789</v>
      </c>
      <c r="Z3384"/>
    </row>
    <row r="3385" spans="1:26">
      <c r="A3385" s="185" t="s">
        <v>3932</v>
      </c>
      <c r="B3385" s="185" t="s">
        <v>3935</v>
      </c>
      <c r="C3385" s="185" t="s">
        <v>1897</v>
      </c>
      <c r="D3385" s="185" t="s">
        <v>3936</v>
      </c>
      <c r="E3385" s="185">
        <v>237010</v>
      </c>
      <c r="F3385" s="185" t="s">
        <v>683</v>
      </c>
      <c r="G3385" s="185" t="s">
        <v>3938</v>
      </c>
      <c r="H3385" s="185" t="s">
        <v>1628</v>
      </c>
      <c r="I3385" s="258" t="str">
        <f t="shared" si="157"/>
        <v>2</v>
      </c>
      <c r="J3385" s="221">
        <f t="shared" si="158"/>
        <v>-45000</v>
      </c>
      <c r="K3385" s="258">
        <f t="shared" si="159"/>
        <v>12</v>
      </c>
      <c r="L3385" s="188">
        <v>0</v>
      </c>
      <c r="M3385" s="188">
        <v>45000</v>
      </c>
      <c r="N3385" s="189">
        <v>860066942</v>
      </c>
      <c r="O3385" t="s">
        <v>3935</v>
      </c>
      <c r="P3385" s="187">
        <v>45280</v>
      </c>
      <c r="Q3385" s="186">
        <v>14806</v>
      </c>
      <c r="R3385" s="185" t="s">
        <v>1814</v>
      </c>
      <c r="S3385" s="185" t="s">
        <v>1574</v>
      </c>
      <c r="T3385" t="s">
        <v>2729</v>
      </c>
      <c r="U3385" t="str">
        <f>IF($L3385&gt;0,VLOOKUP($E3385,Valida!$A$1:$G$270,6,FALSE),IF($M3385&gt;=0,VLOOKUP($E3385,Valida!$A$1:$G$270,7,FALSE)))</f>
        <v>(+/-) Ajustes por el incremento (disminución) de cuentas por pagar de origen comercial</v>
      </c>
      <c r="V3385" s="190" t="str">
        <f>VLOOKUP(E3385,Valida!$A$2:$K$271,4,FALSE)</f>
        <v>Trade and other payables</v>
      </c>
      <c r="W3385" s="185" t="s">
        <v>1914</v>
      </c>
      <c r="X3385" s="185" t="s">
        <v>1915</v>
      </c>
      <c r="Y3385" s="185" t="s">
        <v>1789</v>
      </c>
      <c r="Z3385"/>
    </row>
    <row r="3386" spans="1:26">
      <c r="A3386" s="185" t="s">
        <v>3932</v>
      </c>
      <c r="B3386" s="185" t="s">
        <v>3935</v>
      </c>
      <c r="C3386" s="185" t="s">
        <v>1897</v>
      </c>
      <c r="D3386" s="185" t="s">
        <v>3936</v>
      </c>
      <c r="E3386" s="185">
        <v>237010</v>
      </c>
      <c r="F3386" s="185" t="s">
        <v>683</v>
      </c>
      <c r="G3386" s="185" t="s">
        <v>3938</v>
      </c>
      <c r="H3386" s="185" t="s">
        <v>1628</v>
      </c>
      <c r="I3386" s="258" t="str">
        <f t="shared" si="157"/>
        <v>2</v>
      </c>
      <c r="J3386" s="221">
        <f t="shared" si="158"/>
        <v>-38280</v>
      </c>
      <c r="K3386" s="258">
        <f t="shared" si="159"/>
        <v>12</v>
      </c>
      <c r="L3386" s="188">
        <v>0</v>
      </c>
      <c r="M3386" s="188">
        <v>38280</v>
      </c>
      <c r="N3386" s="189">
        <v>860066942</v>
      </c>
      <c r="O3386" t="s">
        <v>3935</v>
      </c>
      <c r="P3386" s="187">
        <v>45280</v>
      </c>
      <c r="Q3386" s="186">
        <v>14807</v>
      </c>
      <c r="R3386" s="185" t="s">
        <v>1814</v>
      </c>
      <c r="S3386" s="185" t="s">
        <v>1574</v>
      </c>
      <c r="T3386" t="s">
        <v>2729</v>
      </c>
      <c r="U3386" t="str">
        <f>IF($L3386&gt;0,VLOOKUP($E3386,Valida!$A$1:$G$270,6,FALSE),IF($M3386&gt;=0,VLOOKUP($E3386,Valida!$A$1:$G$270,7,FALSE)))</f>
        <v>(+/-) Ajustes por el incremento (disminución) de cuentas por pagar de origen comercial</v>
      </c>
      <c r="V3386" s="190" t="str">
        <f>VLOOKUP(E3386,Valida!$A$2:$K$271,4,FALSE)</f>
        <v>Trade and other payables</v>
      </c>
      <c r="W3386" s="185" t="s">
        <v>1914</v>
      </c>
      <c r="X3386" s="185" t="s">
        <v>1915</v>
      </c>
      <c r="Y3386" s="185" t="s">
        <v>1789</v>
      </c>
      <c r="Z3386"/>
    </row>
    <row r="3387" spans="1:26">
      <c r="A3387" s="185" t="s">
        <v>3932</v>
      </c>
      <c r="B3387" s="185" t="s">
        <v>3935</v>
      </c>
      <c r="C3387" s="185" t="s">
        <v>1897</v>
      </c>
      <c r="D3387" s="185" t="s">
        <v>3936</v>
      </c>
      <c r="E3387" s="185">
        <v>237010</v>
      </c>
      <c r="F3387" s="185" t="s">
        <v>683</v>
      </c>
      <c r="G3387" s="185" t="s">
        <v>3938</v>
      </c>
      <c r="H3387" s="185" t="s">
        <v>1628</v>
      </c>
      <c r="I3387" s="258" t="str">
        <f t="shared" si="157"/>
        <v>2</v>
      </c>
      <c r="J3387" s="221">
        <f t="shared" si="158"/>
        <v>-55613</v>
      </c>
      <c r="K3387" s="258">
        <f t="shared" si="159"/>
        <v>12</v>
      </c>
      <c r="L3387" s="188">
        <v>0</v>
      </c>
      <c r="M3387" s="188">
        <v>55613</v>
      </c>
      <c r="N3387" s="189">
        <v>860066942</v>
      </c>
      <c r="O3387" t="s">
        <v>3935</v>
      </c>
      <c r="P3387" s="187">
        <v>45280</v>
      </c>
      <c r="Q3387" s="186">
        <v>14808</v>
      </c>
      <c r="R3387" s="185" t="s">
        <v>1814</v>
      </c>
      <c r="S3387" s="185" t="s">
        <v>1574</v>
      </c>
      <c r="T3387" t="s">
        <v>2729</v>
      </c>
      <c r="U3387" t="str">
        <f>IF($L3387&gt;0,VLOOKUP($E3387,Valida!$A$1:$G$270,6,FALSE),IF($M3387&gt;=0,VLOOKUP($E3387,Valida!$A$1:$G$270,7,FALSE)))</f>
        <v>(+/-) Ajustes por el incremento (disminución) de cuentas por pagar de origen comercial</v>
      </c>
      <c r="V3387" s="190" t="str">
        <f>VLOOKUP(E3387,Valida!$A$2:$K$271,4,FALSE)</f>
        <v>Trade and other payables</v>
      </c>
      <c r="W3387" s="185" t="s">
        <v>1914</v>
      </c>
      <c r="X3387" s="185" t="s">
        <v>1915</v>
      </c>
      <c r="Y3387" s="185" t="s">
        <v>1789</v>
      </c>
      <c r="Z3387"/>
    </row>
    <row r="3388" spans="1:26">
      <c r="A3388" s="185" t="s">
        <v>3932</v>
      </c>
      <c r="B3388" s="185" t="s">
        <v>3935</v>
      </c>
      <c r="C3388" s="185" t="s">
        <v>1897</v>
      </c>
      <c r="D3388" s="185" t="s">
        <v>3936</v>
      </c>
      <c r="E3388" s="185">
        <v>237010</v>
      </c>
      <c r="F3388" s="185" t="s">
        <v>683</v>
      </c>
      <c r="G3388" s="185" t="s">
        <v>3938</v>
      </c>
      <c r="H3388" s="185" t="s">
        <v>1628</v>
      </c>
      <c r="I3388" s="258" t="str">
        <f t="shared" si="157"/>
        <v>2</v>
      </c>
      <c r="J3388" s="221">
        <f t="shared" si="158"/>
        <v>-34800</v>
      </c>
      <c r="K3388" s="258">
        <f t="shared" si="159"/>
        <v>12</v>
      </c>
      <c r="L3388" s="188">
        <v>0</v>
      </c>
      <c r="M3388" s="188">
        <v>34800</v>
      </c>
      <c r="N3388" s="189">
        <v>860066942</v>
      </c>
      <c r="O3388" t="s">
        <v>3935</v>
      </c>
      <c r="P3388" s="187">
        <v>45280</v>
      </c>
      <c r="Q3388" s="186">
        <v>14809</v>
      </c>
      <c r="R3388" s="185" t="s">
        <v>1814</v>
      </c>
      <c r="S3388" s="185" t="s">
        <v>1574</v>
      </c>
      <c r="T3388" t="s">
        <v>2729</v>
      </c>
      <c r="U3388" t="str">
        <f>IF($L3388&gt;0,VLOOKUP($E3388,Valida!$A$1:$G$270,6,FALSE),IF($M3388&gt;=0,VLOOKUP($E3388,Valida!$A$1:$G$270,7,FALSE)))</f>
        <v>(+/-) Ajustes por el incremento (disminución) de cuentas por pagar de origen comercial</v>
      </c>
      <c r="V3388" s="190" t="str">
        <f>VLOOKUP(E3388,Valida!$A$2:$K$271,4,FALSE)</f>
        <v>Trade and other payables</v>
      </c>
      <c r="W3388" s="185" t="s">
        <v>1914</v>
      </c>
      <c r="X3388" s="185" t="s">
        <v>1915</v>
      </c>
      <c r="Y3388" s="185" t="s">
        <v>1789</v>
      </c>
      <c r="Z3388"/>
    </row>
    <row r="3389" spans="1:26">
      <c r="A3389" s="185" t="s">
        <v>3932</v>
      </c>
      <c r="B3389" s="185" t="s">
        <v>3935</v>
      </c>
      <c r="C3389" s="185" t="s">
        <v>1897</v>
      </c>
      <c r="D3389" s="185" t="s">
        <v>3936</v>
      </c>
      <c r="E3389" s="185">
        <v>238030</v>
      </c>
      <c r="F3389" s="185" t="s">
        <v>721</v>
      </c>
      <c r="G3389" s="185" t="s">
        <v>3939</v>
      </c>
      <c r="H3389" s="185" t="s">
        <v>1628</v>
      </c>
      <c r="I3389" s="258" t="str">
        <f t="shared" si="157"/>
        <v>2</v>
      </c>
      <c r="J3389" s="221">
        <f t="shared" si="158"/>
        <v>-180000</v>
      </c>
      <c r="K3389" s="258">
        <f t="shared" si="159"/>
        <v>12</v>
      </c>
      <c r="L3389" s="188">
        <v>0</v>
      </c>
      <c r="M3389" s="188">
        <v>180000</v>
      </c>
      <c r="N3389" s="189">
        <v>800224808</v>
      </c>
      <c r="O3389" t="s">
        <v>3935</v>
      </c>
      <c r="P3389" s="187">
        <v>45280</v>
      </c>
      <c r="Q3389" s="186">
        <v>14810</v>
      </c>
      <c r="R3389" s="185" t="s">
        <v>1827</v>
      </c>
      <c r="S3389" s="185" t="s">
        <v>1662</v>
      </c>
      <c r="T3389" t="s">
        <v>2729</v>
      </c>
      <c r="U3389" t="str">
        <f>IF($L3389&gt;0,VLOOKUP($E3389,Valida!$A$1:$G$270,6,FALSE),IF($M3389&gt;=0,VLOOKUP($E3389,Valida!$A$1:$G$270,7,FALSE)))</f>
        <v>(+/-) Ajustes por el incremento (disminución) de cuentas por pagar de origen comercial</v>
      </c>
      <c r="V3389" s="190" t="str">
        <f>VLOOKUP(E3389,Valida!$A$2:$K$271,4,FALSE)</f>
        <v>Trade and other payables</v>
      </c>
      <c r="W3389" s="185" t="s">
        <v>1911</v>
      </c>
      <c r="X3389" s="185"/>
      <c r="Y3389" s="185" t="s">
        <v>1789</v>
      </c>
      <c r="Z3389"/>
    </row>
    <row r="3390" spans="1:26">
      <c r="A3390" s="185" t="s">
        <v>3932</v>
      </c>
      <c r="B3390" s="185" t="s">
        <v>3935</v>
      </c>
      <c r="C3390" s="185" t="s">
        <v>1897</v>
      </c>
      <c r="D3390" s="185" t="s">
        <v>3936</v>
      </c>
      <c r="E3390" s="185">
        <v>238030</v>
      </c>
      <c r="F3390" s="185" t="s">
        <v>721</v>
      </c>
      <c r="G3390" s="185" t="s">
        <v>3939</v>
      </c>
      <c r="H3390" s="185" t="s">
        <v>1628</v>
      </c>
      <c r="I3390" s="258" t="str">
        <f t="shared" si="157"/>
        <v>2</v>
      </c>
      <c r="J3390" s="221">
        <f t="shared" si="158"/>
        <v>-222452</v>
      </c>
      <c r="K3390" s="258">
        <f t="shared" si="159"/>
        <v>12</v>
      </c>
      <c r="L3390" s="188">
        <v>0</v>
      </c>
      <c r="M3390" s="188">
        <v>222452</v>
      </c>
      <c r="N3390" s="189">
        <v>800224808</v>
      </c>
      <c r="O3390" t="s">
        <v>3935</v>
      </c>
      <c r="P3390" s="187">
        <v>45280</v>
      </c>
      <c r="Q3390" s="186">
        <v>14811</v>
      </c>
      <c r="R3390" s="185" t="s">
        <v>1827</v>
      </c>
      <c r="S3390" s="185" t="s">
        <v>1662</v>
      </c>
      <c r="T3390" t="s">
        <v>2729</v>
      </c>
      <c r="U3390" t="str">
        <f>IF($L3390&gt;0,VLOOKUP($E3390,Valida!$A$1:$G$270,6,FALSE),IF($M3390&gt;=0,VLOOKUP($E3390,Valida!$A$1:$G$270,7,FALSE)))</f>
        <v>(+/-) Ajustes por el incremento (disminución) de cuentas por pagar de origen comercial</v>
      </c>
      <c r="V3390" s="190" t="str">
        <f>VLOOKUP(E3390,Valida!$A$2:$K$271,4,FALSE)</f>
        <v>Trade and other payables</v>
      </c>
      <c r="W3390" s="185" t="s">
        <v>1911</v>
      </c>
      <c r="X3390" s="185"/>
      <c r="Y3390" s="185" t="s">
        <v>1789</v>
      </c>
      <c r="Z3390"/>
    </row>
    <row r="3391" spans="1:26">
      <c r="A3391" s="185" t="s">
        <v>3932</v>
      </c>
      <c r="B3391" s="185" t="s">
        <v>3935</v>
      </c>
      <c r="C3391" s="185" t="s">
        <v>1897</v>
      </c>
      <c r="D3391" s="185" t="s">
        <v>3936</v>
      </c>
      <c r="E3391" s="185">
        <v>238030</v>
      </c>
      <c r="F3391" s="185" t="s">
        <v>721</v>
      </c>
      <c r="G3391" s="185" t="s">
        <v>3939</v>
      </c>
      <c r="H3391" s="185" t="s">
        <v>1628</v>
      </c>
      <c r="I3391" s="258" t="str">
        <f t="shared" si="157"/>
        <v>2</v>
      </c>
      <c r="J3391" s="221">
        <f t="shared" si="158"/>
        <v>-139200</v>
      </c>
      <c r="K3391" s="258">
        <f t="shared" si="159"/>
        <v>12</v>
      </c>
      <c r="L3391" s="188">
        <v>0</v>
      </c>
      <c r="M3391" s="188">
        <v>139200</v>
      </c>
      <c r="N3391" s="189">
        <v>800224808</v>
      </c>
      <c r="O3391" t="s">
        <v>3935</v>
      </c>
      <c r="P3391" s="187">
        <v>45280</v>
      </c>
      <c r="Q3391" s="186">
        <v>14812</v>
      </c>
      <c r="R3391" s="185" t="s">
        <v>1827</v>
      </c>
      <c r="S3391" s="185" t="s">
        <v>1662</v>
      </c>
      <c r="T3391" t="s">
        <v>2729</v>
      </c>
      <c r="U3391" t="str">
        <f>IF($L3391&gt;0,VLOOKUP($E3391,Valida!$A$1:$G$270,6,FALSE),IF($M3391&gt;=0,VLOOKUP($E3391,Valida!$A$1:$G$270,7,FALSE)))</f>
        <v>(+/-) Ajustes por el incremento (disminución) de cuentas por pagar de origen comercial</v>
      </c>
      <c r="V3391" s="190" t="str">
        <f>VLOOKUP(E3391,Valida!$A$2:$K$271,4,FALSE)</f>
        <v>Trade and other payables</v>
      </c>
      <c r="W3391" s="185" t="s">
        <v>1911</v>
      </c>
      <c r="X3391" s="185"/>
      <c r="Y3391" s="185" t="s">
        <v>1789</v>
      </c>
      <c r="Z3391"/>
    </row>
    <row r="3392" spans="1:26">
      <c r="A3392" s="185" t="s">
        <v>3932</v>
      </c>
      <c r="B3392" s="185" t="s">
        <v>3935</v>
      </c>
      <c r="C3392" s="185" t="s">
        <v>1897</v>
      </c>
      <c r="D3392" s="185" t="s">
        <v>3936</v>
      </c>
      <c r="E3392" s="185">
        <v>238030</v>
      </c>
      <c r="F3392" s="185" t="s">
        <v>721</v>
      </c>
      <c r="G3392" s="185" t="s">
        <v>3939</v>
      </c>
      <c r="H3392" s="185" t="s">
        <v>1628</v>
      </c>
      <c r="I3392" s="258" t="str">
        <f t="shared" si="157"/>
        <v>2</v>
      </c>
      <c r="J3392" s="221">
        <f t="shared" si="158"/>
        <v>-153120</v>
      </c>
      <c r="K3392" s="258">
        <f t="shared" si="159"/>
        <v>12</v>
      </c>
      <c r="L3392" s="188">
        <v>0</v>
      </c>
      <c r="M3392" s="188">
        <v>153120</v>
      </c>
      <c r="N3392" s="189">
        <v>800227940</v>
      </c>
      <c r="O3392" t="s">
        <v>3935</v>
      </c>
      <c r="P3392" s="187">
        <v>45280</v>
      </c>
      <c r="Q3392" s="186">
        <v>14813</v>
      </c>
      <c r="R3392" s="185"/>
      <c r="S3392" s="185" t="s">
        <v>1664</v>
      </c>
      <c r="T3392" t="s">
        <v>2729</v>
      </c>
      <c r="U3392" t="str">
        <f>IF($L3392&gt;0,VLOOKUP($E3392,Valida!$A$1:$G$270,6,FALSE),IF($M3392&gt;=0,VLOOKUP($E3392,Valida!$A$1:$G$270,7,FALSE)))</f>
        <v>(+/-) Ajustes por el incremento (disminución) de cuentas por pagar de origen comercial</v>
      </c>
      <c r="V3392" s="190" t="str">
        <f>VLOOKUP(E3392,Valida!$A$2:$K$271,4,FALSE)</f>
        <v>Trade and other payables</v>
      </c>
      <c r="W3392" s="185"/>
      <c r="X3392" s="185"/>
      <c r="Y3392" s="185"/>
      <c r="Z3392"/>
    </row>
    <row r="3393" spans="1:26">
      <c r="A3393" s="185" t="s">
        <v>3932</v>
      </c>
      <c r="B3393" s="185" t="s">
        <v>3935</v>
      </c>
      <c r="C3393" s="185" t="s">
        <v>1897</v>
      </c>
      <c r="D3393" s="185" t="s">
        <v>3936</v>
      </c>
      <c r="E3393" s="185">
        <v>251010</v>
      </c>
      <c r="F3393" s="185" t="s">
        <v>776</v>
      </c>
      <c r="G3393" s="185" t="s">
        <v>3940</v>
      </c>
      <c r="H3393" s="185" t="s">
        <v>1628</v>
      </c>
      <c r="I3393" s="258" t="str">
        <f t="shared" si="157"/>
        <v>2</v>
      </c>
      <c r="J3393" s="221">
        <f t="shared" si="158"/>
        <v>-118003</v>
      </c>
      <c r="K3393" s="258">
        <f t="shared" si="159"/>
        <v>12</v>
      </c>
      <c r="L3393" s="188">
        <v>0</v>
      </c>
      <c r="M3393" s="188">
        <v>118003</v>
      </c>
      <c r="N3393" s="189">
        <v>1000018061</v>
      </c>
      <c r="O3393" t="s">
        <v>3935</v>
      </c>
      <c r="P3393" s="187">
        <v>45280</v>
      </c>
      <c r="Q3393" s="186">
        <v>14814</v>
      </c>
      <c r="R3393" s="185"/>
      <c r="S3393" s="185" t="s">
        <v>1522</v>
      </c>
      <c r="T3393" t="s">
        <v>2729</v>
      </c>
      <c r="U3393" t="str">
        <f>IF($L3393&gt;0,VLOOKUP($E3393,Valida!$A$1:$G$270,6,FALSE),IF($M3393&gt;=0,VLOOKUP($E3393,Valida!$A$1:$G$270,7,FALSE)))</f>
        <v>(+/-) Ajustes por el incremento (disminución) de cuentas por pagar de origen comercial</v>
      </c>
      <c r="V3393" s="190" t="str">
        <f>VLOOKUP(E3393,Valida!$A$2:$K$271,4,FALSE)</f>
        <v>Trade and other payables</v>
      </c>
      <c r="W3393" s="185" t="s">
        <v>1978</v>
      </c>
      <c r="X3393" s="185"/>
      <c r="Y3393" s="185" t="s">
        <v>1789</v>
      </c>
      <c r="Z3393"/>
    </row>
    <row r="3394" spans="1:26">
      <c r="A3394" s="185" t="s">
        <v>3932</v>
      </c>
      <c r="B3394" s="185" t="s">
        <v>3935</v>
      </c>
      <c r="C3394" s="185" t="s">
        <v>1897</v>
      </c>
      <c r="D3394" s="185" t="s">
        <v>3936</v>
      </c>
      <c r="E3394" s="185">
        <v>251010</v>
      </c>
      <c r="F3394" s="185" t="s">
        <v>776</v>
      </c>
      <c r="G3394" s="185" t="s">
        <v>3940</v>
      </c>
      <c r="H3394" s="185" t="s">
        <v>1628</v>
      </c>
      <c r="I3394" s="258" t="str">
        <f t="shared" si="157"/>
        <v>2</v>
      </c>
      <c r="J3394" s="221">
        <f t="shared" si="158"/>
        <v>-164179</v>
      </c>
      <c r="K3394" s="258">
        <f t="shared" si="159"/>
        <v>12</v>
      </c>
      <c r="L3394" s="188">
        <v>0</v>
      </c>
      <c r="M3394" s="188">
        <v>164179</v>
      </c>
      <c r="N3394" s="189">
        <v>1000036375</v>
      </c>
      <c r="O3394" t="s">
        <v>3935</v>
      </c>
      <c r="P3394" s="187">
        <v>45280</v>
      </c>
      <c r="Q3394" s="186">
        <v>14815</v>
      </c>
      <c r="R3394" s="185"/>
      <c r="S3394" s="185" t="s">
        <v>1524</v>
      </c>
      <c r="T3394" t="s">
        <v>2729</v>
      </c>
      <c r="U3394" t="str">
        <f>IF($L3394&gt;0,VLOOKUP($E3394,Valida!$A$1:$G$270,6,FALSE),IF($M3394&gt;=0,VLOOKUP($E3394,Valida!$A$1:$G$270,7,FALSE)))</f>
        <v>(+/-) Ajustes por el incremento (disminución) de cuentas por pagar de origen comercial</v>
      </c>
      <c r="V3394" s="190" t="str">
        <f>VLOOKUP(E3394,Valida!$A$2:$K$271,4,FALSE)</f>
        <v>Trade and other payables</v>
      </c>
      <c r="W3394" s="185" t="s">
        <v>1983</v>
      </c>
      <c r="X3394" s="185"/>
      <c r="Y3394" s="185" t="s">
        <v>1789</v>
      </c>
      <c r="Z3394"/>
    </row>
    <row r="3395" spans="1:26">
      <c r="A3395" s="185" t="s">
        <v>3932</v>
      </c>
      <c r="B3395" s="185" t="s">
        <v>3935</v>
      </c>
      <c r="C3395" s="185" t="s">
        <v>1897</v>
      </c>
      <c r="D3395" s="185" t="s">
        <v>3936</v>
      </c>
      <c r="E3395" s="185">
        <v>251010</v>
      </c>
      <c r="F3395" s="185" t="s">
        <v>776</v>
      </c>
      <c r="G3395" s="185" t="s">
        <v>3940</v>
      </c>
      <c r="H3395" s="185" t="s">
        <v>1628</v>
      </c>
      <c r="I3395" s="258" t="str">
        <f t="shared" ref="I3395:I3458" si="160">LEFT(E3395,1)</f>
        <v>2</v>
      </c>
      <c r="J3395" s="221">
        <f t="shared" ref="J3395:J3458" si="161">L3395-M3395</f>
        <v>-132368</v>
      </c>
      <c r="K3395" s="258">
        <f t="shared" ref="K3395:K3458" si="162">MONTH(A3395)</f>
        <v>12</v>
      </c>
      <c r="L3395" s="188">
        <v>0</v>
      </c>
      <c r="M3395" s="188">
        <v>132368</v>
      </c>
      <c r="N3395" s="189">
        <v>1010101811</v>
      </c>
      <c r="O3395" t="s">
        <v>3935</v>
      </c>
      <c r="P3395" s="187">
        <v>45280</v>
      </c>
      <c r="Q3395" s="186">
        <v>14816</v>
      </c>
      <c r="R3395" s="185"/>
      <c r="S3395" s="185" t="s">
        <v>1528</v>
      </c>
      <c r="T3395" t="s">
        <v>2729</v>
      </c>
      <c r="U3395" t="str">
        <f>IF($L3395&gt;0,VLOOKUP($E3395,Valida!$A$1:$G$270,6,FALSE),IF($M3395&gt;=0,VLOOKUP($E3395,Valida!$A$1:$G$270,7,FALSE)))</f>
        <v>(+/-) Ajustes por el incremento (disminución) de cuentas por pagar de origen comercial</v>
      </c>
      <c r="V3395" s="190" t="str">
        <f>VLOOKUP(E3395,Valida!$A$2:$K$271,4,FALSE)</f>
        <v>Trade and other payables</v>
      </c>
      <c r="W3395" s="185" t="s">
        <v>1967</v>
      </c>
      <c r="X3395" s="185"/>
      <c r="Y3395" s="185" t="s">
        <v>1789</v>
      </c>
      <c r="Z3395"/>
    </row>
    <row r="3396" spans="1:26">
      <c r="A3396" s="185" t="s">
        <v>3932</v>
      </c>
      <c r="B3396" s="185" t="s">
        <v>3935</v>
      </c>
      <c r="C3396" s="185" t="s">
        <v>1897</v>
      </c>
      <c r="D3396" s="185" t="s">
        <v>3936</v>
      </c>
      <c r="E3396" s="185">
        <v>251010</v>
      </c>
      <c r="F3396" s="185" t="s">
        <v>776</v>
      </c>
      <c r="G3396" s="185" t="s">
        <v>3940</v>
      </c>
      <c r="H3396" s="185" t="s">
        <v>1628</v>
      </c>
      <c r="I3396" s="258" t="str">
        <f t="shared" si="160"/>
        <v>2</v>
      </c>
      <c r="J3396" s="221">
        <f t="shared" si="161"/>
        <v>-108340</v>
      </c>
      <c r="K3396" s="258">
        <f t="shared" si="162"/>
        <v>12</v>
      </c>
      <c r="L3396" s="188">
        <v>0</v>
      </c>
      <c r="M3396" s="188">
        <v>108340</v>
      </c>
      <c r="N3396" s="189">
        <v>1130744136</v>
      </c>
      <c r="O3396" t="s">
        <v>3935</v>
      </c>
      <c r="P3396" s="187">
        <v>45280</v>
      </c>
      <c r="Q3396" s="186">
        <v>14817</v>
      </c>
      <c r="R3396" s="185"/>
      <c r="S3396" s="185" t="s">
        <v>1538</v>
      </c>
      <c r="T3396" t="s">
        <v>2729</v>
      </c>
      <c r="U3396" t="str">
        <f>IF($L3396&gt;0,VLOOKUP($E3396,Valida!$A$1:$G$270,6,FALSE),IF($M3396&gt;=0,VLOOKUP($E3396,Valida!$A$1:$G$270,7,FALSE)))</f>
        <v>(+/-) Ajustes por el incremento (disminución) de cuentas por pagar de origen comercial</v>
      </c>
      <c r="V3396" s="190" t="str">
        <f>VLOOKUP(E3396,Valida!$A$2:$K$271,4,FALSE)</f>
        <v>Trade and other payables</v>
      </c>
      <c r="W3396" s="185" t="s">
        <v>1909</v>
      </c>
      <c r="X3396" s="185" t="s">
        <v>1910</v>
      </c>
      <c r="Y3396" s="185" t="s">
        <v>1789</v>
      </c>
      <c r="Z3396"/>
    </row>
    <row r="3397" spans="1:26">
      <c r="A3397" s="185" t="s">
        <v>3932</v>
      </c>
      <c r="B3397" s="185" t="s">
        <v>3935</v>
      </c>
      <c r="C3397" s="185" t="s">
        <v>1897</v>
      </c>
      <c r="D3397" s="185" t="s">
        <v>3936</v>
      </c>
      <c r="E3397" s="185">
        <v>251505</v>
      </c>
      <c r="F3397" s="185" t="s">
        <v>779</v>
      </c>
      <c r="G3397" s="185" t="s">
        <v>3941</v>
      </c>
      <c r="H3397" s="185" t="s">
        <v>1628</v>
      </c>
      <c r="I3397" s="258" t="str">
        <f t="shared" si="160"/>
        <v>2</v>
      </c>
      <c r="J3397" s="221">
        <f t="shared" si="161"/>
        <v>-15891</v>
      </c>
      <c r="K3397" s="258">
        <f t="shared" si="162"/>
        <v>12</v>
      </c>
      <c r="L3397" s="188">
        <v>0</v>
      </c>
      <c r="M3397" s="188">
        <v>15891</v>
      </c>
      <c r="N3397" s="189">
        <v>800224808</v>
      </c>
      <c r="O3397" t="s">
        <v>3935</v>
      </c>
      <c r="P3397" s="187">
        <v>45280</v>
      </c>
      <c r="Q3397" s="186">
        <v>14818</v>
      </c>
      <c r="R3397" s="185" t="s">
        <v>1827</v>
      </c>
      <c r="S3397" s="185" t="s">
        <v>1662</v>
      </c>
      <c r="T3397" t="s">
        <v>2729</v>
      </c>
      <c r="U3397" t="str">
        <f>IF($L3397&gt;0,VLOOKUP($E3397,Valida!$A$1:$G$270,6,FALSE),IF($M3397&gt;=0,VLOOKUP($E3397,Valida!$A$1:$G$270,7,FALSE)))</f>
        <v>(+/-) Ajustes por el incremento (disminución) de cuentas por pagar de origen comercial</v>
      </c>
      <c r="V3397" s="190" t="str">
        <f>VLOOKUP(E3397,Valida!$A$2:$K$271,4,FALSE)</f>
        <v>Trade and other payables</v>
      </c>
      <c r="W3397" s="185" t="s">
        <v>1911</v>
      </c>
      <c r="X3397" s="185"/>
      <c r="Y3397" s="185" t="s">
        <v>1789</v>
      </c>
      <c r="Z3397"/>
    </row>
    <row r="3398" spans="1:26">
      <c r="A3398" s="185" t="s">
        <v>3932</v>
      </c>
      <c r="B3398" s="185" t="s">
        <v>3935</v>
      </c>
      <c r="C3398" s="185" t="s">
        <v>1897</v>
      </c>
      <c r="D3398" s="185" t="s">
        <v>3936</v>
      </c>
      <c r="E3398" s="185">
        <v>251505</v>
      </c>
      <c r="F3398" s="185" t="s">
        <v>779</v>
      </c>
      <c r="G3398" s="185" t="s">
        <v>3941</v>
      </c>
      <c r="H3398" s="185" t="s">
        <v>1628</v>
      </c>
      <c r="I3398" s="258" t="str">
        <f t="shared" si="160"/>
        <v>2</v>
      </c>
      <c r="J3398" s="221">
        <f t="shared" si="161"/>
        <v>-19709</v>
      </c>
      <c r="K3398" s="258">
        <f t="shared" si="162"/>
        <v>12</v>
      </c>
      <c r="L3398" s="188">
        <v>0</v>
      </c>
      <c r="M3398" s="188">
        <v>19709</v>
      </c>
      <c r="N3398" s="189">
        <v>800224808</v>
      </c>
      <c r="O3398" t="s">
        <v>3935</v>
      </c>
      <c r="P3398" s="187">
        <v>45280</v>
      </c>
      <c r="Q3398" s="186">
        <v>14819</v>
      </c>
      <c r="R3398" s="185" t="s">
        <v>1827</v>
      </c>
      <c r="S3398" s="185" t="s">
        <v>1662</v>
      </c>
      <c r="T3398" t="s">
        <v>2729</v>
      </c>
      <c r="U3398" t="str">
        <f>IF($L3398&gt;0,VLOOKUP($E3398,Valida!$A$1:$G$270,6,FALSE),IF($M3398&gt;=0,VLOOKUP($E3398,Valida!$A$1:$G$270,7,FALSE)))</f>
        <v>(+/-) Ajustes por el incremento (disminución) de cuentas por pagar de origen comercial</v>
      </c>
      <c r="V3398" s="190" t="str">
        <f>VLOOKUP(E3398,Valida!$A$2:$K$271,4,FALSE)</f>
        <v>Trade and other payables</v>
      </c>
      <c r="W3398" s="185" t="s">
        <v>1911</v>
      </c>
      <c r="X3398" s="185"/>
      <c r="Y3398" s="185" t="s">
        <v>1789</v>
      </c>
      <c r="Z3398"/>
    </row>
    <row r="3399" spans="1:26">
      <c r="A3399" s="185" t="s">
        <v>3932</v>
      </c>
      <c r="B3399" s="185" t="s">
        <v>3935</v>
      </c>
      <c r="C3399" s="185" t="s">
        <v>1897</v>
      </c>
      <c r="D3399" s="185" t="s">
        <v>3936</v>
      </c>
      <c r="E3399" s="185">
        <v>251505</v>
      </c>
      <c r="F3399" s="185" t="s">
        <v>779</v>
      </c>
      <c r="G3399" s="185" t="s">
        <v>3941</v>
      </c>
      <c r="H3399" s="185" t="s">
        <v>1628</v>
      </c>
      <c r="I3399" s="258" t="str">
        <f t="shared" si="160"/>
        <v>2</v>
      </c>
      <c r="J3399" s="221">
        <f t="shared" si="161"/>
        <v>-13006</v>
      </c>
      <c r="K3399" s="258">
        <f t="shared" si="162"/>
        <v>12</v>
      </c>
      <c r="L3399" s="188">
        <v>0</v>
      </c>
      <c r="M3399" s="188">
        <v>13006</v>
      </c>
      <c r="N3399" s="189">
        <v>800224808</v>
      </c>
      <c r="O3399" t="s">
        <v>3935</v>
      </c>
      <c r="P3399" s="187">
        <v>45280</v>
      </c>
      <c r="Q3399" s="186">
        <v>14820</v>
      </c>
      <c r="R3399" s="185" t="s">
        <v>1827</v>
      </c>
      <c r="S3399" s="185" t="s">
        <v>1662</v>
      </c>
      <c r="T3399" t="s">
        <v>2729</v>
      </c>
      <c r="U3399" t="str">
        <f>IF($L3399&gt;0,VLOOKUP($E3399,Valida!$A$1:$G$270,6,FALSE),IF($M3399&gt;=0,VLOOKUP($E3399,Valida!$A$1:$G$270,7,FALSE)))</f>
        <v>(+/-) Ajustes por el incremento (disminución) de cuentas por pagar de origen comercial</v>
      </c>
      <c r="V3399" s="190" t="str">
        <f>VLOOKUP(E3399,Valida!$A$2:$K$271,4,FALSE)</f>
        <v>Trade and other payables</v>
      </c>
      <c r="W3399" s="185" t="s">
        <v>1911</v>
      </c>
      <c r="X3399" s="185"/>
      <c r="Y3399" s="185" t="s">
        <v>1789</v>
      </c>
      <c r="Z3399"/>
    </row>
    <row r="3400" spans="1:26">
      <c r="A3400" s="185" t="s">
        <v>3932</v>
      </c>
      <c r="B3400" s="185" t="s">
        <v>3935</v>
      </c>
      <c r="C3400" s="185" t="s">
        <v>1897</v>
      </c>
      <c r="D3400" s="185" t="s">
        <v>3936</v>
      </c>
      <c r="E3400" s="185">
        <v>251505</v>
      </c>
      <c r="F3400" s="185" t="s">
        <v>779</v>
      </c>
      <c r="G3400" s="185" t="s">
        <v>3941</v>
      </c>
      <c r="H3400" s="185" t="s">
        <v>1628</v>
      </c>
      <c r="I3400" s="258" t="str">
        <f t="shared" si="160"/>
        <v>2</v>
      </c>
      <c r="J3400" s="221">
        <f t="shared" si="161"/>
        <v>-14166</v>
      </c>
      <c r="K3400" s="258">
        <f t="shared" si="162"/>
        <v>12</v>
      </c>
      <c r="L3400" s="188">
        <v>0</v>
      </c>
      <c r="M3400" s="188">
        <v>14166</v>
      </c>
      <c r="N3400" s="189">
        <v>800227940</v>
      </c>
      <c r="O3400" t="s">
        <v>3935</v>
      </c>
      <c r="P3400" s="187">
        <v>45280</v>
      </c>
      <c r="Q3400" s="186">
        <v>14821</v>
      </c>
      <c r="R3400" s="185"/>
      <c r="S3400" s="185" t="s">
        <v>1664</v>
      </c>
      <c r="T3400" t="s">
        <v>2729</v>
      </c>
      <c r="U3400" t="str">
        <f>IF($L3400&gt;0,VLOOKUP($E3400,Valida!$A$1:$G$270,6,FALSE),IF($M3400&gt;=0,VLOOKUP($E3400,Valida!$A$1:$G$270,7,FALSE)))</f>
        <v>(+/-) Ajustes por el incremento (disminución) de cuentas por pagar de origen comercial</v>
      </c>
      <c r="V3400" s="190" t="str">
        <f>VLOOKUP(E3400,Valida!$A$2:$K$271,4,FALSE)</f>
        <v>Trade and other payables</v>
      </c>
      <c r="W3400" s="185"/>
      <c r="X3400" s="185"/>
      <c r="Y3400" s="185"/>
      <c r="Z3400"/>
    </row>
    <row r="3401" spans="1:26">
      <c r="A3401" s="185" t="s">
        <v>3932</v>
      </c>
      <c r="B3401" s="185" t="s">
        <v>3935</v>
      </c>
      <c r="C3401" s="185" t="s">
        <v>1897</v>
      </c>
      <c r="D3401" s="185" t="s">
        <v>3936</v>
      </c>
      <c r="E3401" s="185">
        <v>252005</v>
      </c>
      <c r="F3401" s="185" t="s">
        <v>783</v>
      </c>
      <c r="G3401" s="185" t="s">
        <v>3942</v>
      </c>
      <c r="H3401" s="185" t="s">
        <v>1628</v>
      </c>
      <c r="I3401" s="258" t="str">
        <f t="shared" si="160"/>
        <v>2</v>
      </c>
      <c r="J3401" s="221">
        <f t="shared" si="161"/>
        <v>-118003</v>
      </c>
      <c r="K3401" s="258">
        <f t="shared" si="162"/>
        <v>12</v>
      </c>
      <c r="L3401" s="188">
        <v>0</v>
      </c>
      <c r="M3401" s="188">
        <v>118003</v>
      </c>
      <c r="N3401" s="189">
        <v>1000018061</v>
      </c>
      <c r="O3401" t="s">
        <v>3935</v>
      </c>
      <c r="P3401" s="187">
        <v>45280</v>
      </c>
      <c r="Q3401" s="186">
        <v>14822</v>
      </c>
      <c r="R3401" s="185"/>
      <c r="S3401" s="185" t="s">
        <v>1522</v>
      </c>
      <c r="T3401" t="s">
        <v>2729</v>
      </c>
      <c r="U3401" t="str">
        <f>IF($L3401&gt;0,VLOOKUP($E3401,Valida!$A$1:$G$270,6,FALSE),IF($M3401&gt;=0,VLOOKUP($E3401,Valida!$A$1:$G$270,7,FALSE)))</f>
        <v>(+/-) Ajustes por el incremento (disminución) de cuentas por pagar de origen comercial</v>
      </c>
      <c r="V3401" s="190" t="str">
        <f>VLOOKUP(E3401,Valida!$A$2:$K$271,4,FALSE)</f>
        <v>Trade and other payables</v>
      </c>
      <c r="W3401" s="185" t="s">
        <v>1978</v>
      </c>
      <c r="X3401" s="185"/>
      <c r="Y3401" s="185" t="s">
        <v>1789</v>
      </c>
      <c r="Z3401"/>
    </row>
    <row r="3402" spans="1:26">
      <c r="A3402" s="185" t="s">
        <v>3932</v>
      </c>
      <c r="B3402" s="185" t="s">
        <v>3935</v>
      </c>
      <c r="C3402" s="185" t="s">
        <v>1897</v>
      </c>
      <c r="D3402" s="185" t="s">
        <v>3936</v>
      </c>
      <c r="E3402" s="185">
        <v>252005</v>
      </c>
      <c r="F3402" s="185" t="s">
        <v>783</v>
      </c>
      <c r="G3402" s="185" t="s">
        <v>3942</v>
      </c>
      <c r="H3402" s="185" t="s">
        <v>1628</v>
      </c>
      <c r="I3402" s="258" t="str">
        <f t="shared" si="160"/>
        <v>2</v>
      </c>
      <c r="J3402" s="221">
        <f t="shared" si="161"/>
        <v>-164179</v>
      </c>
      <c r="K3402" s="258">
        <f t="shared" si="162"/>
        <v>12</v>
      </c>
      <c r="L3402" s="188">
        <v>0</v>
      </c>
      <c r="M3402" s="188">
        <v>164179</v>
      </c>
      <c r="N3402" s="189">
        <v>1000036375</v>
      </c>
      <c r="O3402" t="s">
        <v>3935</v>
      </c>
      <c r="P3402" s="187">
        <v>45280</v>
      </c>
      <c r="Q3402" s="186">
        <v>14823</v>
      </c>
      <c r="R3402" s="185"/>
      <c r="S3402" s="185" t="s">
        <v>1524</v>
      </c>
      <c r="T3402" t="s">
        <v>2729</v>
      </c>
      <c r="U3402" t="str">
        <f>IF($L3402&gt;0,VLOOKUP($E3402,Valida!$A$1:$G$270,6,FALSE),IF($M3402&gt;=0,VLOOKUP($E3402,Valida!$A$1:$G$270,7,FALSE)))</f>
        <v>(+/-) Ajustes por el incremento (disminución) de cuentas por pagar de origen comercial</v>
      </c>
      <c r="V3402" s="190" t="str">
        <f>VLOOKUP(E3402,Valida!$A$2:$K$271,4,FALSE)</f>
        <v>Trade and other payables</v>
      </c>
      <c r="W3402" s="185" t="s">
        <v>1983</v>
      </c>
      <c r="X3402" s="185"/>
      <c r="Y3402" s="185" t="s">
        <v>1789</v>
      </c>
      <c r="Z3402"/>
    </row>
    <row r="3403" spans="1:26">
      <c r="A3403" s="185" t="s">
        <v>3932</v>
      </c>
      <c r="B3403" s="185" t="s">
        <v>3935</v>
      </c>
      <c r="C3403" s="185" t="s">
        <v>1897</v>
      </c>
      <c r="D3403" s="185" t="s">
        <v>3936</v>
      </c>
      <c r="E3403" s="185">
        <v>252005</v>
      </c>
      <c r="F3403" s="185" t="s">
        <v>783</v>
      </c>
      <c r="G3403" s="185" t="s">
        <v>3942</v>
      </c>
      <c r="H3403" s="185" t="s">
        <v>1628</v>
      </c>
      <c r="I3403" s="258" t="str">
        <f t="shared" si="160"/>
        <v>2</v>
      </c>
      <c r="J3403" s="221">
        <f t="shared" si="161"/>
        <v>-132368</v>
      </c>
      <c r="K3403" s="258">
        <f t="shared" si="162"/>
        <v>12</v>
      </c>
      <c r="L3403" s="188">
        <v>0</v>
      </c>
      <c r="M3403" s="188">
        <v>132368</v>
      </c>
      <c r="N3403" s="189">
        <v>1010101811</v>
      </c>
      <c r="O3403" t="s">
        <v>3935</v>
      </c>
      <c r="P3403" s="187">
        <v>45280</v>
      </c>
      <c r="Q3403" s="186">
        <v>14824</v>
      </c>
      <c r="R3403" s="185"/>
      <c r="S3403" s="185" t="s">
        <v>1528</v>
      </c>
      <c r="T3403" t="s">
        <v>2729</v>
      </c>
      <c r="U3403" t="str">
        <f>IF($L3403&gt;0,VLOOKUP($E3403,Valida!$A$1:$G$270,6,FALSE),IF($M3403&gt;=0,VLOOKUP($E3403,Valida!$A$1:$G$270,7,FALSE)))</f>
        <v>(+/-) Ajustes por el incremento (disminución) de cuentas por pagar de origen comercial</v>
      </c>
      <c r="V3403" s="190" t="str">
        <f>VLOOKUP(E3403,Valida!$A$2:$K$271,4,FALSE)</f>
        <v>Trade and other payables</v>
      </c>
      <c r="W3403" s="185" t="s">
        <v>1967</v>
      </c>
      <c r="X3403" s="185"/>
      <c r="Y3403" s="185" t="s">
        <v>1789</v>
      </c>
      <c r="Z3403"/>
    </row>
    <row r="3404" spans="1:26">
      <c r="A3404" s="185" t="s">
        <v>3932</v>
      </c>
      <c r="B3404" s="185" t="s">
        <v>3935</v>
      </c>
      <c r="C3404" s="185" t="s">
        <v>1897</v>
      </c>
      <c r="D3404" s="185" t="s">
        <v>3936</v>
      </c>
      <c r="E3404" s="185">
        <v>252005</v>
      </c>
      <c r="F3404" s="185" t="s">
        <v>783</v>
      </c>
      <c r="G3404" s="185" t="s">
        <v>3942</v>
      </c>
      <c r="H3404" s="185" t="s">
        <v>1628</v>
      </c>
      <c r="I3404" s="258" t="str">
        <f t="shared" si="160"/>
        <v>2</v>
      </c>
      <c r="J3404" s="221">
        <f t="shared" si="161"/>
        <v>-108340</v>
      </c>
      <c r="K3404" s="258">
        <f t="shared" si="162"/>
        <v>12</v>
      </c>
      <c r="L3404" s="188">
        <v>0</v>
      </c>
      <c r="M3404" s="188">
        <v>108340</v>
      </c>
      <c r="N3404" s="189">
        <v>1130744136</v>
      </c>
      <c r="O3404" t="s">
        <v>3935</v>
      </c>
      <c r="P3404" s="187">
        <v>45280</v>
      </c>
      <c r="Q3404" s="186">
        <v>14825</v>
      </c>
      <c r="R3404" s="185"/>
      <c r="S3404" s="185" t="s">
        <v>1538</v>
      </c>
      <c r="T3404" t="s">
        <v>2729</v>
      </c>
      <c r="U3404" t="str">
        <f>IF($L3404&gt;0,VLOOKUP($E3404,Valida!$A$1:$G$270,6,FALSE),IF($M3404&gt;=0,VLOOKUP($E3404,Valida!$A$1:$G$270,7,FALSE)))</f>
        <v>(+/-) Ajustes por el incremento (disminución) de cuentas por pagar de origen comercial</v>
      </c>
      <c r="V3404" s="190" t="str">
        <f>VLOOKUP(E3404,Valida!$A$2:$K$271,4,FALSE)</f>
        <v>Trade and other payables</v>
      </c>
      <c r="W3404" s="185" t="s">
        <v>1909</v>
      </c>
      <c r="X3404" s="185" t="s">
        <v>1910</v>
      </c>
      <c r="Y3404" s="185" t="s">
        <v>1789</v>
      </c>
      <c r="Z3404"/>
    </row>
    <row r="3405" spans="1:26">
      <c r="A3405" s="185" t="s">
        <v>3932</v>
      </c>
      <c r="B3405" s="185" t="s">
        <v>3935</v>
      </c>
      <c r="C3405" s="185" t="s">
        <v>1897</v>
      </c>
      <c r="D3405" s="185" t="s">
        <v>3936</v>
      </c>
      <c r="E3405" s="185">
        <v>252505</v>
      </c>
      <c r="F3405" s="185" t="s">
        <v>787</v>
      </c>
      <c r="G3405" s="185" t="s">
        <v>3943</v>
      </c>
      <c r="H3405" s="185" t="s">
        <v>1628</v>
      </c>
      <c r="I3405" s="258" t="str">
        <f t="shared" si="160"/>
        <v>2</v>
      </c>
      <c r="J3405" s="221">
        <f t="shared" si="161"/>
        <v>-53209</v>
      </c>
      <c r="K3405" s="258">
        <f t="shared" si="162"/>
        <v>12</v>
      </c>
      <c r="L3405" s="188">
        <v>0</v>
      </c>
      <c r="M3405" s="188">
        <v>53209</v>
      </c>
      <c r="N3405" s="189">
        <v>1000018061</v>
      </c>
      <c r="O3405" t="s">
        <v>3935</v>
      </c>
      <c r="P3405" s="187">
        <v>45280</v>
      </c>
      <c r="Q3405" s="186">
        <v>14826</v>
      </c>
      <c r="R3405" s="185"/>
      <c r="S3405" s="185" t="s">
        <v>1522</v>
      </c>
      <c r="T3405" t="s">
        <v>2729</v>
      </c>
      <c r="U3405" t="str">
        <f>IF($L3405&gt;0,VLOOKUP($E3405,Valida!$A$1:$G$270,6,FALSE),IF($M3405&gt;=0,VLOOKUP($E3405,Valida!$A$1:$G$270,7,FALSE)))</f>
        <v>(+/-) Ajustes por el incremento (disminución) de cuentas por pagar de origen comercial</v>
      </c>
      <c r="V3405" s="190" t="str">
        <f>VLOOKUP(E3405,Valida!$A$2:$K$271,4,FALSE)</f>
        <v>Trade and other payables</v>
      </c>
      <c r="W3405" s="185" t="s">
        <v>1978</v>
      </c>
      <c r="X3405" s="185"/>
      <c r="Y3405" s="185" t="s">
        <v>1789</v>
      </c>
      <c r="Z3405"/>
    </row>
    <row r="3406" spans="1:26">
      <c r="A3406" s="185" t="s">
        <v>3932</v>
      </c>
      <c r="B3406" s="185" t="s">
        <v>3935</v>
      </c>
      <c r="C3406" s="185" t="s">
        <v>1897</v>
      </c>
      <c r="D3406" s="185" t="s">
        <v>3936</v>
      </c>
      <c r="E3406" s="185">
        <v>252505</v>
      </c>
      <c r="F3406" s="185" t="s">
        <v>787</v>
      </c>
      <c r="G3406" s="185" t="s">
        <v>3943</v>
      </c>
      <c r="H3406" s="185" t="s">
        <v>1628</v>
      </c>
      <c r="I3406" s="258" t="str">
        <f t="shared" si="160"/>
        <v>2</v>
      </c>
      <c r="J3406" s="221">
        <f t="shared" si="161"/>
        <v>-76227</v>
      </c>
      <c r="K3406" s="258">
        <f t="shared" si="162"/>
        <v>12</v>
      </c>
      <c r="L3406" s="188">
        <v>0</v>
      </c>
      <c r="M3406" s="188">
        <v>76227</v>
      </c>
      <c r="N3406" s="189">
        <v>1000036375</v>
      </c>
      <c r="O3406" t="s">
        <v>3935</v>
      </c>
      <c r="P3406" s="187">
        <v>45280</v>
      </c>
      <c r="Q3406" s="186">
        <v>14827</v>
      </c>
      <c r="R3406" s="185"/>
      <c r="S3406" s="185" t="s">
        <v>1524</v>
      </c>
      <c r="T3406" t="s">
        <v>2729</v>
      </c>
      <c r="U3406" t="str">
        <f>IF($L3406&gt;0,VLOOKUP($E3406,Valida!$A$1:$G$270,6,FALSE),IF($M3406&gt;=0,VLOOKUP($E3406,Valida!$A$1:$G$270,7,FALSE)))</f>
        <v>(+/-) Ajustes por el incremento (disminución) de cuentas por pagar de origen comercial</v>
      </c>
      <c r="V3406" s="190" t="str">
        <f>VLOOKUP(E3406,Valida!$A$2:$K$271,4,FALSE)</f>
        <v>Trade and other payables</v>
      </c>
      <c r="W3406" s="185" t="s">
        <v>1983</v>
      </c>
      <c r="X3406" s="185"/>
      <c r="Y3406" s="185" t="s">
        <v>1789</v>
      </c>
      <c r="Z3406"/>
    </row>
    <row r="3407" spans="1:26">
      <c r="A3407" s="185" t="s">
        <v>3932</v>
      </c>
      <c r="B3407" s="185" t="s">
        <v>3935</v>
      </c>
      <c r="C3407" s="185" t="s">
        <v>1897</v>
      </c>
      <c r="D3407" s="185" t="s">
        <v>3936</v>
      </c>
      <c r="E3407" s="185">
        <v>252505</v>
      </c>
      <c r="F3407" s="185" t="s">
        <v>787</v>
      </c>
      <c r="G3407" s="185" t="s">
        <v>3943</v>
      </c>
      <c r="H3407" s="185" t="s">
        <v>1628</v>
      </c>
      <c r="I3407" s="258" t="str">
        <f t="shared" si="160"/>
        <v>2</v>
      </c>
      <c r="J3407" s="221">
        <f t="shared" si="161"/>
        <v>-62550</v>
      </c>
      <c r="K3407" s="258">
        <f t="shared" si="162"/>
        <v>12</v>
      </c>
      <c r="L3407" s="188">
        <v>0</v>
      </c>
      <c r="M3407" s="188">
        <v>62550</v>
      </c>
      <c r="N3407" s="189">
        <v>1010101811</v>
      </c>
      <c r="O3407" t="s">
        <v>3935</v>
      </c>
      <c r="P3407" s="187">
        <v>45280</v>
      </c>
      <c r="Q3407" s="186">
        <v>14828</v>
      </c>
      <c r="R3407" s="185"/>
      <c r="S3407" s="185" t="s">
        <v>1528</v>
      </c>
      <c r="T3407" t="s">
        <v>2729</v>
      </c>
      <c r="U3407" t="str">
        <f>IF($L3407&gt;0,VLOOKUP($E3407,Valida!$A$1:$G$270,6,FALSE),IF($M3407&gt;=0,VLOOKUP($E3407,Valida!$A$1:$G$270,7,FALSE)))</f>
        <v>(+/-) Ajustes por el incremento (disminución) de cuentas por pagar de origen comercial</v>
      </c>
      <c r="V3407" s="190" t="str">
        <f>VLOOKUP(E3407,Valida!$A$2:$K$271,4,FALSE)</f>
        <v>Trade and other payables</v>
      </c>
      <c r="W3407" s="185" t="s">
        <v>1967</v>
      </c>
      <c r="X3407" s="185"/>
      <c r="Y3407" s="185" t="s">
        <v>1789</v>
      </c>
      <c r="Z3407"/>
    </row>
    <row r="3408" spans="1:26">
      <c r="A3408" s="185" t="s">
        <v>3932</v>
      </c>
      <c r="B3408" s="185" t="s">
        <v>3935</v>
      </c>
      <c r="C3408" s="185" t="s">
        <v>1897</v>
      </c>
      <c r="D3408" s="185" t="s">
        <v>3936</v>
      </c>
      <c r="E3408" s="185">
        <v>252505</v>
      </c>
      <c r="F3408" s="185" t="s">
        <v>787</v>
      </c>
      <c r="G3408" s="185" t="s">
        <v>3943</v>
      </c>
      <c r="H3408" s="185" t="s">
        <v>1628</v>
      </c>
      <c r="I3408" s="258" t="str">
        <f t="shared" si="160"/>
        <v>2</v>
      </c>
      <c r="J3408" s="221">
        <f t="shared" si="161"/>
        <v>-48372</v>
      </c>
      <c r="K3408" s="258">
        <f t="shared" si="162"/>
        <v>12</v>
      </c>
      <c r="L3408" s="188">
        <v>0</v>
      </c>
      <c r="M3408" s="188">
        <v>48372</v>
      </c>
      <c r="N3408" s="189">
        <v>1130744136</v>
      </c>
      <c r="O3408" t="s">
        <v>3935</v>
      </c>
      <c r="P3408" s="187">
        <v>45280</v>
      </c>
      <c r="Q3408" s="186">
        <v>14829</v>
      </c>
      <c r="R3408" s="185"/>
      <c r="S3408" s="185" t="s">
        <v>1538</v>
      </c>
      <c r="T3408" t="s">
        <v>2729</v>
      </c>
      <c r="U3408" t="str">
        <f>IF($L3408&gt;0,VLOOKUP($E3408,Valida!$A$1:$G$270,6,FALSE),IF($M3408&gt;=0,VLOOKUP($E3408,Valida!$A$1:$G$270,7,FALSE)))</f>
        <v>(+/-) Ajustes por el incremento (disminución) de cuentas por pagar de origen comercial</v>
      </c>
      <c r="V3408" s="190" t="str">
        <f>VLOOKUP(E3408,Valida!$A$2:$K$271,4,FALSE)</f>
        <v>Trade and other payables</v>
      </c>
      <c r="W3408" s="185" t="s">
        <v>1909</v>
      </c>
      <c r="X3408" s="185" t="s">
        <v>1910</v>
      </c>
      <c r="Y3408" s="185" t="s">
        <v>1789</v>
      </c>
      <c r="Z3408"/>
    </row>
    <row r="3409" spans="1:26">
      <c r="A3409" s="185" t="s">
        <v>3932</v>
      </c>
      <c r="B3409" s="185" t="s">
        <v>3935</v>
      </c>
      <c r="C3409" s="185" t="s">
        <v>1897</v>
      </c>
      <c r="D3409" s="185" t="s">
        <v>3936</v>
      </c>
      <c r="E3409" s="185">
        <v>510530</v>
      </c>
      <c r="F3409" s="185" t="s">
        <v>813</v>
      </c>
      <c r="G3409" s="185" t="s">
        <v>3940</v>
      </c>
      <c r="H3409" s="185" t="s">
        <v>1515</v>
      </c>
      <c r="I3409" s="258" t="str">
        <f t="shared" si="160"/>
        <v>5</v>
      </c>
      <c r="J3409" s="221">
        <f t="shared" si="161"/>
        <v>118003</v>
      </c>
      <c r="K3409" s="258">
        <f t="shared" si="162"/>
        <v>12</v>
      </c>
      <c r="L3409" s="188">
        <v>118003</v>
      </c>
      <c r="M3409" s="188">
        <v>0</v>
      </c>
      <c r="N3409" s="189">
        <v>1000018061</v>
      </c>
      <c r="O3409" t="s">
        <v>3935</v>
      </c>
      <c r="P3409" s="187">
        <v>45280</v>
      </c>
      <c r="Q3409" s="186">
        <v>14830</v>
      </c>
      <c r="R3409" s="185"/>
      <c r="S3409" s="185" t="s">
        <v>1522</v>
      </c>
      <c r="T3409" t="s">
        <v>2729</v>
      </c>
      <c r="U3409" t="str">
        <f>IF($L3409&gt;0,VLOOKUP($E3409,Valida!$A$1:$G$270,6,FALSE),IF($M3409&gt;=0,VLOOKUP($E3409,Valida!$A$1:$G$270,7,FALSE)))</f>
        <v>(+/-) Ganancia (pérdida)</v>
      </c>
      <c r="V3409" s="190" t="str">
        <f>VLOOKUP(E3409,Valida!$A$2:$K$271,4,FALSE)</f>
        <v>P&amp;L</v>
      </c>
      <c r="W3409" s="185" t="s">
        <v>1978</v>
      </c>
      <c r="X3409" s="185"/>
      <c r="Y3409" s="185" t="s">
        <v>1789</v>
      </c>
      <c r="Z3409"/>
    </row>
    <row r="3410" spans="1:26">
      <c r="A3410" s="185" t="s">
        <v>3932</v>
      </c>
      <c r="B3410" s="185" t="s">
        <v>3935</v>
      </c>
      <c r="C3410" s="185" t="s">
        <v>1897</v>
      </c>
      <c r="D3410" s="185" t="s">
        <v>3936</v>
      </c>
      <c r="E3410" s="185">
        <v>510530</v>
      </c>
      <c r="F3410" s="185" t="s">
        <v>813</v>
      </c>
      <c r="G3410" s="185" t="s">
        <v>3940</v>
      </c>
      <c r="H3410" s="185" t="s">
        <v>1515</v>
      </c>
      <c r="I3410" s="258" t="str">
        <f t="shared" si="160"/>
        <v>5</v>
      </c>
      <c r="J3410" s="221">
        <f t="shared" si="161"/>
        <v>164179</v>
      </c>
      <c r="K3410" s="258">
        <f t="shared" si="162"/>
        <v>12</v>
      </c>
      <c r="L3410" s="188">
        <v>164179</v>
      </c>
      <c r="M3410" s="188">
        <v>0</v>
      </c>
      <c r="N3410" s="189">
        <v>1000036375</v>
      </c>
      <c r="O3410" t="s">
        <v>3935</v>
      </c>
      <c r="P3410" s="187">
        <v>45280</v>
      </c>
      <c r="Q3410" s="186">
        <v>14831</v>
      </c>
      <c r="R3410" s="185"/>
      <c r="S3410" s="185" t="s">
        <v>1524</v>
      </c>
      <c r="T3410" t="s">
        <v>2729</v>
      </c>
      <c r="U3410" t="str">
        <f>IF($L3410&gt;0,VLOOKUP($E3410,Valida!$A$1:$G$270,6,FALSE),IF($M3410&gt;=0,VLOOKUP($E3410,Valida!$A$1:$G$270,7,FALSE)))</f>
        <v>(+/-) Ganancia (pérdida)</v>
      </c>
      <c r="V3410" s="190" t="str">
        <f>VLOOKUP(E3410,Valida!$A$2:$K$271,4,FALSE)</f>
        <v>P&amp;L</v>
      </c>
      <c r="W3410" s="185" t="s">
        <v>1983</v>
      </c>
      <c r="X3410" s="185"/>
      <c r="Y3410" s="185" t="s">
        <v>1789</v>
      </c>
      <c r="Z3410"/>
    </row>
    <row r="3411" spans="1:26">
      <c r="A3411" s="185" t="s">
        <v>3932</v>
      </c>
      <c r="B3411" s="185" t="s">
        <v>3935</v>
      </c>
      <c r="C3411" s="185" t="s">
        <v>1897</v>
      </c>
      <c r="D3411" s="185" t="s">
        <v>3936</v>
      </c>
      <c r="E3411" s="185">
        <v>510530</v>
      </c>
      <c r="F3411" s="185" t="s">
        <v>813</v>
      </c>
      <c r="G3411" s="185" t="s">
        <v>3940</v>
      </c>
      <c r="H3411" s="185" t="s">
        <v>1515</v>
      </c>
      <c r="I3411" s="258" t="str">
        <f t="shared" si="160"/>
        <v>5</v>
      </c>
      <c r="J3411" s="221">
        <f t="shared" si="161"/>
        <v>132368</v>
      </c>
      <c r="K3411" s="258">
        <f t="shared" si="162"/>
        <v>12</v>
      </c>
      <c r="L3411" s="188">
        <v>132368</v>
      </c>
      <c r="M3411" s="188">
        <v>0</v>
      </c>
      <c r="N3411" s="189">
        <v>1010101811</v>
      </c>
      <c r="O3411" t="s">
        <v>3935</v>
      </c>
      <c r="P3411" s="187">
        <v>45280</v>
      </c>
      <c r="Q3411" s="186">
        <v>14832</v>
      </c>
      <c r="R3411" s="185"/>
      <c r="S3411" s="185" t="s">
        <v>1528</v>
      </c>
      <c r="T3411" t="s">
        <v>2729</v>
      </c>
      <c r="U3411" t="str">
        <f>IF($L3411&gt;0,VLOOKUP($E3411,Valida!$A$1:$G$270,6,FALSE),IF($M3411&gt;=0,VLOOKUP($E3411,Valida!$A$1:$G$270,7,FALSE)))</f>
        <v>(+/-) Ganancia (pérdida)</v>
      </c>
      <c r="V3411" s="190" t="str">
        <f>VLOOKUP(E3411,Valida!$A$2:$K$271,4,FALSE)</f>
        <v>P&amp;L</v>
      </c>
      <c r="W3411" s="185" t="s">
        <v>1967</v>
      </c>
      <c r="X3411" s="185"/>
      <c r="Y3411" s="185" t="s">
        <v>1789</v>
      </c>
      <c r="Z3411"/>
    </row>
    <row r="3412" spans="1:26">
      <c r="A3412" s="185" t="s">
        <v>3932</v>
      </c>
      <c r="B3412" s="185" t="s">
        <v>3935</v>
      </c>
      <c r="C3412" s="185" t="s">
        <v>1897</v>
      </c>
      <c r="D3412" s="185" t="s">
        <v>3936</v>
      </c>
      <c r="E3412" s="185">
        <v>510530</v>
      </c>
      <c r="F3412" s="185" t="s">
        <v>813</v>
      </c>
      <c r="G3412" s="185" t="s">
        <v>3940</v>
      </c>
      <c r="H3412" s="185" t="s">
        <v>1515</v>
      </c>
      <c r="I3412" s="258" t="str">
        <f t="shared" si="160"/>
        <v>5</v>
      </c>
      <c r="J3412" s="221">
        <f t="shared" si="161"/>
        <v>108340</v>
      </c>
      <c r="K3412" s="258">
        <f t="shared" si="162"/>
        <v>12</v>
      </c>
      <c r="L3412" s="188">
        <v>108340</v>
      </c>
      <c r="M3412" s="188">
        <v>0</v>
      </c>
      <c r="N3412" s="189">
        <v>1130744136</v>
      </c>
      <c r="O3412" t="s">
        <v>3935</v>
      </c>
      <c r="P3412" s="187">
        <v>45280</v>
      </c>
      <c r="Q3412" s="186">
        <v>14833</v>
      </c>
      <c r="R3412" s="185"/>
      <c r="S3412" s="185" t="s">
        <v>1538</v>
      </c>
      <c r="T3412" t="s">
        <v>2729</v>
      </c>
      <c r="U3412" t="str">
        <f>IF($L3412&gt;0,VLOOKUP($E3412,Valida!$A$1:$G$270,6,FALSE),IF($M3412&gt;=0,VLOOKUP($E3412,Valida!$A$1:$G$270,7,FALSE)))</f>
        <v>(+/-) Ganancia (pérdida)</v>
      </c>
      <c r="V3412" s="190" t="str">
        <f>VLOOKUP(E3412,Valida!$A$2:$K$271,4,FALSE)</f>
        <v>P&amp;L</v>
      </c>
      <c r="W3412" s="185" t="s">
        <v>1909</v>
      </c>
      <c r="X3412" s="185" t="s">
        <v>1910</v>
      </c>
      <c r="Y3412" s="185" t="s">
        <v>1789</v>
      </c>
      <c r="Z3412"/>
    </row>
    <row r="3413" spans="1:26">
      <c r="A3413" s="185" t="s">
        <v>3932</v>
      </c>
      <c r="B3413" s="185" t="s">
        <v>3935</v>
      </c>
      <c r="C3413" s="185" t="s">
        <v>1897</v>
      </c>
      <c r="D3413" s="185" t="s">
        <v>3936</v>
      </c>
      <c r="E3413" s="185">
        <v>510533</v>
      </c>
      <c r="F3413" s="185" t="s">
        <v>779</v>
      </c>
      <c r="G3413" s="185" t="s">
        <v>3941</v>
      </c>
      <c r="H3413" s="185" t="s">
        <v>1515</v>
      </c>
      <c r="I3413" s="258" t="str">
        <f t="shared" si="160"/>
        <v>5</v>
      </c>
      <c r="J3413" s="221">
        <f t="shared" si="161"/>
        <v>14166</v>
      </c>
      <c r="K3413" s="258">
        <f t="shared" si="162"/>
        <v>12</v>
      </c>
      <c r="L3413" s="188">
        <v>14166</v>
      </c>
      <c r="M3413" s="188">
        <v>0</v>
      </c>
      <c r="N3413" s="189">
        <v>1000018061</v>
      </c>
      <c r="O3413" t="s">
        <v>3935</v>
      </c>
      <c r="P3413" s="187">
        <v>45280</v>
      </c>
      <c r="Q3413" s="186">
        <v>14834</v>
      </c>
      <c r="R3413" s="185"/>
      <c r="S3413" s="185" t="s">
        <v>1522</v>
      </c>
      <c r="T3413" t="s">
        <v>2729</v>
      </c>
      <c r="U3413" t="str">
        <f>IF($L3413&gt;0,VLOOKUP($E3413,Valida!$A$1:$G$270,6,FALSE),IF($M3413&gt;=0,VLOOKUP($E3413,Valida!$A$1:$G$270,7,FALSE)))</f>
        <v>(+/-) Ganancia (pérdida)</v>
      </c>
      <c r="V3413" s="190" t="str">
        <f>VLOOKUP(E3413,Valida!$A$2:$K$271,4,FALSE)</f>
        <v>P&amp;L</v>
      </c>
      <c r="W3413" s="185" t="s">
        <v>1978</v>
      </c>
      <c r="X3413" s="185"/>
      <c r="Y3413" s="185" t="s">
        <v>1789</v>
      </c>
      <c r="Z3413"/>
    </row>
    <row r="3414" spans="1:26">
      <c r="A3414" s="185" t="s">
        <v>3932</v>
      </c>
      <c r="B3414" s="185" t="s">
        <v>3935</v>
      </c>
      <c r="C3414" s="185" t="s">
        <v>1897</v>
      </c>
      <c r="D3414" s="185" t="s">
        <v>3936</v>
      </c>
      <c r="E3414" s="185">
        <v>510533</v>
      </c>
      <c r="F3414" s="185" t="s">
        <v>779</v>
      </c>
      <c r="G3414" s="185" t="s">
        <v>3941</v>
      </c>
      <c r="H3414" s="185" t="s">
        <v>1515</v>
      </c>
      <c r="I3414" s="258" t="str">
        <f t="shared" si="160"/>
        <v>5</v>
      </c>
      <c r="J3414" s="221">
        <f t="shared" si="161"/>
        <v>19709</v>
      </c>
      <c r="K3414" s="258">
        <f t="shared" si="162"/>
        <v>12</v>
      </c>
      <c r="L3414" s="188">
        <v>19709</v>
      </c>
      <c r="M3414" s="188">
        <v>0</v>
      </c>
      <c r="N3414" s="189">
        <v>1000036375</v>
      </c>
      <c r="O3414" t="s">
        <v>3935</v>
      </c>
      <c r="P3414" s="187">
        <v>45280</v>
      </c>
      <c r="Q3414" s="186">
        <v>14835</v>
      </c>
      <c r="R3414" s="185"/>
      <c r="S3414" s="185" t="s">
        <v>1524</v>
      </c>
      <c r="T3414" t="s">
        <v>2729</v>
      </c>
      <c r="U3414" t="str">
        <f>IF($L3414&gt;0,VLOOKUP($E3414,Valida!$A$1:$G$270,6,FALSE),IF($M3414&gt;=0,VLOOKUP($E3414,Valida!$A$1:$G$270,7,FALSE)))</f>
        <v>(+/-) Ganancia (pérdida)</v>
      </c>
      <c r="V3414" s="190" t="str">
        <f>VLOOKUP(E3414,Valida!$A$2:$K$271,4,FALSE)</f>
        <v>P&amp;L</v>
      </c>
      <c r="W3414" s="185" t="s">
        <v>1983</v>
      </c>
      <c r="X3414" s="185"/>
      <c r="Y3414" s="185" t="s">
        <v>1789</v>
      </c>
      <c r="Z3414"/>
    </row>
    <row r="3415" spans="1:26">
      <c r="A3415" s="185" t="s">
        <v>3932</v>
      </c>
      <c r="B3415" s="185" t="s">
        <v>3935</v>
      </c>
      <c r="C3415" s="185" t="s">
        <v>1897</v>
      </c>
      <c r="D3415" s="185" t="s">
        <v>3936</v>
      </c>
      <c r="E3415" s="185">
        <v>510533</v>
      </c>
      <c r="F3415" s="185" t="s">
        <v>779</v>
      </c>
      <c r="G3415" s="185" t="s">
        <v>3941</v>
      </c>
      <c r="H3415" s="185" t="s">
        <v>1515</v>
      </c>
      <c r="I3415" s="258" t="str">
        <f t="shared" si="160"/>
        <v>5</v>
      </c>
      <c r="J3415" s="221">
        <f t="shared" si="161"/>
        <v>15891</v>
      </c>
      <c r="K3415" s="258">
        <f t="shared" si="162"/>
        <v>12</v>
      </c>
      <c r="L3415" s="188">
        <v>15891</v>
      </c>
      <c r="M3415" s="188">
        <v>0</v>
      </c>
      <c r="N3415" s="189">
        <v>1010101811</v>
      </c>
      <c r="O3415" t="s">
        <v>3935</v>
      </c>
      <c r="P3415" s="187">
        <v>45280</v>
      </c>
      <c r="Q3415" s="186">
        <v>14836</v>
      </c>
      <c r="R3415" s="185"/>
      <c r="S3415" s="185" t="s">
        <v>1528</v>
      </c>
      <c r="T3415" t="s">
        <v>2729</v>
      </c>
      <c r="U3415" t="str">
        <f>IF($L3415&gt;0,VLOOKUP($E3415,Valida!$A$1:$G$270,6,FALSE),IF($M3415&gt;=0,VLOOKUP($E3415,Valida!$A$1:$G$270,7,FALSE)))</f>
        <v>(+/-) Ganancia (pérdida)</v>
      </c>
      <c r="V3415" s="190" t="str">
        <f>VLOOKUP(E3415,Valida!$A$2:$K$271,4,FALSE)</f>
        <v>P&amp;L</v>
      </c>
      <c r="W3415" s="185" t="s">
        <v>1967</v>
      </c>
      <c r="X3415" s="185"/>
      <c r="Y3415" s="185" t="s">
        <v>1789</v>
      </c>
      <c r="Z3415"/>
    </row>
    <row r="3416" spans="1:26">
      <c r="A3416" s="185" t="s">
        <v>3932</v>
      </c>
      <c r="B3416" s="185" t="s">
        <v>3935</v>
      </c>
      <c r="C3416" s="185" t="s">
        <v>1897</v>
      </c>
      <c r="D3416" s="185" t="s">
        <v>3936</v>
      </c>
      <c r="E3416" s="185">
        <v>510533</v>
      </c>
      <c r="F3416" s="185" t="s">
        <v>779</v>
      </c>
      <c r="G3416" s="185" t="s">
        <v>3941</v>
      </c>
      <c r="H3416" s="185" t="s">
        <v>1515</v>
      </c>
      <c r="I3416" s="258" t="str">
        <f t="shared" si="160"/>
        <v>5</v>
      </c>
      <c r="J3416" s="221">
        <f t="shared" si="161"/>
        <v>13006</v>
      </c>
      <c r="K3416" s="258">
        <f t="shared" si="162"/>
        <v>12</v>
      </c>
      <c r="L3416" s="188">
        <v>13006</v>
      </c>
      <c r="M3416" s="188">
        <v>0</v>
      </c>
      <c r="N3416" s="189">
        <v>1130744136</v>
      </c>
      <c r="O3416" t="s">
        <v>3935</v>
      </c>
      <c r="P3416" s="187">
        <v>45280</v>
      </c>
      <c r="Q3416" s="186">
        <v>14837</v>
      </c>
      <c r="R3416" s="185"/>
      <c r="S3416" s="185" t="s">
        <v>1538</v>
      </c>
      <c r="T3416" t="s">
        <v>2729</v>
      </c>
      <c r="U3416" t="str">
        <f>IF($L3416&gt;0,VLOOKUP($E3416,Valida!$A$1:$G$270,6,FALSE),IF($M3416&gt;=0,VLOOKUP($E3416,Valida!$A$1:$G$270,7,FALSE)))</f>
        <v>(+/-) Ganancia (pérdida)</v>
      </c>
      <c r="V3416" s="190" t="str">
        <f>VLOOKUP(E3416,Valida!$A$2:$K$271,4,FALSE)</f>
        <v>P&amp;L</v>
      </c>
      <c r="W3416" s="185" t="s">
        <v>1909</v>
      </c>
      <c r="X3416" s="185" t="s">
        <v>1910</v>
      </c>
      <c r="Y3416" s="185" t="s">
        <v>1789</v>
      </c>
      <c r="Z3416"/>
    </row>
    <row r="3417" spans="1:26">
      <c r="A3417" s="185" t="s">
        <v>3932</v>
      </c>
      <c r="B3417" s="185" t="s">
        <v>3935</v>
      </c>
      <c r="C3417" s="185" t="s">
        <v>1897</v>
      </c>
      <c r="D3417" s="185" t="s">
        <v>3936</v>
      </c>
      <c r="E3417" s="185">
        <v>510536</v>
      </c>
      <c r="F3417" s="185" t="s">
        <v>783</v>
      </c>
      <c r="G3417" s="185" t="s">
        <v>3942</v>
      </c>
      <c r="H3417" s="185" t="s">
        <v>1515</v>
      </c>
      <c r="I3417" s="258" t="str">
        <f t="shared" si="160"/>
        <v>5</v>
      </c>
      <c r="J3417" s="221">
        <f t="shared" si="161"/>
        <v>118003</v>
      </c>
      <c r="K3417" s="258">
        <f t="shared" si="162"/>
        <v>12</v>
      </c>
      <c r="L3417" s="188">
        <v>118003</v>
      </c>
      <c r="M3417" s="188">
        <v>0</v>
      </c>
      <c r="N3417" s="189">
        <v>1000018061</v>
      </c>
      <c r="O3417" t="s">
        <v>3935</v>
      </c>
      <c r="P3417" s="187">
        <v>45280</v>
      </c>
      <c r="Q3417" s="186">
        <v>14838</v>
      </c>
      <c r="R3417" s="185"/>
      <c r="S3417" s="185" t="s">
        <v>1522</v>
      </c>
      <c r="T3417" t="s">
        <v>2729</v>
      </c>
      <c r="U3417" t="str">
        <f>IF($L3417&gt;0,VLOOKUP($E3417,Valida!$A$1:$G$270,6,FALSE),IF($M3417&gt;=0,VLOOKUP($E3417,Valida!$A$1:$G$270,7,FALSE)))</f>
        <v>(+/-) Ganancia (pérdida)</v>
      </c>
      <c r="V3417" s="190" t="str">
        <f>VLOOKUP(E3417,Valida!$A$2:$K$271,4,FALSE)</f>
        <v>P&amp;L</v>
      </c>
      <c r="W3417" s="185" t="s">
        <v>1978</v>
      </c>
      <c r="X3417" s="185"/>
      <c r="Y3417" s="185" t="s">
        <v>1789</v>
      </c>
      <c r="Z3417"/>
    </row>
    <row r="3418" spans="1:26">
      <c r="A3418" s="185" t="s">
        <v>3932</v>
      </c>
      <c r="B3418" s="185" t="s">
        <v>3935</v>
      </c>
      <c r="C3418" s="185" t="s">
        <v>1897</v>
      </c>
      <c r="D3418" s="185" t="s">
        <v>3936</v>
      </c>
      <c r="E3418" s="185">
        <v>510536</v>
      </c>
      <c r="F3418" s="185" t="s">
        <v>783</v>
      </c>
      <c r="G3418" s="185" t="s">
        <v>3942</v>
      </c>
      <c r="H3418" s="185" t="s">
        <v>1515</v>
      </c>
      <c r="I3418" s="258" t="str">
        <f t="shared" si="160"/>
        <v>5</v>
      </c>
      <c r="J3418" s="221">
        <f t="shared" si="161"/>
        <v>164179</v>
      </c>
      <c r="K3418" s="258">
        <f t="shared" si="162"/>
        <v>12</v>
      </c>
      <c r="L3418" s="188">
        <v>164179</v>
      </c>
      <c r="M3418" s="188">
        <v>0</v>
      </c>
      <c r="N3418" s="189">
        <v>1000036375</v>
      </c>
      <c r="O3418" t="s">
        <v>3935</v>
      </c>
      <c r="P3418" s="187">
        <v>45280</v>
      </c>
      <c r="Q3418" s="186">
        <v>14839</v>
      </c>
      <c r="R3418" s="185"/>
      <c r="S3418" s="185" t="s">
        <v>1524</v>
      </c>
      <c r="T3418" t="s">
        <v>2729</v>
      </c>
      <c r="U3418" t="str">
        <f>IF($L3418&gt;0,VLOOKUP($E3418,Valida!$A$1:$G$270,6,FALSE),IF($M3418&gt;=0,VLOOKUP($E3418,Valida!$A$1:$G$270,7,FALSE)))</f>
        <v>(+/-) Ganancia (pérdida)</v>
      </c>
      <c r="V3418" s="190" t="str">
        <f>VLOOKUP(E3418,Valida!$A$2:$K$271,4,FALSE)</f>
        <v>P&amp;L</v>
      </c>
      <c r="W3418" s="185" t="s">
        <v>1983</v>
      </c>
      <c r="X3418" s="185"/>
      <c r="Y3418" s="185" t="s">
        <v>1789</v>
      </c>
      <c r="Z3418"/>
    </row>
    <row r="3419" spans="1:26">
      <c r="A3419" s="185" t="s">
        <v>3932</v>
      </c>
      <c r="B3419" s="185" t="s">
        <v>3935</v>
      </c>
      <c r="C3419" s="185" t="s">
        <v>1897</v>
      </c>
      <c r="D3419" s="185" t="s">
        <v>3936</v>
      </c>
      <c r="E3419" s="185">
        <v>510536</v>
      </c>
      <c r="F3419" s="185" t="s">
        <v>783</v>
      </c>
      <c r="G3419" s="185" t="s">
        <v>3942</v>
      </c>
      <c r="H3419" s="185" t="s">
        <v>1515</v>
      </c>
      <c r="I3419" s="258" t="str">
        <f t="shared" si="160"/>
        <v>5</v>
      </c>
      <c r="J3419" s="221">
        <f t="shared" si="161"/>
        <v>132368</v>
      </c>
      <c r="K3419" s="258">
        <f t="shared" si="162"/>
        <v>12</v>
      </c>
      <c r="L3419" s="188">
        <v>132368</v>
      </c>
      <c r="M3419" s="188">
        <v>0</v>
      </c>
      <c r="N3419" s="189">
        <v>1010101811</v>
      </c>
      <c r="O3419" t="s">
        <v>3935</v>
      </c>
      <c r="P3419" s="187">
        <v>45280</v>
      </c>
      <c r="Q3419" s="186">
        <v>14840</v>
      </c>
      <c r="R3419" s="185"/>
      <c r="S3419" s="185" t="s">
        <v>1528</v>
      </c>
      <c r="T3419" t="s">
        <v>2729</v>
      </c>
      <c r="U3419" t="str">
        <f>IF($L3419&gt;0,VLOOKUP($E3419,Valida!$A$1:$G$270,6,FALSE),IF($M3419&gt;=0,VLOOKUP($E3419,Valida!$A$1:$G$270,7,FALSE)))</f>
        <v>(+/-) Ganancia (pérdida)</v>
      </c>
      <c r="V3419" s="190" t="str">
        <f>VLOOKUP(E3419,Valida!$A$2:$K$271,4,FALSE)</f>
        <v>P&amp;L</v>
      </c>
      <c r="W3419" s="185" t="s">
        <v>1967</v>
      </c>
      <c r="X3419" s="185"/>
      <c r="Y3419" s="185" t="s">
        <v>1789</v>
      </c>
      <c r="Z3419"/>
    </row>
    <row r="3420" spans="1:26">
      <c r="A3420" s="185" t="s">
        <v>3932</v>
      </c>
      <c r="B3420" s="185" t="s">
        <v>3935</v>
      </c>
      <c r="C3420" s="185" t="s">
        <v>1897</v>
      </c>
      <c r="D3420" s="185" t="s">
        <v>3936</v>
      </c>
      <c r="E3420" s="185">
        <v>510536</v>
      </c>
      <c r="F3420" s="185" t="s">
        <v>783</v>
      </c>
      <c r="G3420" s="185" t="s">
        <v>3942</v>
      </c>
      <c r="H3420" s="185" t="s">
        <v>1515</v>
      </c>
      <c r="I3420" s="258" t="str">
        <f t="shared" si="160"/>
        <v>5</v>
      </c>
      <c r="J3420" s="221">
        <f t="shared" si="161"/>
        <v>108340</v>
      </c>
      <c r="K3420" s="258">
        <f t="shared" si="162"/>
        <v>12</v>
      </c>
      <c r="L3420" s="188">
        <v>108340</v>
      </c>
      <c r="M3420" s="188">
        <v>0</v>
      </c>
      <c r="N3420" s="189">
        <v>1130744136</v>
      </c>
      <c r="O3420" t="s">
        <v>3935</v>
      </c>
      <c r="P3420" s="187">
        <v>45280</v>
      </c>
      <c r="Q3420" s="186">
        <v>14841</v>
      </c>
      <c r="R3420" s="185"/>
      <c r="S3420" s="185" t="s">
        <v>1538</v>
      </c>
      <c r="T3420" t="s">
        <v>2729</v>
      </c>
      <c r="U3420" t="str">
        <f>IF($L3420&gt;0,VLOOKUP($E3420,Valida!$A$1:$G$270,6,FALSE),IF($M3420&gt;=0,VLOOKUP($E3420,Valida!$A$1:$G$270,7,FALSE)))</f>
        <v>(+/-) Ganancia (pérdida)</v>
      </c>
      <c r="V3420" s="190" t="str">
        <f>VLOOKUP(E3420,Valida!$A$2:$K$271,4,FALSE)</f>
        <v>P&amp;L</v>
      </c>
      <c r="W3420" s="185" t="s">
        <v>1909</v>
      </c>
      <c r="X3420" s="185" t="s">
        <v>1910</v>
      </c>
      <c r="Y3420" s="185" t="s">
        <v>1789</v>
      </c>
      <c r="Z3420"/>
    </row>
    <row r="3421" spans="1:26">
      <c r="A3421" s="185" t="s">
        <v>3932</v>
      </c>
      <c r="B3421" s="185" t="s">
        <v>3935</v>
      </c>
      <c r="C3421" s="185" t="s">
        <v>1897</v>
      </c>
      <c r="D3421" s="185" t="s">
        <v>3936</v>
      </c>
      <c r="E3421" s="185">
        <v>510539</v>
      </c>
      <c r="F3421" s="185" t="s">
        <v>818</v>
      </c>
      <c r="G3421" s="185" t="s">
        <v>3943</v>
      </c>
      <c r="H3421" s="185" t="s">
        <v>1515</v>
      </c>
      <c r="I3421" s="258" t="str">
        <f t="shared" si="160"/>
        <v>5</v>
      </c>
      <c r="J3421" s="221">
        <f t="shared" si="161"/>
        <v>53209</v>
      </c>
      <c r="K3421" s="258">
        <f t="shared" si="162"/>
        <v>12</v>
      </c>
      <c r="L3421" s="188">
        <v>53209</v>
      </c>
      <c r="M3421" s="188">
        <v>0</v>
      </c>
      <c r="N3421" s="189">
        <v>1000018061</v>
      </c>
      <c r="O3421" t="s">
        <v>3935</v>
      </c>
      <c r="P3421" s="187">
        <v>45280</v>
      </c>
      <c r="Q3421" s="186">
        <v>14842</v>
      </c>
      <c r="R3421" s="185"/>
      <c r="S3421" s="185" t="s">
        <v>1522</v>
      </c>
      <c r="T3421" t="s">
        <v>2729</v>
      </c>
      <c r="U3421" t="str">
        <f>IF($L3421&gt;0,VLOOKUP($E3421,Valida!$A$1:$G$270,6,FALSE),IF($M3421&gt;=0,VLOOKUP($E3421,Valida!$A$1:$G$270,7,FALSE)))</f>
        <v>(+/-) Ganancia (pérdida)</v>
      </c>
      <c r="V3421" s="190" t="str">
        <f>VLOOKUP(E3421,Valida!$A$2:$K$271,4,FALSE)</f>
        <v>P&amp;L</v>
      </c>
      <c r="W3421" s="185" t="s">
        <v>1978</v>
      </c>
      <c r="X3421" s="185"/>
      <c r="Y3421" s="185" t="s">
        <v>1789</v>
      </c>
      <c r="Z3421"/>
    </row>
    <row r="3422" spans="1:26">
      <c r="A3422" s="185" t="s">
        <v>3932</v>
      </c>
      <c r="B3422" s="185" t="s">
        <v>3935</v>
      </c>
      <c r="C3422" s="185" t="s">
        <v>1897</v>
      </c>
      <c r="D3422" s="185" t="s">
        <v>3936</v>
      </c>
      <c r="E3422" s="185">
        <v>510539</v>
      </c>
      <c r="F3422" s="185" t="s">
        <v>818</v>
      </c>
      <c r="G3422" s="185" t="s">
        <v>3943</v>
      </c>
      <c r="H3422" s="185" t="s">
        <v>1515</v>
      </c>
      <c r="I3422" s="258" t="str">
        <f t="shared" si="160"/>
        <v>5</v>
      </c>
      <c r="J3422" s="221">
        <f t="shared" si="161"/>
        <v>76227</v>
      </c>
      <c r="K3422" s="258">
        <f t="shared" si="162"/>
        <v>12</v>
      </c>
      <c r="L3422" s="188">
        <v>76227</v>
      </c>
      <c r="M3422" s="188">
        <v>0</v>
      </c>
      <c r="N3422" s="189">
        <v>1000036375</v>
      </c>
      <c r="O3422" t="s">
        <v>3935</v>
      </c>
      <c r="P3422" s="187">
        <v>45280</v>
      </c>
      <c r="Q3422" s="186">
        <v>14843</v>
      </c>
      <c r="R3422" s="185"/>
      <c r="S3422" s="185" t="s">
        <v>1524</v>
      </c>
      <c r="T3422" t="s">
        <v>2729</v>
      </c>
      <c r="U3422" t="str">
        <f>IF($L3422&gt;0,VLOOKUP($E3422,Valida!$A$1:$G$270,6,FALSE),IF($M3422&gt;=0,VLOOKUP($E3422,Valida!$A$1:$G$270,7,FALSE)))</f>
        <v>(+/-) Ganancia (pérdida)</v>
      </c>
      <c r="V3422" s="190" t="str">
        <f>VLOOKUP(E3422,Valida!$A$2:$K$271,4,FALSE)</f>
        <v>P&amp;L</v>
      </c>
      <c r="W3422" s="185" t="s">
        <v>1983</v>
      </c>
      <c r="X3422" s="185"/>
      <c r="Y3422" s="185" t="s">
        <v>1789</v>
      </c>
      <c r="Z3422"/>
    </row>
    <row r="3423" spans="1:26">
      <c r="A3423" s="185" t="s">
        <v>3932</v>
      </c>
      <c r="B3423" s="185" t="s">
        <v>3935</v>
      </c>
      <c r="C3423" s="185" t="s">
        <v>1897</v>
      </c>
      <c r="D3423" s="185" t="s">
        <v>3936</v>
      </c>
      <c r="E3423" s="185">
        <v>510539</v>
      </c>
      <c r="F3423" s="185" t="s">
        <v>818</v>
      </c>
      <c r="G3423" s="185" t="s">
        <v>3943</v>
      </c>
      <c r="H3423" s="185" t="s">
        <v>1515</v>
      </c>
      <c r="I3423" s="258" t="str">
        <f t="shared" si="160"/>
        <v>5</v>
      </c>
      <c r="J3423" s="221">
        <f t="shared" si="161"/>
        <v>62550</v>
      </c>
      <c r="K3423" s="258">
        <f t="shared" si="162"/>
        <v>12</v>
      </c>
      <c r="L3423" s="188">
        <v>62550</v>
      </c>
      <c r="M3423" s="188">
        <v>0</v>
      </c>
      <c r="N3423" s="189">
        <v>1010101811</v>
      </c>
      <c r="O3423" t="s">
        <v>3935</v>
      </c>
      <c r="P3423" s="187">
        <v>45280</v>
      </c>
      <c r="Q3423" s="186">
        <v>14844</v>
      </c>
      <c r="R3423" s="185"/>
      <c r="S3423" s="185" t="s">
        <v>1528</v>
      </c>
      <c r="T3423" t="s">
        <v>2729</v>
      </c>
      <c r="U3423" t="str">
        <f>IF($L3423&gt;0,VLOOKUP($E3423,Valida!$A$1:$G$270,6,FALSE),IF($M3423&gt;=0,VLOOKUP($E3423,Valida!$A$1:$G$270,7,FALSE)))</f>
        <v>(+/-) Ganancia (pérdida)</v>
      </c>
      <c r="V3423" s="190" t="str">
        <f>VLOOKUP(E3423,Valida!$A$2:$K$271,4,FALSE)</f>
        <v>P&amp;L</v>
      </c>
      <c r="W3423" s="185" t="s">
        <v>1967</v>
      </c>
      <c r="X3423" s="185"/>
      <c r="Y3423" s="185" t="s">
        <v>1789</v>
      </c>
      <c r="Z3423"/>
    </row>
    <row r="3424" spans="1:26">
      <c r="A3424" s="185" t="s">
        <v>3932</v>
      </c>
      <c r="B3424" s="185" t="s">
        <v>3935</v>
      </c>
      <c r="C3424" s="185" t="s">
        <v>1897</v>
      </c>
      <c r="D3424" s="185" t="s">
        <v>3936</v>
      </c>
      <c r="E3424" s="185">
        <v>510539</v>
      </c>
      <c r="F3424" s="185" t="s">
        <v>818</v>
      </c>
      <c r="G3424" s="185" t="s">
        <v>3943</v>
      </c>
      <c r="H3424" s="185" t="s">
        <v>1515</v>
      </c>
      <c r="I3424" s="258" t="str">
        <f t="shared" si="160"/>
        <v>5</v>
      </c>
      <c r="J3424" s="221">
        <f t="shared" si="161"/>
        <v>48372</v>
      </c>
      <c r="K3424" s="258">
        <f t="shared" si="162"/>
        <v>12</v>
      </c>
      <c r="L3424" s="188">
        <v>48372</v>
      </c>
      <c r="M3424" s="188">
        <v>0</v>
      </c>
      <c r="N3424" s="189">
        <v>1130744136</v>
      </c>
      <c r="O3424" t="s">
        <v>3935</v>
      </c>
      <c r="P3424" s="187">
        <v>45280</v>
      </c>
      <c r="Q3424" s="186">
        <v>14845</v>
      </c>
      <c r="R3424" s="185"/>
      <c r="S3424" s="185" t="s">
        <v>1538</v>
      </c>
      <c r="T3424" t="s">
        <v>2729</v>
      </c>
      <c r="U3424" t="str">
        <f>IF($L3424&gt;0,VLOOKUP($E3424,Valida!$A$1:$G$270,6,FALSE),IF($M3424&gt;=0,VLOOKUP($E3424,Valida!$A$1:$G$270,7,FALSE)))</f>
        <v>(+/-) Ganancia (pérdida)</v>
      </c>
      <c r="V3424" s="190" t="str">
        <f>VLOOKUP(E3424,Valida!$A$2:$K$271,4,FALSE)</f>
        <v>P&amp;L</v>
      </c>
      <c r="W3424" s="185" t="s">
        <v>1909</v>
      </c>
      <c r="X3424" s="185" t="s">
        <v>1910</v>
      </c>
      <c r="Y3424" s="185" t="s">
        <v>1789</v>
      </c>
      <c r="Z3424"/>
    </row>
    <row r="3425" spans="1:26">
      <c r="A3425" s="185" t="s">
        <v>3932</v>
      </c>
      <c r="B3425" s="185" t="s">
        <v>3935</v>
      </c>
      <c r="C3425" s="185" t="s">
        <v>1897</v>
      </c>
      <c r="D3425" s="185" t="s">
        <v>3936</v>
      </c>
      <c r="E3425" s="185">
        <v>510568</v>
      </c>
      <c r="F3425" s="185" t="s">
        <v>680</v>
      </c>
      <c r="G3425" s="185" t="s">
        <v>3937</v>
      </c>
      <c r="H3425" s="185" t="s">
        <v>1515</v>
      </c>
      <c r="I3425" s="258" t="str">
        <f t="shared" si="160"/>
        <v>5</v>
      </c>
      <c r="J3425" s="221">
        <f t="shared" si="161"/>
        <v>4959</v>
      </c>
      <c r="K3425" s="258">
        <f t="shared" si="162"/>
        <v>12</v>
      </c>
      <c r="L3425" s="188">
        <v>4959</v>
      </c>
      <c r="M3425" s="188">
        <v>0</v>
      </c>
      <c r="N3425" s="189">
        <v>860002503</v>
      </c>
      <c r="O3425" t="s">
        <v>3935</v>
      </c>
      <c r="P3425" s="187">
        <v>45280</v>
      </c>
      <c r="Q3425" s="186">
        <v>14846</v>
      </c>
      <c r="R3425" s="185" t="s">
        <v>433</v>
      </c>
      <c r="S3425" s="185" t="s">
        <v>1656</v>
      </c>
      <c r="T3425" t="s">
        <v>2729</v>
      </c>
      <c r="U3425" t="str">
        <f>IF($L3425&gt;0,VLOOKUP($E3425,Valida!$A$1:$G$270,6,FALSE),IF($M3425&gt;=0,VLOOKUP($E3425,Valida!$A$1:$G$270,7,FALSE)))</f>
        <v>(+/-) Ganancia (pérdida)</v>
      </c>
      <c r="V3425" s="190" t="str">
        <f>VLOOKUP(E3425,Valida!$A$2:$K$271,4,FALSE)</f>
        <v>P&amp;L</v>
      </c>
      <c r="W3425" s="185" t="s">
        <v>1912</v>
      </c>
      <c r="X3425" s="185" t="s">
        <v>1913</v>
      </c>
      <c r="Y3425" s="185" t="s">
        <v>1789</v>
      </c>
      <c r="Z3425"/>
    </row>
    <row r="3426" spans="1:26">
      <c r="A3426" s="185" t="s">
        <v>3932</v>
      </c>
      <c r="B3426" s="185" t="s">
        <v>3935</v>
      </c>
      <c r="C3426" s="185" t="s">
        <v>1897</v>
      </c>
      <c r="D3426" s="185" t="s">
        <v>3936</v>
      </c>
      <c r="E3426" s="185">
        <v>510568</v>
      </c>
      <c r="F3426" s="185" t="s">
        <v>680</v>
      </c>
      <c r="G3426" s="185" t="s">
        <v>3937</v>
      </c>
      <c r="H3426" s="185" t="s">
        <v>1515</v>
      </c>
      <c r="I3426" s="258" t="str">
        <f t="shared" si="160"/>
        <v>5</v>
      </c>
      <c r="J3426" s="221">
        <f t="shared" si="161"/>
        <v>6661</v>
      </c>
      <c r="K3426" s="258">
        <f t="shared" si="162"/>
        <v>12</v>
      </c>
      <c r="L3426" s="188">
        <v>6661</v>
      </c>
      <c r="M3426" s="188">
        <v>0</v>
      </c>
      <c r="N3426" s="189">
        <v>860002503</v>
      </c>
      <c r="O3426" t="s">
        <v>3935</v>
      </c>
      <c r="P3426" s="187">
        <v>45280</v>
      </c>
      <c r="Q3426" s="186">
        <v>14847</v>
      </c>
      <c r="R3426" s="185" t="s">
        <v>433</v>
      </c>
      <c r="S3426" s="185" t="s">
        <v>1656</v>
      </c>
      <c r="T3426" t="s">
        <v>2729</v>
      </c>
      <c r="U3426" t="str">
        <f>IF($L3426&gt;0,VLOOKUP($E3426,Valida!$A$1:$G$270,6,FALSE),IF($M3426&gt;=0,VLOOKUP($E3426,Valida!$A$1:$G$270,7,FALSE)))</f>
        <v>(+/-) Ganancia (pérdida)</v>
      </c>
      <c r="V3426" s="190" t="str">
        <f>VLOOKUP(E3426,Valida!$A$2:$K$271,4,FALSE)</f>
        <v>P&amp;L</v>
      </c>
      <c r="W3426" s="185" t="s">
        <v>1912</v>
      </c>
      <c r="X3426" s="185" t="s">
        <v>1913</v>
      </c>
      <c r="Y3426" s="185" t="s">
        <v>1789</v>
      </c>
      <c r="Z3426"/>
    </row>
    <row r="3427" spans="1:26">
      <c r="A3427" s="185" t="s">
        <v>3932</v>
      </c>
      <c r="B3427" s="185" t="s">
        <v>3935</v>
      </c>
      <c r="C3427" s="185" t="s">
        <v>1897</v>
      </c>
      <c r="D3427" s="185" t="s">
        <v>3936</v>
      </c>
      <c r="E3427" s="185">
        <v>510568</v>
      </c>
      <c r="F3427" s="185" t="s">
        <v>680</v>
      </c>
      <c r="G3427" s="185" t="s">
        <v>3937</v>
      </c>
      <c r="H3427" s="185" t="s">
        <v>1515</v>
      </c>
      <c r="I3427" s="258" t="str">
        <f t="shared" si="160"/>
        <v>5</v>
      </c>
      <c r="J3427" s="221">
        <f t="shared" si="161"/>
        <v>7965</v>
      </c>
      <c r="K3427" s="258">
        <f t="shared" si="162"/>
        <v>12</v>
      </c>
      <c r="L3427" s="188">
        <v>7965</v>
      </c>
      <c r="M3427" s="188">
        <v>0</v>
      </c>
      <c r="N3427" s="189">
        <v>860002503</v>
      </c>
      <c r="O3427" t="s">
        <v>3935</v>
      </c>
      <c r="P3427" s="187">
        <v>45280</v>
      </c>
      <c r="Q3427" s="186">
        <v>14848</v>
      </c>
      <c r="R3427" s="185" t="s">
        <v>433</v>
      </c>
      <c r="S3427" s="185" t="s">
        <v>1656</v>
      </c>
      <c r="T3427" t="s">
        <v>2729</v>
      </c>
      <c r="U3427" t="str">
        <f>IF($L3427&gt;0,VLOOKUP($E3427,Valida!$A$1:$G$270,6,FALSE),IF($M3427&gt;=0,VLOOKUP($E3427,Valida!$A$1:$G$270,7,FALSE)))</f>
        <v>(+/-) Ganancia (pérdida)</v>
      </c>
      <c r="V3427" s="190" t="str">
        <f>VLOOKUP(E3427,Valida!$A$2:$K$271,4,FALSE)</f>
        <v>P&amp;L</v>
      </c>
      <c r="W3427" s="185" t="s">
        <v>1912</v>
      </c>
      <c r="X3427" s="185" t="s">
        <v>1913</v>
      </c>
      <c r="Y3427" s="185" t="s">
        <v>1789</v>
      </c>
      <c r="Z3427"/>
    </row>
    <row r="3428" spans="1:26">
      <c r="A3428" s="185" t="s">
        <v>3932</v>
      </c>
      <c r="B3428" s="185" t="s">
        <v>3935</v>
      </c>
      <c r="C3428" s="185" t="s">
        <v>1897</v>
      </c>
      <c r="D3428" s="185" t="s">
        <v>3936</v>
      </c>
      <c r="E3428" s="185">
        <v>510568</v>
      </c>
      <c r="F3428" s="185" t="s">
        <v>680</v>
      </c>
      <c r="G3428" s="185" t="s">
        <v>3937</v>
      </c>
      <c r="H3428" s="185" t="s">
        <v>1515</v>
      </c>
      <c r="I3428" s="258" t="str">
        <f t="shared" si="160"/>
        <v>5</v>
      </c>
      <c r="J3428" s="221">
        <f t="shared" si="161"/>
        <v>6055</v>
      </c>
      <c r="K3428" s="258">
        <f t="shared" si="162"/>
        <v>12</v>
      </c>
      <c r="L3428" s="188">
        <v>6055</v>
      </c>
      <c r="M3428" s="188">
        <v>0</v>
      </c>
      <c r="N3428" s="189">
        <v>860002503</v>
      </c>
      <c r="O3428" t="s">
        <v>3935</v>
      </c>
      <c r="P3428" s="187">
        <v>45280</v>
      </c>
      <c r="Q3428" s="186">
        <v>14849</v>
      </c>
      <c r="R3428" s="185" t="s">
        <v>433</v>
      </c>
      <c r="S3428" s="185" t="s">
        <v>1656</v>
      </c>
      <c r="T3428" t="s">
        <v>2729</v>
      </c>
      <c r="U3428" t="str">
        <f>IF($L3428&gt;0,VLOOKUP($E3428,Valida!$A$1:$G$270,6,FALSE),IF($M3428&gt;=0,VLOOKUP($E3428,Valida!$A$1:$G$270,7,FALSE)))</f>
        <v>(+/-) Ganancia (pérdida)</v>
      </c>
      <c r="V3428" s="190" t="str">
        <f>VLOOKUP(E3428,Valida!$A$2:$K$271,4,FALSE)</f>
        <v>P&amp;L</v>
      </c>
      <c r="W3428" s="185" t="s">
        <v>1912</v>
      </c>
      <c r="X3428" s="185" t="s">
        <v>1913</v>
      </c>
      <c r="Y3428" s="185" t="s">
        <v>1789</v>
      </c>
      <c r="Z3428"/>
    </row>
    <row r="3429" spans="1:26">
      <c r="A3429" s="185" t="s">
        <v>3932</v>
      </c>
      <c r="B3429" s="185" t="s">
        <v>3935</v>
      </c>
      <c r="C3429" s="185" t="s">
        <v>1897</v>
      </c>
      <c r="D3429" s="185" t="s">
        <v>3936</v>
      </c>
      <c r="E3429" s="185">
        <v>510570</v>
      </c>
      <c r="F3429" s="185" t="s">
        <v>1116</v>
      </c>
      <c r="G3429" s="185" t="s">
        <v>3939</v>
      </c>
      <c r="H3429" s="185" t="s">
        <v>1515</v>
      </c>
      <c r="I3429" s="258" t="str">
        <f t="shared" si="160"/>
        <v>5</v>
      </c>
      <c r="J3429" s="221">
        <f t="shared" si="161"/>
        <v>180000</v>
      </c>
      <c r="K3429" s="258">
        <f t="shared" si="162"/>
        <v>12</v>
      </c>
      <c r="L3429" s="188">
        <v>180000</v>
      </c>
      <c r="M3429" s="188">
        <v>0</v>
      </c>
      <c r="N3429" s="189">
        <v>800224808</v>
      </c>
      <c r="O3429" t="s">
        <v>3935</v>
      </c>
      <c r="P3429" s="187">
        <v>45280</v>
      </c>
      <c r="Q3429" s="186">
        <v>14850</v>
      </c>
      <c r="R3429" s="185" t="s">
        <v>1827</v>
      </c>
      <c r="S3429" s="185" t="s">
        <v>1662</v>
      </c>
      <c r="T3429" t="s">
        <v>2729</v>
      </c>
      <c r="U3429" t="str">
        <f>IF($L3429&gt;0,VLOOKUP($E3429,Valida!$A$1:$G$270,6,FALSE),IF($M3429&gt;=0,VLOOKUP($E3429,Valida!$A$1:$G$270,7,FALSE)))</f>
        <v>(+/-) Ganancia (pérdida)</v>
      </c>
      <c r="V3429" s="190" t="str">
        <f>VLOOKUP(E3429,Valida!$A$2:$K$271,4,FALSE)</f>
        <v>P&amp;L</v>
      </c>
      <c r="W3429" s="185" t="s">
        <v>1911</v>
      </c>
      <c r="X3429" s="185"/>
      <c r="Y3429" s="185" t="s">
        <v>1789</v>
      </c>
      <c r="Z3429"/>
    </row>
    <row r="3430" spans="1:26">
      <c r="A3430" s="185" t="s">
        <v>3932</v>
      </c>
      <c r="B3430" s="185" t="s">
        <v>3935</v>
      </c>
      <c r="C3430" s="185" t="s">
        <v>1897</v>
      </c>
      <c r="D3430" s="185" t="s">
        <v>3936</v>
      </c>
      <c r="E3430" s="185">
        <v>510570</v>
      </c>
      <c r="F3430" s="185" t="s">
        <v>1116</v>
      </c>
      <c r="G3430" s="185" t="s">
        <v>3939</v>
      </c>
      <c r="H3430" s="185" t="s">
        <v>1515</v>
      </c>
      <c r="I3430" s="258" t="str">
        <f t="shared" si="160"/>
        <v>5</v>
      </c>
      <c r="J3430" s="221">
        <f t="shared" si="161"/>
        <v>222452</v>
      </c>
      <c r="K3430" s="258">
        <f t="shared" si="162"/>
        <v>12</v>
      </c>
      <c r="L3430" s="188">
        <v>222452</v>
      </c>
      <c r="M3430" s="188">
        <v>0</v>
      </c>
      <c r="N3430" s="189">
        <v>800224808</v>
      </c>
      <c r="O3430" t="s">
        <v>3935</v>
      </c>
      <c r="P3430" s="187">
        <v>45280</v>
      </c>
      <c r="Q3430" s="186">
        <v>14851</v>
      </c>
      <c r="R3430" s="185" t="s">
        <v>1827</v>
      </c>
      <c r="S3430" s="185" t="s">
        <v>1662</v>
      </c>
      <c r="T3430" t="s">
        <v>2729</v>
      </c>
      <c r="U3430" t="str">
        <f>IF($L3430&gt;0,VLOOKUP($E3430,Valida!$A$1:$G$270,6,FALSE),IF($M3430&gt;=0,VLOOKUP($E3430,Valida!$A$1:$G$270,7,FALSE)))</f>
        <v>(+/-) Ganancia (pérdida)</v>
      </c>
      <c r="V3430" s="190" t="str">
        <f>VLOOKUP(E3430,Valida!$A$2:$K$271,4,FALSE)</f>
        <v>P&amp;L</v>
      </c>
      <c r="W3430" s="185" t="s">
        <v>1911</v>
      </c>
      <c r="X3430" s="185"/>
      <c r="Y3430" s="185" t="s">
        <v>1789</v>
      </c>
      <c r="Z3430"/>
    </row>
    <row r="3431" spans="1:26">
      <c r="A3431" s="185" t="s">
        <v>3932</v>
      </c>
      <c r="B3431" s="185" t="s">
        <v>3935</v>
      </c>
      <c r="C3431" s="185" t="s">
        <v>1897</v>
      </c>
      <c r="D3431" s="185" t="s">
        <v>3936</v>
      </c>
      <c r="E3431" s="185">
        <v>510570</v>
      </c>
      <c r="F3431" s="185" t="s">
        <v>1116</v>
      </c>
      <c r="G3431" s="185" t="s">
        <v>3939</v>
      </c>
      <c r="H3431" s="185" t="s">
        <v>1515</v>
      </c>
      <c r="I3431" s="258" t="str">
        <f t="shared" si="160"/>
        <v>5</v>
      </c>
      <c r="J3431" s="221">
        <f t="shared" si="161"/>
        <v>139200</v>
      </c>
      <c r="K3431" s="258">
        <f t="shared" si="162"/>
        <v>12</v>
      </c>
      <c r="L3431" s="188">
        <v>139200</v>
      </c>
      <c r="M3431" s="188">
        <v>0</v>
      </c>
      <c r="N3431" s="189">
        <v>800224808</v>
      </c>
      <c r="O3431" t="s">
        <v>3935</v>
      </c>
      <c r="P3431" s="187">
        <v>45280</v>
      </c>
      <c r="Q3431" s="186">
        <v>14852</v>
      </c>
      <c r="R3431" s="185" t="s">
        <v>1827</v>
      </c>
      <c r="S3431" s="185" t="s">
        <v>1662</v>
      </c>
      <c r="T3431" t="s">
        <v>2729</v>
      </c>
      <c r="U3431" t="str">
        <f>IF($L3431&gt;0,VLOOKUP($E3431,Valida!$A$1:$G$270,6,FALSE),IF($M3431&gt;=0,VLOOKUP($E3431,Valida!$A$1:$G$270,7,FALSE)))</f>
        <v>(+/-) Ganancia (pérdida)</v>
      </c>
      <c r="V3431" s="190" t="str">
        <f>VLOOKUP(E3431,Valida!$A$2:$K$271,4,FALSE)</f>
        <v>P&amp;L</v>
      </c>
      <c r="W3431" s="185" t="s">
        <v>1911</v>
      </c>
      <c r="X3431" s="185"/>
      <c r="Y3431" s="185" t="s">
        <v>1789</v>
      </c>
      <c r="Z3431"/>
    </row>
    <row r="3432" spans="1:26">
      <c r="A3432" s="185" t="s">
        <v>3932</v>
      </c>
      <c r="B3432" s="185" t="s">
        <v>3935</v>
      </c>
      <c r="C3432" s="185" t="s">
        <v>1897</v>
      </c>
      <c r="D3432" s="185" t="s">
        <v>3936</v>
      </c>
      <c r="E3432" s="185">
        <v>510570</v>
      </c>
      <c r="F3432" s="185" t="s">
        <v>1116</v>
      </c>
      <c r="G3432" s="185" t="s">
        <v>3939</v>
      </c>
      <c r="H3432" s="185" t="s">
        <v>1515</v>
      </c>
      <c r="I3432" s="258" t="str">
        <f t="shared" si="160"/>
        <v>5</v>
      </c>
      <c r="J3432" s="221">
        <f t="shared" si="161"/>
        <v>153120</v>
      </c>
      <c r="K3432" s="258">
        <f t="shared" si="162"/>
        <v>12</v>
      </c>
      <c r="L3432" s="188">
        <v>153120</v>
      </c>
      <c r="M3432" s="188">
        <v>0</v>
      </c>
      <c r="N3432" s="189">
        <v>800227940</v>
      </c>
      <c r="O3432" t="s">
        <v>3935</v>
      </c>
      <c r="P3432" s="187">
        <v>45280</v>
      </c>
      <c r="Q3432" s="186">
        <v>14853</v>
      </c>
      <c r="R3432" s="185"/>
      <c r="S3432" s="185" t="s">
        <v>1664</v>
      </c>
      <c r="T3432" t="s">
        <v>2729</v>
      </c>
      <c r="U3432" t="str">
        <f>IF($L3432&gt;0,VLOOKUP($E3432,Valida!$A$1:$G$270,6,FALSE),IF($M3432&gt;=0,VLOOKUP($E3432,Valida!$A$1:$G$270,7,FALSE)))</f>
        <v>(+/-) Ganancia (pérdida)</v>
      </c>
      <c r="V3432" s="190" t="str">
        <f>VLOOKUP(E3432,Valida!$A$2:$K$271,4,FALSE)</f>
        <v>P&amp;L</v>
      </c>
      <c r="W3432" s="185"/>
      <c r="X3432" s="185"/>
      <c r="Y3432" s="185"/>
      <c r="Z3432"/>
    </row>
    <row r="3433" spans="1:26">
      <c r="A3433" s="185" t="s">
        <v>3932</v>
      </c>
      <c r="B3433" s="185" t="s">
        <v>3935</v>
      </c>
      <c r="C3433" s="185" t="s">
        <v>1897</v>
      </c>
      <c r="D3433" s="185" t="s">
        <v>3936</v>
      </c>
      <c r="E3433" s="185">
        <v>510572</v>
      </c>
      <c r="F3433" s="185" t="s">
        <v>1118</v>
      </c>
      <c r="G3433" s="185" t="s">
        <v>3938</v>
      </c>
      <c r="H3433" s="185" t="s">
        <v>1515</v>
      </c>
      <c r="I3433" s="258" t="str">
        <f t="shared" si="160"/>
        <v>5</v>
      </c>
      <c r="J3433" s="221">
        <f t="shared" si="161"/>
        <v>45000</v>
      </c>
      <c r="K3433" s="258">
        <f t="shared" si="162"/>
        <v>12</v>
      </c>
      <c r="L3433" s="188">
        <v>45000</v>
      </c>
      <c r="M3433" s="188">
        <v>0</v>
      </c>
      <c r="N3433" s="189">
        <v>860066942</v>
      </c>
      <c r="O3433" t="s">
        <v>3935</v>
      </c>
      <c r="P3433" s="187">
        <v>45280</v>
      </c>
      <c r="Q3433" s="186">
        <v>14854</v>
      </c>
      <c r="R3433" s="185" t="s">
        <v>1814</v>
      </c>
      <c r="S3433" s="185" t="s">
        <v>1574</v>
      </c>
      <c r="T3433" t="s">
        <v>2729</v>
      </c>
      <c r="U3433" t="str">
        <f>IF($L3433&gt;0,VLOOKUP($E3433,Valida!$A$1:$G$270,6,FALSE),IF($M3433&gt;=0,VLOOKUP($E3433,Valida!$A$1:$G$270,7,FALSE)))</f>
        <v>(+/-) Ganancia (pérdida)</v>
      </c>
      <c r="V3433" s="190" t="str">
        <f>VLOOKUP(E3433,Valida!$A$2:$K$271,4,FALSE)</f>
        <v>P&amp;L</v>
      </c>
      <c r="W3433" s="185" t="s">
        <v>1914</v>
      </c>
      <c r="X3433" s="185" t="s">
        <v>1915</v>
      </c>
      <c r="Y3433" s="185" t="s">
        <v>1789</v>
      </c>
      <c r="Z3433"/>
    </row>
    <row r="3434" spans="1:26">
      <c r="A3434" s="185" t="s">
        <v>3932</v>
      </c>
      <c r="B3434" s="185" t="s">
        <v>3935</v>
      </c>
      <c r="C3434" s="185" t="s">
        <v>1897</v>
      </c>
      <c r="D3434" s="185" t="s">
        <v>3936</v>
      </c>
      <c r="E3434" s="185">
        <v>510572</v>
      </c>
      <c r="F3434" s="185" t="s">
        <v>1118</v>
      </c>
      <c r="G3434" s="185" t="s">
        <v>3938</v>
      </c>
      <c r="H3434" s="185" t="s">
        <v>1515</v>
      </c>
      <c r="I3434" s="258" t="str">
        <f t="shared" si="160"/>
        <v>5</v>
      </c>
      <c r="J3434" s="221">
        <f t="shared" si="161"/>
        <v>38280</v>
      </c>
      <c r="K3434" s="258">
        <f t="shared" si="162"/>
        <v>12</v>
      </c>
      <c r="L3434" s="188">
        <v>38280</v>
      </c>
      <c r="M3434" s="188">
        <v>0</v>
      </c>
      <c r="N3434" s="189">
        <v>860066942</v>
      </c>
      <c r="O3434" t="s">
        <v>3935</v>
      </c>
      <c r="P3434" s="187">
        <v>45280</v>
      </c>
      <c r="Q3434" s="186">
        <v>14855</v>
      </c>
      <c r="R3434" s="185" t="s">
        <v>1814</v>
      </c>
      <c r="S3434" s="185" t="s">
        <v>1574</v>
      </c>
      <c r="T3434" t="s">
        <v>2729</v>
      </c>
      <c r="U3434" t="str">
        <f>IF($L3434&gt;0,VLOOKUP($E3434,Valida!$A$1:$G$270,6,FALSE),IF($M3434&gt;=0,VLOOKUP($E3434,Valida!$A$1:$G$270,7,FALSE)))</f>
        <v>(+/-) Ganancia (pérdida)</v>
      </c>
      <c r="V3434" s="190" t="str">
        <f>VLOOKUP(E3434,Valida!$A$2:$K$271,4,FALSE)</f>
        <v>P&amp;L</v>
      </c>
      <c r="W3434" s="185" t="s">
        <v>1914</v>
      </c>
      <c r="X3434" s="185" t="s">
        <v>1915</v>
      </c>
      <c r="Y3434" s="185" t="s">
        <v>1789</v>
      </c>
      <c r="Z3434"/>
    </row>
    <row r="3435" spans="1:26">
      <c r="A3435" s="185" t="s">
        <v>3932</v>
      </c>
      <c r="B3435" s="185" t="s">
        <v>3935</v>
      </c>
      <c r="C3435" s="185" t="s">
        <v>1897</v>
      </c>
      <c r="D3435" s="185" t="s">
        <v>3936</v>
      </c>
      <c r="E3435" s="185">
        <v>510572</v>
      </c>
      <c r="F3435" s="185" t="s">
        <v>1118</v>
      </c>
      <c r="G3435" s="185" t="s">
        <v>3938</v>
      </c>
      <c r="H3435" s="185" t="s">
        <v>1515</v>
      </c>
      <c r="I3435" s="258" t="str">
        <f t="shared" si="160"/>
        <v>5</v>
      </c>
      <c r="J3435" s="221">
        <f t="shared" si="161"/>
        <v>55613</v>
      </c>
      <c r="K3435" s="258">
        <f t="shared" si="162"/>
        <v>12</v>
      </c>
      <c r="L3435" s="188">
        <v>55613</v>
      </c>
      <c r="M3435" s="188">
        <v>0</v>
      </c>
      <c r="N3435" s="189">
        <v>860066942</v>
      </c>
      <c r="O3435" t="s">
        <v>3935</v>
      </c>
      <c r="P3435" s="187">
        <v>45280</v>
      </c>
      <c r="Q3435" s="186">
        <v>14856</v>
      </c>
      <c r="R3435" s="185" t="s">
        <v>1814</v>
      </c>
      <c r="S3435" s="185" t="s">
        <v>1574</v>
      </c>
      <c r="T3435" t="s">
        <v>2729</v>
      </c>
      <c r="U3435" t="str">
        <f>IF($L3435&gt;0,VLOOKUP($E3435,Valida!$A$1:$G$270,6,FALSE),IF($M3435&gt;=0,VLOOKUP($E3435,Valida!$A$1:$G$270,7,FALSE)))</f>
        <v>(+/-) Ganancia (pérdida)</v>
      </c>
      <c r="V3435" s="190" t="str">
        <f>VLOOKUP(E3435,Valida!$A$2:$K$271,4,FALSE)</f>
        <v>P&amp;L</v>
      </c>
      <c r="W3435" s="185" t="s">
        <v>1914</v>
      </c>
      <c r="X3435" s="185" t="s">
        <v>1915</v>
      </c>
      <c r="Y3435" s="185" t="s">
        <v>1789</v>
      </c>
      <c r="Z3435"/>
    </row>
    <row r="3436" spans="1:26">
      <c r="A3436" s="185" t="s">
        <v>3932</v>
      </c>
      <c r="B3436" s="185" t="s">
        <v>3935</v>
      </c>
      <c r="C3436" s="185" t="s">
        <v>1897</v>
      </c>
      <c r="D3436" s="185" t="s">
        <v>3936</v>
      </c>
      <c r="E3436" s="185">
        <v>510572</v>
      </c>
      <c r="F3436" s="185" t="s">
        <v>1118</v>
      </c>
      <c r="G3436" s="185" t="s">
        <v>3938</v>
      </c>
      <c r="H3436" s="185" t="s">
        <v>1515</v>
      </c>
      <c r="I3436" s="258" t="str">
        <f t="shared" si="160"/>
        <v>5</v>
      </c>
      <c r="J3436" s="221">
        <f t="shared" si="161"/>
        <v>34800</v>
      </c>
      <c r="K3436" s="258">
        <f t="shared" si="162"/>
        <v>12</v>
      </c>
      <c r="L3436" s="188">
        <v>34800</v>
      </c>
      <c r="M3436" s="188">
        <v>0</v>
      </c>
      <c r="N3436" s="189">
        <v>860066942</v>
      </c>
      <c r="O3436" t="s">
        <v>3935</v>
      </c>
      <c r="P3436" s="187">
        <v>45280</v>
      </c>
      <c r="Q3436" s="186">
        <v>14857</v>
      </c>
      <c r="R3436" s="185" t="s">
        <v>1814</v>
      </c>
      <c r="S3436" s="185" t="s">
        <v>1574</v>
      </c>
      <c r="T3436" t="s">
        <v>2729</v>
      </c>
      <c r="U3436" t="str">
        <f>IF($L3436&gt;0,VLOOKUP($E3436,Valida!$A$1:$G$270,6,FALSE),IF($M3436&gt;=0,VLOOKUP($E3436,Valida!$A$1:$G$270,7,FALSE)))</f>
        <v>(+/-) Ganancia (pérdida)</v>
      </c>
      <c r="V3436" s="190" t="str">
        <f>VLOOKUP(E3436,Valida!$A$2:$K$271,4,FALSE)</f>
        <v>P&amp;L</v>
      </c>
      <c r="W3436" s="185" t="s">
        <v>1914</v>
      </c>
      <c r="X3436" s="185" t="s">
        <v>1915</v>
      </c>
      <c r="Y3436" s="185" t="s">
        <v>1789</v>
      </c>
      <c r="Z3436"/>
    </row>
    <row r="3437" spans="1:26">
      <c r="A3437" s="185" t="s">
        <v>3932</v>
      </c>
      <c r="B3437" s="185" t="s">
        <v>3944</v>
      </c>
      <c r="C3437" s="185" t="s">
        <v>1897</v>
      </c>
      <c r="D3437" s="185" t="s">
        <v>3945</v>
      </c>
      <c r="E3437" s="185">
        <v>252505</v>
      </c>
      <c r="F3437" s="185" t="s">
        <v>787</v>
      </c>
      <c r="G3437" s="185" t="s">
        <v>3946</v>
      </c>
      <c r="H3437" s="185" t="s">
        <v>1515</v>
      </c>
      <c r="I3437" s="258" t="str">
        <f t="shared" si="160"/>
        <v>2</v>
      </c>
      <c r="J3437" s="221">
        <f t="shared" si="161"/>
        <v>821667</v>
      </c>
      <c r="K3437" s="258">
        <f t="shared" si="162"/>
        <v>12</v>
      </c>
      <c r="L3437" s="188">
        <v>821667</v>
      </c>
      <c r="M3437" s="188">
        <v>0</v>
      </c>
      <c r="N3437" s="189">
        <v>1130744136</v>
      </c>
      <c r="O3437" t="s">
        <v>3944</v>
      </c>
      <c r="P3437" s="187">
        <v>45280</v>
      </c>
      <c r="Q3437" s="186">
        <v>14858</v>
      </c>
      <c r="R3437" s="185"/>
      <c r="S3437" s="185" t="s">
        <v>1538</v>
      </c>
      <c r="T3437" t="s">
        <v>2729</v>
      </c>
      <c r="U3437" t="str">
        <f>IF($L3437&gt;0,VLOOKUP($E3437,Valida!$A$1:$G$270,6,FALSE),IF($M3437&gt;=0,VLOOKUP($E3437,Valida!$A$1:$G$270,7,FALSE)))</f>
        <v>(+/-) Ajustes por el incremento (disminución) de cuentas por pagar de origen comercial</v>
      </c>
      <c r="V3437" s="190" t="str">
        <f>VLOOKUP(E3437,Valida!$A$2:$K$271,4,FALSE)</f>
        <v>Trade and other payables</v>
      </c>
      <c r="W3437" s="185" t="s">
        <v>1909</v>
      </c>
      <c r="X3437" s="185" t="s">
        <v>1910</v>
      </c>
      <c r="Y3437" s="185" t="s">
        <v>1789</v>
      </c>
      <c r="Z3437"/>
    </row>
    <row r="3438" spans="1:26">
      <c r="A3438" s="185" t="s">
        <v>3932</v>
      </c>
      <c r="B3438" s="185" t="s">
        <v>3944</v>
      </c>
      <c r="C3438" s="185" t="s">
        <v>1897</v>
      </c>
      <c r="D3438" s="185" t="s">
        <v>3945</v>
      </c>
      <c r="E3438" s="185">
        <v>251010</v>
      </c>
      <c r="F3438" s="185" t="s">
        <v>776</v>
      </c>
      <c r="G3438" s="185" t="s">
        <v>3946</v>
      </c>
      <c r="H3438" s="185" t="s">
        <v>1515</v>
      </c>
      <c r="I3438" s="258" t="str">
        <f t="shared" si="160"/>
        <v>2</v>
      </c>
      <c r="J3438" s="221">
        <f t="shared" si="161"/>
        <v>1300606</v>
      </c>
      <c r="K3438" s="258">
        <f t="shared" si="162"/>
        <v>12</v>
      </c>
      <c r="L3438" s="188">
        <v>1300606</v>
      </c>
      <c r="M3438" s="188">
        <v>0</v>
      </c>
      <c r="N3438" s="189">
        <v>1130744136</v>
      </c>
      <c r="O3438" t="s">
        <v>3944</v>
      </c>
      <c r="P3438" s="187">
        <v>45280</v>
      </c>
      <c r="Q3438" s="186">
        <v>14859</v>
      </c>
      <c r="R3438" s="185"/>
      <c r="S3438" s="185" t="s">
        <v>1538</v>
      </c>
      <c r="T3438" t="s">
        <v>2729</v>
      </c>
      <c r="U3438" t="str">
        <f>IF($L3438&gt;0,VLOOKUP($E3438,Valida!$A$1:$G$270,6,FALSE),IF($M3438&gt;=0,VLOOKUP($E3438,Valida!$A$1:$G$270,7,FALSE)))</f>
        <v>(+/-) Ajustes por el incremento (disminución) de cuentas por pagar de origen comercial</v>
      </c>
      <c r="V3438" s="190" t="str">
        <f>VLOOKUP(E3438,Valida!$A$2:$K$271,4,FALSE)</f>
        <v>Trade and other payables</v>
      </c>
      <c r="W3438" s="185" t="s">
        <v>1909</v>
      </c>
      <c r="X3438" s="185" t="s">
        <v>1910</v>
      </c>
      <c r="Y3438" s="185" t="s">
        <v>1789</v>
      </c>
      <c r="Z3438"/>
    </row>
    <row r="3439" spans="1:26">
      <c r="A3439" s="185" t="s">
        <v>3932</v>
      </c>
      <c r="B3439" s="185" t="s">
        <v>3944</v>
      </c>
      <c r="C3439" s="185" t="s">
        <v>1897</v>
      </c>
      <c r="D3439" s="185" t="s">
        <v>3945</v>
      </c>
      <c r="E3439" s="185">
        <v>251505</v>
      </c>
      <c r="F3439" s="185" t="s">
        <v>779</v>
      </c>
      <c r="G3439" s="185" t="s">
        <v>3946</v>
      </c>
      <c r="H3439" s="185" t="s">
        <v>1515</v>
      </c>
      <c r="I3439" s="258" t="str">
        <f t="shared" si="160"/>
        <v>2</v>
      </c>
      <c r="J3439" s="221">
        <f t="shared" si="161"/>
        <v>156073</v>
      </c>
      <c r="K3439" s="258">
        <f t="shared" si="162"/>
        <v>12</v>
      </c>
      <c r="L3439" s="188">
        <v>156073</v>
      </c>
      <c r="M3439" s="188">
        <v>0</v>
      </c>
      <c r="N3439" s="189">
        <v>1130744136</v>
      </c>
      <c r="O3439" t="s">
        <v>3944</v>
      </c>
      <c r="P3439" s="187">
        <v>45280</v>
      </c>
      <c r="Q3439" s="186">
        <v>14860</v>
      </c>
      <c r="R3439" s="185"/>
      <c r="S3439" s="185" t="s">
        <v>1538</v>
      </c>
      <c r="T3439" t="s">
        <v>2729</v>
      </c>
      <c r="U3439" t="str">
        <f>IF($L3439&gt;0,VLOOKUP($E3439,Valida!$A$1:$G$270,6,FALSE),IF($M3439&gt;=0,VLOOKUP($E3439,Valida!$A$1:$G$270,7,FALSE)))</f>
        <v>(+/-) Ajustes por el incremento (disminución) de cuentas por pagar de origen comercial</v>
      </c>
      <c r="V3439" s="190" t="str">
        <f>VLOOKUP(E3439,Valida!$A$2:$K$271,4,FALSE)</f>
        <v>Trade and other payables</v>
      </c>
      <c r="W3439" s="185" t="s">
        <v>1909</v>
      </c>
      <c r="X3439" s="185" t="s">
        <v>1910</v>
      </c>
      <c r="Y3439" s="185" t="s">
        <v>1789</v>
      </c>
      <c r="Z3439"/>
    </row>
    <row r="3440" spans="1:26">
      <c r="A3440" s="185" t="s">
        <v>3932</v>
      </c>
      <c r="B3440" s="185" t="s">
        <v>3944</v>
      </c>
      <c r="C3440" s="185" t="s">
        <v>1897</v>
      </c>
      <c r="D3440" s="185" t="s">
        <v>3945</v>
      </c>
      <c r="E3440" s="185">
        <v>510560</v>
      </c>
      <c r="F3440" s="185" t="s">
        <v>1107</v>
      </c>
      <c r="G3440" s="185" t="s">
        <v>3946</v>
      </c>
      <c r="H3440" s="185" t="s">
        <v>1515</v>
      </c>
      <c r="I3440" s="258" t="str">
        <f t="shared" si="160"/>
        <v>5</v>
      </c>
      <c r="J3440" s="221">
        <f t="shared" si="161"/>
        <v>1482222</v>
      </c>
      <c r="K3440" s="258">
        <f t="shared" si="162"/>
        <v>12</v>
      </c>
      <c r="L3440" s="188">
        <v>1482222</v>
      </c>
      <c r="M3440" s="188">
        <v>0</v>
      </c>
      <c r="N3440" s="189">
        <v>1130744136</v>
      </c>
      <c r="O3440" t="s">
        <v>3944</v>
      </c>
      <c r="P3440" s="187">
        <v>45280</v>
      </c>
      <c r="Q3440" s="186">
        <v>14861</v>
      </c>
      <c r="R3440" s="185"/>
      <c r="S3440" s="185" t="s">
        <v>1538</v>
      </c>
      <c r="T3440" t="s">
        <v>2729</v>
      </c>
      <c r="U3440" t="str">
        <f>IF($L3440&gt;0,VLOOKUP($E3440,Valida!$A$1:$G$270,6,FALSE),IF($M3440&gt;=0,VLOOKUP($E3440,Valida!$A$1:$G$270,7,FALSE)))</f>
        <v>(+/-) Ganancia (pérdida)</v>
      </c>
      <c r="V3440" s="190" t="str">
        <f>VLOOKUP(E3440,Valida!$A$2:$K$271,4,FALSE)</f>
        <v>P&amp;L</v>
      </c>
      <c r="W3440" s="185" t="s">
        <v>1909</v>
      </c>
      <c r="X3440" s="185" t="s">
        <v>1910</v>
      </c>
      <c r="Y3440" s="185" t="s">
        <v>1789</v>
      </c>
      <c r="Z3440"/>
    </row>
    <row r="3441" spans="1:26">
      <c r="A3441" s="185" t="s">
        <v>3932</v>
      </c>
      <c r="B3441" s="185" t="s">
        <v>3944</v>
      </c>
      <c r="C3441" s="185" t="s">
        <v>1897</v>
      </c>
      <c r="D3441" s="185" t="s">
        <v>3945</v>
      </c>
      <c r="E3441" s="185">
        <v>252505</v>
      </c>
      <c r="F3441" s="185" t="s">
        <v>787</v>
      </c>
      <c r="G3441" s="185" t="s">
        <v>3946</v>
      </c>
      <c r="H3441" s="185" t="s">
        <v>1515</v>
      </c>
      <c r="I3441" s="258" t="str">
        <f t="shared" si="160"/>
        <v>2</v>
      </c>
      <c r="J3441" s="221">
        <f t="shared" si="161"/>
        <v>814417</v>
      </c>
      <c r="K3441" s="258">
        <f t="shared" si="162"/>
        <v>12</v>
      </c>
      <c r="L3441" s="188">
        <v>814417</v>
      </c>
      <c r="M3441" s="188">
        <v>0</v>
      </c>
      <c r="N3441" s="189">
        <v>1010101811</v>
      </c>
      <c r="O3441" t="s">
        <v>3944</v>
      </c>
      <c r="P3441" s="187">
        <v>45280</v>
      </c>
      <c r="Q3441" s="186">
        <v>14862</v>
      </c>
      <c r="R3441" s="185"/>
      <c r="S3441" s="185" t="s">
        <v>1528</v>
      </c>
      <c r="T3441" t="s">
        <v>2729</v>
      </c>
      <c r="U3441" t="str">
        <f>IF($L3441&gt;0,VLOOKUP($E3441,Valida!$A$1:$G$270,6,FALSE),IF($M3441&gt;=0,VLOOKUP($E3441,Valida!$A$1:$G$270,7,FALSE)))</f>
        <v>(+/-) Ajustes por el incremento (disminución) de cuentas por pagar de origen comercial</v>
      </c>
      <c r="V3441" s="190" t="str">
        <f>VLOOKUP(E3441,Valida!$A$2:$K$271,4,FALSE)</f>
        <v>Trade and other payables</v>
      </c>
      <c r="W3441" s="185" t="s">
        <v>1967</v>
      </c>
      <c r="X3441" s="185"/>
      <c r="Y3441" s="185" t="s">
        <v>1789</v>
      </c>
      <c r="Z3441"/>
    </row>
    <row r="3442" spans="1:26">
      <c r="A3442" s="185" t="s">
        <v>3932</v>
      </c>
      <c r="B3442" s="185" t="s">
        <v>3944</v>
      </c>
      <c r="C3442" s="185" t="s">
        <v>1897</v>
      </c>
      <c r="D3442" s="185" t="s">
        <v>3945</v>
      </c>
      <c r="E3442" s="185">
        <v>510506</v>
      </c>
      <c r="F3442" s="185" t="s">
        <v>1076</v>
      </c>
      <c r="G3442" s="185" t="s">
        <v>3946</v>
      </c>
      <c r="H3442" s="185" t="s">
        <v>1515</v>
      </c>
      <c r="I3442" s="258" t="str">
        <f t="shared" si="160"/>
        <v>5</v>
      </c>
      <c r="J3442" s="221">
        <f t="shared" si="161"/>
        <v>50000</v>
      </c>
      <c r="K3442" s="258">
        <f t="shared" si="162"/>
        <v>12</v>
      </c>
      <c r="L3442" s="188">
        <v>50000</v>
      </c>
      <c r="M3442" s="188">
        <v>0</v>
      </c>
      <c r="N3442" s="189">
        <v>1010101811</v>
      </c>
      <c r="O3442" t="s">
        <v>3944</v>
      </c>
      <c r="P3442" s="187">
        <v>45280</v>
      </c>
      <c r="Q3442" s="186">
        <v>14863</v>
      </c>
      <c r="R3442" s="185"/>
      <c r="S3442" s="185" t="s">
        <v>1528</v>
      </c>
      <c r="T3442" t="s">
        <v>2729</v>
      </c>
      <c r="U3442" t="str">
        <f>IF($L3442&gt;0,VLOOKUP($E3442,Valida!$A$1:$G$270,6,FALSE),IF($M3442&gt;=0,VLOOKUP($E3442,Valida!$A$1:$G$270,7,FALSE)))</f>
        <v>(+/-) Ganancia (pérdida)</v>
      </c>
      <c r="V3442" s="190" t="str">
        <f>VLOOKUP(E3442,Valida!$A$2:$K$271,4,FALSE)</f>
        <v>P&amp;L</v>
      </c>
      <c r="W3442" s="185" t="s">
        <v>1967</v>
      </c>
      <c r="X3442" s="185"/>
      <c r="Y3442" s="185" t="s">
        <v>1789</v>
      </c>
      <c r="Z3442"/>
    </row>
    <row r="3443" spans="1:26">
      <c r="A3443" s="185" t="s">
        <v>3932</v>
      </c>
      <c r="B3443" s="185" t="s">
        <v>3944</v>
      </c>
      <c r="C3443" s="185" t="s">
        <v>1897</v>
      </c>
      <c r="D3443" s="185" t="s">
        <v>3945</v>
      </c>
      <c r="E3443" s="185">
        <v>251010</v>
      </c>
      <c r="F3443" s="185" t="s">
        <v>776</v>
      </c>
      <c r="G3443" s="185" t="s">
        <v>3946</v>
      </c>
      <c r="H3443" s="185" t="s">
        <v>1515</v>
      </c>
      <c r="I3443" s="258" t="str">
        <f t="shared" si="160"/>
        <v>2</v>
      </c>
      <c r="J3443" s="221">
        <f t="shared" si="161"/>
        <v>1651895</v>
      </c>
      <c r="K3443" s="258">
        <f t="shared" si="162"/>
        <v>12</v>
      </c>
      <c r="L3443" s="188">
        <v>1651895</v>
      </c>
      <c r="M3443" s="188">
        <v>0</v>
      </c>
      <c r="N3443" s="189">
        <v>1010101811</v>
      </c>
      <c r="O3443" t="s">
        <v>3944</v>
      </c>
      <c r="P3443" s="187">
        <v>45280</v>
      </c>
      <c r="Q3443" s="186">
        <v>14864</v>
      </c>
      <c r="R3443" s="185"/>
      <c r="S3443" s="185" t="s">
        <v>1528</v>
      </c>
      <c r="T3443" t="s">
        <v>2729</v>
      </c>
      <c r="U3443" t="str">
        <f>IF($L3443&gt;0,VLOOKUP($E3443,Valida!$A$1:$G$270,6,FALSE),IF($M3443&gt;=0,VLOOKUP($E3443,Valida!$A$1:$G$270,7,FALSE)))</f>
        <v>(+/-) Ajustes por el incremento (disminución) de cuentas por pagar de origen comercial</v>
      </c>
      <c r="V3443" s="190" t="str">
        <f>VLOOKUP(E3443,Valida!$A$2:$K$271,4,FALSE)</f>
        <v>Trade and other payables</v>
      </c>
      <c r="W3443" s="185" t="s">
        <v>1967</v>
      </c>
      <c r="X3443" s="185"/>
      <c r="Y3443" s="185" t="s">
        <v>1789</v>
      </c>
      <c r="Z3443"/>
    </row>
    <row r="3444" spans="1:26">
      <c r="A3444" s="185" t="s">
        <v>3932</v>
      </c>
      <c r="B3444" s="185" t="s">
        <v>3944</v>
      </c>
      <c r="C3444" s="185" t="s">
        <v>1897</v>
      </c>
      <c r="D3444" s="185" t="s">
        <v>3945</v>
      </c>
      <c r="E3444" s="185">
        <v>251505</v>
      </c>
      <c r="F3444" s="185" t="s">
        <v>779</v>
      </c>
      <c r="G3444" s="185" t="s">
        <v>3946</v>
      </c>
      <c r="H3444" s="185" t="s">
        <v>1515</v>
      </c>
      <c r="I3444" s="258" t="str">
        <f t="shared" si="160"/>
        <v>2</v>
      </c>
      <c r="J3444" s="221">
        <f t="shared" si="161"/>
        <v>198227</v>
      </c>
      <c r="K3444" s="258">
        <f t="shared" si="162"/>
        <v>12</v>
      </c>
      <c r="L3444" s="188">
        <v>198227</v>
      </c>
      <c r="M3444" s="188">
        <v>0</v>
      </c>
      <c r="N3444" s="189">
        <v>1010101811</v>
      </c>
      <c r="O3444" t="s">
        <v>3944</v>
      </c>
      <c r="P3444" s="187">
        <v>45280</v>
      </c>
      <c r="Q3444" s="186">
        <v>14865</v>
      </c>
      <c r="R3444" s="185"/>
      <c r="S3444" s="185" t="s">
        <v>1528</v>
      </c>
      <c r="T3444" t="s">
        <v>2729</v>
      </c>
      <c r="U3444" t="str">
        <f>IF($L3444&gt;0,VLOOKUP($E3444,Valida!$A$1:$G$270,6,FALSE),IF($M3444&gt;=0,VLOOKUP($E3444,Valida!$A$1:$G$270,7,FALSE)))</f>
        <v>(+/-) Ajustes por el incremento (disminución) de cuentas por pagar de origen comercial</v>
      </c>
      <c r="V3444" s="190" t="str">
        <f>VLOOKUP(E3444,Valida!$A$2:$K$271,4,FALSE)</f>
        <v>Trade and other payables</v>
      </c>
      <c r="W3444" s="185" t="s">
        <v>1967</v>
      </c>
      <c r="X3444" s="185"/>
      <c r="Y3444" s="185" t="s">
        <v>1789</v>
      </c>
      <c r="Z3444"/>
    </row>
    <row r="3445" spans="1:26">
      <c r="A3445" s="185" t="s">
        <v>3932</v>
      </c>
      <c r="B3445" s="185" t="s">
        <v>3944</v>
      </c>
      <c r="C3445" s="185" t="s">
        <v>1897</v>
      </c>
      <c r="D3445" s="185" t="s">
        <v>3945</v>
      </c>
      <c r="E3445" s="185">
        <v>510560</v>
      </c>
      <c r="F3445" s="185" t="s">
        <v>1107</v>
      </c>
      <c r="G3445" s="185" t="s">
        <v>3946</v>
      </c>
      <c r="H3445" s="185" t="s">
        <v>1515</v>
      </c>
      <c r="I3445" s="258" t="str">
        <f t="shared" si="160"/>
        <v>5</v>
      </c>
      <c r="J3445" s="221">
        <f t="shared" si="161"/>
        <v>1793290</v>
      </c>
      <c r="K3445" s="258">
        <f t="shared" si="162"/>
        <v>12</v>
      </c>
      <c r="L3445" s="188">
        <v>1793290</v>
      </c>
      <c r="M3445" s="188">
        <v>0</v>
      </c>
      <c r="N3445" s="189">
        <v>1010101811</v>
      </c>
      <c r="O3445" t="s">
        <v>3944</v>
      </c>
      <c r="P3445" s="187">
        <v>45280</v>
      </c>
      <c r="Q3445" s="186">
        <v>14866</v>
      </c>
      <c r="R3445" s="185"/>
      <c r="S3445" s="185" t="s">
        <v>1528</v>
      </c>
      <c r="T3445" t="s">
        <v>2729</v>
      </c>
      <c r="U3445" t="str">
        <f>IF($L3445&gt;0,VLOOKUP($E3445,Valida!$A$1:$G$270,6,FALSE),IF($M3445&gt;=0,VLOOKUP($E3445,Valida!$A$1:$G$270,7,FALSE)))</f>
        <v>(+/-) Ganancia (pérdida)</v>
      </c>
      <c r="V3445" s="190" t="str">
        <f>VLOOKUP(E3445,Valida!$A$2:$K$271,4,FALSE)</f>
        <v>P&amp;L</v>
      </c>
      <c r="W3445" s="185" t="s">
        <v>1967</v>
      </c>
      <c r="X3445" s="185"/>
      <c r="Y3445" s="185" t="s">
        <v>1789</v>
      </c>
      <c r="Z3445"/>
    </row>
    <row r="3446" spans="1:26">
      <c r="A3446" s="185" t="s">
        <v>3932</v>
      </c>
      <c r="B3446" s="185" t="s">
        <v>3944</v>
      </c>
      <c r="C3446" s="185" t="s">
        <v>1897</v>
      </c>
      <c r="D3446" s="185" t="s">
        <v>3945</v>
      </c>
      <c r="E3446" s="185">
        <v>510527</v>
      </c>
      <c r="F3446" s="185" t="s">
        <v>1089</v>
      </c>
      <c r="G3446" s="185" t="s">
        <v>3946</v>
      </c>
      <c r="H3446" s="185" t="s">
        <v>1515</v>
      </c>
      <c r="I3446" s="258" t="str">
        <f t="shared" si="160"/>
        <v>5</v>
      </c>
      <c r="J3446" s="221">
        <f t="shared" si="161"/>
        <v>4687</v>
      </c>
      <c r="K3446" s="258">
        <f t="shared" si="162"/>
        <v>12</v>
      </c>
      <c r="L3446" s="188">
        <v>4687</v>
      </c>
      <c r="M3446" s="188">
        <v>0</v>
      </c>
      <c r="N3446" s="189">
        <v>1010101811</v>
      </c>
      <c r="O3446" t="s">
        <v>3944</v>
      </c>
      <c r="P3446" s="187">
        <v>45280</v>
      </c>
      <c r="Q3446" s="186">
        <v>14867</v>
      </c>
      <c r="R3446" s="185"/>
      <c r="S3446" s="185" t="s">
        <v>1528</v>
      </c>
      <c r="T3446" t="s">
        <v>2729</v>
      </c>
      <c r="U3446" t="str">
        <f>IF($L3446&gt;0,VLOOKUP($E3446,Valida!$A$1:$G$270,6,FALSE),IF($M3446&gt;=0,VLOOKUP($E3446,Valida!$A$1:$G$270,7,FALSE)))</f>
        <v>(+/-) Ganancia (pérdida)</v>
      </c>
      <c r="V3446" s="190" t="str">
        <f>VLOOKUP(E3446,Valida!$A$2:$K$271,4,FALSE)</f>
        <v>P&amp;L</v>
      </c>
      <c r="W3446" s="185" t="s">
        <v>1967</v>
      </c>
      <c r="X3446" s="185"/>
      <c r="Y3446" s="185" t="s">
        <v>1789</v>
      </c>
      <c r="Z3446"/>
    </row>
    <row r="3447" spans="1:26">
      <c r="A3447" s="185" t="s">
        <v>3932</v>
      </c>
      <c r="B3447" s="185" t="s">
        <v>3944</v>
      </c>
      <c r="C3447" s="185" t="s">
        <v>1897</v>
      </c>
      <c r="D3447" s="185" t="s">
        <v>3945</v>
      </c>
      <c r="E3447" s="185">
        <v>237005</v>
      </c>
      <c r="F3447" s="185" t="s">
        <v>676</v>
      </c>
      <c r="G3447" s="185" t="s">
        <v>3946</v>
      </c>
      <c r="H3447" s="185" t="s">
        <v>1628</v>
      </c>
      <c r="I3447" s="258" t="str">
        <f t="shared" si="160"/>
        <v>2</v>
      </c>
      <c r="J3447" s="221">
        <f t="shared" si="161"/>
        <v>-2000</v>
      </c>
      <c r="K3447" s="258">
        <f t="shared" si="162"/>
        <v>12</v>
      </c>
      <c r="L3447" s="188">
        <v>0</v>
      </c>
      <c r="M3447" s="188">
        <v>2000</v>
      </c>
      <c r="N3447" s="189">
        <v>860066942</v>
      </c>
      <c r="O3447" t="s">
        <v>3944</v>
      </c>
      <c r="P3447" s="187">
        <v>45280</v>
      </c>
      <c r="Q3447" s="186">
        <v>14868</v>
      </c>
      <c r="R3447" s="185" t="s">
        <v>1814</v>
      </c>
      <c r="S3447" s="185" t="s">
        <v>1574</v>
      </c>
      <c r="T3447" t="s">
        <v>2729</v>
      </c>
      <c r="U3447" t="str">
        <f>IF($L3447&gt;0,VLOOKUP($E3447,Valida!$A$1:$G$270,6,FALSE),IF($M3447&gt;=0,VLOOKUP($E3447,Valida!$A$1:$G$270,7,FALSE)))</f>
        <v>(+/-) Ajustes por el incremento (disminución) de cuentas por pagar de origen comercial</v>
      </c>
      <c r="V3447" s="190" t="str">
        <f>VLOOKUP(E3447,Valida!$A$2:$K$271,4,FALSE)</f>
        <v>Trade and other payables</v>
      </c>
      <c r="W3447" s="185" t="s">
        <v>1914</v>
      </c>
      <c r="X3447" s="185" t="s">
        <v>1915</v>
      </c>
      <c r="Y3447" s="185" t="s">
        <v>1789</v>
      </c>
      <c r="Z3447"/>
    </row>
    <row r="3448" spans="1:26">
      <c r="A3448" s="185" t="s">
        <v>3932</v>
      </c>
      <c r="B3448" s="185" t="s">
        <v>3944</v>
      </c>
      <c r="C3448" s="185" t="s">
        <v>1897</v>
      </c>
      <c r="D3448" s="185" t="s">
        <v>3945</v>
      </c>
      <c r="E3448" s="185">
        <v>238030</v>
      </c>
      <c r="F3448" s="185" t="s">
        <v>721</v>
      </c>
      <c r="G3448" s="185" t="s">
        <v>3946</v>
      </c>
      <c r="H3448" s="185" t="s">
        <v>1628</v>
      </c>
      <c r="I3448" s="258" t="str">
        <f t="shared" si="160"/>
        <v>2</v>
      </c>
      <c r="J3448" s="221">
        <f t="shared" si="161"/>
        <v>-2000</v>
      </c>
      <c r="K3448" s="258">
        <f t="shared" si="162"/>
        <v>12</v>
      </c>
      <c r="L3448" s="188">
        <v>0</v>
      </c>
      <c r="M3448" s="188">
        <v>2000</v>
      </c>
      <c r="N3448" s="189">
        <v>800224808</v>
      </c>
      <c r="O3448" t="s">
        <v>3944</v>
      </c>
      <c r="P3448" s="187">
        <v>45280</v>
      </c>
      <c r="Q3448" s="186">
        <v>14869</v>
      </c>
      <c r="R3448" s="185" t="s">
        <v>1827</v>
      </c>
      <c r="S3448" s="185" t="s">
        <v>1662</v>
      </c>
      <c r="T3448" t="s">
        <v>2729</v>
      </c>
      <c r="U3448" t="str">
        <f>IF($L3448&gt;0,VLOOKUP($E3448,Valida!$A$1:$G$270,6,FALSE),IF($M3448&gt;=0,VLOOKUP($E3448,Valida!$A$1:$G$270,7,FALSE)))</f>
        <v>(+/-) Ajustes por el incremento (disminución) de cuentas por pagar de origen comercial</v>
      </c>
      <c r="V3448" s="190" t="str">
        <f>VLOOKUP(E3448,Valida!$A$2:$K$271,4,FALSE)</f>
        <v>Trade and other payables</v>
      </c>
      <c r="W3448" s="185" t="s">
        <v>1911</v>
      </c>
      <c r="X3448" s="185"/>
      <c r="Y3448" s="185" t="s">
        <v>1789</v>
      </c>
      <c r="Z3448"/>
    </row>
    <row r="3449" spans="1:26">
      <c r="A3449" s="185" t="s">
        <v>3932</v>
      </c>
      <c r="B3449" s="185" t="s">
        <v>3944</v>
      </c>
      <c r="C3449" s="185" t="s">
        <v>1897</v>
      </c>
      <c r="D3449" s="185" t="s">
        <v>3945</v>
      </c>
      <c r="E3449" s="185">
        <v>252505</v>
      </c>
      <c r="F3449" s="185" t="s">
        <v>787</v>
      </c>
      <c r="G3449" s="185" t="s">
        <v>3946</v>
      </c>
      <c r="H3449" s="185" t="s">
        <v>1515</v>
      </c>
      <c r="I3449" s="258" t="str">
        <f t="shared" si="160"/>
        <v>2</v>
      </c>
      <c r="J3449" s="221">
        <f t="shared" si="161"/>
        <v>564469</v>
      </c>
      <c r="K3449" s="258">
        <f t="shared" si="162"/>
        <v>12</v>
      </c>
      <c r="L3449" s="188">
        <v>564469</v>
      </c>
      <c r="M3449" s="188">
        <v>0</v>
      </c>
      <c r="N3449" s="189">
        <v>1000018061</v>
      </c>
      <c r="O3449" t="s">
        <v>3944</v>
      </c>
      <c r="P3449" s="187">
        <v>45280</v>
      </c>
      <c r="Q3449" s="186">
        <v>14870</v>
      </c>
      <c r="R3449" s="185"/>
      <c r="S3449" s="185" t="s">
        <v>1522</v>
      </c>
      <c r="T3449" t="s">
        <v>2729</v>
      </c>
      <c r="U3449" t="str">
        <f>IF($L3449&gt;0,VLOOKUP($E3449,Valida!$A$1:$G$270,6,FALSE),IF($M3449&gt;=0,VLOOKUP($E3449,Valida!$A$1:$G$270,7,FALSE)))</f>
        <v>(+/-) Ajustes por el incremento (disminución) de cuentas por pagar de origen comercial</v>
      </c>
      <c r="V3449" s="190" t="str">
        <f>VLOOKUP(E3449,Valida!$A$2:$K$271,4,FALSE)</f>
        <v>Trade and other payables</v>
      </c>
      <c r="W3449" s="185" t="s">
        <v>1978</v>
      </c>
      <c r="X3449" s="185"/>
      <c r="Y3449" s="185" t="s">
        <v>1789</v>
      </c>
      <c r="Z3449"/>
    </row>
    <row r="3450" spans="1:26">
      <c r="A3450" s="185" t="s">
        <v>3932</v>
      </c>
      <c r="B3450" s="185" t="s">
        <v>3944</v>
      </c>
      <c r="C3450" s="185" t="s">
        <v>1897</v>
      </c>
      <c r="D3450" s="185" t="s">
        <v>3945</v>
      </c>
      <c r="E3450" s="185">
        <v>251010</v>
      </c>
      <c r="F3450" s="185" t="s">
        <v>776</v>
      </c>
      <c r="G3450" s="185" t="s">
        <v>3946</v>
      </c>
      <c r="H3450" s="185" t="s">
        <v>1515</v>
      </c>
      <c r="I3450" s="258" t="str">
        <f t="shared" si="160"/>
        <v>2</v>
      </c>
      <c r="J3450" s="221">
        <f t="shared" si="161"/>
        <v>1249200</v>
      </c>
      <c r="K3450" s="258">
        <f t="shared" si="162"/>
        <v>12</v>
      </c>
      <c r="L3450" s="188">
        <v>1249200</v>
      </c>
      <c r="M3450" s="188">
        <v>0</v>
      </c>
      <c r="N3450" s="189">
        <v>1000018061</v>
      </c>
      <c r="O3450" t="s">
        <v>3944</v>
      </c>
      <c r="P3450" s="187">
        <v>45280</v>
      </c>
      <c r="Q3450" s="186">
        <v>14871</v>
      </c>
      <c r="R3450" s="185"/>
      <c r="S3450" s="185" t="s">
        <v>1522</v>
      </c>
      <c r="T3450" t="s">
        <v>2729</v>
      </c>
      <c r="U3450" t="str">
        <f>IF($L3450&gt;0,VLOOKUP($E3450,Valida!$A$1:$G$270,6,FALSE),IF($M3450&gt;=0,VLOOKUP($E3450,Valida!$A$1:$G$270,7,FALSE)))</f>
        <v>(+/-) Ajustes por el incremento (disminución) de cuentas por pagar de origen comercial</v>
      </c>
      <c r="V3450" s="190" t="str">
        <f>VLOOKUP(E3450,Valida!$A$2:$K$271,4,FALSE)</f>
        <v>Trade and other payables</v>
      </c>
      <c r="W3450" s="185" t="s">
        <v>1978</v>
      </c>
      <c r="X3450" s="185"/>
      <c r="Y3450" s="185" t="s">
        <v>1789</v>
      </c>
      <c r="Z3450"/>
    </row>
    <row r="3451" spans="1:26">
      <c r="A3451" s="185" t="s">
        <v>3932</v>
      </c>
      <c r="B3451" s="185" t="s">
        <v>3944</v>
      </c>
      <c r="C3451" s="185" t="s">
        <v>1897</v>
      </c>
      <c r="D3451" s="185" t="s">
        <v>3945</v>
      </c>
      <c r="E3451" s="185">
        <v>251505</v>
      </c>
      <c r="F3451" s="185" t="s">
        <v>779</v>
      </c>
      <c r="G3451" s="185" t="s">
        <v>3946</v>
      </c>
      <c r="H3451" s="185" t="s">
        <v>1515</v>
      </c>
      <c r="I3451" s="258" t="str">
        <f t="shared" si="160"/>
        <v>2</v>
      </c>
      <c r="J3451" s="221">
        <f t="shared" si="161"/>
        <v>131999</v>
      </c>
      <c r="K3451" s="258">
        <f t="shared" si="162"/>
        <v>12</v>
      </c>
      <c r="L3451" s="188">
        <v>131999</v>
      </c>
      <c r="M3451" s="188">
        <v>0</v>
      </c>
      <c r="N3451" s="189">
        <v>1000018061</v>
      </c>
      <c r="O3451" t="s">
        <v>3944</v>
      </c>
      <c r="P3451" s="187">
        <v>45280</v>
      </c>
      <c r="Q3451" s="186">
        <v>14872</v>
      </c>
      <c r="R3451" s="185"/>
      <c r="S3451" s="185" t="s">
        <v>1522</v>
      </c>
      <c r="T3451" t="s">
        <v>2729</v>
      </c>
      <c r="U3451" t="str">
        <f>IF($L3451&gt;0,VLOOKUP($E3451,Valida!$A$1:$G$270,6,FALSE),IF($M3451&gt;=0,VLOOKUP($E3451,Valida!$A$1:$G$270,7,FALSE)))</f>
        <v>(+/-) Ajustes por el incremento (disminución) de cuentas por pagar de origen comercial</v>
      </c>
      <c r="V3451" s="190" t="str">
        <f>VLOOKUP(E3451,Valida!$A$2:$K$271,4,FALSE)</f>
        <v>Trade and other payables</v>
      </c>
      <c r="W3451" s="185" t="s">
        <v>1978</v>
      </c>
      <c r="X3451" s="185"/>
      <c r="Y3451" s="185" t="s">
        <v>1789</v>
      </c>
      <c r="Z3451"/>
    </row>
    <row r="3452" spans="1:26">
      <c r="A3452" s="185" t="s">
        <v>3932</v>
      </c>
      <c r="B3452" s="185" t="s">
        <v>3944</v>
      </c>
      <c r="C3452" s="185" t="s">
        <v>1897</v>
      </c>
      <c r="D3452" s="185" t="s">
        <v>3945</v>
      </c>
      <c r="E3452" s="185">
        <v>510560</v>
      </c>
      <c r="F3452" s="185" t="s">
        <v>1107</v>
      </c>
      <c r="G3452" s="185" t="s">
        <v>3946</v>
      </c>
      <c r="H3452" s="185" t="s">
        <v>1515</v>
      </c>
      <c r="I3452" s="258" t="str">
        <f t="shared" si="160"/>
        <v>5</v>
      </c>
      <c r="J3452" s="221">
        <f t="shared" si="161"/>
        <v>1278044</v>
      </c>
      <c r="K3452" s="258">
        <f t="shared" si="162"/>
        <v>12</v>
      </c>
      <c r="L3452" s="188">
        <v>1278044</v>
      </c>
      <c r="M3452" s="188">
        <v>0</v>
      </c>
      <c r="N3452" s="189">
        <v>1000018061</v>
      </c>
      <c r="O3452" t="s">
        <v>3944</v>
      </c>
      <c r="P3452" s="187">
        <v>45280</v>
      </c>
      <c r="Q3452" s="186">
        <v>14873</v>
      </c>
      <c r="R3452" s="185"/>
      <c r="S3452" s="185" t="s">
        <v>1522</v>
      </c>
      <c r="T3452" t="s">
        <v>2729</v>
      </c>
      <c r="U3452" t="str">
        <f>IF($L3452&gt;0,VLOOKUP($E3452,Valida!$A$1:$G$270,6,FALSE),IF($M3452&gt;=0,VLOOKUP($E3452,Valida!$A$1:$G$270,7,FALSE)))</f>
        <v>(+/-) Ganancia (pérdida)</v>
      </c>
      <c r="V3452" s="190" t="str">
        <f>VLOOKUP(E3452,Valida!$A$2:$K$271,4,FALSE)</f>
        <v>P&amp;L</v>
      </c>
      <c r="W3452" s="185" t="s">
        <v>1978</v>
      </c>
      <c r="X3452" s="185"/>
      <c r="Y3452" s="185" t="s">
        <v>1789</v>
      </c>
      <c r="Z3452"/>
    </row>
    <row r="3453" spans="1:26">
      <c r="A3453" s="185" t="s">
        <v>3932</v>
      </c>
      <c r="B3453" s="185" t="s">
        <v>3944</v>
      </c>
      <c r="C3453" s="185" t="s">
        <v>1897</v>
      </c>
      <c r="D3453" s="185" t="s">
        <v>3945</v>
      </c>
      <c r="E3453" s="185">
        <v>252505</v>
      </c>
      <c r="F3453" s="185" t="s">
        <v>787</v>
      </c>
      <c r="G3453" s="185" t="s">
        <v>3946</v>
      </c>
      <c r="H3453" s="185" t="s">
        <v>1515</v>
      </c>
      <c r="I3453" s="258" t="str">
        <f t="shared" si="160"/>
        <v>2</v>
      </c>
      <c r="J3453" s="221">
        <f t="shared" si="161"/>
        <v>753739</v>
      </c>
      <c r="K3453" s="258">
        <f t="shared" si="162"/>
        <v>12</v>
      </c>
      <c r="L3453" s="188">
        <v>753739</v>
      </c>
      <c r="M3453" s="188">
        <v>0</v>
      </c>
      <c r="N3453" s="189">
        <v>1000036375</v>
      </c>
      <c r="O3453" t="s">
        <v>3944</v>
      </c>
      <c r="P3453" s="187">
        <v>45280</v>
      </c>
      <c r="Q3453" s="186">
        <v>14874</v>
      </c>
      <c r="R3453" s="185"/>
      <c r="S3453" s="185" t="s">
        <v>1524</v>
      </c>
      <c r="T3453" t="s">
        <v>2729</v>
      </c>
      <c r="U3453" t="str">
        <f>IF($L3453&gt;0,VLOOKUP($E3453,Valida!$A$1:$G$270,6,FALSE),IF($M3453&gt;=0,VLOOKUP($E3453,Valida!$A$1:$G$270,7,FALSE)))</f>
        <v>(+/-) Ajustes por el incremento (disminución) de cuentas por pagar de origen comercial</v>
      </c>
      <c r="V3453" s="190" t="str">
        <f>VLOOKUP(E3453,Valida!$A$2:$K$271,4,FALSE)</f>
        <v>Trade and other payables</v>
      </c>
      <c r="W3453" s="185" t="s">
        <v>1983</v>
      </c>
      <c r="X3453" s="185"/>
      <c r="Y3453" s="185" t="s">
        <v>1789</v>
      </c>
      <c r="Z3453"/>
    </row>
    <row r="3454" spans="1:26">
      <c r="A3454" s="185" t="s">
        <v>3932</v>
      </c>
      <c r="B3454" s="185" t="s">
        <v>3944</v>
      </c>
      <c r="C3454" s="185" t="s">
        <v>1897</v>
      </c>
      <c r="D3454" s="185" t="s">
        <v>3945</v>
      </c>
      <c r="E3454" s="185">
        <v>251010</v>
      </c>
      <c r="F3454" s="185" t="s">
        <v>776</v>
      </c>
      <c r="G3454" s="185" t="s">
        <v>3946</v>
      </c>
      <c r="H3454" s="185" t="s">
        <v>1515</v>
      </c>
      <c r="I3454" s="258" t="str">
        <f t="shared" si="160"/>
        <v>2</v>
      </c>
      <c r="J3454" s="221">
        <f t="shared" si="161"/>
        <v>1912543</v>
      </c>
      <c r="K3454" s="258">
        <f t="shared" si="162"/>
        <v>12</v>
      </c>
      <c r="L3454" s="188">
        <v>1912543</v>
      </c>
      <c r="M3454" s="188">
        <v>0</v>
      </c>
      <c r="N3454" s="189">
        <v>1000036375</v>
      </c>
      <c r="O3454" t="s">
        <v>3944</v>
      </c>
      <c r="P3454" s="187">
        <v>45280</v>
      </c>
      <c r="Q3454" s="186">
        <v>14875</v>
      </c>
      <c r="R3454" s="185"/>
      <c r="S3454" s="185" t="s">
        <v>1524</v>
      </c>
      <c r="T3454" t="s">
        <v>2729</v>
      </c>
      <c r="U3454" t="str">
        <f>IF($L3454&gt;0,VLOOKUP($E3454,Valida!$A$1:$G$270,6,FALSE),IF($M3454&gt;=0,VLOOKUP($E3454,Valida!$A$1:$G$270,7,FALSE)))</f>
        <v>(+/-) Ajustes por el incremento (disminución) de cuentas por pagar de origen comercial</v>
      </c>
      <c r="V3454" s="190" t="str">
        <f>VLOOKUP(E3454,Valida!$A$2:$K$271,4,FALSE)</f>
        <v>Trade and other payables</v>
      </c>
      <c r="W3454" s="185" t="s">
        <v>1983</v>
      </c>
      <c r="X3454" s="185"/>
      <c r="Y3454" s="185" t="s">
        <v>1789</v>
      </c>
      <c r="Z3454"/>
    </row>
    <row r="3455" spans="1:26">
      <c r="A3455" s="185" t="s">
        <v>3932</v>
      </c>
      <c r="B3455" s="185" t="s">
        <v>3944</v>
      </c>
      <c r="C3455" s="185" t="s">
        <v>1897</v>
      </c>
      <c r="D3455" s="185" t="s">
        <v>3945</v>
      </c>
      <c r="E3455" s="185">
        <v>251505</v>
      </c>
      <c r="F3455" s="185" t="s">
        <v>779</v>
      </c>
      <c r="G3455" s="185" t="s">
        <v>3946</v>
      </c>
      <c r="H3455" s="185" t="s">
        <v>1515</v>
      </c>
      <c r="I3455" s="258" t="str">
        <f t="shared" si="160"/>
        <v>2</v>
      </c>
      <c r="J3455" s="221">
        <f t="shared" si="161"/>
        <v>190617</v>
      </c>
      <c r="K3455" s="258">
        <f t="shared" si="162"/>
        <v>12</v>
      </c>
      <c r="L3455" s="188">
        <v>190617</v>
      </c>
      <c r="M3455" s="188">
        <v>0</v>
      </c>
      <c r="N3455" s="189">
        <v>1000036375</v>
      </c>
      <c r="O3455" t="s">
        <v>3944</v>
      </c>
      <c r="P3455" s="187">
        <v>45280</v>
      </c>
      <c r="Q3455" s="186">
        <v>14876</v>
      </c>
      <c r="R3455" s="185"/>
      <c r="S3455" s="185" t="s">
        <v>1524</v>
      </c>
      <c r="T3455" t="s">
        <v>2729</v>
      </c>
      <c r="U3455" t="str">
        <f>IF($L3455&gt;0,VLOOKUP($E3455,Valida!$A$1:$G$270,6,FALSE),IF($M3455&gt;=0,VLOOKUP($E3455,Valida!$A$1:$G$270,7,FALSE)))</f>
        <v>(+/-) Ajustes por el incremento (disminución) de cuentas por pagar de origen comercial</v>
      </c>
      <c r="V3455" s="190" t="str">
        <f>VLOOKUP(E3455,Valida!$A$2:$K$271,4,FALSE)</f>
        <v>Trade and other payables</v>
      </c>
      <c r="W3455" s="185" t="s">
        <v>1983</v>
      </c>
      <c r="X3455" s="185"/>
      <c r="Y3455" s="185" t="s">
        <v>1789</v>
      </c>
      <c r="Z3455"/>
    </row>
    <row r="3456" spans="1:26">
      <c r="A3456" s="185" t="s">
        <v>3932</v>
      </c>
      <c r="B3456" s="185" t="s">
        <v>3944</v>
      </c>
      <c r="C3456" s="185" t="s">
        <v>1897</v>
      </c>
      <c r="D3456" s="185" t="s">
        <v>3945</v>
      </c>
      <c r="E3456" s="185">
        <v>510560</v>
      </c>
      <c r="F3456" s="185" t="s">
        <v>1107</v>
      </c>
      <c r="G3456" s="185" t="s">
        <v>3946</v>
      </c>
      <c r="H3456" s="185" t="s">
        <v>1515</v>
      </c>
      <c r="I3456" s="258" t="str">
        <f t="shared" si="160"/>
        <v>5</v>
      </c>
      <c r="J3456" s="221">
        <f t="shared" si="161"/>
        <v>1985331</v>
      </c>
      <c r="K3456" s="258">
        <f t="shared" si="162"/>
        <v>12</v>
      </c>
      <c r="L3456" s="188">
        <v>1985331</v>
      </c>
      <c r="M3456" s="188">
        <v>0</v>
      </c>
      <c r="N3456" s="189">
        <v>1000036375</v>
      </c>
      <c r="O3456" t="s">
        <v>3944</v>
      </c>
      <c r="P3456" s="187">
        <v>45280</v>
      </c>
      <c r="Q3456" s="186">
        <v>14877</v>
      </c>
      <c r="R3456" s="185"/>
      <c r="S3456" s="185" t="s">
        <v>1524</v>
      </c>
      <c r="T3456" t="s">
        <v>2729</v>
      </c>
      <c r="U3456" t="str">
        <f>IF($L3456&gt;0,VLOOKUP($E3456,Valida!$A$1:$G$270,6,FALSE),IF($M3456&gt;=0,VLOOKUP($E3456,Valida!$A$1:$G$270,7,FALSE)))</f>
        <v>(+/-) Ganancia (pérdida)</v>
      </c>
      <c r="V3456" s="190" t="str">
        <f>VLOOKUP(E3456,Valida!$A$2:$K$271,4,FALSE)</f>
        <v>P&amp;L</v>
      </c>
      <c r="W3456" s="185" t="s">
        <v>1983</v>
      </c>
      <c r="X3456" s="185"/>
      <c r="Y3456" s="185" t="s">
        <v>1789</v>
      </c>
      <c r="Z3456"/>
    </row>
    <row r="3457" spans="1:26">
      <c r="A3457" s="185" t="s">
        <v>3932</v>
      </c>
      <c r="B3457" s="185" t="s">
        <v>3944</v>
      </c>
      <c r="C3457" s="185" t="s">
        <v>1897</v>
      </c>
      <c r="D3457" s="185" t="s">
        <v>3945</v>
      </c>
      <c r="E3457" s="185">
        <v>250505</v>
      </c>
      <c r="F3457" s="185" t="s">
        <v>767</v>
      </c>
      <c r="G3457" s="185" t="s">
        <v>3946</v>
      </c>
      <c r="H3457" s="185" t="s">
        <v>1628</v>
      </c>
      <c r="I3457" s="258" t="str">
        <f t="shared" si="160"/>
        <v>2</v>
      </c>
      <c r="J3457" s="221">
        <f t="shared" si="161"/>
        <v>-3223712</v>
      </c>
      <c r="K3457" s="258">
        <f t="shared" si="162"/>
        <v>12</v>
      </c>
      <c r="L3457" s="188">
        <v>0</v>
      </c>
      <c r="M3457" s="188">
        <v>3223712</v>
      </c>
      <c r="N3457" s="189">
        <v>1000018061</v>
      </c>
      <c r="O3457" t="s">
        <v>3944</v>
      </c>
      <c r="P3457" s="187">
        <v>45280</v>
      </c>
      <c r="Q3457" s="186">
        <v>14878</v>
      </c>
      <c r="R3457" s="185"/>
      <c r="S3457" s="185" t="s">
        <v>1522</v>
      </c>
      <c r="T3457" t="s">
        <v>2729</v>
      </c>
      <c r="U3457" t="str">
        <f>IF($L3457&gt;0,VLOOKUP($E3457,Valida!$A$1:$G$270,6,FALSE),IF($M3457&gt;=0,VLOOKUP($E3457,Valida!$A$1:$G$270,7,FALSE)))</f>
        <v>(+/-) Ajustes por el incremento (disminución) de cuentas por pagar de origen comercial</v>
      </c>
      <c r="V3457" s="190" t="str">
        <f>VLOOKUP(E3457,Valida!$A$2:$K$271,4,FALSE)</f>
        <v>Trade and other payables</v>
      </c>
      <c r="W3457" s="185" t="s">
        <v>1978</v>
      </c>
      <c r="X3457" s="185"/>
      <c r="Y3457" s="185" t="s">
        <v>1789</v>
      </c>
      <c r="Z3457"/>
    </row>
    <row r="3458" spans="1:26">
      <c r="A3458" s="185" t="s">
        <v>3932</v>
      </c>
      <c r="B3458" s="185" t="s">
        <v>3944</v>
      </c>
      <c r="C3458" s="185" t="s">
        <v>1897</v>
      </c>
      <c r="D3458" s="185" t="s">
        <v>3945</v>
      </c>
      <c r="E3458" s="185">
        <v>250505</v>
      </c>
      <c r="F3458" s="185" t="s">
        <v>767</v>
      </c>
      <c r="G3458" s="185" t="s">
        <v>3946</v>
      </c>
      <c r="H3458" s="185" t="s">
        <v>1628</v>
      </c>
      <c r="I3458" s="258" t="str">
        <f t="shared" si="160"/>
        <v>2</v>
      </c>
      <c r="J3458" s="221">
        <f t="shared" si="161"/>
        <v>-4842230</v>
      </c>
      <c r="K3458" s="258">
        <f t="shared" si="162"/>
        <v>12</v>
      </c>
      <c r="L3458" s="188">
        <v>0</v>
      </c>
      <c r="M3458" s="188">
        <v>4842230</v>
      </c>
      <c r="N3458" s="189">
        <v>1000036375</v>
      </c>
      <c r="O3458" t="s">
        <v>3944</v>
      </c>
      <c r="P3458" s="187">
        <v>45280</v>
      </c>
      <c r="Q3458" s="186">
        <v>14879</v>
      </c>
      <c r="R3458" s="185"/>
      <c r="S3458" s="185" t="s">
        <v>1524</v>
      </c>
      <c r="T3458" t="s">
        <v>2729</v>
      </c>
      <c r="U3458" t="str">
        <f>IF($L3458&gt;0,VLOOKUP($E3458,Valida!$A$1:$G$270,6,FALSE),IF($M3458&gt;=0,VLOOKUP($E3458,Valida!$A$1:$G$270,7,FALSE)))</f>
        <v>(+/-) Ajustes por el incremento (disminución) de cuentas por pagar de origen comercial</v>
      </c>
      <c r="V3458" s="190" t="str">
        <f>VLOOKUP(E3458,Valida!$A$2:$K$271,4,FALSE)</f>
        <v>Trade and other payables</v>
      </c>
      <c r="W3458" s="185" t="s">
        <v>1983</v>
      </c>
      <c r="X3458" s="185"/>
      <c r="Y3458" s="185" t="s">
        <v>1789</v>
      </c>
      <c r="Z3458"/>
    </row>
    <row r="3459" spans="1:26">
      <c r="A3459" s="185" t="s">
        <v>3932</v>
      </c>
      <c r="B3459" s="185" t="s">
        <v>3944</v>
      </c>
      <c r="C3459" s="185" t="s">
        <v>1897</v>
      </c>
      <c r="D3459" s="185" t="s">
        <v>3945</v>
      </c>
      <c r="E3459" s="185">
        <v>250505</v>
      </c>
      <c r="F3459" s="185" t="s">
        <v>767</v>
      </c>
      <c r="G3459" s="185" t="s">
        <v>3946</v>
      </c>
      <c r="H3459" s="185" t="s">
        <v>1628</v>
      </c>
      <c r="I3459" s="258" t="str">
        <f t="shared" ref="I3459:I3522" si="163">LEFT(E3459,1)</f>
        <v>2</v>
      </c>
      <c r="J3459" s="221">
        <f t="shared" ref="J3459:J3522" si="164">L3459-M3459</f>
        <v>-4508516</v>
      </c>
      <c r="K3459" s="258">
        <f t="shared" ref="K3459:K3522" si="165">MONTH(A3459)</f>
        <v>12</v>
      </c>
      <c r="L3459" s="188">
        <v>0</v>
      </c>
      <c r="M3459" s="188">
        <v>4508516</v>
      </c>
      <c r="N3459" s="189">
        <v>1010101811</v>
      </c>
      <c r="O3459" t="s">
        <v>3944</v>
      </c>
      <c r="P3459" s="187">
        <v>45280</v>
      </c>
      <c r="Q3459" s="186">
        <v>14880</v>
      </c>
      <c r="R3459" s="185"/>
      <c r="S3459" s="185" t="s">
        <v>1528</v>
      </c>
      <c r="T3459" t="s">
        <v>2729</v>
      </c>
      <c r="U3459" t="str">
        <f>IF($L3459&gt;0,VLOOKUP($E3459,Valida!$A$1:$G$270,6,FALSE),IF($M3459&gt;=0,VLOOKUP($E3459,Valida!$A$1:$G$270,7,FALSE)))</f>
        <v>(+/-) Ajustes por el incremento (disminución) de cuentas por pagar de origen comercial</v>
      </c>
      <c r="V3459" s="190" t="str">
        <f>VLOOKUP(E3459,Valida!$A$2:$K$271,4,FALSE)</f>
        <v>Trade and other payables</v>
      </c>
      <c r="W3459" s="185" t="s">
        <v>1967</v>
      </c>
      <c r="X3459" s="185"/>
      <c r="Y3459" s="185" t="s">
        <v>1789</v>
      </c>
      <c r="Z3459"/>
    </row>
    <row r="3460" spans="1:26">
      <c r="A3460" s="185" t="s">
        <v>3932</v>
      </c>
      <c r="B3460" s="185" t="s">
        <v>3944</v>
      </c>
      <c r="C3460" s="185" t="s">
        <v>1897</v>
      </c>
      <c r="D3460" s="185" t="s">
        <v>3945</v>
      </c>
      <c r="E3460" s="185">
        <v>250505</v>
      </c>
      <c r="F3460" s="185" t="s">
        <v>767</v>
      </c>
      <c r="G3460" s="185" t="s">
        <v>3946</v>
      </c>
      <c r="H3460" s="185" t="s">
        <v>1628</v>
      </c>
      <c r="I3460" s="258" t="str">
        <f t="shared" si="163"/>
        <v>2</v>
      </c>
      <c r="J3460" s="221">
        <f t="shared" si="164"/>
        <v>-3760568</v>
      </c>
      <c r="K3460" s="258">
        <f t="shared" si="165"/>
        <v>12</v>
      </c>
      <c r="L3460" s="188">
        <v>0</v>
      </c>
      <c r="M3460" s="188">
        <v>3760568</v>
      </c>
      <c r="N3460" s="189">
        <v>1130744136</v>
      </c>
      <c r="O3460" t="s">
        <v>3944</v>
      </c>
      <c r="P3460" s="187">
        <v>45280</v>
      </c>
      <c r="Q3460" s="186">
        <v>14881</v>
      </c>
      <c r="R3460" s="185"/>
      <c r="S3460" s="185" t="s">
        <v>1538</v>
      </c>
      <c r="T3460" t="s">
        <v>2729</v>
      </c>
      <c r="U3460" t="str">
        <f>IF($L3460&gt;0,VLOOKUP($E3460,Valida!$A$1:$G$270,6,FALSE),IF($M3460&gt;=0,VLOOKUP($E3460,Valida!$A$1:$G$270,7,FALSE)))</f>
        <v>(+/-) Ajustes por el incremento (disminución) de cuentas por pagar de origen comercial</v>
      </c>
      <c r="V3460" s="190" t="str">
        <f>VLOOKUP(E3460,Valida!$A$2:$K$271,4,FALSE)</f>
        <v>Trade and other payables</v>
      </c>
      <c r="W3460" s="185" t="s">
        <v>1909</v>
      </c>
      <c r="X3460" s="185" t="s">
        <v>1910</v>
      </c>
      <c r="Y3460" s="185" t="s">
        <v>1789</v>
      </c>
      <c r="Z3460"/>
    </row>
    <row r="3461" spans="1:26">
      <c r="A3461" s="185" t="s">
        <v>3932</v>
      </c>
      <c r="B3461" s="185" t="s">
        <v>3947</v>
      </c>
      <c r="C3461" s="185" t="s">
        <v>1897</v>
      </c>
      <c r="D3461" s="185" t="s">
        <v>3948</v>
      </c>
      <c r="E3461" s="185">
        <v>237006</v>
      </c>
      <c r="F3461" s="185" t="s">
        <v>680</v>
      </c>
      <c r="G3461" s="185" t="s">
        <v>3949</v>
      </c>
      <c r="H3461" s="185" t="s">
        <v>1628</v>
      </c>
      <c r="I3461" s="258" t="str">
        <f t="shared" si="163"/>
        <v>2</v>
      </c>
      <c r="J3461" s="221">
        <f t="shared" si="164"/>
        <v>-261</v>
      </c>
      <c r="K3461" s="258">
        <f t="shared" si="165"/>
        <v>12</v>
      </c>
      <c r="L3461" s="188">
        <v>0</v>
      </c>
      <c r="M3461" s="188">
        <v>261</v>
      </c>
      <c r="N3461" s="189">
        <v>860002503</v>
      </c>
      <c r="O3461" t="s">
        <v>3947</v>
      </c>
      <c r="P3461" s="187">
        <v>45280</v>
      </c>
      <c r="Q3461" s="186">
        <v>14882</v>
      </c>
      <c r="R3461" s="185" t="s">
        <v>433</v>
      </c>
      <c r="S3461" s="185" t="s">
        <v>1656</v>
      </c>
      <c r="T3461" t="s">
        <v>2729</v>
      </c>
      <c r="U3461" t="str">
        <f>IF($L3461&gt;0,VLOOKUP($E3461,Valida!$A$1:$G$270,6,FALSE),IF($M3461&gt;=0,VLOOKUP($E3461,Valida!$A$1:$G$270,7,FALSE)))</f>
        <v>(+/-) Ajustes por el incremento (disminución) de cuentas por pagar de origen comercial</v>
      </c>
      <c r="V3461" s="190" t="str">
        <f>VLOOKUP(E3461,Valida!$A$2:$K$271,4,FALSE)</f>
        <v>Trade and other payables</v>
      </c>
      <c r="W3461" s="185" t="s">
        <v>1912</v>
      </c>
      <c r="X3461" s="185" t="s">
        <v>1913</v>
      </c>
      <c r="Y3461" s="185" t="s">
        <v>1789</v>
      </c>
      <c r="Z3461"/>
    </row>
    <row r="3462" spans="1:26">
      <c r="A3462" s="185" t="s">
        <v>3932</v>
      </c>
      <c r="B3462" s="185" t="s">
        <v>3947</v>
      </c>
      <c r="C3462" s="185" t="s">
        <v>1897</v>
      </c>
      <c r="D3462" s="185" t="s">
        <v>3948</v>
      </c>
      <c r="E3462" s="185">
        <v>238030</v>
      </c>
      <c r="F3462" s="185" t="s">
        <v>721</v>
      </c>
      <c r="G3462" s="185" t="s">
        <v>3950</v>
      </c>
      <c r="H3462" s="185" t="s">
        <v>1628</v>
      </c>
      <c r="I3462" s="258" t="str">
        <f t="shared" si="163"/>
        <v>2</v>
      </c>
      <c r="J3462" s="221">
        <f t="shared" si="164"/>
        <v>-6000</v>
      </c>
      <c r="K3462" s="258">
        <f t="shared" si="165"/>
        <v>12</v>
      </c>
      <c r="L3462" s="188">
        <v>0</v>
      </c>
      <c r="M3462" s="188">
        <v>6000</v>
      </c>
      <c r="N3462" s="189">
        <v>800224808</v>
      </c>
      <c r="O3462" t="s">
        <v>3947</v>
      </c>
      <c r="P3462" s="187">
        <v>45280</v>
      </c>
      <c r="Q3462" s="186">
        <v>14887</v>
      </c>
      <c r="R3462" s="185" t="s">
        <v>1827</v>
      </c>
      <c r="S3462" s="185" t="s">
        <v>1662</v>
      </c>
      <c r="T3462" t="s">
        <v>2729</v>
      </c>
      <c r="U3462" t="str">
        <f>IF($L3462&gt;0,VLOOKUP($E3462,Valida!$A$1:$G$270,6,FALSE),IF($M3462&gt;=0,VLOOKUP($E3462,Valida!$A$1:$G$270,7,FALSE)))</f>
        <v>(+/-) Ajustes por el incremento (disminución) de cuentas por pagar de origen comercial</v>
      </c>
      <c r="V3462" s="190" t="str">
        <f>VLOOKUP(E3462,Valida!$A$2:$K$271,4,FALSE)</f>
        <v>Trade and other payables</v>
      </c>
      <c r="W3462" s="185" t="s">
        <v>1911</v>
      </c>
      <c r="X3462" s="185"/>
      <c r="Y3462" s="185" t="s">
        <v>1789</v>
      </c>
      <c r="Z3462"/>
    </row>
    <row r="3463" spans="1:26">
      <c r="A3463" s="185" t="s">
        <v>3932</v>
      </c>
      <c r="B3463" s="185" t="s">
        <v>3947</v>
      </c>
      <c r="C3463" s="185" t="s">
        <v>1897</v>
      </c>
      <c r="D3463" s="185" t="s">
        <v>3948</v>
      </c>
      <c r="E3463" s="185">
        <v>251010</v>
      </c>
      <c r="F3463" s="185" t="s">
        <v>776</v>
      </c>
      <c r="G3463" s="185" t="s">
        <v>3951</v>
      </c>
      <c r="H3463" s="185" t="s">
        <v>1628</v>
      </c>
      <c r="I3463" s="258" t="str">
        <f t="shared" si="163"/>
        <v>2</v>
      </c>
      <c r="J3463" s="221">
        <f t="shared" si="164"/>
        <v>-4555</v>
      </c>
      <c r="K3463" s="258">
        <f t="shared" si="165"/>
        <v>12</v>
      </c>
      <c r="L3463" s="188">
        <v>0</v>
      </c>
      <c r="M3463" s="188">
        <v>4555</v>
      </c>
      <c r="N3463" s="189">
        <v>1010101811</v>
      </c>
      <c r="O3463" t="s">
        <v>3947</v>
      </c>
      <c r="P3463" s="187">
        <v>45280</v>
      </c>
      <c r="Q3463" s="186">
        <v>14888</v>
      </c>
      <c r="R3463" s="185"/>
      <c r="S3463" s="185" t="s">
        <v>1528</v>
      </c>
      <c r="T3463" t="s">
        <v>2729</v>
      </c>
      <c r="U3463" t="str">
        <f>IF($L3463&gt;0,VLOOKUP($E3463,Valida!$A$1:$G$270,6,FALSE),IF($M3463&gt;=0,VLOOKUP($E3463,Valida!$A$1:$G$270,7,FALSE)))</f>
        <v>(+/-) Ajustes por el incremento (disminución) de cuentas por pagar de origen comercial</v>
      </c>
      <c r="V3463" s="190" t="str">
        <f>VLOOKUP(E3463,Valida!$A$2:$K$271,4,FALSE)</f>
        <v>Trade and other payables</v>
      </c>
      <c r="W3463" s="185" t="s">
        <v>1967</v>
      </c>
      <c r="X3463" s="185"/>
      <c r="Y3463" s="185" t="s">
        <v>1789</v>
      </c>
      <c r="Z3463"/>
    </row>
    <row r="3464" spans="1:26">
      <c r="A3464" s="185" t="s">
        <v>3932</v>
      </c>
      <c r="B3464" s="185" t="s">
        <v>3947</v>
      </c>
      <c r="C3464" s="185" t="s">
        <v>1897</v>
      </c>
      <c r="D3464" s="185" t="s">
        <v>3948</v>
      </c>
      <c r="E3464" s="185">
        <v>251505</v>
      </c>
      <c r="F3464" s="185" t="s">
        <v>779</v>
      </c>
      <c r="G3464" s="185" t="s">
        <v>3952</v>
      </c>
      <c r="H3464" s="185" t="s">
        <v>1628</v>
      </c>
      <c r="I3464" s="258" t="str">
        <f t="shared" si="163"/>
        <v>2</v>
      </c>
      <c r="J3464" s="221">
        <f t="shared" si="164"/>
        <v>-547</v>
      </c>
      <c r="K3464" s="258">
        <f t="shared" si="165"/>
        <v>12</v>
      </c>
      <c r="L3464" s="188">
        <v>0</v>
      </c>
      <c r="M3464" s="188">
        <v>547</v>
      </c>
      <c r="N3464" s="189">
        <v>800224808</v>
      </c>
      <c r="O3464" t="s">
        <v>3947</v>
      </c>
      <c r="P3464" s="187">
        <v>45280</v>
      </c>
      <c r="Q3464" s="186">
        <v>14889</v>
      </c>
      <c r="R3464" s="185" t="s">
        <v>1827</v>
      </c>
      <c r="S3464" s="185" t="s">
        <v>1662</v>
      </c>
      <c r="T3464" t="s">
        <v>2729</v>
      </c>
      <c r="U3464" t="str">
        <f>IF($L3464&gt;0,VLOOKUP($E3464,Valida!$A$1:$G$270,6,FALSE),IF($M3464&gt;=0,VLOOKUP($E3464,Valida!$A$1:$G$270,7,FALSE)))</f>
        <v>(+/-) Ajustes por el incremento (disminución) de cuentas por pagar de origen comercial</v>
      </c>
      <c r="V3464" s="190" t="str">
        <f>VLOOKUP(E3464,Valida!$A$2:$K$271,4,FALSE)</f>
        <v>Trade and other payables</v>
      </c>
      <c r="W3464" s="185" t="s">
        <v>1911</v>
      </c>
      <c r="X3464" s="185"/>
      <c r="Y3464" s="185" t="s">
        <v>1789</v>
      </c>
      <c r="Z3464"/>
    </row>
    <row r="3465" spans="1:26">
      <c r="A3465" s="185" t="s">
        <v>3932</v>
      </c>
      <c r="B3465" s="185" t="s">
        <v>3947</v>
      </c>
      <c r="C3465" s="185" t="s">
        <v>1897</v>
      </c>
      <c r="D3465" s="185" t="s">
        <v>3948</v>
      </c>
      <c r="E3465" s="185">
        <v>252005</v>
      </c>
      <c r="F3465" s="185" t="s">
        <v>783</v>
      </c>
      <c r="G3465" s="185" t="s">
        <v>3953</v>
      </c>
      <c r="H3465" s="185" t="s">
        <v>1628</v>
      </c>
      <c r="I3465" s="258" t="str">
        <f t="shared" si="163"/>
        <v>2</v>
      </c>
      <c r="J3465" s="221">
        <f t="shared" si="164"/>
        <v>-4555</v>
      </c>
      <c r="K3465" s="258">
        <f t="shared" si="165"/>
        <v>12</v>
      </c>
      <c r="L3465" s="188">
        <v>0</v>
      </c>
      <c r="M3465" s="188">
        <v>4555</v>
      </c>
      <c r="N3465" s="189">
        <v>1010101811</v>
      </c>
      <c r="O3465" t="s">
        <v>3947</v>
      </c>
      <c r="P3465" s="187">
        <v>45280</v>
      </c>
      <c r="Q3465" s="186">
        <v>14890</v>
      </c>
      <c r="R3465" s="185"/>
      <c r="S3465" s="185" t="s">
        <v>1528</v>
      </c>
      <c r="T3465" t="s">
        <v>2729</v>
      </c>
      <c r="U3465" t="str">
        <f>IF($L3465&gt;0,VLOOKUP($E3465,Valida!$A$1:$G$270,6,FALSE),IF($M3465&gt;=0,VLOOKUP($E3465,Valida!$A$1:$G$270,7,FALSE)))</f>
        <v>(+/-) Ajustes por el incremento (disminución) de cuentas por pagar de origen comercial</v>
      </c>
      <c r="V3465" s="190" t="str">
        <f>VLOOKUP(E3465,Valida!$A$2:$K$271,4,FALSE)</f>
        <v>Trade and other payables</v>
      </c>
      <c r="W3465" s="185" t="s">
        <v>1967</v>
      </c>
      <c r="X3465" s="185"/>
      <c r="Y3465" s="185" t="s">
        <v>1789</v>
      </c>
      <c r="Z3465"/>
    </row>
    <row r="3466" spans="1:26">
      <c r="A3466" s="185" t="s">
        <v>3932</v>
      </c>
      <c r="B3466" s="185" t="s">
        <v>3947</v>
      </c>
      <c r="C3466" s="185" t="s">
        <v>1897</v>
      </c>
      <c r="D3466" s="185" t="s">
        <v>3948</v>
      </c>
      <c r="E3466" s="185">
        <v>252505</v>
      </c>
      <c r="F3466" s="185" t="s">
        <v>787</v>
      </c>
      <c r="G3466" s="185" t="s">
        <v>3954</v>
      </c>
      <c r="H3466" s="185" t="s">
        <v>1628</v>
      </c>
      <c r="I3466" s="258" t="str">
        <f t="shared" si="163"/>
        <v>2</v>
      </c>
      <c r="J3466" s="221">
        <f t="shared" si="164"/>
        <v>-2085</v>
      </c>
      <c r="K3466" s="258">
        <f t="shared" si="165"/>
        <v>12</v>
      </c>
      <c r="L3466" s="188">
        <v>0</v>
      </c>
      <c r="M3466" s="188">
        <v>2085</v>
      </c>
      <c r="N3466" s="189">
        <v>1010101811</v>
      </c>
      <c r="O3466" t="s">
        <v>3947</v>
      </c>
      <c r="P3466" s="187">
        <v>45280</v>
      </c>
      <c r="Q3466" s="186">
        <v>14891</v>
      </c>
      <c r="R3466" s="185"/>
      <c r="S3466" s="185" t="s">
        <v>1528</v>
      </c>
      <c r="T3466" t="s">
        <v>2729</v>
      </c>
      <c r="U3466" t="str">
        <f>IF($L3466&gt;0,VLOOKUP($E3466,Valida!$A$1:$G$270,6,FALSE),IF($M3466&gt;=0,VLOOKUP($E3466,Valida!$A$1:$G$270,7,FALSE)))</f>
        <v>(+/-) Ajustes por el incremento (disminución) de cuentas por pagar de origen comercial</v>
      </c>
      <c r="V3466" s="190" t="str">
        <f>VLOOKUP(E3466,Valida!$A$2:$K$271,4,FALSE)</f>
        <v>Trade and other payables</v>
      </c>
      <c r="W3466" s="185" t="s">
        <v>1967</v>
      </c>
      <c r="X3466" s="185"/>
      <c r="Y3466" s="185" t="s">
        <v>1789</v>
      </c>
      <c r="Z3466"/>
    </row>
    <row r="3467" spans="1:26">
      <c r="A3467" s="185" t="s">
        <v>3932</v>
      </c>
      <c r="B3467" s="185" t="s">
        <v>3947</v>
      </c>
      <c r="C3467" s="185" t="s">
        <v>1897</v>
      </c>
      <c r="D3467" s="185" t="s">
        <v>3948</v>
      </c>
      <c r="E3467" s="185">
        <v>510530</v>
      </c>
      <c r="F3467" s="185" t="s">
        <v>813</v>
      </c>
      <c r="G3467" s="185" t="s">
        <v>3951</v>
      </c>
      <c r="H3467" s="185" t="s">
        <v>1515</v>
      </c>
      <c r="I3467" s="258" t="str">
        <f t="shared" si="163"/>
        <v>5</v>
      </c>
      <c r="J3467" s="221">
        <f t="shared" si="164"/>
        <v>4555</v>
      </c>
      <c r="K3467" s="258">
        <f t="shared" si="165"/>
        <v>12</v>
      </c>
      <c r="L3467" s="188">
        <v>4555</v>
      </c>
      <c r="M3467" s="188">
        <v>0</v>
      </c>
      <c r="N3467" s="189">
        <v>1010101811</v>
      </c>
      <c r="O3467" t="s">
        <v>3947</v>
      </c>
      <c r="P3467" s="187">
        <v>45280</v>
      </c>
      <c r="Q3467" s="186">
        <v>14892</v>
      </c>
      <c r="R3467" s="185"/>
      <c r="S3467" s="185" t="s">
        <v>1528</v>
      </c>
      <c r="T3467" t="s">
        <v>2729</v>
      </c>
      <c r="U3467" t="str">
        <f>IF($L3467&gt;0,VLOOKUP($E3467,Valida!$A$1:$G$270,6,FALSE),IF($M3467&gt;=0,VLOOKUP($E3467,Valida!$A$1:$G$270,7,FALSE)))</f>
        <v>(+/-) Ganancia (pérdida)</v>
      </c>
      <c r="V3467" s="190" t="str">
        <f>VLOOKUP(E3467,Valida!$A$2:$K$271,4,FALSE)</f>
        <v>P&amp;L</v>
      </c>
      <c r="W3467" s="185" t="s">
        <v>1967</v>
      </c>
      <c r="X3467" s="185"/>
      <c r="Y3467" s="185" t="s">
        <v>1789</v>
      </c>
      <c r="Z3467"/>
    </row>
    <row r="3468" spans="1:26">
      <c r="A3468" s="185" t="s">
        <v>3932</v>
      </c>
      <c r="B3468" s="185" t="s">
        <v>3947</v>
      </c>
      <c r="C3468" s="185" t="s">
        <v>1897</v>
      </c>
      <c r="D3468" s="185" t="s">
        <v>3948</v>
      </c>
      <c r="E3468" s="185">
        <v>510533</v>
      </c>
      <c r="F3468" s="185" t="s">
        <v>779</v>
      </c>
      <c r="G3468" s="185" t="s">
        <v>3952</v>
      </c>
      <c r="H3468" s="185" t="s">
        <v>1515</v>
      </c>
      <c r="I3468" s="258" t="str">
        <f t="shared" si="163"/>
        <v>5</v>
      </c>
      <c r="J3468" s="221">
        <f t="shared" si="164"/>
        <v>547</v>
      </c>
      <c r="K3468" s="258">
        <f t="shared" si="165"/>
        <v>12</v>
      </c>
      <c r="L3468" s="188">
        <v>547</v>
      </c>
      <c r="M3468" s="188">
        <v>0</v>
      </c>
      <c r="N3468" s="189">
        <v>1010101811</v>
      </c>
      <c r="O3468" t="s">
        <v>3947</v>
      </c>
      <c r="P3468" s="187">
        <v>45280</v>
      </c>
      <c r="Q3468" s="186">
        <v>14893</v>
      </c>
      <c r="R3468" s="185"/>
      <c r="S3468" s="185" t="s">
        <v>1528</v>
      </c>
      <c r="T3468" t="s">
        <v>2729</v>
      </c>
      <c r="U3468" t="str">
        <f>IF($L3468&gt;0,VLOOKUP($E3468,Valida!$A$1:$G$270,6,FALSE),IF($M3468&gt;=0,VLOOKUP($E3468,Valida!$A$1:$G$270,7,FALSE)))</f>
        <v>(+/-) Ganancia (pérdida)</v>
      </c>
      <c r="V3468" s="190" t="str">
        <f>VLOOKUP(E3468,Valida!$A$2:$K$271,4,FALSE)</f>
        <v>P&amp;L</v>
      </c>
      <c r="W3468" s="185" t="s">
        <v>1967</v>
      </c>
      <c r="X3468" s="185"/>
      <c r="Y3468" s="185" t="s">
        <v>1789</v>
      </c>
      <c r="Z3468"/>
    </row>
    <row r="3469" spans="1:26">
      <c r="A3469" s="185" t="s">
        <v>3932</v>
      </c>
      <c r="B3469" s="185" t="s">
        <v>3947</v>
      </c>
      <c r="C3469" s="185" t="s">
        <v>1897</v>
      </c>
      <c r="D3469" s="185" t="s">
        <v>3948</v>
      </c>
      <c r="E3469" s="185">
        <v>510536</v>
      </c>
      <c r="F3469" s="185" t="s">
        <v>783</v>
      </c>
      <c r="G3469" s="185" t="s">
        <v>3953</v>
      </c>
      <c r="H3469" s="185" t="s">
        <v>1515</v>
      </c>
      <c r="I3469" s="258" t="str">
        <f t="shared" si="163"/>
        <v>5</v>
      </c>
      <c r="J3469" s="221">
        <f t="shared" si="164"/>
        <v>4555</v>
      </c>
      <c r="K3469" s="258">
        <f t="shared" si="165"/>
        <v>12</v>
      </c>
      <c r="L3469" s="188">
        <v>4555</v>
      </c>
      <c r="M3469" s="188">
        <v>0</v>
      </c>
      <c r="N3469" s="189">
        <v>1010101811</v>
      </c>
      <c r="O3469" t="s">
        <v>3947</v>
      </c>
      <c r="P3469" s="187">
        <v>45280</v>
      </c>
      <c r="Q3469" s="186">
        <v>14894</v>
      </c>
      <c r="R3469" s="185"/>
      <c r="S3469" s="185" t="s">
        <v>1528</v>
      </c>
      <c r="T3469" t="s">
        <v>2729</v>
      </c>
      <c r="U3469" t="str">
        <f>IF($L3469&gt;0,VLOOKUP($E3469,Valida!$A$1:$G$270,6,FALSE),IF($M3469&gt;=0,VLOOKUP($E3469,Valida!$A$1:$G$270,7,FALSE)))</f>
        <v>(+/-) Ganancia (pérdida)</v>
      </c>
      <c r="V3469" s="190" t="str">
        <f>VLOOKUP(E3469,Valida!$A$2:$K$271,4,FALSE)</f>
        <v>P&amp;L</v>
      </c>
      <c r="W3469" s="185" t="s">
        <v>1967</v>
      </c>
      <c r="X3469" s="185"/>
      <c r="Y3469" s="185" t="s">
        <v>1789</v>
      </c>
      <c r="Z3469"/>
    </row>
    <row r="3470" spans="1:26">
      <c r="A3470" s="185" t="s">
        <v>3932</v>
      </c>
      <c r="B3470" s="185" t="s">
        <v>3947</v>
      </c>
      <c r="C3470" s="185" t="s">
        <v>1897</v>
      </c>
      <c r="D3470" s="185" t="s">
        <v>3948</v>
      </c>
      <c r="E3470" s="185">
        <v>510539</v>
      </c>
      <c r="F3470" s="185" t="s">
        <v>818</v>
      </c>
      <c r="G3470" s="185" t="s">
        <v>3954</v>
      </c>
      <c r="H3470" s="185" t="s">
        <v>1515</v>
      </c>
      <c r="I3470" s="258" t="str">
        <f t="shared" si="163"/>
        <v>5</v>
      </c>
      <c r="J3470" s="221">
        <f t="shared" si="164"/>
        <v>2085</v>
      </c>
      <c r="K3470" s="258">
        <f t="shared" si="165"/>
        <v>12</v>
      </c>
      <c r="L3470" s="188">
        <v>2085</v>
      </c>
      <c r="M3470" s="188">
        <v>0</v>
      </c>
      <c r="N3470" s="189">
        <v>1010101811</v>
      </c>
      <c r="O3470" t="s">
        <v>3947</v>
      </c>
      <c r="P3470" s="187">
        <v>45280</v>
      </c>
      <c r="Q3470" s="186">
        <v>14895</v>
      </c>
      <c r="R3470" s="185"/>
      <c r="S3470" s="185" t="s">
        <v>1528</v>
      </c>
      <c r="T3470" t="s">
        <v>2729</v>
      </c>
      <c r="U3470" t="str">
        <f>IF($L3470&gt;0,VLOOKUP($E3470,Valida!$A$1:$G$270,6,FALSE),IF($M3470&gt;=0,VLOOKUP($E3470,Valida!$A$1:$G$270,7,FALSE)))</f>
        <v>(+/-) Ganancia (pérdida)</v>
      </c>
      <c r="V3470" s="190" t="str">
        <f>VLOOKUP(E3470,Valida!$A$2:$K$271,4,FALSE)</f>
        <v>P&amp;L</v>
      </c>
      <c r="W3470" s="185" t="s">
        <v>1967</v>
      </c>
      <c r="X3470" s="185"/>
      <c r="Y3470" s="185" t="s">
        <v>1789</v>
      </c>
      <c r="Z3470"/>
    </row>
    <row r="3471" spans="1:26">
      <c r="A3471" s="185" t="s">
        <v>3932</v>
      </c>
      <c r="B3471" s="185" t="s">
        <v>3947</v>
      </c>
      <c r="C3471" s="185" t="s">
        <v>1897</v>
      </c>
      <c r="D3471" s="185" t="s">
        <v>3948</v>
      </c>
      <c r="E3471" s="185">
        <v>510568</v>
      </c>
      <c r="F3471" s="185" t="s">
        <v>680</v>
      </c>
      <c r="G3471" s="185" t="s">
        <v>3949</v>
      </c>
      <c r="H3471" s="185" t="s">
        <v>1515</v>
      </c>
      <c r="I3471" s="258" t="str">
        <f t="shared" si="163"/>
        <v>5</v>
      </c>
      <c r="J3471" s="221">
        <f t="shared" si="164"/>
        <v>261</v>
      </c>
      <c r="K3471" s="258">
        <f t="shared" si="165"/>
        <v>12</v>
      </c>
      <c r="L3471" s="188">
        <v>261</v>
      </c>
      <c r="M3471" s="188">
        <v>0</v>
      </c>
      <c r="N3471" s="189">
        <v>860002503</v>
      </c>
      <c r="O3471" t="s">
        <v>3947</v>
      </c>
      <c r="P3471" s="187">
        <v>45280</v>
      </c>
      <c r="Q3471" s="186">
        <v>14896</v>
      </c>
      <c r="R3471" s="185" t="s">
        <v>433</v>
      </c>
      <c r="S3471" s="185" t="s">
        <v>1656</v>
      </c>
      <c r="T3471" t="s">
        <v>2729</v>
      </c>
      <c r="U3471" t="str">
        <f>IF($L3471&gt;0,VLOOKUP($E3471,Valida!$A$1:$G$270,6,FALSE),IF($M3471&gt;=0,VLOOKUP($E3471,Valida!$A$1:$G$270,7,FALSE)))</f>
        <v>(+/-) Ganancia (pérdida)</v>
      </c>
      <c r="V3471" s="190" t="str">
        <f>VLOOKUP(E3471,Valida!$A$2:$K$271,4,FALSE)</f>
        <v>P&amp;L</v>
      </c>
      <c r="W3471" s="185" t="s">
        <v>1912</v>
      </c>
      <c r="X3471" s="185" t="s">
        <v>1913</v>
      </c>
      <c r="Y3471" s="185" t="s">
        <v>1789</v>
      </c>
      <c r="Z3471"/>
    </row>
    <row r="3472" spans="1:26">
      <c r="A3472" s="185" t="s">
        <v>3932</v>
      </c>
      <c r="B3472" s="185" t="s">
        <v>3947</v>
      </c>
      <c r="C3472" s="185" t="s">
        <v>1897</v>
      </c>
      <c r="D3472" s="185" t="s">
        <v>3948</v>
      </c>
      <c r="E3472" s="185">
        <v>510570</v>
      </c>
      <c r="F3472" s="185" t="s">
        <v>1116</v>
      </c>
      <c r="G3472" s="185" t="s">
        <v>3950</v>
      </c>
      <c r="H3472" s="185" t="s">
        <v>1515</v>
      </c>
      <c r="I3472" s="258" t="str">
        <f t="shared" si="163"/>
        <v>5</v>
      </c>
      <c r="J3472" s="221">
        <f t="shared" si="164"/>
        <v>6000</v>
      </c>
      <c r="K3472" s="258">
        <f t="shared" si="165"/>
        <v>12</v>
      </c>
      <c r="L3472" s="188">
        <v>6000</v>
      </c>
      <c r="M3472" s="188">
        <v>0</v>
      </c>
      <c r="N3472" s="189">
        <v>800224808</v>
      </c>
      <c r="O3472" t="s">
        <v>3947</v>
      </c>
      <c r="P3472" s="187">
        <v>45280</v>
      </c>
      <c r="Q3472" s="186">
        <v>14897</v>
      </c>
      <c r="R3472" s="185" t="s">
        <v>1827</v>
      </c>
      <c r="S3472" s="185" t="s">
        <v>1662</v>
      </c>
      <c r="T3472" t="s">
        <v>2729</v>
      </c>
      <c r="U3472" t="str">
        <f>IF($L3472&gt;0,VLOOKUP($E3472,Valida!$A$1:$G$270,6,FALSE),IF($M3472&gt;=0,VLOOKUP($E3472,Valida!$A$1:$G$270,7,FALSE)))</f>
        <v>(+/-) Ganancia (pérdida)</v>
      </c>
      <c r="V3472" s="190" t="str">
        <f>VLOOKUP(E3472,Valida!$A$2:$K$271,4,FALSE)</f>
        <v>P&amp;L</v>
      </c>
      <c r="W3472" s="185" t="s">
        <v>1911</v>
      </c>
      <c r="X3472" s="185"/>
      <c r="Y3472" s="185" t="s">
        <v>1789</v>
      </c>
      <c r="Z3472"/>
    </row>
    <row r="3473" spans="1:26">
      <c r="A3473" s="185" t="s">
        <v>3955</v>
      </c>
      <c r="B3473" s="185" t="s">
        <v>3956</v>
      </c>
      <c r="C3473" s="185" t="s">
        <v>1785</v>
      </c>
      <c r="D3473" s="185" t="s">
        <v>3936</v>
      </c>
      <c r="E3473" s="185">
        <v>237095</v>
      </c>
      <c r="F3473" s="185" t="s">
        <v>150</v>
      </c>
      <c r="G3473" s="185" t="s">
        <v>1986</v>
      </c>
      <c r="H3473" s="185" t="s">
        <v>1628</v>
      </c>
      <c r="I3473" s="258" t="str">
        <f t="shared" si="163"/>
        <v>2</v>
      </c>
      <c r="J3473" s="221">
        <f t="shared" si="164"/>
        <v>-979100</v>
      </c>
      <c r="K3473" s="258">
        <f t="shared" si="165"/>
        <v>12</v>
      </c>
      <c r="L3473" s="188">
        <v>0</v>
      </c>
      <c r="M3473" s="188">
        <v>979100</v>
      </c>
      <c r="N3473" s="189">
        <v>860066942</v>
      </c>
      <c r="O3473"/>
      <c r="P3473" s="187">
        <v>45280.8726157407</v>
      </c>
      <c r="Q3473" s="186">
        <v>14925</v>
      </c>
      <c r="R3473" s="185" t="s">
        <v>1814</v>
      </c>
      <c r="S3473" s="185" t="s">
        <v>1574</v>
      </c>
      <c r="T3473"/>
      <c r="U3473" t="str">
        <f>IF($L3473&gt;0,VLOOKUP($E3473,Valida!$A$1:$G$270,6,FALSE),IF($M3473&gt;=0,VLOOKUP($E3473,Valida!$A$1:$G$270,7,FALSE)))</f>
        <v>(+/-) Ajustes por el incremento (disminución) de cuentas por pagar de origen comercial</v>
      </c>
      <c r="V3473" s="190" t="str">
        <f>VLOOKUP(E3473,Valida!$A$2:$K$271,4,FALSE)</f>
        <v>Trade and other payables</v>
      </c>
      <c r="W3473" s="185" t="s">
        <v>1914</v>
      </c>
      <c r="X3473" s="185" t="s">
        <v>1915</v>
      </c>
      <c r="Y3473" s="185" t="s">
        <v>1789</v>
      </c>
      <c r="Z3473"/>
    </row>
    <row r="3474" spans="1:26">
      <c r="A3474" s="185" t="s">
        <v>3955</v>
      </c>
      <c r="B3474" s="185" t="s">
        <v>3956</v>
      </c>
      <c r="C3474" s="185" t="s">
        <v>1785</v>
      </c>
      <c r="D3474" s="185" t="s">
        <v>3936</v>
      </c>
      <c r="E3474" s="185">
        <v>238030</v>
      </c>
      <c r="F3474" s="185" t="s">
        <v>721</v>
      </c>
      <c r="G3474" s="185" t="s">
        <v>1986</v>
      </c>
      <c r="H3474" s="185" t="s">
        <v>1515</v>
      </c>
      <c r="I3474" s="258" t="str">
        <f t="shared" si="163"/>
        <v>2</v>
      </c>
      <c r="J3474" s="221">
        <f t="shared" si="164"/>
        <v>774227</v>
      </c>
      <c r="K3474" s="258">
        <f t="shared" si="165"/>
        <v>12</v>
      </c>
      <c r="L3474" s="188">
        <v>774227</v>
      </c>
      <c r="M3474" s="188">
        <v>0</v>
      </c>
      <c r="N3474" s="189">
        <v>800224808</v>
      </c>
      <c r="O3474"/>
      <c r="P3474" s="187">
        <v>45280.8726157407</v>
      </c>
      <c r="Q3474" s="186">
        <v>14926</v>
      </c>
      <c r="R3474" s="185" t="s">
        <v>1827</v>
      </c>
      <c r="S3474" s="185" t="s">
        <v>1662</v>
      </c>
      <c r="T3474"/>
      <c r="U3474" t="str">
        <f>IF($L3474&gt;0,VLOOKUP($E3474,Valida!$A$1:$G$270,6,FALSE),IF($M3474&gt;=0,VLOOKUP($E3474,Valida!$A$1:$G$270,7,FALSE)))</f>
        <v>(+/-) Ajustes por el incremento (disminución) de cuentas por pagar de origen comercial</v>
      </c>
      <c r="V3474" s="190" t="str">
        <f>VLOOKUP(E3474,Valida!$A$2:$K$271,4,FALSE)</f>
        <v>Trade and other payables</v>
      </c>
      <c r="W3474" s="185" t="s">
        <v>1911</v>
      </c>
      <c r="X3474" s="185"/>
      <c r="Y3474" s="185" t="s">
        <v>1789</v>
      </c>
      <c r="Z3474"/>
    </row>
    <row r="3475" spans="1:26">
      <c r="A3475" s="185" t="s">
        <v>3955</v>
      </c>
      <c r="B3475" s="185" t="s">
        <v>3956</v>
      </c>
      <c r="C3475" s="185" t="s">
        <v>1785</v>
      </c>
      <c r="D3475" s="185" t="s">
        <v>3936</v>
      </c>
      <c r="E3475" s="185">
        <v>238030</v>
      </c>
      <c r="F3475" s="185" t="s">
        <v>721</v>
      </c>
      <c r="G3475" s="185" t="s">
        <v>1986</v>
      </c>
      <c r="H3475" s="185" t="s">
        <v>1515</v>
      </c>
      <c r="I3475" s="258" t="str">
        <f t="shared" si="163"/>
        <v>2</v>
      </c>
      <c r="J3475" s="221">
        <f t="shared" si="164"/>
        <v>204160</v>
      </c>
      <c r="K3475" s="258">
        <f t="shared" si="165"/>
        <v>12</v>
      </c>
      <c r="L3475" s="188">
        <v>204160</v>
      </c>
      <c r="M3475" s="188">
        <v>0</v>
      </c>
      <c r="N3475" s="189">
        <v>800227940</v>
      </c>
      <c r="O3475"/>
      <c r="P3475" s="187">
        <v>45280.872627314799</v>
      </c>
      <c r="Q3475" s="186">
        <v>14927</v>
      </c>
      <c r="R3475" s="185"/>
      <c r="S3475" s="185" t="s">
        <v>1664</v>
      </c>
      <c r="T3475"/>
      <c r="U3475" t="str">
        <f>IF($L3475&gt;0,VLOOKUP($E3475,Valida!$A$1:$G$270,6,FALSE),IF($M3475&gt;=0,VLOOKUP($E3475,Valida!$A$1:$G$270,7,FALSE)))</f>
        <v>(+/-) Ajustes por el incremento (disminución) de cuentas por pagar de origen comercial</v>
      </c>
      <c r="V3475" s="190" t="str">
        <f>VLOOKUP(E3475,Valida!$A$2:$K$271,4,FALSE)</f>
        <v>Trade and other payables</v>
      </c>
      <c r="W3475" s="185"/>
      <c r="X3475" s="185"/>
      <c r="Y3475" s="185"/>
      <c r="Z3475"/>
    </row>
    <row r="3476" spans="1:26">
      <c r="A3476" s="185" t="s">
        <v>3932</v>
      </c>
      <c r="B3476" s="185" t="s">
        <v>3957</v>
      </c>
      <c r="C3476" s="185" t="s">
        <v>1897</v>
      </c>
      <c r="D3476" s="185" t="s">
        <v>3958</v>
      </c>
      <c r="E3476" s="185">
        <v>252505</v>
      </c>
      <c r="F3476" s="185" t="s">
        <v>787</v>
      </c>
      <c r="G3476" s="185" t="s">
        <v>3959</v>
      </c>
      <c r="H3476" s="185" t="s">
        <v>1515</v>
      </c>
      <c r="I3476" s="258" t="str">
        <f t="shared" si="163"/>
        <v>2</v>
      </c>
      <c r="J3476" s="221">
        <f t="shared" si="164"/>
        <v>173203</v>
      </c>
      <c r="K3476" s="258">
        <f t="shared" si="165"/>
        <v>12</v>
      </c>
      <c r="L3476" s="188">
        <v>173203</v>
      </c>
      <c r="M3476" s="188">
        <v>0</v>
      </c>
      <c r="N3476" s="189">
        <v>1001284057</v>
      </c>
      <c r="O3476" t="s">
        <v>3957</v>
      </c>
      <c r="P3476" s="187">
        <v>45280</v>
      </c>
      <c r="Q3476" s="186">
        <v>14902</v>
      </c>
      <c r="R3476" s="185"/>
      <c r="S3476" s="185" t="s">
        <v>1526</v>
      </c>
      <c r="T3476" t="s">
        <v>2729</v>
      </c>
      <c r="U3476" t="str">
        <f>IF($L3476&gt;0,VLOOKUP($E3476,Valida!$A$1:$G$270,6,FALSE),IF($M3476&gt;=0,VLOOKUP($E3476,Valida!$A$1:$G$270,7,FALSE)))</f>
        <v>(+/-) Ajustes por el incremento (disminución) de cuentas por pagar de origen comercial</v>
      </c>
      <c r="V3476" s="190" t="str">
        <f>VLOOKUP(E3476,Valida!$A$2:$K$271,4,FALSE)</f>
        <v>Trade and other payables</v>
      </c>
      <c r="W3476" s="185" t="s">
        <v>3454</v>
      </c>
      <c r="X3476" s="185" t="s">
        <v>3455</v>
      </c>
      <c r="Y3476" s="185" t="s">
        <v>1789</v>
      </c>
      <c r="Z3476"/>
    </row>
    <row r="3477" spans="1:26">
      <c r="A3477" s="185" t="s">
        <v>3932</v>
      </c>
      <c r="B3477" s="185" t="s">
        <v>3957</v>
      </c>
      <c r="C3477" s="185" t="s">
        <v>1897</v>
      </c>
      <c r="D3477" s="185" t="s">
        <v>3958</v>
      </c>
      <c r="E3477" s="185">
        <v>510506</v>
      </c>
      <c r="F3477" s="185" t="s">
        <v>1076</v>
      </c>
      <c r="G3477" s="185" t="s">
        <v>3959</v>
      </c>
      <c r="H3477" s="185" t="s">
        <v>1515</v>
      </c>
      <c r="I3477" s="258" t="str">
        <f t="shared" si="163"/>
        <v>5</v>
      </c>
      <c r="J3477" s="221">
        <f t="shared" si="164"/>
        <v>280000</v>
      </c>
      <c r="K3477" s="258">
        <f t="shared" si="165"/>
        <v>12</v>
      </c>
      <c r="L3477" s="188">
        <v>280000</v>
      </c>
      <c r="M3477" s="188">
        <v>0</v>
      </c>
      <c r="N3477" s="189">
        <v>1001284057</v>
      </c>
      <c r="O3477" t="s">
        <v>3957</v>
      </c>
      <c r="P3477" s="187">
        <v>45280</v>
      </c>
      <c r="Q3477" s="186">
        <v>14903</v>
      </c>
      <c r="R3477" s="185"/>
      <c r="S3477" s="185" t="s">
        <v>1526</v>
      </c>
      <c r="T3477" t="s">
        <v>2729</v>
      </c>
      <c r="U3477" t="str">
        <f>IF($L3477&gt;0,VLOOKUP($E3477,Valida!$A$1:$G$270,6,FALSE),IF($M3477&gt;=0,VLOOKUP($E3477,Valida!$A$1:$G$270,7,FALSE)))</f>
        <v>(+/-) Ganancia (pérdida)</v>
      </c>
      <c r="V3477" s="190" t="str">
        <f>VLOOKUP(E3477,Valida!$A$2:$K$271,4,FALSE)</f>
        <v>P&amp;L</v>
      </c>
      <c r="W3477" s="185" t="s">
        <v>3454</v>
      </c>
      <c r="X3477" s="185" t="s">
        <v>3455</v>
      </c>
      <c r="Y3477" s="185" t="s">
        <v>1789</v>
      </c>
      <c r="Z3477"/>
    </row>
    <row r="3478" spans="1:26">
      <c r="A3478" s="185" t="s">
        <v>3932</v>
      </c>
      <c r="B3478" s="185" t="s">
        <v>3957</v>
      </c>
      <c r="C3478" s="185" t="s">
        <v>1897</v>
      </c>
      <c r="D3478" s="185" t="s">
        <v>3958</v>
      </c>
      <c r="E3478" s="185">
        <v>251010</v>
      </c>
      <c r="F3478" s="185" t="s">
        <v>776</v>
      </c>
      <c r="G3478" s="185" t="s">
        <v>3959</v>
      </c>
      <c r="H3478" s="185" t="s">
        <v>1515</v>
      </c>
      <c r="I3478" s="258" t="str">
        <f t="shared" si="163"/>
        <v>2</v>
      </c>
      <c r="J3478" s="221">
        <f t="shared" si="164"/>
        <v>381558</v>
      </c>
      <c r="K3478" s="258">
        <f t="shared" si="165"/>
        <v>12</v>
      </c>
      <c r="L3478" s="188">
        <v>381558</v>
      </c>
      <c r="M3478" s="188">
        <v>0</v>
      </c>
      <c r="N3478" s="189">
        <v>1001284057</v>
      </c>
      <c r="O3478" t="s">
        <v>3957</v>
      </c>
      <c r="P3478" s="187">
        <v>45280</v>
      </c>
      <c r="Q3478" s="186">
        <v>14904</v>
      </c>
      <c r="R3478" s="185"/>
      <c r="S3478" s="185" t="s">
        <v>1526</v>
      </c>
      <c r="T3478" t="s">
        <v>2729</v>
      </c>
      <c r="U3478" t="str">
        <f>IF($L3478&gt;0,VLOOKUP($E3478,Valida!$A$1:$G$270,6,FALSE),IF($M3478&gt;=0,VLOOKUP($E3478,Valida!$A$1:$G$270,7,FALSE)))</f>
        <v>(+/-) Ajustes por el incremento (disminución) de cuentas por pagar de origen comercial</v>
      </c>
      <c r="V3478" s="190" t="str">
        <f>VLOOKUP(E3478,Valida!$A$2:$K$271,4,FALSE)</f>
        <v>Trade and other payables</v>
      </c>
      <c r="W3478" s="185" t="s">
        <v>3454</v>
      </c>
      <c r="X3478" s="185" t="s">
        <v>3455</v>
      </c>
      <c r="Y3478" s="185" t="s">
        <v>1789</v>
      </c>
      <c r="Z3478"/>
    </row>
    <row r="3479" spans="1:26">
      <c r="A3479" s="185" t="s">
        <v>3932</v>
      </c>
      <c r="B3479" s="185" t="s">
        <v>3957</v>
      </c>
      <c r="C3479" s="185" t="s">
        <v>1897</v>
      </c>
      <c r="D3479" s="185" t="s">
        <v>3958</v>
      </c>
      <c r="E3479" s="185">
        <v>251505</v>
      </c>
      <c r="F3479" s="185" t="s">
        <v>779</v>
      </c>
      <c r="G3479" s="185" t="s">
        <v>3959</v>
      </c>
      <c r="H3479" s="185" t="s">
        <v>1515</v>
      </c>
      <c r="I3479" s="258" t="str">
        <f t="shared" si="163"/>
        <v>2</v>
      </c>
      <c r="J3479" s="221">
        <f t="shared" si="164"/>
        <v>11447</v>
      </c>
      <c r="K3479" s="258">
        <f t="shared" si="165"/>
        <v>12</v>
      </c>
      <c r="L3479" s="188">
        <v>11447</v>
      </c>
      <c r="M3479" s="188">
        <v>0</v>
      </c>
      <c r="N3479" s="189">
        <v>1001284057</v>
      </c>
      <c r="O3479" t="s">
        <v>3957</v>
      </c>
      <c r="P3479" s="187">
        <v>45280</v>
      </c>
      <c r="Q3479" s="186">
        <v>14905</v>
      </c>
      <c r="R3479" s="185"/>
      <c r="S3479" s="185" t="s">
        <v>1526</v>
      </c>
      <c r="T3479" t="s">
        <v>2729</v>
      </c>
      <c r="U3479" t="str">
        <f>IF($L3479&gt;0,VLOOKUP($E3479,Valida!$A$1:$G$270,6,FALSE),IF($M3479&gt;=0,VLOOKUP($E3479,Valida!$A$1:$G$270,7,FALSE)))</f>
        <v>(+/-) Ajustes por el incremento (disminución) de cuentas por pagar de origen comercial</v>
      </c>
      <c r="V3479" s="190" t="str">
        <f>VLOOKUP(E3479,Valida!$A$2:$K$271,4,FALSE)</f>
        <v>Trade and other payables</v>
      </c>
      <c r="W3479" s="185" t="s">
        <v>3454</v>
      </c>
      <c r="X3479" s="185" t="s">
        <v>3455</v>
      </c>
      <c r="Y3479" s="185" t="s">
        <v>1789</v>
      </c>
      <c r="Z3479"/>
    </row>
    <row r="3480" spans="1:26">
      <c r="A3480" s="185" t="s">
        <v>3932</v>
      </c>
      <c r="B3480" s="185" t="s">
        <v>3957</v>
      </c>
      <c r="C3480" s="185" t="s">
        <v>1897</v>
      </c>
      <c r="D3480" s="185" t="s">
        <v>3958</v>
      </c>
      <c r="E3480" s="185">
        <v>252005</v>
      </c>
      <c r="F3480" s="185" t="s">
        <v>783</v>
      </c>
      <c r="G3480" s="185" t="s">
        <v>3959</v>
      </c>
      <c r="H3480" s="185" t="s">
        <v>1515</v>
      </c>
      <c r="I3480" s="258" t="str">
        <f t="shared" si="163"/>
        <v>2</v>
      </c>
      <c r="J3480" s="221">
        <f t="shared" si="164"/>
        <v>381558</v>
      </c>
      <c r="K3480" s="258">
        <f t="shared" si="165"/>
        <v>12</v>
      </c>
      <c r="L3480" s="188">
        <v>381558</v>
      </c>
      <c r="M3480" s="188">
        <v>0</v>
      </c>
      <c r="N3480" s="189">
        <v>1001284057</v>
      </c>
      <c r="O3480" t="s">
        <v>3957</v>
      </c>
      <c r="P3480" s="187">
        <v>45280</v>
      </c>
      <c r="Q3480" s="186">
        <v>14906</v>
      </c>
      <c r="R3480" s="185"/>
      <c r="S3480" s="185" t="s">
        <v>1526</v>
      </c>
      <c r="T3480" t="s">
        <v>2729</v>
      </c>
      <c r="U3480" t="str">
        <f>IF($L3480&gt;0,VLOOKUP($E3480,Valida!$A$1:$G$270,6,FALSE),IF($M3480&gt;=0,VLOOKUP($E3480,Valida!$A$1:$G$270,7,FALSE)))</f>
        <v>(+/-) Ajustes por el incremento (disminución) de cuentas por pagar de origen comercial</v>
      </c>
      <c r="V3480" s="190" t="str">
        <f>VLOOKUP(E3480,Valida!$A$2:$K$271,4,FALSE)</f>
        <v>Trade and other payables</v>
      </c>
      <c r="W3480" s="185" t="s">
        <v>3454</v>
      </c>
      <c r="X3480" s="185" t="s">
        <v>3455</v>
      </c>
      <c r="Y3480" s="185" t="s">
        <v>1789</v>
      </c>
      <c r="Z3480"/>
    </row>
    <row r="3481" spans="1:26">
      <c r="A3481" s="185" t="s">
        <v>3932</v>
      </c>
      <c r="B3481" s="185" t="s">
        <v>3957</v>
      </c>
      <c r="C3481" s="185" t="s">
        <v>1897</v>
      </c>
      <c r="D3481" s="185" t="s">
        <v>3958</v>
      </c>
      <c r="E3481" s="185">
        <v>510527</v>
      </c>
      <c r="F3481" s="185" t="s">
        <v>1089</v>
      </c>
      <c r="G3481" s="185" t="s">
        <v>3959</v>
      </c>
      <c r="H3481" s="185" t="s">
        <v>1515</v>
      </c>
      <c r="I3481" s="258" t="str">
        <f t="shared" si="163"/>
        <v>5</v>
      </c>
      <c r="J3481" s="221">
        <f t="shared" si="164"/>
        <v>32808</v>
      </c>
      <c r="K3481" s="258">
        <f t="shared" si="165"/>
        <v>12</v>
      </c>
      <c r="L3481" s="188">
        <v>32808</v>
      </c>
      <c r="M3481" s="188">
        <v>0</v>
      </c>
      <c r="N3481" s="189">
        <v>1001284057</v>
      </c>
      <c r="O3481" t="s">
        <v>3957</v>
      </c>
      <c r="P3481" s="187">
        <v>45280</v>
      </c>
      <c r="Q3481" s="186">
        <v>14907</v>
      </c>
      <c r="R3481" s="185"/>
      <c r="S3481" s="185" t="s">
        <v>1526</v>
      </c>
      <c r="T3481" t="s">
        <v>2729</v>
      </c>
      <c r="U3481" t="str">
        <f>IF($L3481&gt;0,VLOOKUP($E3481,Valida!$A$1:$G$270,6,FALSE),IF($M3481&gt;=0,VLOOKUP($E3481,Valida!$A$1:$G$270,7,FALSE)))</f>
        <v>(+/-) Ganancia (pérdida)</v>
      </c>
      <c r="V3481" s="190" t="str">
        <f>VLOOKUP(E3481,Valida!$A$2:$K$271,4,FALSE)</f>
        <v>P&amp;L</v>
      </c>
      <c r="W3481" s="185" t="s">
        <v>3454</v>
      </c>
      <c r="X3481" s="185" t="s">
        <v>3455</v>
      </c>
      <c r="Y3481" s="185" t="s">
        <v>1789</v>
      </c>
      <c r="Z3481"/>
    </row>
    <row r="3482" spans="1:26">
      <c r="A3482" s="185" t="s">
        <v>3932</v>
      </c>
      <c r="B3482" s="185" t="s">
        <v>3957</v>
      </c>
      <c r="C3482" s="185" t="s">
        <v>1897</v>
      </c>
      <c r="D3482" s="185" t="s">
        <v>3958</v>
      </c>
      <c r="E3482" s="185">
        <v>237005</v>
      </c>
      <c r="F3482" s="185" t="s">
        <v>676</v>
      </c>
      <c r="G3482" s="185" t="s">
        <v>3959</v>
      </c>
      <c r="H3482" s="185" t="s">
        <v>1628</v>
      </c>
      <c r="I3482" s="258" t="str">
        <f t="shared" si="163"/>
        <v>2</v>
      </c>
      <c r="J3482" s="221">
        <f t="shared" si="164"/>
        <v>-11200</v>
      </c>
      <c r="K3482" s="258">
        <f t="shared" si="165"/>
        <v>12</v>
      </c>
      <c r="L3482" s="188">
        <v>0</v>
      </c>
      <c r="M3482" s="188">
        <v>11200</v>
      </c>
      <c r="N3482" s="189">
        <v>860066942</v>
      </c>
      <c r="O3482" t="s">
        <v>3957</v>
      </c>
      <c r="P3482" s="187">
        <v>45280</v>
      </c>
      <c r="Q3482" s="186">
        <v>14908</v>
      </c>
      <c r="R3482" s="185" t="s">
        <v>1814</v>
      </c>
      <c r="S3482" s="185" t="s">
        <v>1574</v>
      </c>
      <c r="T3482" t="s">
        <v>2729</v>
      </c>
      <c r="U3482" t="str">
        <f>IF($L3482&gt;0,VLOOKUP($E3482,Valida!$A$1:$G$270,6,FALSE),IF($M3482&gt;=0,VLOOKUP($E3482,Valida!$A$1:$G$270,7,FALSE)))</f>
        <v>(+/-) Ajustes por el incremento (disminución) de cuentas por pagar de origen comercial</v>
      </c>
      <c r="V3482" s="190" t="str">
        <f>VLOOKUP(E3482,Valida!$A$2:$K$271,4,FALSE)</f>
        <v>Trade and other payables</v>
      </c>
      <c r="W3482" s="185" t="s">
        <v>1914</v>
      </c>
      <c r="X3482" s="185" t="s">
        <v>1915</v>
      </c>
      <c r="Y3482" s="185" t="s">
        <v>1789</v>
      </c>
      <c r="Z3482"/>
    </row>
    <row r="3483" spans="1:26">
      <c r="A3483" s="185" t="s">
        <v>3932</v>
      </c>
      <c r="B3483" s="185" t="s">
        <v>3957</v>
      </c>
      <c r="C3483" s="185" t="s">
        <v>1897</v>
      </c>
      <c r="D3483" s="185" t="s">
        <v>3958</v>
      </c>
      <c r="E3483" s="185">
        <v>238030</v>
      </c>
      <c r="F3483" s="185" t="s">
        <v>721</v>
      </c>
      <c r="G3483" s="185" t="s">
        <v>3959</v>
      </c>
      <c r="H3483" s="185" t="s">
        <v>1628</v>
      </c>
      <c r="I3483" s="258" t="str">
        <f t="shared" si="163"/>
        <v>2</v>
      </c>
      <c r="J3483" s="221">
        <f t="shared" si="164"/>
        <v>-11200</v>
      </c>
      <c r="K3483" s="258">
        <f t="shared" si="165"/>
        <v>12</v>
      </c>
      <c r="L3483" s="188">
        <v>0</v>
      </c>
      <c r="M3483" s="188">
        <v>11200</v>
      </c>
      <c r="N3483" s="189">
        <v>800224808</v>
      </c>
      <c r="O3483" t="s">
        <v>3957</v>
      </c>
      <c r="P3483" s="187">
        <v>45280</v>
      </c>
      <c r="Q3483" s="186">
        <v>14909</v>
      </c>
      <c r="R3483" s="185" t="s">
        <v>1827</v>
      </c>
      <c r="S3483" s="185" t="s">
        <v>1662</v>
      </c>
      <c r="T3483" t="s">
        <v>2729</v>
      </c>
      <c r="U3483" t="str">
        <f>IF($L3483&gt;0,VLOOKUP($E3483,Valida!$A$1:$G$270,6,FALSE),IF($M3483&gt;=0,VLOOKUP($E3483,Valida!$A$1:$G$270,7,FALSE)))</f>
        <v>(+/-) Ajustes por el incremento (disminución) de cuentas por pagar de origen comercial</v>
      </c>
      <c r="V3483" s="190" t="str">
        <f>VLOOKUP(E3483,Valida!$A$2:$K$271,4,FALSE)</f>
        <v>Trade and other payables</v>
      </c>
      <c r="W3483" s="185" t="s">
        <v>1911</v>
      </c>
      <c r="X3483" s="185"/>
      <c r="Y3483" s="185" t="s">
        <v>1789</v>
      </c>
      <c r="Z3483"/>
    </row>
    <row r="3484" spans="1:26">
      <c r="A3484" s="185" t="s">
        <v>3932</v>
      </c>
      <c r="B3484" s="185" t="s">
        <v>3957</v>
      </c>
      <c r="C3484" s="185" t="s">
        <v>1897</v>
      </c>
      <c r="D3484" s="185" t="s">
        <v>3958</v>
      </c>
      <c r="E3484" s="185">
        <v>250505</v>
      </c>
      <c r="F3484" s="185" t="s">
        <v>767</v>
      </c>
      <c r="G3484" s="185" t="s">
        <v>3959</v>
      </c>
      <c r="H3484" s="185" t="s">
        <v>1628</v>
      </c>
      <c r="I3484" s="258" t="str">
        <f t="shared" si="163"/>
        <v>2</v>
      </c>
      <c r="J3484" s="221">
        <f t="shared" si="164"/>
        <v>-1238174</v>
      </c>
      <c r="K3484" s="258">
        <f t="shared" si="165"/>
        <v>12</v>
      </c>
      <c r="L3484" s="188">
        <v>0</v>
      </c>
      <c r="M3484" s="188">
        <v>1238174</v>
      </c>
      <c r="N3484" s="189">
        <v>1001284057</v>
      </c>
      <c r="O3484" t="s">
        <v>3957</v>
      </c>
      <c r="P3484" s="187">
        <v>45280</v>
      </c>
      <c r="Q3484" s="186">
        <v>14910</v>
      </c>
      <c r="R3484" s="185"/>
      <c r="S3484" s="185" t="s">
        <v>1526</v>
      </c>
      <c r="T3484" t="s">
        <v>2729</v>
      </c>
      <c r="U3484" t="str">
        <f>IF($L3484&gt;0,VLOOKUP($E3484,Valida!$A$1:$G$270,6,FALSE),IF($M3484&gt;=0,VLOOKUP($E3484,Valida!$A$1:$G$270,7,FALSE)))</f>
        <v>(+/-) Ajustes por el incremento (disminución) de cuentas por pagar de origen comercial</v>
      </c>
      <c r="V3484" s="190" t="str">
        <f>VLOOKUP(E3484,Valida!$A$2:$K$271,4,FALSE)</f>
        <v>Trade and other payables</v>
      </c>
      <c r="W3484" s="185" t="s">
        <v>3454</v>
      </c>
      <c r="X3484" s="185" t="s">
        <v>3455</v>
      </c>
      <c r="Y3484" s="185" t="s">
        <v>1789</v>
      </c>
      <c r="Z3484"/>
    </row>
    <row r="3485" spans="1:26">
      <c r="A3485" s="185" t="s">
        <v>3932</v>
      </c>
      <c r="B3485" s="185" t="s">
        <v>3960</v>
      </c>
      <c r="C3485" s="185" t="s">
        <v>1897</v>
      </c>
      <c r="D3485" s="185" t="s">
        <v>3961</v>
      </c>
      <c r="E3485" s="185">
        <v>237006</v>
      </c>
      <c r="F3485" s="185" t="s">
        <v>680</v>
      </c>
      <c r="G3485" s="185" t="s">
        <v>3962</v>
      </c>
      <c r="H3485" s="185" t="s">
        <v>1628</v>
      </c>
      <c r="I3485" s="258" t="str">
        <f t="shared" si="163"/>
        <v>2</v>
      </c>
      <c r="J3485" s="221">
        <f t="shared" si="164"/>
        <v>-1462</v>
      </c>
      <c r="K3485" s="258">
        <f t="shared" si="165"/>
        <v>12</v>
      </c>
      <c r="L3485" s="188">
        <v>0</v>
      </c>
      <c r="M3485" s="188">
        <v>1462</v>
      </c>
      <c r="N3485" s="189">
        <v>860002503</v>
      </c>
      <c r="O3485" t="s">
        <v>3960</v>
      </c>
      <c r="P3485" s="187">
        <v>45280</v>
      </c>
      <c r="Q3485" s="186">
        <v>14911</v>
      </c>
      <c r="R3485" s="185" t="s">
        <v>433</v>
      </c>
      <c r="S3485" s="185" t="s">
        <v>1656</v>
      </c>
      <c r="T3485" t="s">
        <v>2729</v>
      </c>
      <c r="U3485" t="str">
        <f>IF($L3485&gt;0,VLOOKUP($E3485,Valida!$A$1:$G$270,6,FALSE),IF($M3485&gt;=0,VLOOKUP($E3485,Valida!$A$1:$G$270,7,FALSE)))</f>
        <v>(+/-) Ajustes por el incremento (disminución) de cuentas por pagar de origen comercial</v>
      </c>
      <c r="V3485" s="190" t="str">
        <f>VLOOKUP(E3485,Valida!$A$2:$K$271,4,FALSE)</f>
        <v>Trade and other payables</v>
      </c>
      <c r="W3485" s="185" t="s">
        <v>1912</v>
      </c>
      <c r="X3485" s="185" t="s">
        <v>1913</v>
      </c>
      <c r="Y3485" s="185" t="s">
        <v>1789</v>
      </c>
      <c r="Z3485"/>
    </row>
    <row r="3486" spans="1:26">
      <c r="A3486" s="185" t="s">
        <v>3932</v>
      </c>
      <c r="B3486" s="185" t="s">
        <v>3960</v>
      </c>
      <c r="C3486" s="185" t="s">
        <v>1897</v>
      </c>
      <c r="D3486" s="185" t="s">
        <v>3961</v>
      </c>
      <c r="E3486" s="185">
        <v>237010</v>
      </c>
      <c r="F3486" s="185" t="s">
        <v>683</v>
      </c>
      <c r="G3486" s="185" t="s">
        <v>3963</v>
      </c>
      <c r="H3486" s="185" t="s">
        <v>1628</v>
      </c>
      <c r="I3486" s="258" t="str">
        <f t="shared" si="163"/>
        <v>2</v>
      </c>
      <c r="J3486" s="221">
        <f t="shared" si="164"/>
        <v>-13596</v>
      </c>
      <c r="K3486" s="258">
        <f t="shared" si="165"/>
        <v>12</v>
      </c>
      <c r="L3486" s="188">
        <v>0</v>
      </c>
      <c r="M3486" s="188">
        <v>13596</v>
      </c>
      <c r="N3486" s="189">
        <v>860066942</v>
      </c>
      <c r="O3486" t="s">
        <v>3960</v>
      </c>
      <c r="P3486" s="187">
        <v>45280</v>
      </c>
      <c r="Q3486" s="186">
        <v>14912</v>
      </c>
      <c r="R3486" s="185" t="s">
        <v>1814</v>
      </c>
      <c r="S3486" s="185" t="s">
        <v>1574</v>
      </c>
      <c r="T3486" t="s">
        <v>2729</v>
      </c>
      <c r="U3486" t="str">
        <f>IF($L3486&gt;0,VLOOKUP($E3486,Valida!$A$1:$G$270,6,FALSE),IF($M3486&gt;=0,VLOOKUP($E3486,Valida!$A$1:$G$270,7,FALSE)))</f>
        <v>(+/-) Ajustes por el incremento (disminución) de cuentas por pagar de origen comercial</v>
      </c>
      <c r="V3486" s="190" t="str">
        <f>VLOOKUP(E3486,Valida!$A$2:$K$271,4,FALSE)</f>
        <v>Trade and other payables</v>
      </c>
      <c r="W3486" s="185" t="s">
        <v>1914</v>
      </c>
      <c r="X3486" s="185" t="s">
        <v>1915</v>
      </c>
      <c r="Y3486" s="185" t="s">
        <v>1789</v>
      </c>
      <c r="Z3486"/>
    </row>
    <row r="3487" spans="1:26">
      <c r="A3487" s="185" t="s">
        <v>3932</v>
      </c>
      <c r="B3487" s="185" t="s">
        <v>3960</v>
      </c>
      <c r="C3487" s="185" t="s">
        <v>1897</v>
      </c>
      <c r="D3487" s="185" t="s">
        <v>3961</v>
      </c>
      <c r="E3487" s="185">
        <v>238030</v>
      </c>
      <c r="F3487" s="185" t="s">
        <v>721</v>
      </c>
      <c r="G3487" s="185" t="s">
        <v>3964</v>
      </c>
      <c r="H3487" s="185" t="s">
        <v>1628</v>
      </c>
      <c r="I3487" s="258" t="str">
        <f t="shared" si="163"/>
        <v>2</v>
      </c>
      <c r="J3487" s="221">
        <f t="shared" si="164"/>
        <v>-33600</v>
      </c>
      <c r="K3487" s="258">
        <f t="shared" si="165"/>
        <v>12</v>
      </c>
      <c r="L3487" s="188">
        <v>0</v>
      </c>
      <c r="M3487" s="188">
        <v>33600</v>
      </c>
      <c r="N3487" s="189">
        <v>800224808</v>
      </c>
      <c r="O3487" t="s">
        <v>3960</v>
      </c>
      <c r="P3487" s="187">
        <v>45280</v>
      </c>
      <c r="Q3487" s="186">
        <v>14913</v>
      </c>
      <c r="R3487" s="185" t="s">
        <v>1827</v>
      </c>
      <c r="S3487" s="185" t="s">
        <v>1662</v>
      </c>
      <c r="T3487" t="s">
        <v>2729</v>
      </c>
      <c r="U3487" t="str">
        <f>IF($L3487&gt;0,VLOOKUP($E3487,Valida!$A$1:$G$270,6,FALSE),IF($M3487&gt;=0,VLOOKUP($E3487,Valida!$A$1:$G$270,7,FALSE)))</f>
        <v>(+/-) Ajustes por el incremento (disminución) de cuentas por pagar de origen comercial</v>
      </c>
      <c r="V3487" s="190" t="str">
        <f>VLOOKUP(E3487,Valida!$A$2:$K$271,4,FALSE)</f>
        <v>Trade and other payables</v>
      </c>
      <c r="W3487" s="185" t="s">
        <v>1911</v>
      </c>
      <c r="X3487" s="185"/>
      <c r="Y3487" s="185" t="s">
        <v>1789</v>
      </c>
      <c r="Z3487"/>
    </row>
    <row r="3488" spans="1:26">
      <c r="A3488" s="185" t="s">
        <v>3932</v>
      </c>
      <c r="B3488" s="185" t="s">
        <v>3960</v>
      </c>
      <c r="C3488" s="185" t="s">
        <v>1897</v>
      </c>
      <c r="D3488" s="185" t="s">
        <v>3961</v>
      </c>
      <c r="E3488" s="185">
        <v>251010</v>
      </c>
      <c r="F3488" s="185" t="s">
        <v>776</v>
      </c>
      <c r="G3488" s="185" t="s">
        <v>3965</v>
      </c>
      <c r="H3488" s="185" t="s">
        <v>1628</v>
      </c>
      <c r="I3488" s="258" t="str">
        <f t="shared" si="163"/>
        <v>2</v>
      </c>
      <c r="J3488" s="221">
        <f t="shared" si="164"/>
        <v>-26057</v>
      </c>
      <c r="K3488" s="258">
        <f t="shared" si="165"/>
        <v>12</v>
      </c>
      <c r="L3488" s="188">
        <v>0</v>
      </c>
      <c r="M3488" s="188">
        <v>26057</v>
      </c>
      <c r="N3488" s="189">
        <v>1001284057</v>
      </c>
      <c r="O3488" t="s">
        <v>3960</v>
      </c>
      <c r="P3488" s="187">
        <v>45280</v>
      </c>
      <c r="Q3488" s="186">
        <v>14914</v>
      </c>
      <c r="R3488" s="185"/>
      <c r="S3488" s="185" t="s">
        <v>1526</v>
      </c>
      <c r="T3488" t="s">
        <v>2729</v>
      </c>
      <c r="U3488" t="str">
        <f>IF($L3488&gt;0,VLOOKUP($E3488,Valida!$A$1:$G$270,6,FALSE),IF($M3488&gt;=0,VLOOKUP($E3488,Valida!$A$1:$G$270,7,FALSE)))</f>
        <v>(+/-) Ajustes por el incremento (disminución) de cuentas por pagar de origen comercial</v>
      </c>
      <c r="V3488" s="190" t="str">
        <f>VLOOKUP(E3488,Valida!$A$2:$K$271,4,FALSE)</f>
        <v>Trade and other payables</v>
      </c>
      <c r="W3488" s="185" t="s">
        <v>3454</v>
      </c>
      <c r="X3488" s="185" t="s">
        <v>3455</v>
      </c>
      <c r="Y3488" s="185" t="s">
        <v>1789</v>
      </c>
      <c r="Z3488"/>
    </row>
    <row r="3489" spans="1:26">
      <c r="A3489" s="185" t="s">
        <v>3932</v>
      </c>
      <c r="B3489" s="185" t="s">
        <v>3960</v>
      </c>
      <c r="C3489" s="185" t="s">
        <v>1897</v>
      </c>
      <c r="D3489" s="185" t="s">
        <v>3961</v>
      </c>
      <c r="E3489" s="185">
        <v>251505</v>
      </c>
      <c r="F3489" s="185" t="s">
        <v>779</v>
      </c>
      <c r="G3489" s="185" t="s">
        <v>3966</v>
      </c>
      <c r="H3489" s="185" t="s">
        <v>1628</v>
      </c>
      <c r="I3489" s="258" t="str">
        <f t="shared" si="163"/>
        <v>2</v>
      </c>
      <c r="J3489" s="221">
        <f t="shared" si="164"/>
        <v>-3128</v>
      </c>
      <c r="K3489" s="258">
        <f t="shared" si="165"/>
        <v>12</v>
      </c>
      <c r="L3489" s="188">
        <v>0</v>
      </c>
      <c r="M3489" s="188">
        <v>3128</v>
      </c>
      <c r="N3489" s="189">
        <v>800224808</v>
      </c>
      <c r="O3489" t="s">
        <v>3960</v>
      </c>
      <c r="P3489" s="187">
        <v>45280</v>
      </c>
      <c r="Q3489" s="186">
        <v>14915</v>
      </c>
      <c r="R3489" s="185" t="s">
        <v>1827</v>
      </c>
      <c r="S3489" s="185" t="s">
        <v>1662</v>
      </c>
      <c r="T3489" t="s">
        <v>2729</v>
      </c>
      <c r="U3489" t="str">
        <f>IF($L3489&gt;0,VLOOKUP($E3489,Valida!$A$1:$G$270,6,FALSE),IF($M3489&gt;=0,VLOOKUP($E3489,Valida!$A$1:$G$270,7,FALSE)))</f>
        <v>(+/-) Ajustes por el incremento (disminución) de cuentas por pagar de origen comercial</v>
      </c>
      <c r="V3489" s="190" t="str">
        <f>VLOOKUP(E3489,Valida!$A$2:$K$271,4,FALSE)</f>
        <v>Trade and other payables</v>
      </c>
      <c r="W3489" s="185" t="s">
        <v>1911</v>
      </c>
      <c r="X3489" s="185"/>
      <c r="Y3489" s="185" t="s">
        <v>1789</v>
      </c>
      <c r="Z3489"/>
    </row>
    <row r="3490" spans="1:26">
      <c r="A3490" s="185" t="s">
        <v>3932</v>
      </c>
      <c r="B3490" s="185" t="s">
        <v>3960</v>
      </c>
      <c r="C3490" s="185" t="s">
        <v>1897</v>
      </c>
      <c r="D3490" s="185" t="s">
        <v>3961</v>
      </c>
      <c r="E3490" s="185">
        <v>252005</v>
      </c>
      <c r="F3490" s="185" t="s">
        <v>783</v>
      </c>
      <c r="G3490" s="185" t="s">
        <v>3967</v>
      </c>
      <c r="H3490" s="185" t="s">
        <v>1628</v>
      </c>
      <c r="I3490" s="258" t="str">
        <f t="shared" si="163"/>
        <v>2</v>
      </c>
      <c r="J3490" s="221">
        <f t="shared" si="164"/>
        <v>-26057</v>
      </c>
      <c r="K3490" s="258">
        <f t="shared" si="165"/>
        <v>12</v>
      </c>
      <c r="L3490" s="188">
        <v>0</v>
      </c>
      <c r="M3490" s="188">
        <v>26057</v>
      </c>
      <c r="N3490" s="189">
        <v>1001284057</v>
      </c>
      <c r="O3490" t="s">
        <v>3960</v>
      </c>
      <c r="P3490" s="187">
        <v>45280</v>
      </c>
      <c r="Q3490" s="186">
        <v>14916</v>
      </c>
      <c r="R3490" s="185"/>
      <c r="S3490" s="185" t="s">
        <v>1526</v>
      </c>
      <c r="T3490" t="s">
        <v>2729</v>
      </c>
      <c r="U3490" t="str">
        <f>IF($L3490&gt;0,VLOOKUP($E3490,Valida!$A$1:$G$270,6,FALSE),IF($M3490&gt;=0,VLOOKUP($E3490,Valida!$A$1:$G$270,7,FALSE)))</f>
        <v>(+/-) Ajustes por el incremento (disminución) de cuentas por pagar de origen comercial</v>
      </c>
      <c r="V3490" s="190" t="str">
        <f>VLOOKUP(E3490,Valida!$A$2:$K$271,4,FALSE)</f>
        <v>Trade and other payables</v>
      </c>
      <c r="W3490" s="185" t="s">
        <v>3454</v>
      </c>
      <c r="X3490" s="185" t="s">
        <v>3455</v>
      </c>
      <c r="Y3490" s="185" t="s">
        <v>1789</v>
      </c>
      <c r="Z3490"/>
    </row>
    <row r="3491" spans="1:26">
      <c r="A3491" s="185" t="s">
        <v>3932</v>
      </c>
      <c r="B3491" s="185" t="s">
        <v>3960</v>
      </c>
      <c r="C3491" s="185" t="s">
        <v>1897</v>
      </c>
      <c r="D3491" s="185" t="s">
        <v>3961</v>
      </c>
      <c r="E3491" s="185">
        <v>252505</v>
      </c>
      <c r="F3491" s="185" t="s">
        <v>787</v>
      </c>
      <c r="G3491" s="185" t="s">
        <v>3968</v>
      </c>
      <c r="H3491" s="185" t="s">
        <v>1628</v>
      </c>
      <c r="I3491" s="258" t="str">
        <f t="shared" si="163"/>
        <v>2</v>
      </c>
      <c r="J3491" s="221">
        <f t="shared" si="164"/>
        <v>-11676</v>
      </c>
      <c r="K3491" s="258">
        <f t="shared" si="165"/>
        <v>12</v>
      </c>
      <c r="L3491" s="188">
        <v>0</v>
      </c>
      <c r="M3491" s="188">
        <v>11676</v>
      </c>
      <c r="N3491" s="189">
        <v>1001284057</v>
      </c>
      <c r="O3491" t="s">
        <v>3960</v>
      </c>
      <c r="P3491" s="187">
        <v>45280</v>
      </c>
      <c r="Q3491" s="186">
        <v>14917</v>
      </c>
      <c r="R3491" s="185"/>
      <c r="S3491" s="185" t="s">
        <v>1526</v>
      </c>
      <c r="T3491" t="s">
        <v>2729</v>
      </c>
      <c r="U3491" t="str">
        <f>IF($L3491&gt;0,VLOOKUP($E3491,Valida!$A$1:$G$270,6,FALSE),IF($M3491&gt;=0,VLOOKUP($E3491,Valida!$A$1:$G$270,7,FALSE)))</f>
        <v>(+/-) Ajustes por el incremento (disminución) de cuentas por pagar de origen comercial</v>
      </c>
      <c r="V3491" s="190" t="str">
        <f>VLOOKUP(E3491,Valida!$A$2:$K$271,4,FALSE)</f>
        <v>Trade and other payables</v>
      </c>
      <c r="W3491" s="185" t="s">
        <v>3454</v>
      </c>
      <c r="X3491" s="185" t="s">
        <v>3455</v>
      </c>
      <c r="Y3491" s="185" t="s">
        <v>1789</v>
      </c>
      <c r="Z3491"/>
    </row>
    <row r="3492" spans="1:26">
      <c r="A3492" s="185" t="s">
        <v>3932</v>
      </c>
      <c r="B3492" s="185" t="s">
        <v>3960</v>
      </c>
      <c r="C3492" s="185" t="s">
        <v>1897</v>
      </c>
      <c r="D3492" s="185" t="s">
        <v>3961</v>
      </c>
      <c r="E3492" s="185">
        <v>510530</v>
      </c>
      <c r="F3492" s="185" t="s">
        <v>813</v>
      </c>
      <c r="G3492" s="185" t="s">
        <v>3965</v>
      </c>
      <c r="H3492" s="185" t="s">
        <v>1515</v>
      </c>
      <c r="I3492" s="258" t="str">
        <f t="shared" si="163"/>
        <v>5</v>
      </c>
      <c r="J3492" s="221">
        <f t="shared" si="164"/>
        <v>26057</v>
      </c>
      <c r="K3492" s="258">
        <f t="shared" si="165"/>
        <v>12</v>
      </c>
      <c r="L3492" s="188">
        <v>26057</v>
      </c>
      <c r="M3492" s="188">
        <v>0</v>
      </c>
      <c r="N3492" s="189">
        <v>1001284057</v>
      </c>
      <c r="O3492" t="s">
        <v>3960</v>
      </c>
      <c r="P3492" s="187">
        <v>45280</v>
      </c>
      <c r="Q3492" s="186">
        <v>14918</v>
      </c>
      <c r="R3492" s="185"/>
      <c r="S3492" s="185" t="s">
        <v>1526</v>
      </c>
      <c r="T3492" t="s">
        <v>2729</v>
      </c>
      <c r="U3492" t="str">
        <f>IF($L3492&gt;0,VLOOKUP($E3492,Valida!$A$1:$G$270,6,FALSE),IF($M3492&gt;=0,VLOOKUP($E3492,Valida!$A$1:$G$270,7,FALSE)))</f>
        <v>(+/-) Ganancia (pérdida)</v>
      </c>
      <c r="V3492" s="190" t="str">
        <f>VLOOKUP(E3492,Valida!$A$2:$K$271,4,FALSE)</f>
        <v>P&amp;L</v>
      </c>
      <c r="W3492" s="185" t="s">
        <v>3454</v>
      </c>
      <c r="X3492" s="185" t="s">
        <v>3455</v>
      </c>
      <c r="Y3492" s="185" t="s">
        <v>1789</v>
      </c>
      <c r="Z3492"/>
    </row>
    <row r="3493" spans="1:26">
      <c r="A3493" s="185" t="s">
        <v>3932</v>
      </c>
      <c r="B3493" s="185" t="s">
        <v>3960</v>
      </c>
      <c r="C3493" s="185" t="s">
        <v>1897</v>
      </c>
      <c r="D3493" s="185" t="s">
        <v>3961</v>
      </c>
      <c r="E3493" s="185">
        <v>510533</v>
      </c>
      <c r="F3493" s="185" t="s">
        <v>779</v>
      </c>
      <c r="G3493" s="185" t="s">
        <v>3966</v>
      </c>
      <c r="H3493" s="185" t="s">
        <v>1515</v>
      </c>
      <c r="I3493" s="258" t="str">
        <f t="shared" si="163"/>
        <v>5</v>
      </c>
      <c r="J3493" s="221">
        <f t="shared" si="164"/>
        <v>3128</v>
      </c>
      <c r="K3493" s="258">
        <f t="shared" si="165"/>
        <v>12</v>
      </c>
      <c r="L3493" s="188">
        <v>3128</v>
      </c>
      <c r="M3493" s="188">
        <v>0</v>
      </c>
      <c r="N3493" s="189">
        <v>1001284057</v>
      </c>
      <c r="O3493" t="s">
        <v>3960</v>
      </c>
      <c r="P3493" s="187">
        <v>45280</v>
      </c>
      <c r="Q3493" s="186">
        <v>14919</v>
      </c>
      <c r="R3493" s="185"/>
      <c r="S3493" s="185" t="s">
        <v>1526</v>
      </c>
      <c r="T3493" t="s">
        <v>2729</v>
      </c>
      <c r="U3493" t="str">
        <f>IF($L3493&gt;0,VLOOKUP($E3493,Valida!$A$1:$G$270,6,FALSE),IF($M3493&gt;=0,VLOOKUP($E3493,Valida!$A$1:$G$270,7,FALSE)))</f>
        <v>(+/-) Ganancia (pérdida)</v>
      </c>
      <c r="V3493" s="190" t="str">
        <f>VLOOKUP(E3493,Valida!$A$2:$K$271,4,FALSE)</f>
        <v>P&amp;L</v>
      </c>
      <c r="W3493" s="185" t="s">
        <v>3454</v>
      </c>
      <c r="X3493" s="185" t="s">
        <v>3455</v>
      </c>
      <c r="Y3493" s="185" t="s">
        <v>1789</v>
      </c>
      <c r="Z3493"/>
    </row>
    <row r="3494" spans="1:26">
      <c r="A3494" s="185" t="s">
        <v>3932</v>
      </c>
      <c r="B3494" s="185" t="s">
        <v>3960</v>
      </c>
      <c r="C3494" s="185" t="s">
        <v>1897</v>
      </c>
      <c r="D3494" s="185" t="s">
        <v>3961</v>
      </c>
      <c r="E3494" s="185">
        <v>510536</v>
      </c>
      <c r="F3494" s="185" t="s">
        <v>783</v>
      </c>
      <c r="G3494" s="185" t="s">
        <v>3967</v>
      </c>
      <c r="H3494" s="185" t="s">
        <v>1515</v>
      </c>
      <c r="I3494" s="258" t="str">
        <f t="shared" si="163"/>
        <v>5</v>
      </c>
      <c r="J3494" s="221">
        <f t="shared" si="164"/>
        <v>26057</v>
      </c>
      <c r="K3494" s="258">
        <f t="shared" si="165"/>
        <v>12</v>
      </c>
      <c r="L3494" s="188">
        <v>26057</v>
      </c>
      <c r="M3494" s="188">
        <v>0</v>
      </c>
      <c r="N3494" s="189">
        <v>1001284057</v>
      </c>
      <c r="O3494" t="s">
        <v>3960</v>
      </c>
      <c r="P3494" s="187">
        <v>45280</v>
      </c>
      <c r="Q3494" s="186">
        <v>14920</v>
      </c>
      <c r="R3494" s="185"/>
      <c r="S3494" s="185" t="s">
        <v>1526</v>
      </c>
      <c r="T3494" t="s">
        <v>2729</v>
      </c>
      <c r="U3494" t="str">
        <f>IF($L3494&gt;0,VLOOKUP($E3494,Valida!$A$1:$G$270,6,FALSE),IF($M3494&gt;=0,VLOOKUP($E3494,Valida!$A$1:$G$270,7,FALSE)))</f>
        <v>(+/-) Ganancia (pérdida)</v>
      </c>
      <c r="V3494" s="190" t="str">
        <f>VLOOKUP(E3494,Valida!$A$2:$K$271,4,FALSE)</f>
        <v>P&amp;L</v>
      </c>
      <c r="W3494" s="185" t="s">
        <v>3454</v>
      </c>
      <c r="X3494" s="185" t="s">
        <v>3455</v>
      </c>
      <c r="Y3494" s="185" t="s">
        <v>1789</v>
      </c>
      <c r="Z3494"/>
    </row>
    <row r="3495" spans="1:26">
      <c r="A3495" s="185" t="s">
        <v>3932</v>
      </c>
      <c r="B3495" s="185" t="s">
        <v>3960</v>
      </c>
      <c r="C3495" s="185" t="s">
        <v>1897</v>
      </c>
      <c r="D3495" s="185" t="s">
        <v>3961</v>
      </c>
      <c r="E3495" s="185">
        <v>510539</v>
      </c>
      <c r="F3495" s="185" t="s">
        <v>818</v>
      </c>
      <c r="G3495" s="185" t="s">
        <v>3968</v>
      </c>
      <c r="H3495" s="185" t="s">
        <v>1515</v>
      </c>
      <c r="I3495" s="258" t="str">
        <f t="shared" si="163"/>
        <v>5</v>
      </c>
      <c r="J3495" s="221">
        <f t="shared" si="164"/>
        <v>11676</v>
      </c>
      <c r="K3495" s="258">
        <f t="shared" si="165"/>
        <v>12</v>
      </c>
      <c r="L3495" s="188">
        <v>11676</v>
      </c>
      <c r="M3495" s="188">
        <v>0</v>
      </c>
      <c r="N3495" s="189">
        <v>1001284057</v>
      </c>
      <c r="O3495" t="s">
        <v>3960</v>
      </c>
      <c r="P3495" s="187">
        <v>45280</v>
      </c>
      <c r="Q3495" s="186">
        <v>14921</v>
      </c>
      <c r="R3495" s="185"/>
      <c r="S3495" s="185" t="s">
        <v>1526</v>
      </c>
      <c r="T3495" t="s">
        <v>2729</v>
      </c>
      <c r="U3495" t="str">
        <f>IF($L3495&gt;0,VLOOKUP($E3495,Valida!$A$1:$G$270,6,FALSE),IF($M3495&gt;=0,VLOOKUP($E3495,Valida!$A$1:$G$270,7,FALSE)))</f>
        <v>(+/-) Ganancia (pérdida)</v>
      </c>
      <c r="V3495" s="190" t="str">
        <f>VLOOKUP(E3495,Valida!$A$2:$K$271,4,FALSE)</f>
        <v>P&amp;L</v>
      </c>
      <c r="W3495" s="185" t="s">
        <v>3454</v>
      </c>
      <c r="X3495" s="185" t="s">
        <v>3455</v>
      </c>
      <c r="Y3495" s="185" t="s">
        <v>1789</v>
      </c>
      <c r="Z3495"/>
    </row>
    <row r="3496" spans="1:26">
      <c r="A3496" s="185" t="s">
        <v>3932</v>
      </c>
      <c r="B3496" s="185" t="s">
        <v>3960</v>
      </c>
      <c r="C3496" s="185" t="s">
        <v>1897</v>
      </c>
      <c r="D3496" s="185" t="s">
        <v>3961</v>
      </c>
      <c r="E3496" s="185">
        <v>510568</v>
      </c>
      <c r="F3496" s="185" t="s">
        <v>680</v>
      </c>
      <c r="G3496" s="185" t="s">
        <v>3962</v>
      </c>
      <c r="H3496" s="185" t="s">
        <v>1515</v>
      </c>
      <c r="I3496" s="258" t="str">
        <f t="shared" si="163"/>
        <v>5</v>
      </c>
      <c r="J3496" s="221">
        <f t="shared" si="164"/>
        <v>1462</v>
      </c>
      <c r="K3496" s="258">
        <f t="shared" si="165"/>
        <v>12</v>
      </c>
      <c r="L3496" s="188">
        <v>1462</v>
      </c>
      <c r="M3496" s="188">
        <v>0</v>
      </c>
      <c r="N3496" s="189">
        <v>860002503</v>
      </c>
      <c r="O3496" t="s">
        <v>3960</v>
      </c>
      <c r="P3496" s="187">
        <v>45280</v>
      </c>
      <c r="Q3496" s="186">
        <v>14922</v>
      </c>
      <c r="R3496" s="185" t="s">
        <v>433</v>
      </c>
      <c r="S3496" s="185" t="s">
        <v>1656</v>
      </c>
      <c r="T3496" t="s">
        <v>2729</v>
      </c>
      <c r="U3496" t="str">
        <f>IF($L3496&gt;0,VLOOKUP($E3496,Valida!$A$1:$G$270,6,FALSE),IF($M3496&gt;=0,VLOOKUP($E3496,Valida!$A$1:$G$270,7,FALSE)))</f>
        <v>(+/-) Ganancia (pérdida)</v>
      </c>
      <c r="V3496" s="190" t="str">
        <f>VLOOKUP(E3496,Valida!$A$2:$K$271,4,FALSE)</f>
        <v>P&amp;L</v>
      </c>
      <c r="W3496" s="185" t="s">
        <v>1912</v>
      </c>
      <c r="X3496" s="185" t="s">
        <v>1913</v>
      </c>
      <c r="Y3496" s="185" t="s">
        <v>1789</v>
      </c>
      <c r="Z3496"/>
    </row>
    <row r="3497" spans="1:26">
      <c r="A3497" s="185" t="s">
        <v>3932</v>
      </c>
      <c r="B3497" s="185" t="s">
        <v>3960</v>
      </c>
      <c r="C3497" s="185" t="s">
        <v>1897</v>
      </c>
      <c r="D3497" s="185" t="s">
        <v>3961</v>
      </c>
      <c r="E3497" s="185">
        <v>510570</v>
      </c>
      <c r="F3497" s="185" t="s">
        <v>1116</v>
      </c>
      <c r="G3497" s="185" t="s">
        <v>3964</v>
      </c>
      <c r="H3497" s="185" t="s">
        <v>1515</v>
      </c>
      <c r="I3497" s="258" t="str">
        <f t="shared" si="163"/>
        <v>5</v>
      </c>
      <c r="J3497" s="221">
        <f t="shared" si="164"/>
        <v>33600</v>
      </c>
      <c r="K3497" s="258">
        <f t="shared" si="165"/>
        <v>12</v>
      </c>
      <c r="L3497" s="188">
        <v>33600</v>
      </c>
      <c r="M3497" s="188">
        <v>0</v>
      </c>
      <c r="N3497" s="189">
        <v>800224808</v>
      </c>
      <c r="O3497" t="s">
        <v>3960</v>
      </c>
      <c r="P3497" s="187">
        <v>45280</v>
      </c>
      <c r="Q3497" s="186">
        <v>14923</v>
      </c>
      <c r="R3497" s="185" t="s">
        <v>1827</v>
      </c>
      <c r="S3497" s="185" t="s">
        <v>1662</v>
      </c>
      <c r="T3497" t="s">
        <v>2729</v>
      </c>
      <c r="U3497" t="str">
        <f>IF($L3497&gt;0,VLOOKUP($E3497,Valida!$A$1:$G$270,6,FALSE),IF($M3497&gt;=0,VLOOKUP($E3497,Valida!$A$1:$G$270,7,FALSE)))</f>
        <v>(+/-) Ganancia (pérdida)</v>
      </c>
      <c r="V3497" s="190" t="str">
        <f>VLOOKUP(E3497,Valida!$A$2:$K$271,4,FALSE)</f>
        <v>P&amp;L</v>
      </c>
      <c r="W3497" s="185" t="s">
        <v>1911</v>
      </c>
      <c r="X3497" s="185"/>
      <c r="Y3497" s="185" t="s">
        <v>1789</v>
      </c>
      <c r="Z3497"/>
    </row>
    <row r="3498" spans="1:26">
      <c r="A3498" s="185" t="s">
        <v>3932</v>
      </c>
      <c r="B3498" s="185" t="s">
        <v>3960</v>
      </c>
      <c r="C3498" s="185" t="s">
        <v>1897</v>
      </c>
      <c r="D3498" s="185" t="s">
        <v>3961</v>
      </c>
      <c r="E3498" s="185">
        <v>510572</v>
      </c>
      <c r="F3498" s="185" t="s">
        <v>1118</v>
      </c>
      <c r="G3498" s="185" t="s">
        <v>3963</v>
      </c>
      <c r="H3498" s="185" t="s">
        <v>1515</v>
      </c>
      <c r="I3498" s="258" t="str">
        <f t="shared" si="163"/>
        <v>5</v>
      </c>
      <c r="J3498" s="221">
        <f t="shared" si="164"/>
        <v>13596</v>
      </c>
      <c r="K3498" s="258">
        <f t="shared" si="165"/>
        <v>12</v>
      </c>
      <c r="L3498" s="188">
        <v>13596</v>
      </c>
      <c r="M3498" s="188">
        <v>0</v>
      </c>
      <c r="N3498" s="189">
        <v>860066942</v>
      </c>
      <c r="O3498" t="s">
        <v>3960</v>
      </c>
      <c r="P3498" s="187">
        <v>45280</v>
      </c>
      <c r="Q3498" s="186">
        <v>14924</v>
      </c>
      <c r="R3498" s="185" t="s">
        <v>1814</v>
      </c>
      <c r="S3498" s="185" t="s">
        <v>1574</v>
      </c>
      <c r="T3498" t="s">
        <v>2729</v>
      </c>
      <c r="U3498" t="str">
        <f>IF($L3498&gt;0,VLOOKUP($E3498,Valida!$A$1:$G$270,6,FALSE),IF($M3498&gt;=0,VLOOKUP($E3498,Valida!$A$1:$G$270,7,FALSE)))</f>
        <v>(+/-) Ganancia (pérdida)</v>
      </c>
      <c r="V3498" s="190" t="str">
        <f>VLOOKUP(E3498,Valida!$A$2:$K$271,4,FALSE)</f>
        <v>P&amp;L</v>
      </c>
      <c r="W3498" s="185" t="s">
        <v>1914</v>
      </c>
      <c r="X3498" s="185" t="s">
        <v>1915</v>
      </c>
      <c r="Y3498" s="185" t="s">
        <v>1789</v>
      </c>
      <c r="Z3498"/>
    </row>
    <row r="3499" spans="1:26">
      <c r="A3499" s="185" t="s">
        <v>3955</v>
      </c>
      <c r="B3499" s="185" t="s">
        <v>3956</v>
      </c>
      <c r="C3499" s="185" t="s">
        <v>1785</v>
      </c>
      <c r="D3499" s="185" t="s">
        <v>3936</v>
      </c>
      <c r="E3499" s="185">
        <v>53059510</v>
      </c>
      <c r="F3499" s="185" t="s">
        <v>1065</v>
      </c>
      <c r="G3499" s="185" t="s">
        <v>1986</v>
      </c>
      <c r="H3499" s="185" t="s">
        <v>1515</v>
      </c>
      <c r="I3499" s="258" t="str">
        <f t="shared" si="163"/>
        <v>5</v>
      </c>
      <c r="J3499" s="221">
        <f t="shared" si="164"/>
        <v>713</v>
      </c>
      <c r="K3499" s="258">
        <f t="shared" si="165"/>
        <v>12</v>
      </c>
      <c r="L3499" s="188">
        <v>713</v>
      </c>
      <c r="M3499" s="188">
        <v>0</v>
      </c>
      <c r="N3499" s="189">
        <v>860066942</v>
      </c>
      <c r="O3499"/>
      <c r="P3499" s="187">
        <v>45280.872627314799</v>
      </c>
      <c r="Q3499" s="186">
        <v>14928</v>
      </c>
      <c r="R3499" s="185" t="s">
        <v>1814</v>
      </c>
      <c r="S3499" s="185" t="s">
        <v>1574</v>
      </c>
      <c r="T3499"/>
      <c r="U3499" t="str">
        <f>IF($L3499&gt;0,VLOOKUP($E3499,Valida!$A$1:$G$270,6,FALSE),IF($M3499&gt;=0,VLOOKUP($E3499,Valida!$A$1:$G$270,7,FALSE)))</f>
        <v>(+/-) Ganancia (pérdida)</v>
      </c>
      <c r="V3499" s="190" t="str">
        <f>VLOOKUP(E3499,Valida!$A$2:$K$271,4,FALSE)</f>
        <v>P&amp;L</v>
      </c>
      <c r="W3499" s="185" t="s">
        <v>1914</v>
      </c>
      <c r="X3499" s="185" t="s">
        <v>1915</v>
      </c>
      <c r="Y3499" s="185" t="s">
        <v>1789</v>
      </c>
      <c r="Z3499"/>
    </row>
    <row r="3500" spans="1:26">
      <c r="A3500" s="185" t="s">
        <v>3955</v>
      </c>
      <c r="B3500" s="185" t="s">
        <v>3969</v>
      </c>
      <c r="C3500" s="185" t="s">
        <v>1785</v>
      </c>
      <c r="D3500" s="185" t="s">
        <v>3945</v>
      </c>
      <c r="E3500" s="185">
        <v>237095</v>
      </c>
      <c r="F3500" s="185" t="s">
        <v>150</v>
      </c>
      <c r="G3500" s="185" t="s">
        <v>2207</v>
      </c>
      <c r="H3500" s="185" t="s">
        <v>1628</v>
      </c>
      <c r="I3500" s="258" t="str">
        <f t="shared" si="163"/>
        <v>2</v>
      </c>
      <c r="J3500" s="221">
        <f t="shared" si="164"/>
        <v>-244900</v>
      </c>
      <c r="K3500" s="258">
        <f t="shared" si="165"/>
        <v>12</v>
      </c>
      <c r="L3500" s="188">
        <v>0</v>
      </c>
      <c r="M3500" s="188">
        <v>244900</v>
      </c>
      <c r="N3500" s="189">
        <v>860066942</v>
      </c>
      <c r="O3500"/>
      <c r="P3500" s="187">
        <v>45280.873958333301</v>
      </c>
      <c r="Q3500" s="186">
        <v>14929</v>
      </c>
      <c r="R3500" s="185" t="s">
        <v>1814</v>
      </c>
      <c r="S3500" s="185" t="s">
        <v>1574</v>
      </c>
      <c r="T3500"/>
      <c r="U3500" t="str">
        <f>IF($L3500&gt;0,VLOOKUP($E3500,Valida!$A$1:$G$270,6,FALSE),IF($M3500&gt;=0,VLOOKUP($E3500,Valida!$A$1:$G$270,7,FALSE)))</f>
        <v>(+/-) Ajustes por el incremento (disminución) de cuentas por pagar de origen comercial</v>
      </c>
      <c r="V3500" s="190" t="str">
        <f>VLOOKUP(E3500,Valida!$A$2:$K$271,4,FALSE)</f>
        <v>Trade and other payables</v>
      </c>
      <c r="W3500" s="185" t="s">
        <v>1914</v>
      </c>
      <c r="X3500" s="185" t="s">
        <v>1915</v>
      </c>
      <c r="Y3500" s="185" t="s">
        <v>1789</v>
      </c>
      <c r="Z3500"/>
    </row>
    <row r="3501" spans="1:26">
      <c r="A3501" s="185" t="s">
        <v>3955</v>
      </c>
      <c r="B3501" s="185" t="s">
        <v>3969</v>
      </c>
      <c r="C3501" s="185" t="s">
        <v>1785</v>
      </c>
      <c r="D3501" s="185" t="s">
        <v>3945</v>
      </c>
      <c r="E3501" s="185">
        <v>237005</v>
      </c>
      <c r="F3501" s="185" t="s">
        <v>676</v>
      </c>
      <c r="G3501" s="185" t="s">
        <v>2207</v>
      </c>
      <c r="H3501" s="185" t="s">
        <v>1515</v>
      </c>
      <c r="I3501" s="258" t="str">
        <f t="shared" si="163"/>
        <v>2</v>
      </c>
      <c r="J3501" s="221">
        <f t="shared" si="164"/>
        <v>46400</v>
      </c>
      <c r="K3501" s="258">
        <f t="shared" si="165"/>
        <v>12</v>
      </c>
      <c r="L3501" s="188">
        <v>46400</v>
      </c>
      <c r="M3501" s="188">
        <v>0</v>
      </c>
      <c r="N3501" s="189">
        <v>800251440</v>
      </c>
      <c r="O3501"/>
      <c r="P3501" s="187">
        <v>45280.873958333301</v>
      </c>
      <c r="Q3501" s="186">
        <v>14930</v>
      </c>
      <c r="R3501" s="185" t="s">
        <v>1901</v>
      </c>
      <c r="S3501" s="185" t="s">
        <v>1560</v>
      </c>
      <c r="T3501"/>
      <c r="U3501" t="str">
        <f>IF($L3501&gt;0,VLOOKUP($E3501,Valida!$A$1:$G$270,6,FALSE),IF($M3501&gt;=0,VLOOKUP($E3501,Valida!$A$1:$G$270,7,FALSE)))</f>
        <v>(+/-) Ajustes por el incremento (disminución) de cuentas por pagar de origen comercial</v>
      </c>
      <c r="V3501" s="190" t="str">
        <f>VLOOKUP(E3501,Valida!$A$2:$K$271,4,FALSE)</f>
        <v>Trade and other payables</v>
      </c>
      <c r="W3501" s="185" t="s">
        <v>1902</v>
      </c>
      <c r="X3501" s="185" t="s">
        <v>1903</v>
      </c>
      <c r="Y3501" s="185" t="s">
        <v>1789</v>
      </c>
      <c r="Z3501"/>
    </row>
    <row r="3502" spans="1:26">
      <c r="A3502" s="185" t="s">
        <v>3955</v>
      </c>
      <c r="B3502" s="185" t="s">
        <v>3969</v>
      </c>
      <c r="C3502" s="185" t="s">
        <v>1785</v>
      </c>
      <c r="D3502" s="185" t="s">
        <v>3945</v>
      </c>
      <c r="E3502" s="185">
        <v>237005</v>
      </c>
      <c r="F3502" s="185" t="s">
        <v>676</v>
      </c>
      <c r="G3502" s="185" t="s">
        <v>2207</v>
      </c>
      <c r="H3502" s="185" t="s">
        <v>1515</v>
      </c>
      <c r="I3502" s="258" t="str">
        <f t="shared" si="163"/>
        <v>2</v>
      </c>
      <c r="J3502" s="221">
        <f t="shared" si="164"/>
        <v>51040</v>
      </c>
      <c r="K3502" s="258">
        <f t="shared" si="165"/>
        <v>12</v>
      </c>
      <c r="L3502" s="188">
        <v>51040</v>
      </c>
      <c r="M3502" s="188">
        <v>0</v>
      </c>
      <c r="N3502" s="189">
        <v>830003564</v>
      </c>
      <c r="O3502"/>
      <c r="P3502" s="187">
        <v>45280.873958333301</v>
      </c>
      <c r="Q3502" s="186">
        <v>14931</v>
      </c>
      <c r="R3502" s="185" t="s">
        <v>1814</v>
      </c>
      <c r="S3502" s="185" t="s">
        <v>1652</v>
      </c>
      <c r="T3502"/>
      <c r="U3502" t="str">
        <f>IF($L3502&gt;0,VLOOKUP($E3502,Valida!$A$1:$G$270,6,FALSE),IF($M3502&gt;=0,VLOOKUP($E3502,Valida!$A$1:$G$270,7,FALSE)))</f>
        <v>(+/-) Ajustes por el incremento (disminución) de cuentas por pagar de origen comercial</v>
      </c>
      <c r="V3502" s="190" t="str">
        <f>VLOOKUP(E3502,Valida!$A$2:$K$271,4,FALSE)</f>
        <v>Trade and other payables</v>
      </c>
      <c r="W3502" s="185" t="s">
        <v>1973</v>
      </c>
      <c r="X3502" s="185" t="s">
        <v>1974</v>
      </c>
      <c r="Y3502" s="185" t="s">
        <v>1789</v>
      </c>
      <c r="Z3502"/>
    </row>
    <row r="3503" spans="1:26">
      <c r="A3503" s="185" t="s">
        <v>3955</v>
      </c>
      <c r="B3503" s="185" t="s">
        <v>3969</v>
      </c>
      <c r="C3503" s="185" t="s">
        <v>1785</v>
      </c>
      <c r="D3503" s="185" t="s">
        <v>3945</v>
      </c>
      <c r="E3503" s="185">
        <v>237005</v>
      </c>
      <c r="F3503" s="185" t="s">
        <v>676</v>
      </c>
      <c r="G3503" s="185" t="s">
        <v>2207</v>
      </c>
      <c r="H3503" s="185" t="s">
        <v>1515</v>
      </c>
      <c r="I3503" s="258" t="str">
        <f t="shared" si="163"/>
        <v>2</v>
      </c>
      <c r="J3503" s="221">
        <f t="shared" si="164"/>
        <v>73200</v>
      </c>
      <c r="K3503" s="258">
        <f t="shared" si="165"/>
        <v>12</v>
      </c>
      <c r="L3503" s="188">
        <v>73200</v>
      </c>
      <c r="M3503" s="188">
        <v>0</v>
      </c>
      <c r="N3503" s="189">
        <v>860066942</v>
      </c>
      <c r="O3503"/>
      <c r="P3503" s="187">
        <v>45280.873958333301</v>
      </c>
      <c r="Q3503" s="186">
        <v>14932</v>
      </c>
      <c r="R3503" s="185" t="s">
        <v>1814</v>
      </c>
      <c r="S3503" s="185" t="s">
        <v>1574</v>
      </c>
      <c r="T3503"/>
      <c r="U3503" t="str">
        <f>IF($L3503&gt;0,VLOOKUP($E3503,Valida!$A$1:$G$270,6,FALSE),IF($M3503&gt;=0,VLOOKUP($E3503,Valida!$A$1:$G$270,7,FALSE)))</f>
        <v>(+/-) Ajustes por el incremento (disminución) de cuentas por pagar de origen comercial</v>
      </c>
      <c r="V3503" s="190" t="str">
        <f>VLOOKUP(E3503,Valida!$A$2:$K$271,4,FALSE)</f>
        <v>Trade and other payables</v>
      </c>
      <c r="W3503" s="185" t="s">
        <v>1914</v>
      </c>
      <c r="X3503" s="185" t="s">
        <v>1915</v>
      </c>
      <c r="Y3503" s="185" t="s">
        <v>1789</v>
      </c>
      <c r="Z3503"/>
    </row>
    <row r="3504" spans="1:26">
      <c r="A3504" s="185" t="s">
        <v>3955</v>
      </c>
      <c r="B3504" s="185" t="s">
        <v>3969</v>
      </c>
      <c r="C3504" s="185" t="s">
        <v>1785</v>
      </c>
      <c r="D3504" s="185" t="s">
        <v>3945</v>
      </c>
      <c r="E3504" s="185">
        <v>237005</v>
      </c>
      <c r="F3504" s="185" t="s">
        <v>676</v>
      </c>
      <c r="G3504" s="185" t="s">
        <v>2207</v>
      </c>
      <c r="H3504" s="185" t="s">
        <v>1515</v>
      </c>
      <c r="I3504" s="258" t="str">
        <f t="shared" si="163"/>
        <v>2</v>
      </c>
      <c r="J3504" s="221">
        <f t="shared" si="164"/>
        <v>73375</v>
      </c>
      <c r="K3504" s="258">
        <f t="shared" si="165"/>
        <v>12</v>
      </c>
      <c r="L3504" s="188">
        <v>73375</v>
      </c>
      <c r="M3504" s="188">
        <v>0</v>
      </c>
      <c r="N3504" s="189">
        <v>900156264</v>
      </c>
      <c r="O3504"/>
      <c r="P3504" s="187">
        <v>45280.873958333301</v>
      </c>
      <c r="Q3504" s="186">
        <v>14933</v>
      </c>
      <c r="R3504" s="185" t="s">
        <v>433</v>
      </c>
      <c r="S3504" s="185" t="s">
        <v>1654</v>
      </c>
      <c r="T3504"/>
      <c r="U3504" t="str">
        <f>IF($L3504&gt;0,VLOOKUP($E3504,Valida!$A$1:$G$270,6,FALSE),IF($M3504&gt;=0,VLOOKUP($E3504,Valida!$A$1:$G$270,7,FALSE)))</f>
        <v>(+/-) Ajustes por el incremento (disminución) de cuentas por pagar de origen comercial</v>
      </c>
      <c r="V3504" s="190" t="str">
        <f>VLOOKUP(E3504,Valida!$A$2:$K$271,4,FALSE)</f>
        <v>Trade and other payables</v>
      </c>
      <c r="W3504" s="185" t="s">
        <v>1926</v>
      </c>
      <c r="X3504" s="185" t="s">
        <v>1927</v>
      </c>
      <c r="Y3504" s="185" t="s">
        <v>1789</v>
      </c>
      <c r="Z3504"/>
    </row>
    <row r="3505" spans="1:26">
      <c r="A3505" s="185" t="s">
        <v>3955</v>
      </c>
      <c r="B3505" s="185" t="s">
        <v>3969</v>
      </c>
      <c r="C3505" s="185" t="s">
        <v>1785</v>
      </c>
      <c r="D3505" s="185" t="s">
        <v>3945</v>
      </c>
      <c r="E3505" s="185">
        <v>53059510</v>
      </c>
      <c r="F3505" s="185" t="s">
        <v>1065</v>
      </c>
      <c r="G3505" s="185" t="s">
        <v>2207</v>
      </c>
      <c r="H3505" s="185" t="s">
        <v>1515</v>
      </c>
      <c r="I3505" s="258" t="str">
        <f t="shared" si="163"/>
        <v>5</v>
      </c>
      <c r="J3505" s="221">
        <f t="shared" si="164"/>
        <v>885</v>
      </c>
      <c r="K3505" s="258">
        <f t="shared" si="165"/>
        <v>12</v>
      </c>
      <c r="L3505" s="188">
        <v>885</v>
      </c>
      <c r="M3505" s="188">
        <v>0</v>
      </c>
      <c r="N3505" s="189">
        <v>860066942</v>
      </c>
      <c r="O3505"/>
      <c r="P3505" s="187">
        <v>45280.873958333301</v>
      </c>
      <c r="Q3505" s="186">
        <v>14934</v>
      </c>
      <c r="R3505" s="185" t="s">
        <v>1814</v>
      </c>
      <c r="S3505" s="185" t="s">
        <v>1574</v>
      </c>
      <c r="T3505"/>
      <c r="U3505" t="str">
        <f>IF($L3505&gt;0,VLOOKUP($E3505,Valida!$A$1:$G$270,6,FALSE),IF($M3505&gt;=0,VLOOKUP($E3505,Valida!$A$1:$G$270,7,FALSE)))</f>
        <v>(+/-) Ganancia (pérdida)</v>
      </c>
      <c r="V3505" s="190" t="str">
        <f>VLOOKUP(E3505,Valida!$A$2:$K$271,4,FALSE)</f>
        <v>P&amp;L</v>
      </c>
      <c r="W3505" s="185" t="s">
        <v>1914</v>
      </c>
      <c r="X3505" s="185" t="s">
        <v>1915</v>
      </c>
      <c r="Y3505" s="185" t="s">
        <v>1789</v>
      </c>
      <c r="Z3505"/>
    </row>
    <row r="3506" spans="1:26">
      <c r="A3506" s="185" t="s">
        <v>3955</v>
      </c>
      <c r="B3506" s="185" t="s">
        <v>3970</v>
      </c>
      <c r="C3506" s="185" t="s">
        <v>1785</v>
      </c>
      <c r="D3506" s="185" t="s">
        <v>3948</v>
      </c>
      <c r="E3506" s="185">
        <v>237010</v>
      </c>
      <c r="F3506" s="185" t="s">
        <v>683</v>
      </c>
      <c r="G3506" s="185" t="s">
        <v>1989</v>
      </c>
      <c r="H3506" s="185" t="s">
        <v>1515</v>
      </c>
      <c r="I3506" s="258" t="str">
        <f t="shared" si="163"/>
        <v>2</v>
      </c>
      <c r="J3506" s="221">
        <f t="shared" si="164"/>
        <v>187289</v>
      </c>
      <c r="K3506" s="258">
        <f t="shared" si="165"/>
        <v>12</v>
      </c>
      <c r="L3506" s="188">
        <v>187289</v>
      </c>
      <c r="M3506" s="188">
        <v>0</v>
      </c>
      <c r="N3506" s="189">
        <v>860066942</v>
      </c>
      <c r="O3506"/>
      <c r="P3506" s="187">
        <v>45280.8758564815</v>
      </c>
      <c r="Q3506" s="186">
        <v>14935</v>
      </c>
      <c r="R3506" s="185" t="s">
        <v>1814</v>
      </c>
      <c r="S3506" s="185" t="s">
        <v>1574</v>
      </c>
      <c r="T3506"/>
      <c r="U3506" t="str">
        <f>IF($L3506&gt;0,VLOOKUP($E3506,Valida!$A$1:$G$270,6,FALSE),IF($M3506&gt;=0,VLOOKUP($E3506,Valida!$A$1:$G$270,7,FALSE)))</f>
        <v>(+/-) Ajustes por el incremento (disminución) de cuentas por pagar de origen comercial</v>
      </c>
      <c r="V3506" s="190" t="str">
        <f>VLOOKUP(E3506,Valida!$A$2:$K$271,4,FALSE)</f>
        <v>Trade and other payables</v>
      </c>
      <c r="W3506" s="185" t="s">
        <v>1914</v>
      </c>
      <c r="X3506" s="185" t="s">
        <v>1915</v>
      </c>
      <c r="Y3506" s="185" t="s">
        <v>1789</v>
      </c>
      <c r="Z3506"/>
    </row>
    <row r="3507" spans="1:26">
      <c r="A3507" s="185" t="s">
        <v>3955</v>
      </c>
      <c r="B3507" s="185" t="s">
        <v>3970</v>
      </c>
      <c r="C3507" s="185" t="s">
        <v>1785</v>
      </c>
      <c r="D3507" s="185" t="s">
        <v>3948</v>
      </c>
      <c r="E3507" s="185">
        <v>237006</v>
      </c>
      <c r="F3507" s="185" t="s">
        <v>680</v>
      </c>
      <c r="G3507" s="185" t="s">
        <v>1989</v>
      </c>
      <c r="H3507" s="185" t="s">
        <v>1515</v>
      </c>
      <c r="I3507" s="258" t="str">
        <f t="shared" si="163"/>
        <v>2</v>
      </c>
      <c r="J3507" s="221">
        <f t="shared" si="164"/>
        <v>27363</v>
      </c>
      <c r="K3507" s="258">
        <f t="shared" si="165"/>
        <v>12</v>
      </c>
      <c r="L3507" s="188">
        <v>27363</v>
      </c>
      <c r="M3507" s="188">
        <v>0</v>
      </c>
      <c r="N3507" s="189">
        <v>860002503</v>
      </c>
      <c r="O3507"/>
      <c r="P3507" s="187">
        <v>45280.8758564815</v>
      </c>
      <c r="Q3507" s="186">
        <v>14936</v>
      </c>
      <c r="R3507" s="185" t="s">
        <v>433</v>
      </c>
      <c r="S3507" s="185" t="s">
        <v>1656</v>
      </c>
      <c r="T3507"/>
      <c r="U3507" t="str">
        <f>IF($L3507&gt;0,VLOOKUP($E3507,Valida!$A$1:$G$270,6,FALSE),IF($M3507&gt;=0,VLOOKUP($E3507,Valida!$A$1:$G$270,7,FALSE)))</f>
        <v>(+/-) Ajustes por el incremento (disminución) de cuentas por pagar de origen comercial</v>
      </c>
      <c r="V3507" s="190" t="str">
        <f>VLOOKUP(E3507,Valida!$A$2:$K$271,4,FALSE)</f>
        <v>Trade and other payables</v>
      </c>
      <c r="W3507" s="185" t="s">
        <v>1912</v>
      </c>
      <c r="X3507" s="185" t="s">
        <v>1913</v>
      </c>
      <c r="Y3507" s="185" t="s">
        <v>1789</v>
      </c>
      <c r="Z3507"/>
    </row>
    <row r="3508" spans="1:26">
      <c r="A3508" s="185" t="s">
        <v>3955</v>
      </c>
      <c r="B3508" s="185" t="s">
        <v>3970</v>
      </c>
      <c r="C3508" s="185" t="s">
        <v>1785</v>
      </c>
      <c r="D3508" s="185" t="s">
        <v>3948</v>
      </c>
      <c r="E3508" s="185">
        <v>237095</v>
      </c>
      <c r="F3508" s="185" t="s">
        <v>150</v>
      </c>
      <c r="G3508" s="185" t="s">
        <v>1989</v>
      </c>
      <c r="H3508" s="185" t="s">
        <v>1628</v>
      </c>
      <c r="I3508" s="258" t="str">
        <f t="shared" si="163"/>
        <v>2</v>
      </c>
      <c r="J3508" s="221">
        <f t="shared" si="164"/>
        <v>-211800</v>
      </c>
      <c r="K3508" s="258">
        <f t="shared" si="165"/>
        <v>12</v>
      </c>
      <c r="L3508" s="188">
        <v>0</v>
      </c>
      <c r="M3508" s="188">
        <v>211800</v>
      </c>
      <c r="N3508" s="189">
        <v>860066942</v>
      </c>
      <c r="O3508"/>
      <c r="P3508" s="187">
        <v>45280.8758564815</v>
      </c>
      <c r="Q3508" s="186">
        <v>14937</v>
      </c>
      <c r="R3508" s="185" t="s">
        <v>1814</v>
      </c>
      <c r="S3508" s="185" t="s">
        <v>1574</v>
      </c>
      <c r="T3508"/>
      <c r="U3508" t="str">
        <f>IF($L3508&gt;0,VLOOKUP($E3508,Valida!$A$1:$G$270,6,FALSE),IF($M3508&gt;=0,VLOOKUP($E3508,Valida!$A$1:$G$270,7,FALSE)))</f>
        <v>(+/-) Ajustes por el incremento (disminución) de cuentas por pagar de origen comercial</v>
      </c>
      <c r="V3508" s="190" t="str">
        <f>VLOOKUP(E3508,Valida!$A$2:$K$271,4,FALSE)</f>
        <v>Trade and other payables</v>
      </c>
      <c r="W3508" s="185" t="s">
        <v>1914</v>
      </c>
      <c r="X3508" s="185" t="s">
        <v>1915</v>
      </c>
      <c r="Y3508" s="185" t="s">
        <v>1789</v>
      </c>
      <c r="Z3508"/>
    </row>
    <row r="3509" spans="1:26">
      <c r="A3509" s="185" t="s">
        <v>3955</v>
      </c>
      <c r="B3509" s="185" t="s">
        <v>3970</v>
      </c>
      <c r="C3509" s="185" t="s">
        <v>1785</v>
      </c>
      <c r="D3509" s="185" t="s">
        <v>3948</v>
      </c>
      <c r="E3509" s="185">
        <v>53059510</v>
      </c>
      <c r="F3509" s="185" t="s">
        <v>1065</v>
      </c>
      <c r="G3509" s="185" t="s">
        <v>1989</v>
      </c>
      <c r="H3509" s="185" t="s">
        <v>1628</v>
      </c>
      <c r="I3509" s="258" t="str">
        <f t="shared" si="163"/>
        <v>5</v>
      </c>
      <c r="J3509" s="221">
        <f t="shared" si="164"/>
        <v>-2852</v>
      </c>
      <c r="K3509" s="258">
        <f t="shared" si="165"/>
        <v>12</v>
      </c>
      <c r="L3509" s="188">
        <v>0</v>
      </c>
      <c r="M3509" s="188">
        <v>2852</v>
      </c>
      <c r="N3509" s="189">
        <v>860066942</v>
      </c>
      <c r="O3509"/>
      <c r="P3509" s="187">
        <v>45280.8758564815</v>
      </c>
      <c r="Q3509" s="186">
        <v>14938</v>
      </c>
      <c r="R3509" s="185" t="s">
        <v>1814</v>
      </c>
      <c r="S3509" s="185" t="s">
        <v>1574</v>
      </c>
      <c r="T3509"/>
      <c r="U3509" t="str">
        <f>IF($L3509&gt;0,VLOOKUP($E3509,Valida!$A$1:$G$270,6,FALSE),IF($M3509&gt;=0,VLOOKUP($E3509,Valida!$A$1:$G$270,7,FALSE)))</f>
        <v>(+/-) Ganancia (pérdida)</v>
      </c>
      <c r="V3509" s="190" t="str">
        <f>VLOOKUP(E3509,Valida!$A$2:$K$271,4,FALSE)</f>
        <v>P&amp;L</v>
      </c>
      <c r="W3509" s="185" t="s">
        <v>1914</v>
      </c>
      <c r="X3509" s="185" t="s">
        <v>1915</v>
      </c>
      <c r="Y3509" s="185" t="s">
        <v>1789</v>
      </c>
      <c r="Z3509"/>
    </row>
    <row r="3510" spans="1:26">
      <c r="A3510" s="185" t="s">
        <v>3971</v>
      </c>
      <c r="B3510" s="185" t="s">
        <v>3972</v>
      </c>
      <c r="C3510" s="185" t="s">
        <v>1792</v>
      </c>
      <c r="D3510" s="185" t="s">
        <v>2698</v>
      </c>
      <c r="E3510" s="185">
        <v>133015</v>
      </c>
      <c r="F3510" s="185" t="s">
        <v>138</v>
      </c>
      <c r="G3510" s="185" t="s">
        <v>3973</v>
      </c>
      <c r="H3510" s="185" t="s">
        <v>1515</v>
      </c>
      <c r="I3510" s="258" t="str">
        <f t="shared" si="163"/>
        <v>1</v>
      </c>
      <c r="J3510" s="221">
        <f t="shared" si="164"/>
        <v>200000</v>
      </c>
      <c r="K3510" s="258">
        <f t="shared" si="165"/>
        <v>12</v>
      </c>
      <c r="L3510" s="188">
        <v>200000</v>
      </c>
      <c r="M3510" s="188">
        <v>0</v>
      </c>
      <c r="N3510" s="189">
        <v>1001284057</v>
      </c>
      <c r="O3510"/>
      <c r="P3510" s="187">
        <v>45281.463645833297</v>
      </c>
      <c r="Q3510" s="186">
        <v>14939</v>
      </c>
      <c r="R3510" s="185"/>
      <c r="S3510" s="185" t="s">
        <v>1526</v>
      </c>
      <c r="T3510"/>
      <c r="U3510" t="str">
        <f>IF($L3510&gt;0,VLOOKUP($E3510,Valida!$A$1:$G$270,6,FALSE),IF($M3510&gt;=0,VLOOKUP($E3510,Valida!$A$1:$G$270,7,FALSE)))</f>
        <v>(+/-) Ajustes por disminuciones (incrementos) en otras cuentas por cobrar derivadas de las actividades de operación</v>
      </c>
      <c r="V3510" s="190" t="str">
        <f>VLOOKUP(E3510,Valida!$A$2:$K$271,4,FALSE)</f>
        <v>Trade and other receivables</v>
      </c>
      <c r="W3510" s="185" t="s">
        <v>3454</v>
      </c>
      <c r="X3510" s="185" t="s">
        <v>3455</v>
      </c>
      <c r="Y3510" s="185" t="s">
        <v>1789</v>
      </c>
      <c r="Z3510"/>
    </row>
    <row r="3511" spans="1:26">
      <c r="A3511" s="185" t="s">
        <v>3971</v>
      </c>
      <c r="B3511" s="185" t="s">
        <v>3972</v>
      </c>
      <c r="C3511" s="185" t="s">
        <v>1792</v>
      </c>
      <c r="D3511" s="185" t="s">
        <v>2698</v>
      </c>
      <c r="E3511" s="185">
        <v>133015</v>
      </c>
      <c r="F3511" s="185" t="s">
        <v>138</v>
      </c>
      <c r="G3511" s="185" t="s">
        <v>3973</v>
      </c>
      <c r="H3511" s="185" t="s">
        <v>1515</v>
      </c>
      <c r="I3511" s="258" t="str">
        <f t="shared" si="163"/>
        <v>1</v>
      </c>
      <c r="J3511" s="221">
        <f t="shared" si="164"/>
        <v>200000</v>
      </c>
      <c r="K3511" s="258">
        <f t="shared" si="165"/>
        <v>12</v>
      </c>
      <c r="L3511" s="188">
        <v>200000</v>
      </c>
      <c r="M3511" s="188">
        <v>0</v>
      </c>
      <c r="N3511" s="189">
        <v>1000036375</v>
      </c>
      <c r="O3511"/>
      <c r="P3511" s="187">
        <v>45281.463645833297</v>
      </c>
      <c r="Q3511" s="186">
        <v>14940</v>
      </c>
      <c r="R3511" s="185"/>
      <c r="S3511" s="185" t="s">
        <v>1524</v>
      </c>
      <c r="T3511"/>
      <c r="U3511" t="str">
        <f>IF($L3511&gt;0,VLOOKUP($E3511,Valida!$A$1:$G$270,6,FALSE),IF($M3511&gt;=0,VLOOKUP($E3511,Valida!$A$1:$G$270,7,FALSE)))</f>
        <v>(+/-) Ajustes por disminuciones (incrementos) en otras cuentas por cobrar derivadas de las actividades de operación</v>
      </c>
      <c r="V3511" s="190" t="str">
        <f>VLOOKUP(E3511,Valida!$A$2:$K$271,4,FALSE)</f>
        <v>Trade and other receivables</v>
      </c>
      <c r="W3511" s="185" t="s">
        <v>1983</v>
      </c>
      <c r="X3511" s="185"/>
      <c r="Y3511" s="185" t="s">
        <v>1789</v>
      </c>
      <c r="Z3511"/>
    </row>
    <row r="3512" spans="1:26">
      <c r="A3512" s="185" t="s">
        <v>3971</v>
      </c>
      <c r="B3512" s="185" t="s">
        <v>3972</v>
      </c>
      <c r="C3512" s="185" t="s">
        <v>1792</v>
      </c>
      <c r="D3512" s="185" t="s">
        <v>2698</v>
      </c>
      <c r="E3512" s="185">
        <v>133015</v>
      </c>
      <c r="F3512" s="185" t="s">
        <v>138</v>
      </c>
      <c r="G3512" s="185" t="s">
        <v>3973</v>
      </c>
      <c r="H3512" s="185" t="s">
        <v>1515</v>
      </c>
      <c r="I3512" s="258" t="str">
        <f t="shared" si="163"/>
        <v>1</v>
      </c>
      <c r="J3512" s="221">
        <f t="shared" si="164"/>
        <v>200000</v>
      </c>
      <c r="K3512" s="258">
        <f t="shared" si="165"/>
        <v>12</v>
      </c>
      <c r="L3512" s="188">
        <v>200000</v>
      </c>
      <c r="M3512" s="188">
        <v>0</v>
      </c>
      <c r="N3512" s="189">
        <v>1000018061</v>
      </c>
      <c r="O3512"/>
      <c r="P3512" s="187">
        <v>45281.463645833297</v>
      </c>
      <c r="Q3512" s="186">
        <v>14941</v>
      </c>
      <c r="R3512" s="185"/>
      <c r="S3512" s="185" t="s">
        <v>1522</v>
      </c>
      <c r="T3512"/>
      <c r="U3512" t="str">
        <f>IF($L3512&gt;0,VLOOKUP($E3512,Valida!$A$1:$G$270,6,FALSE),IF($M3512&gt;=0,VLOOKUP($E3512,Valida!$A$1:$G$270,7,FALSE)))</f>
        <v>(+/-) Ajustes por disminuciones (incrementos) en otras cuentas por cobrar derivadas de las actividades de operación</v>
      </c>
      <c r="V3512" s="190" t="str">
        <f>VLOOKUP(E3512,Valida!$A$2:$K$271,4,FALSE)</f>
        <v>Trade and other receivables</v>
      </c>
      <c r="W3512" s="185" t="s">
        <v>1978</v>
      </c>
      <c r="X3512" s="185"/>
      <c r="Y3512" s="185" t="s">
        <v>1789</v>
      </c>
      <c r="Z3512"/>
    </row>
    <row r="3513" spans="1:26">
      <c r="A3513" s="185" t="s">
        <v>3971</v>
      </c>
      <c r="B3513" s="185" t="s">
        <v>3972</v>
      </c>
      <c r="C3513" s="185" t="s">
        <v>1792</v>
      </c>
      <c r="D3513" s="185" t="s">
        <v>2698</v>
      </c>
      <c r="E3513" s="185">
        <v>133015</v>
      </c>
      <c r="F3513" s="185" t="s">
        <v>138</v>
      </c>
      <c r="G3513" s="185" t="s">
        <v>3973</v>
      </c>
      <c r="H3513" s="185" t="s">
        <v>1515</v>
      </c>
      <c r="I3513" s="258" t="str">
        <f t="shared" si="163"/>
        <v>1</v>
      </c>
      <c r="J3513" s="221">
        <f t="shared" si="164"/>
        <v>200000</v>
      </c>
      <c r="K3513" s="258">
        <f t="shared" si="165"/>
        <v>12</v>
      </c>
      <c r="L3513" s="188">
        <v>200000</v>
      </c>
      <c r="M3513" s="188">
        <v>0</v>
      </c>
      <c r="N3513" s="189">
        <v>1010101811</v>
      </c>
      <c r="O3513"/>
      <c r="P3513" s="187">
        <v>45281.463645833297</v>
      </c>
      <c r="Q3513" s="186">
        <v>14942</v>
      </c>
      <c r="R3513" s="185"/>
      <c r="S3513" s="185" t="s">
        <v>1528</v>
      </c>
      <c r="T3513"/>
      <c r="U3513" t="str">
        <f>IF($L3513&gt;0,VLOOKUP($E3513,Valida!$A$1:$G$270,6,FALSE),IF($M3513&gt;=0,VLOOKUP($E3513,Valida!$A$1:$G$270,7,FALSE)))</f>
        <v>(+/-) Ajustes por disminuciones (incrementos) en otras cuentas por cobrar derivadas de las actividades de operación</v>
      </c>
      <c r="V3513" s="190" t="str">
        <f>VLOOKUP(E3513,Valida!$A$2:$K$271,4,FALSE)</f>
        <v>Trade and other receivables</v>
      </c>
      <c r="W3513" s="185" t="s">
        <v>1967</v>
      </c>
      <c r="X3513" s="185"/>
      <c r="Y3513" s="185" t="s">
        <v>1789</v>
      </c>
      <c r="Z3513"/>
    </row>
    <row r="3514" spans="1:26">
      <c r="A3514" s="185" t="s">
        <v>3971</v>
      </c>
      <c r="B3514" s="185" t="s">
        <v>3972</v>
      </c>
      <c r="C3514" s="185" t="s">
        <v>1792</v>
      </c>
      <c r="D3514" s="185" t="s">
        <v>2698</v>
      </c>
      <c r="E3514" s="185">
        <v>133015</v>
      </c>
      <c r="F3514" s="185" t="s">
        <v>138</v>
      </c>
      <c r="G3514" s="185" t="s">
        <v>3973</v>
      </c>
      <c r="H3514" s="185" t="s">
        <v>1515</v>
      </c>
      <c r="I3514" s="258" t="str">
        <f t="shared" si="163"/>
        <v>1</v>
      </c>
      <c r="J3514" s="221">
        <f t="shared" si="164"/>
        <v>200000</v>
      </c>
      <c r="K3514" s="258">
        <f t="shared" si="165"/>
        <v>12</v>
      </c>
      <c r="L3514" s="188">
        <v>200000</v>
      </c>
      <c r="M3514" s="188">
        <v>0</v>
      </c>
      <c r="N3514" s="189">
        <v>1130744136</v>
      </c>
      <c r="O3514"/>
      <c r="P3514" s="187">
        <v>45281.463645833297</v>
      </c>
      <c r="Q3514" s="186">
        <v>14943</v>
      </c>
      <c r="R3514" s="185"/>
      <c r="S3514" s="185" t="s">
        <v>1538</v>
      </c>
      <c r="T3514"/>
      <c r="U3514" t="str">
        <f>IF($L3514&gt;0,VLOOKUP($E3514,Valida!$A$1:$G$270,6,FALSE),IF($M3514&gt;=0,VLOOKUP($E3514,Valida!$A$1:$G$270,7,FALSE)))</f>
        <v>(+/-) Ajustes por disminuciones (incrementos) en otras cuentas por cobrar derivadas de las actividades de operación</v>
      </c>
      <c r="V3514" s="190" t="str">
        <f>VLOOKUP(E3514,Valida!$A$2:$K$271,4,FALSE)</f>
        <v>Trade and other receivables</v>
      </c>
      <c r="W3514" s="185" t="s">
        <v>1909</v>
      </c>
      <c r="X3514" s="185" t="s">
        <v>1910</v>
      </c>
      <c r="Y3514" s="185" t="s">
        <v>1789</v>
      </c>
      <c r="Z3514"/>
    </row>
    <row r="3515" spans="1:26">
      <c r="A3515" s="185" t="s">
        <v>3971</v>
      </c>
      <c r="B3515" s="185" t="s">
        <v>3972</v>
      </c>
      <c r="C3515" s="185" t="s">
        <v>1792</v>
      </c>
      <c r="D3515" s="185" t="s">
        <v>2698</v>
      </c>
      <c r="E3515" s="185">
        <v>23359507</v>
      </c>
      <c r="F3515" s="185" t="s">
        <v>1644</v>
      </c>
      <c r="G3515" s="185" t="s">
        <v>1644</v>
      </c>
      <c r="H3515" s="185" t="s">
        <v>1628</v>
      </c>
      <c r="I3515" s="258" t="str">
        <f t="shared" si="163"/>
        <v>2</v>
      </c>
      <c r="J3515" s="221">
        <f t="shared" si="164"/>
        <v>-200000</v>
      </c>
      <c r="K3515" s="258">
        <f t="shared" si="165"/>
        <v>12</v>
      </c>
      <c r="L3515" s="188">
        <v>0</v>
      </c>
      <c r="M3515" s="188">
        <v>200000</v>
      </c>
      <c r="N3515" s="189">
        <v>1001284057</v>
      </c>
      <c r="O3515"/>
      <c r="P3515" s="187">
        <v>45281.463645833297</v>
      </c>
      <c r="Q3515" s="186">
        <v>14944</v>
      </c>
      <c r="R3515" s="185"/>
      <c r="S3515" s="185" t="s">
        <v>1526</v>
      </c>
      <c r="T3515"/>
      <c r="U3515" t="str">
        <f>IF($L3515&gt;0,VLOOKUP($E3515,Valida!$A$1:$G$270,6,FALSE),IF($M3515&gt;=0,VLOOKUP($E3515,Valida!$A$1:$G$270,7,FALSE)))</f>
        <v>(+/-) Ajustes por el incremento (disminución) de cuentas por pagar de origen comercial</v>
      </c>
      <c r="V3515" s="190" t="str">
        <f>VLOOKUP(E3515,Valida!$A$2:$K$271,4,FALSE)</f>
        <v>Trade and other payables</v>
      </c>
      <c r="W3515" s="185" t="s">
        <v>3454</v>
      </c>
      <c r="X3515" s="185" t="s">
        <v>3455</v>
      </c>
      <c r="Y3515" s="185" t="s">
        <v>1789</v>
      </c>
      <c r="Z3515"/>
    </row>
    <row r="3516" spans="1:26">
      <c r="A3516" s="185" t="s">
        <v>3971</v>
      </c>
      <c r="B3516" s="185" t="s">
        <v>3972</v>
      </c>
      <c r="C3516" s="185" t="s">
        <v>1792</v>
      </c>
      <c r="D3516" s="185" t="s">
        <v>2698</v>
      </c>
      <c r="E3516" s="185">
        <v>23359507</v>
      </c>
      <c r="F3516" s="185" t="s">
        <v>1644</v>
      </c>
      <c r="G3516" s="185" t="s">
        <v>3973</v>
      </c>
      <c r="H3516" s="185" t="s">
        <v>1628</v>
      </c>
      <c r="I3516" s="258" t="str">
        <f t="shared" si="163"/>
        <v>2</v>
      </c>
      <c r="J3516" s="221">
        <f t="shared" si="164"/>
        <v>-200000</v>
      </c>
      <c r="K3516" s="258">
        <f t="shared" si="165"/>
        <v>12</v>
      </c>
      <c r="L3516" s="188">
        <v>0</v>
      </c>
      <c r="M3516" s="188">
        <v>200000</v>
      </c>
      <c r="N3516" s="189">
        <v>1000036375</v>
      </c>
      <c r="O3516"/>
      <c r="P3516" s="187">
        <v>45281.463645833297</v>
      </c>
      <c r="Q3516" s="186">
        <v>14945</v>
      </c>
      <c r="R3516" s="185"/>
      <c r="S3516" s="185" t="s">
        <v>1524</v>
      </c>
      <c r="T3516"/>
      <c r="U3516" t="str">
        <f>IF($L3516&gt;0,VLOOKUP($E3516,Valida!$A$1:$G$270,6,FALSE),IF($M3516&gt;=0,VLOOKUP($E3516,Valida!$A$1:$G$270,7,FALSE)))</f>
        <v>(+/-) Ajustes por el incremento (disminución) de cuentas por pagar de origen comercial</v>
      </c>
      <c r="V3516" s="190" t="str">
        <f>VLOOKUP(E3516,Valida!$A$2:$K$271,4,FALSE)</f>
        <v>Trade and other payables</v>
      </c>
      <c r="W3516" s="185" t="s">
        <v>1983</v>
      </c>
      <c r="X3516" s="185"/>
      <c r="Y3516" s="185" t="s">
        <v>1789</v>
      </c>
      <c r="Z3516"/>
    </row>
    <row r="3517" spans="1:26">
      <c r="A3517" s="185" t="s">
        <v>3971</v>
      </c>
      <c r="B3517" s="185" t="s">
        <v>3972</v>
      </c>
      <c r="C3517" s="185" t="s">
        <v>1792</v>
      </c>
      <c r="D3517" s="185" t="s">
        <v>2698</v>
      </c>
      <c r="E3517" s="185">
        <v>23359507</v>
      </c>
      <c r="F3517" s="185" t="s">
        <v>1644</v>
      </c>
      <c r="G3517" s="185" t="s">
        <v>3973</v>
      </c>
      <c r="H3517" s="185" t="s">
        <v>1628</v>
      </c>
      <c r="I3517" s="258" t="str">
        <f t="shared" si="163"/>
        <v>2</v>
      </c>
      <c r="J3517" s="221">
        <f t="shared" si="164"/>
        <v>-200000</v>
      </c>
      <c r="K3517" s="258">
        <f t="shared" si="165"/>
        <v>12</v>
      </c>
      <c r="L3517" s="188">
        <v>0</v>
      </c>
      <c r="M3517" s="188">
        <v>200000</v>
      </c>
      <c r="N3517" s="189">
        <v>1000018061</v>
      </c>
      <c r="O3517"/>
      <c r="P3517" s="187">
        <v>45281.463645833297</v>
      </c>
      <c r="Q3517" s="186">
        <v>14946</v>
      </c>
      <c r="R3517" s="185"/>
      <c r="S3517" s="185" t="s">
        <v>1522</v>
      </c>
      <c r="T3517"/>
      <c r="U3517" t="str">
        <f>IF($L3517&gt;0,VLOOKUP($E3517,Valida!$A$1:$G$270,6,FALSE),IF($M3517&gt;=0,VLOOKUP($E3517,Valida!$A$1:$G$270,7,FALSE)))</f>
        <v>(+/-) Ajustes por el incremento (disminución) de cuentas por pagar de origen comercial</v>
      </c>
      <c r="V3517" s="190" t="str">
        <f>VLOOKUP(E3517,Valida!$A$2:$K$271,4,FALSE)</f>
        <v>Trade and other payables</v>
      </c>
      <c r="W3517" s="185" t="s">
        <v>1978</v>
      </c>
      <c r="X3517" s="185"/>
      <c r="Y3517" s="185" t="s">
        <v>1789</v>
      </c>
      <c r="Z3517"/>
    </row>
    <row r="3518" spans="1:26">
      <c r="A3518" s="185" t="s">
        <v>3971</v>
      </c>
      <c r="B3518" s="185" t="s">
        <v>3972</v>
      </c>
      <c r="C3518" s="185" t="s">
        <v>1792</v>
      </c>
      <c r="D3518" s="185" t="s">
        <v>2698</v>
      </c>
      <c r="E3518" s="185">
        <v>23359507</v>
      </c>
      <c r="F3518" s="185" t="s">
        <v>1644</v>
      </c>
      <c r="G3518" s="185" t="s">
        <v>3973</v>
      </c>
      <c r="H3518" s="185" t="s">
        <v>1628</v>
      </c>
      <c r="I3518" s="258" t="str">
        <f t="shared" si="163"/>
        <v>2</v>
      </c>
      <c r="J3518" s="221">
        <f t="shared" si="164"/>
        <v>-200000</v>
      </c>
      <c r="K3518" s="258">
        <f t="shared" si="165"/>
        <v>12</v>
      </c>
      <c r="L3518" s="188">
        <v>0</v>
      </c>
      <c r="M3518" s="188">
        <v>200000</v>
      </c>
      <c r="N3518" s="189">
        <v>1010101811</v>
      </c>
      <c r="O3518"/>
      <c r="P3518" s="187">
        <v>45281.463645833297</v>
      </c>
      <c r="Q3518" s="186">
        <v>14947</v>
      </c>
      <c r="R3518" s="185"/>
      <c r="S3518" s="185" t="s">
        <v>1528</v>
      </c>
      <c r="T3518"/>
      <c r="U3518" t="str">
        <f>IF($L3518&gt;0,VLOOKUP($E3518,Valida!$A$1:$G$270,6,FALSE),IF($M3518&gt;=0,VLOOKUP($E3518,Valida!$A$1:$G$270,7,FALSE)))</f>
        <v>(+/-) Ajustes por el incremento (disminución) de cuentas por pagar de origen comercial</v>
      </c>
      <c r="V3518" s="190" t="str">
        <f>VLOOKUP(E3518,Valida!$A$2:$K$271,4,FALSE)</f>
        <v>Trade and other payables</v>
      </c>
      <c r="W3518" s="185" t="s">
        <v>1967</v>
      </c>
      <c r="X3518" s="185"/>
      <c r="Y3518" s="185" t="s">
        <v>1789</v>
      </c>
      <c r="Z3518"/>
    </row>
    <row r="3519" spans="1:26">
      <c r="A3519" s="185" t="s">
        <v>3971</v>
      </c>
      <c r="B3519" s="185" t="s">
        <v>3972</v>
      </c>
      <c r="C3519" s="185" t="s">
        <v>1792</v>
      </c>
      <c r="D3519" s="185" t="s">
        <v>2698</v>
      </c>
      <c r="E3519" s="185">
        <v>23359507</v>
      </c>
      <c r="F3519" s="185" t="s">
        <v>1644</v>
      </c>
      <c r="G3519" s="185" t="s">
        <v>3973</v>
      </c>
      <c r="H3519" s="185" t="s">
        <v>1628</v>
      </c>
      <c r="I3519" s="258" t="str">
        <f t="shared" si="163"/>
        <v>2</v>
      </c>
      <c r="J3519" s="221">
        <f t="shared" si="164"/>
        <v>-200000</v>
      </c>
      <c r="K3519" s="258">
        <f t="shared" si="165"/>
        <v>12</v>
      </c>
      <c r="L3519" s="188">
        <v>0</v>
      </c>
      <c r="M3519" s="188">
        <v>200000</v>
      </c>
      <c r="N3519" s="189">
        <v>1130744136</v>
      </c>
      <c r="O3519"/>
      <c r="P3519" s="187">
        <v>45281.463645833297</v>
      </c>
      <c r="Q3519" s="186">
        <v>14948</v>
      </c>
      <c r="R3519" s="185"/>
      <c r="S3519" s="185" t="s">
        <v>1538</v>
      </c>
      <c r="T3519"/>
      <c r="U3519" t="str">
        <f>IF($L3519&gt;0,VLOOKUP($E3519,Valida!$A$1:$G$270,6,FALSE),IF($M3519&gt;=0,VLOOKUP($E3519,Valida!$A$1:$G$270,7,FALSE)))</f>
        <v>(+/-) Ajustes por el incremento (disminución) de cuentas por pagar de origen comercial</v>
      </c>
      <c r="V3519" s="190" t="str">
        <f>VLOOKUP(E3519,Valida!$A$2:$K$271,4,FALSE)</f>
        <v>Trade and other payables</v>
      </c>
      <c r="W3519" s="185" t="s">
        <v>1909</v>
      </c>
      <c r="X3519" s="185" t="s">
        <v>1910</v>
      </c>
      <c r="Y3519" s="185" t="s">
        <v>1789</v>
      </c>
      <c r="Z3519"/>
    </row>
    <row r="3520" spans="1:26">
      <c r="A3520" s="185" t="s">
        <v>3810</v>
      </c>
      <c r="B3520" s="185" t="s">
        <v>3974</v>
      </c>
      <c r="C3520" s="185" t="s">
        <v>2045</v>
      </c>
      <c r="D3520" s="185" t="s">
        <v>1457</v>
      </c>
      <c r="E3520" s="185">
        <v>23355002</v>
      </c>
      <c r="F3520" s="185" t="s">
        <v>506</v>
      </c>
      <c r="G3520" s="185" t="s">
        <v>3975</v>
      </c>
      <c r="H3520" s="185" t="s">
        <v>1628</v>
      </c>
      <c r="I3520" s="258" t="str">
        <f t="shared" si="163"/>
        <v>2</v>
      </c>
      <c r="J3520" s="221">
        <f t="shared" si="164"/>
        <v>-97530.25</v>
      </c>
      <c r="K3520" s="258">
        <f t="shared" si="165"/>
        <v>11</v>
      </c>
      <c r="L3520" s="188">
        <v>0</v>
      </c>
      <c r="M3520" s="188">
        <v>97530.25</v>
      </c>
      <c r="N3520" s="189">
        <v>440493581</v>
      </c>
      <c r="O3520" t="s">
        <v>3976</v>
      </c>
      <c r="P3520" s="187">
        <v>45281.499629629601</v>
      </c>
      <c r="Q3520" s="186">
        <v>14949</v>
      </c>
      <c r="R3520" s="185"/>
      <c r="S3520" s="185" t="s">
        <v>1546</v>
      </c>
      <c r="T3520"/>
      <c r="U3520" t="str">
        <f>IF($L3520&gt;0,VLOOKUP($E3520,Valida!$A$1:$G$270,6,FALSE),IF($M3520&gt;=0,VLOOKUP($E3520,Valida!$A$1:$G$270,7,FALSE)))</f>
        <v>(+/-) Ajustes por el incremento (disminución) de cuentas por pagar de origen comercial</v>
      </c>
      <c r="V3520" s="190" t="str">
        <f>VLOOKUP(E3520,Valida!$A$2:$K$271,4,FALSE)</f>
        <v>Trade and other payables</v>
      </c>
      <c r="W3520" s="185" t="s">
        <v>1808</v>
      </c>
      <c r="X3520" s="185"/>
      <c r="Y3520" s="185"/>
      <c r="Z3520"/>
    </row>
    <row r="3521" spans="1:26">
      <c r="A3521" s="185" t="s">
        <v>3810</v>
      </c>
      <c r="B3521" s="185" t="s">
        <v>3974</v>
      </c>
      <c r="C3521" s="185" t="s">
        <v>2045</v>
      </c>
      <c r="D3521" s="185" t="s">
        <v>1457</v>
      </c>
      <c r="E3521" s="185">
        <v>51352001</v>
      </c>
      <c r="F3521" s="185" t="s">
        <v>1267</v>
      </c>
      <c r="G3521" s="185" t="s">
        <v>3977</v>
      </c>
      <c r="H3521" s="185" t="s">
        <v>1515</v>
      </c>
      <c r="I3521" s="258" t="str">
        <f t="shared" si="163"/>
        <v>5</v>
      </c>
      <c r="J3521" s="221">
        <f t="shared" si="164"/>
        <v>97530.25</v>
      </c>
      <c r="K3521" s="258">
        <f t="shared" si="165"/>
        <v>11</v>
      </c>
      <c r="L3521" s="188">
        <v>97530.25</v>
      </c>
      <c r="M3521" s="188">
        <v>0</v>
      </c>
      <c r="N3521" s="189">
        <v>440493581</v>
      </c>
      <c r="O3521" t="s">
        <v>3976</v>
      </c>
      <c r="P3521" s="187">
        <v>45281.499629629601</v>
      </c>
      <c r="Q3521" s="186">
        <v>14950</v>
      </c>
      <c r="R3521" s="185"/>
      <c r="S3521" s="185" t="s">
        <v>1546</v>
      </c>
      <c r="T3521"/>
      <c r="U3521" t="str">
        <f>IF($L3521&gt;0,VLOOKUP($E3521,Valida!$A$1:$G$270,6,FALSE),IF($M3521&gt;=0,VLOOKUP($E3521,Valida!$A$1:$G$270,7,FALSE)))</f>
        <v>(+/-) Ganancia (pérdida)</v>
      </c>
      <c r="V3521" s="190" t="str">
        <f>VLOOKUP(E3521,Valida!$A$2:$K$271,4,FALSE)</f>
        <v>P&amp;L</v>
      </c>
      <c r="W3521" s="185" t="s">
        <v>1808</v>
      </c>
      <c r="X3521" s="185"/>
      <c r="Y3521" s="185"/>
      <c r="Z3521"/>
    </row>
    <row r="3522" spans="1:26">
      <c r="A3522" s="185" t="s">
        <v>3971</v>
      </c>
      <c r="B3522" s="185" t="s">
        <v>3978</v>
      </c>
      <c r="C3522" s="185" t="s">
        <v>2045</v>
      </c>
      <c r="D3522" s="185" t="s">
        <v>1499</v>
      </c>
      <c r="E3522" s="185">
        <v>23354001</v>
      </c>
      <c r="F3522" s="185" t="s">
        <v>484</v>
      </c>
      <c r="G3522" s="185" t="s">
        <v>3979</v>
      </c>
      <c r="H3522" s="185" t="s">
        <v>1628</v>
      </c>
      <c r="I3522" s="258" t="str">
        <f t="shared" si="163"/>
        <v>2</v>
      </c>
      <c r="J3522" s="221">
        <f t="shared" si="164"/>
        <v>-3955088</v>
      </c>
      <c r="K3522" s="258">
        <f t="shared" si="165"/>
        <v>12</v>
      </c>
      <c r="L3522" s="188">
        <v>0</v>
      </c>
      <c r="M3522" s="188">
        <v>3955088</v>
      </c>
      <c r="N3522" s="189">
        <v>860044821</v>
      </c>
      <c r="O3522" t="s">
        <v>3980</v>
      </c>
      <c r="P3522" s="187">
        <v>45281.501516203702</v>
      </c>
      <c r="Q3522" s="186">
        <v>14951</v>
      </c>
      <c r="R3522" s="185" t="s">
        <v>6</v>
      </c>
      <c r="S3522" s="185" t="s">
        <v>1570</v>
      </c>
      <c r="T3522"/>
      <c r="U3522" t="str">
        <f>IF($L3522&gt;0,VLOOKUP($E3522,Valida!$A$1:$G$270,6,FALSE),IF($M3522&gt;=0,VLOOKUP($E3522,Valida!$A$1:$G$270,7,FALSE)))</f>
        <v>(+/-) Ajustes por el incremento (disminución) de cuentas por pagar de origen comercial</v>
      </c>
      <c r="V3522" s="190" t="str">
        <f>VLOOKUP(E3522,Valida!$A$2:$K$271,4,FALSE)</f>
        <v>Trade and other payables</v>
      </c>
      <c r="W3522" s="185" t="s">
        <v>2048</v>
      </c>
      <c r="X3522" s="185"/>
      <c r="Y3522" s="185" t="s">
        <v>1789</v>
      </c>
      <c r="Z3522"/>
    </row>
    <row r="3523" spans="1:26">
      <c r="A3523" s="185" t="s">
        <v>3971</v>
      </c>
      <c r="B3523" s="185" t="s">
        <v>3978</v>
      </c>
      <c r="C3523" s="185" t="s">
        <v>2045</v>
      </c>
      <c r="D3523" s="185" t="s">
        <v>1499</v>
      </c>
      <c r="E3523" s="185">
        <v>51359501</v>
      </c>
      <c r="F3523" s="185" t="s">
        <v>1290</v>
      </c>
      <c r="G3523" s="185" t="s">
        <v>3981</v>
      </c>
      <c r="H3523" s="185" t="s">
        <v>1515</v>
      </c>
      <c r="I3523" s="258" t="str">
        <f t="shared" ref="I3523:I3586" si="166">LEFT(E3523,1)</f>
        <v>5</v>
      </c>
      <c r="J3523" s="221">
        <f t="shared" ref="J3523:J3586" si="167">L3523-M3523</f>
        <v>3955088</v>
      </c>
      <c r="K3523" s="258">
        <f t="shared" ref="K3523:K3586" si="168">MONTH(A3523)</f>
        <v>12</v>
      </c>
      <c r="L3523" s="188">
        <v>3955088</v>
      </c>
      <c r="M3523" s="188">
        <v>0</v>
      </c>
      <c r="N3523" s="189">
        <v>860044821</v>
      </c>
      <c r="O3523" t="s">
        <v>3980</v>
      </c>
      <c r="P3523" s="187">
        <v>45281.501516203702</v>
      </c>
      <c r="Q3523" s="186">
        <v>14952</v>
      </c>
      <c r="R3523" s="185" t="s">
        <v>6</v>
      </c>
      <c r="S3523" s="185" t="s">
        <v>1570</v>
      </c>
      <c r="T3523"/>
      <c r="U3523" t="str">
        <f>IF($L3523&gt;0,VLOOKUP($E3523,Valida!$A$1:$G$270,6,FALSE),IF($M3523&gt;=0,VLOOKUP($E3523,Valida!$A$1:$G$270,7,FALSE)))</f>
        <v>(+/-) Ganancia (pérdida)</v>
      </c>
      <c r="V3523" s="190" t="str">
        <f>VLOOKUP(E3523,Valida!$A$2:$K$271,4,FALSE)</f>
        <v>P&amp;L</v>
      </c>
      <c r="W3523" s="185" t="s">
        <v>2048</v>
      </c>
      <c r="X3523" s="185"/>
      <c r="Y3523" s="185" t="s">
        <v>1789</v>
      </c>
      <c r="Z3523"/>
    </row>
    <row r="3524" spans="1:26">
      <c r="A3524" s="185" t="s">
        <v>3982</v>
      </c>
      <c r="B3524" s="185" t="s">
        <v>3983</v>
      </c>
      <c r="C3524" s="185" t="s">
        <v>1792</v>
      </c>
      <c r="D3524" s="185" t="s">
        <v>2700</v>
      </c>
      <c r="E3524" s="185">
        <v>510551</v>
      </c>
      <c r="F3524" s="185" t="s">
        <v>799</v>
      </c>
      <c r="G3524" s="185" t="s">
        <v>3246</v>
      </c>
      <c r="H3524" s="185" t="s">
        <v>1515</v>
      </c>
      <c r="I3524" s="258" t="str">
        <f t="shared" si="166"/>
        <v>5</v>
      </c>
      <c r="J3524" s="221">
        <f t="shared" si="167"/>
        <v>158765</v>
      </c>
      <c r="K3524" s="258">
        <f t="shared" si="168"/>
        <v>12</v>
      </c>
      <c r="L3524" s="188">
        <v>158765</v>
      </c>
      <c r="M3524" s="188">
        <v>0</v>
      </c>
      <c r="N3524" s="189">
        <v>900796026</v>
      </c>
      <c r="O3524" t="s">
        <v>3984</v>
      </c>
      <c r="P3524" s="187">
        <v>45281.526770833298</v>
      </c>
      <c r="Q3524" s="186">
        <v>14953</v>
      </c>
      <c r="R3524" s="185" t="s">
        <v>6</v>
      </c>
      <c r="S3524" s="185" t="s">
        <v>1682</v>
      </c>
      <c r="T3524"/>
      <c r="U3524" t="str">
        <f>IF($L3524&gt;0,VLOOKUP($E3524,Valida!$A$1:$G$270,6,FALSE),IF($M3524&gt;=0,VLOOKUP($E3524,Valida!$A$1:$G$270,7,FALSE)))</f>
        <v>(+/-) Ganancia (pérdida)</v>
      </c>
      <c r="V3524" s="190" t="str">
        <f>VLOOKUP(E3524,Valida!$A$2:$K$271,4,FALSE)</f>
        <v>P&amp;L</v>
      </c>
      <c r="W3524" s="185" t="s">
        <v>3985</v>
      </c>
      <c r="X3524" s="185" t="s">
        <v>3986</v>
      </c>
      <c r="Y3524" s="185" t="s">
        <v>1789</v>
      </c>
      <c r="Z3524"/>
    </row>
    <row r="3525" spans="1:26">
      <c r="A3525" s="185" t="s">
        <v>3982</v>
      </c>
      <c r="B3525" s="185" t="s">
        <v>3983</v>
      </c>
      <c r="C3525" s="185" t="s">
        <v>1792</v>
      </c>
      <c r="D3525" s="185" t="s">
        <v>2700</v>
      </c>
      <c r="E3525" s="185">
        <v>24081001</v>
      </c>
      <c r="F3525" s="185" t="s">
        <v>1670</v>
      </c>
      <c r="G3525" s="185" t="s">
        <v>3246</v>
      </c>
      <c r="H3525" s="185" t="s">
        <v>1515</v>
      </c>
      <c r="I3525" s="258" t="str">
        <f t="shared" si="166"/>
        <v>2</v>
      </c>
      <c r="J3525" s="221">
        <f t="shared" si="167"/>
        <v>30165</v>
      </c>
      <c r="K3525" s="258">
        <f t="shared" si="168"/>
        <v>12</v>
      </c>
      <c r="L3525" s="188">
        <v>30165</v>
      </c>
      <c r="M3525" s="188">
        <v>0</v>
      </c>
      <c r="N3525" s="189">
        <v>900796026</v>
      </c>
      <c r="O3525" t="s">
        <v>3984</v>
      </c>
      <c r="P3525" s="187">
        <v>45281.526770833298</v>
      </c>
      <c r="Q3525" s="186">
        <v>14954</v>
      </c>
      <c r="R3525" s="185" t="s">
        <v>6</v>
      </c>
      <c r="S3525" s="185" t="s">
        <v>1682</v>
      </c>
      <c r="T3525"/>
      <c r="U3525" t="str">
        <f>IF($L3525&gt;0,VLOOKUP($E3525,Valida!$A$1:$G$270,6,FALSE),IF($M3525&gt;=0,VLOOKUP($E3525,Valida!$A$1:$G$270,7,FALSE)))</f>
        <v>(+/-) Ajustes por el incremento (disminución) de cuentas por pagar de origen comercial</v>
      </c>
      <c r="V3525" s="190" t="str">
        <f>VLOOKUP(E3525,Valida!$A$2:$K$271,4,FALSE)</f>
        <v>Trade and other payables</v>
      </c>
      <c r="W3525" s="185" t="s">
        <v>3985</v>
      </c>
      <c r="X3525" s="185" t="s">
        <v>3986</v>
      </c>
      <c r="Y3525" s="185" t="s">
        <v>1789</v>
      </c>
      <c r="Z3525"/>
    </row>
    <row r="3526" spans="1:26">
      <c r="A3526" s="185" t="s">
        <v>3982</v>
      </c>
      <c r="B3526" s="185" t="s">
        <v>3983</v>
      </c>
      <c r="C3526" s="185" t="s">
        <v>1792</v>
      </c>
      <c r="D3526" s="185" t="s">
        <v>2700</v>
      </c>
      <c r="E3526" s="185">
        <v>133015</v>
      </c>
      <c r="F3526" s="185" t="s">
        <v>138</v>
      </c>
      <c r="G3526" s="185" t="s">
        <v>3246</v>
      </c>
      <c r="H3526" s="185" t="s">
        <v>1628</v>
      </c>
      <c r="I3526" s="258" t="str">
        <f t="shared" si="166"/>
        <v>1</v>
      </c>
      <c r="J3526" s="221">
        <f t="shared" si="167"/>
        <v>-188930</v>
      </c>
      <c r="K3526" s="258">
        <f t="shared" si="168"/>
        <v>12</v>
      </c>
      <c r="L3526" s="188">
        <v>0</v>
      </c>
      <c r="M3526" s="188">
        <v>188930</v>
      </c>
      <c r="N3526" s="189">
        <v>1130744136</v>
      </c>
      <c r="O3526" t="s">
        <v>3984</v>
      </c>
      <c r="P3526" s="187">
        <v>45281.526770833298</v>
      </c>
      <c r="Q3526" s="186">
        <v>14955</v>
      </c>
      <c r="R3526" s="185"/>
      <c r="S3526" s="185" t="s">
        <v>1538</v>
      </c>
      <c r="T3526"/>
      <c r="U3526" t="str">
        <f>IF($L3526&gt;0,VLOOKUP($E3526,Valida!$A$1:$G$270,6,FALSE),IF($M3526&gt;=0,VLOOKUP($E3526,Valida!$A$1:$G$270,7,FALSE)))</f>
        <v>(+/-) Ajustes por disminuciones (incrementos) en otras cuentas por cobrar derivadas de las actividades de operación</v>
      </c>
      <c r="V3526" s="190" t="str">
        <f>VLOOKUP(E3526,Valida!$A$2:$K$271,4,FALSE)</f>
        <v>Trade and other receivables</v>
      </c>
      <c r="W3526" s="185" t="s">
        <v>1909</v>
      </c>
      <c r="X3526" s="185" t="s">
        <v>1910</v>
      </c>
      <c r="Y3526" s="185" t="s">
        <v>1789</v>
      </c>
      <c r="Z3526"/>
    </row>
    <row r="3527" spans="1:26">
      <c r="A3527" s="185" t="s">
        <v>3982</v>
      </c>
      <c r="B3527" s="185" t="s">
        <v>3987</v>
      </c>
      <c r="C3527" s="185" t="s">
        <v>1792</v>
      </c>
      <c r="D3527" s="185" t="s">
        <v>2703</v>
      </c>
      <c r="E3527" s="185">
        <v>510551</v>
      </c>
      <c r="F3527" s="185" t="s">
        <v>799</v>
      </c>
      <c r="G3527" s="185" t="s">
        <v>3246</v>
      </c>
      <c r="H3527" s="185" t="s">
        <v>1515</v>
      </c>
      <c r="I3527" s="258" t="str">
        <f t="shared" si="166"/>
        <v>5</v>
      </c>
      <c r="J3527" s="221">
        <f t="shared" si="167"/>
        <v>8403</v>
      </c>
      <c r="K3527" s="258">
        <f t="shared" si="168"/>
        <v>12</v>
      </c>
      <c r="L3527" s="188">
        <v>8403</v>
      </c>
      <c r="M3527" s="188">
        <v>0</v>
      </c>
      <c r="N3527" s="189">
        <v>901137699</v>
      </c>
      <c r="O3527" t="s">
        <v>3988</v>
      </c>
      <c r="P3527" s="187">
        <v>45281.5375347222</v>
      </c>
      <c r="Q3527" s="186">
        <v>14956</v>
      </c>
      <c r="R3527" s="185" t="s">
        <v>1067</v>
      </c>
      <c r="S3527" s="185" t="s">
        <v>1686</v>
      </c>
      <c r="T3527"/>
      <c r="U3527" t="str">
        <f>IF($L3527&gt;0,VLOOKUP($E3527,Valida!$A$1:$G$270,6,FALSE),IF($M3527&gt;=0,VLOOKUP($E3527,Valida!$A$1:$G$270,7,FALSE)))</f>
        <v>(+/-) Ganancia (pérdida)</v>
      </c>
      <c r="V3527" s="190" t="str">
        <f>VLOOKUP(E3527,Valida!$A$2:$K$271,4,FALSE)</f>
        <v>P&amp;L</v>
      </c>
      <c r="W3527" s="185" t="s">
        <v>3989</v>
      </c>
      <c r="X3527" s="185" t="s">
        <v>3990</v>
      </c>
      <c r="Y3527" s="185" t="s">
        <v>1789</v>
      </c>
      <c r="Z3527"/>
    </row>
    <row r="3528" spans="1:26">
      <c r="A3528" s="185" t="s">
        <v>3982</v>
      </c>
      <c r="B3528" s="185" t="s">
        <v>3987</v>
      </c>
      <c r="C3528" s="185" t="s">
        <v>1792</v>
      </c>
      <c r="D3528" s="185" t="s">
        <v>2703</v>
      </c>
      <c r="E3528" s="185">
        <v>24081001</v>
      </c>
      <c r="F3528" s="185" t="s">
        <v>1670</v>
      </c>
      <c r="G3528" s="185" t="s">
        <v>3246</v>
      </c>
      <c r="H3528" s="185" t="s">
        <v>1515</v>
      </c>
      <c r="I3528" s="258" t="str">
        <f t="shared" si="166"/>
        <v>2</v>
      </c>
      <c r="J3528" s="221">
        <f t="shared" si="167"/>
        <v>1597</v>
      </c>
      <c r="K3528" s="258">
        <f t="shared" si="168"/>
        <v>12</v>
      </c>
      <c r="L3528" s="188">
        <v>1597</v>
      </c>
      <c r="M3528" s="188">
        <v>0</v>
      </c>
      <c r="N3528" s="189">
        <v>901137699</v>
      </c>
      <c r="O3528" t="s">
        <v>3988</v>
      </c>
      <c r="P3528" s="187">
        <v>45281.5375347222</v>
      </c>
      <c r="Q3528" s="186">
        <v>14957</v>
      </c>
      <c r="R3528" s="185" t="s">
        <v>1067</v>
      </c>
      <c r="S3528" s="185" t="s">
        <v>1686</v>
      </c>
      <c r="T3528"/>
      <c r="U3528" t="str">
        <f>IF($L3528&gt;0,VLOOKUP($E3528,Valida!$A$1:$G$270,6,FALSE),IF($M3528&gt;=0,VLOOKUP($E3528,Valida!$A$1:$G$270,7,FALSE)))</f>
        <v>(+/-) Ajustes por el incremento (disminución) de cuentas por pagar de origen comercial</v>
      </c>
      <c r="V3528" s="190" t="str">
        <f>VLOOKUP(E3528,Valida!$A$2:$K$271,4,FALSE)</f>
        <v>Trade and other payables</v>
      </c>
      <c r="W3528" s="185" t="s">
        <v>3989</v>
      </c>
      <c r="X3528" s="185" t="s">
        <v>3990</v>
      </c>
      <c r="Y3528" s="185" t="s">
        <v>1789</v>
      </c>
      <c r="Z3528"/>
    </row>
    <row r="3529" spans="1:26">
      <c r="A3529" s="185" t="s">
        <v>3982</v>
      </c>
      <c r="B3529" s="185" t="s">
        <v>3987</v>
      </c>
      <c r="C3529" s="185" t="s">
        <v>1792</v>
      </c>
      <c r="D3529" s="185" t="s">
        <v>2703</v>
      </c>
      <c r="E3529" s="185">
        <v>133015</v>
      </c>
      <c r="F3529" s="185" t="s">
        <v>138</v>
      </c>
      <c r="G3529" s="185" t="s">
        <v>3246</v>
      </c>
      <c r="H3529" s="185" t="s">
        <v>1628</v>
      </c>
      <c r="I3529" s="258" t="str">
        <f t="shared" si="166"/>
        <v>1</v>
      </c>
      <c r="J3529" s="221">
        <f t="shared" si="167"/>
        <v>-11070</v>
      </c>
      <c r="K3529" s="258">
        <f t="shared" si="168"/>
        <v>12</v>
      </c>
      <c r="L3529" s="188">
        <v>0</v>
      </c>
      <c r="M3529" s="188">
        <v>11070</v>
      </c>
      <c r="N3529" s="189">
        <v>1130744136</v>
      </c>
      <c r="O3529" t="s">
        <v>3988</v>
      </c>
      <c r="P3529" s="187">
        <v>45281.5375347222</v>
      </c>
      <c r="Q3529" s="186">
        <v>14958</v>
      </c>
      <c r="R3529" s="185"/>
      <c r="S3529" s="185" t="s">
        <v>1538</v>
      </c>
      <c r="T3529"/>
      <c r="U3529" t="str">
        <f>IF($L3529&gt;0,VLOOKUP($E3529,Valida!$A$1:$G$270,6,FALSE),IF($M3529&gt;=0,VLOOKUP($E3529,Valida!$A$1:$G$270,7,FALSE)))</f>
        <v>(+/-) Ajustes por disminuciones (incrementos) en otras cuentas por cobrar derivadas de las actividades de operación</v>
      </c>
      <c r="V3529" s="190" t="str">
        <f>VLOOKUP(E3529,Valida!$A$2:$K$271,4,FALSE)</f>
        <v>Trade and other receivables</v>
      </c>
      <c r="W3529" s="185" t="s">
        <v>1909</v>
      </c>
      <c r="X3529" s="185" t="s">
        <v>1910</v>
      </c>
      <c r="Y3529" s="185" t="s">
        <v>1789</v>
      </c>
      <c r="Z3529"/>
    </row>
    <row r="3530" spans="1:26">
      <c r="A3530" s="185" t="s">
        <v>3982</v>
      </c>
      <c r="B3530" s="185" t="s">
        <v>3987</v>
      </c>
      <c r="C3530" s="185" t="s">
        <v>1792</v>
      </c>
      <c r="D3530" s="185" t="s">
        <v>2703</v>
      </c>
      <c r="E3530" s="185">
        <v>53059510</v>
      </c>
      <c r="F3530" s="185" t="s">
        <v>1065</v>
      </c>
      <c r="G3530" s="185" t="s">
        <v>3246</v>
      </c>
      <c r="H3530" s="185" t="s">
        <v>1515</v>
      </c>
      <c r="I3530" s="258" t="str">
        <f t="shared" si="166"/>
        <v>5</v>
      </c>
      <c r="J3530" s="221">
        <f t="shared" si="167"/>
        <v>1070</v>
      </c>
      <c r="K3530" s="258">
        <f t="shared" si="168"/>
        <v>12</v>
      </c>
      <c r="L3530" s="188">
        <v>1070</v>
      </c>
      <c r="M3530" s="188">
        <v>0</v>
      </c>
      <c r="N3530" s="189">
        <v>1130744136</v>
      </c>
      <c r="O3530" t="s">
        <v>3988</v>
      </c>
      <c r="P3530" s="187">
        <v>45281.5375347222</v>
      </c>
      <c r="Q3530" s="186">
        <v>14959</v>
      </c>
      <c r="R3530" s="185"/>
      <c r="S3530" s="185" t="s">
        <v>1538</v>
      </c>
      <c r="T3530"/>
      <c r="U3530" t="str">
        <f>IF($L3530&gt;0,VLOOKUP($E3530,Valida!$A$1:$G$270,6,FALSE),IF($M3530&gt;=0,VLOOKUP($E3530,Valida!$A$1:$G$270,7,FALSE)))</f>
        <v>(+/-) Ganancia (pérdida)</v>
      </c>
      <c r="V3530" s="190" t="str">
        <f>VLOOKUP(E3530,Valida!$A$2:$K$271,4,FALSE)</f>
        <v>P&amp;L</v>
      </c>
      <c r="W3530" s="185" t="s">
        <v>1909</v>
      </c>
      <c r="X3530" s="185" t="s">
        <v>1910</v>
      </c>
      <c r="Y3530" s="185" t="s">
        <v>1789</v>
      </c>
      <c r="Z3530"/>
    </row>
    <row r="3531" spans="1:26">
      <c r="A3531" s="185" t="s">
        <v>3991</v>
      </c>
      <c r="B3531" s="185" t="s">
        <v>3992</v>
      </c>
      <c r="C3531" s="185" t="s">
        <v>1792</v>
      </c>
      <c r="D3531" s="185" t="s">
        <v>2705</v>
      </c>
      <c r="E3531" s="185">
        <v>510551</v>
      </c>
      <c r="F3531" s="185" t="s">
        <v>799</v>
      </c>
      <c r="G3531" s="185" t="s">
        <v>3993</v>
      </c>
      <c r="H3531" s="185" t="s">
        <v>1515</v>
      </c>
      <c r="I3531" s="258" t="str">
        <f t="shared" si="166"/>
        <v>5</v>
      </c>
      <c r="J3531" s="221">
        <f t="shared" si="167"/>
        <v>134295</v>
      </c>
      <c r="K3531" s="258">
        <f t="shared" si="168"/>
        <v>12</v>
      </c>
      <c r="L3531" s="188">
        <v>134295</v>
      </c>
      <c r="M3531" s="188">
        <v>0</v>
      </c>
      <c r="N3531" s="189">
        <v>900330803</v>
      </c>
      <c r="O3531" t="s">
        <v>3994</v>
      </c>
      <c r="P3531" s="187">
        <v>45281.540173611102</v>
      </c>
      <c r="Q3531" s="186">
        <v>14960</v>
      </c>
      <c r="R3531" s="185" t="s">
        <v>1827</v>
      </c>
      <c r="S3531" s="185" t="s">
        <v>1678</v>
      </c>
      <c r="T3531"/>
      <c r="U3531" t="str">
        <f>IF($L3531&gt;0,VLOOKUP($E3531,Valida!$A$1:$G$270,6,FALSE),IF($M3531&gt;=0,VLOOKUP($E3531,Valida!$A$1:$G$270,7,FALSE)))</f>
        <v>(+/-) Ganancia (pérdida)</v>
      </c>
      <c r="V3531" s="190" t="str">
        <f>VLOOKUP(E3531,Valida!$A$2:$K$271,4,FALSE)</f>
        <v>P&amp;L</v>
      </c>
      <c r="W3531" s="185" t="s">
        <v>3995</v>
      </c>
      <c r="X3531" s="185"/>
      <c r="Y3531" s="185" t="s">
        <v>1789</v>
      </c>
      <c r="Z3531"/>
    </row>
    <row r="3532" spans="1:26">
      <c r="A3532" s="185" t="s">
        <v>3991</v>
      </c>
      <c r="B3532" s="185" t="s">
        <v>3992</v>
      </c>
      <c r="C3532" s="185" t="s">
        <v>1792</v>
      </c>
      <c r="D3532" s="185" t="s">
        <v>2705</v>
      </c>
      <c r="E3532" s="185">
        <v>24081001</v>
      </c>
      <c r="F3532" s="185" t="s">
        <v>1670</v>
      </c>
      <c r="G3532" s="185" t="s">
        <v>3993</v>
      </c>
      <c r="H3532" s="185" t="s">
        <v>1515</v>
      </c>
      <c r="I3532" s="258" t="str">
        <f t="shared" si="166"/>
        <v>2</v>
      </c>
      <c r="J3532" s="221">
        <f t="shared" si="167"/>
        <v>25505</v>
      </c>
      <c r="K3532" s="258">
        <f t="shared" si="168"/>
        <v>12</v>
      </c>
      <c r="L3532" s="188">
        <v>25505</v>
      </c>
      <c r="M3532" s="188">
        <v>0</v>
      </c>
      <c r="N3532" s="189">
        <v>900330803</v>
      </c>
      <c r="O3532" t="s">
        <v>3994</v>
      </c>
      <c r="P3532" s="187">
        <v>45281.540173611102</v>
      </c>
      <c r="Q3532" s="186">
        <v>14961</v>
      </c>
      <c r="R3532" s="185" t="s">
        <v>1827</v>
      </c>
      <c r="S3532" s="185" t="s">
        <v>1678</v>
      </c>
      <c r="T3532"/>
      <c r="U3532" t="str">
        <f>IF($L3532&gt;0,VLOOKUP($E3532,Valida!$A$1:$G$270,6,FALSE),IF($M3532&gt;=0,VLOOKUP($E3532,Valida!$A$1:$G$270,7,FALSE)))</f>
        <v>(+/-) Ajustes por el incremento (disminución) de cuentas por pagar de origen comercial</v>
      </c>
      <c r="V3532" s="190" t="str">
        <f>VLOOKUP(E3532,Valida!$A$2:$K$271,4,FALSE)</f>
        <v>Trade and other payables</v>
      </c>
      <c r="W3532" s="185" t="s">
        <v>3995</v>
      </c>
      <c r="X3532" s="185"/>
      <c r="Y3532" s="185" t="s">
        <v>1789</v>
      </c>
      <c r="Z3532"/>
    </row>
    <row r="3533" spans="1:26">
      <c r="A3533" s="185" t="s">
        <v>3991</v>
      </c>
      <c r="B3533" s="185" t="s">
        <v>3992</v>
      </c>
      <c r="C3533" s="185" t="s">
        <v>1792</v>
      </c>
      <c r="D3533" s="185" t="s">
        <v>2705</v>
      </c>
      <c r="E3533" s="185">
        <v>133015</v>
      </c>
      <c r="F3533" s="185" t="s">
        <v>138</v>
      </c>
      <c r="G3533" s="185" t="s">
        <v>3993</v>
      </c>
      <c r="H3533" s="185" t="s">
        <v>1628</v>
      </c>
      <c r="I3533" s="258" t="str">
        <f t="shared" si="166"/>
        <v>1</v>
      </c>
      <c r="J3533" s="221">
        <f t="shared" si="167"/>
        <v>-159800</v>
      </c>
      <c r="K3533" s="258">
        <f t="shared" si="168"/>
        <v>12</v>
      </c>
      <c r="L3533" s="188">
        <v>0</v>
      </c>
      <c r="M3533" s="188">
        <v>159800</v>
      </c>
      <c r="N3533" s="189">
        <v>1001284057</v>
      </c>
      <c r="O3533" t="s">
        <v>3994</v>
      </c>
      <c r="P3533" s="187">
        <v>45281.540173611102</v>
      </c>
      <c r="Q3533" s="186">
        <v>14962</v>
      </c>
      <c r="R3533" s="185"/>
      <c r="S3533" s="185" t="s">
        <v>1526</v>
      </c>
      <c r="T3533"/>
      <c r="U3533" t="str">
        <f>IF($L3533&gt;0,VLOOKUP($E3533,Valida!$A$1:$G$270,6,FALSE),IF($M3533&gt;=0,VLOOKUP($E3533,Valida!$A$1:$G$270,7,FALSE)))</f>
        <v>(+/-) Ajustes por disminuciones (incrementos) en otras cuentas por cobrar derivadas de las actividades de operación</v>
      </c>
      <c r="V3533" s="190" t="str">
        <f>VLOOKUP(E3533,Valida!$A$2:$K$271,4,FALSE)</f>
        <v>Trade and other receivables</v>
      </c>
      <c r="W3533" s="185" t="s">
        <v>3454</v>
      </c>
      <c r="X3533" s="185" t="s">
        <v>3455</v>
      </c>
      <c r="Y3533" s="185" t="s">
        <v>1789</v>
      </c>
      <c r="Z3533"/>
    </row>
    <row r="3534" spans="1:26">
      <c r="A3534" s="185" t="s">
        <v>3991</v>
      </c>
      <c r="B3534" s="185" t="s">
        <v>3996</v>
      </c>
      <c r="C3534" s="185" t="s">
        <v>1792</v>
      </c>
      <c r="D3534" s="185" t="s">
        <v>2707</v>
      </c>
      <c r="E3534" s="185">
        <v>510551</v>
      </c>
      <c r="F3534" s="185" t="s">
        <v>799</v>
      </c>
      <c r="G3534" s="185" t="s">
        <v>3993</v>
      </c>
      <c r="H3534" s="185" t="s">
        <v>1515</v>
      </c>
      <c r="I3534" s="258" t="str">
        <f t="shared" si="166"/>
        <v>5</v>
      </c>
      <c r="J3534" s="221">
        <f t="shared" si="167"/>
        <v>67142.86</v>
      </c>
      <c r="K3534" s="258">
        <f t="shared" si="168"/>
        <v>12</v>
      </c>
      <c r="L3534" s="188">
        <v>67142.86</v>
      </c>
      <c r="M3534" s="188">
        <v>0</v>
      </c>
      <c r="N3534" s="189">
        <v>860503159</v>
      </c>
      <c r="O3534" t="s">
        <v>3997</v>
      </c>
      <c r="P3534" s="187">
        <v>45281.544317129599</v>
      </c>
      <c r="Q3534" s="186">
        <v>14963</v>
      </c>
      <c r="R3534" s="185" t="s">
        <v>6</v>
      </c>
      <c r="S3534" s="185" t="s">
        <v>1672</v>
      </c>
      <c r="T3534"/>
      <c r="U3534" t="str">
        <f>IF($L3534&gt;0,VLOOKUP($E3534,Valida!$A$1:$G$270,6,FALSE),IF($M3534&gt;=0,VLOOKUP($E3534,Valida!$A$1:$G$270,7,FALSE)))</f>
        <v>(+/-) Ganancia (pérdida)</v>
      </c>
      <c r="V3534" s="190" t="str">
        <f>VLOOKUP(E3534,Valida!$A$2:$K$271,4,FALSE)</f>
        <v>P&amp;L</v>
      </c>
      <c r="W3534" s="185" t="s">
        <v>3998</v>
      </c>
      <c r="X3534" s="185" t="s">
        <v>3999</v>
      </c>
      <c r="Y3534" s="185" t="s">
        <v>1789</v>
      </c>
      <c r="Z3534"/>
    </row>
    <row r="3535" spans="1:26">
      <c r="A3535" s="185" t="s">
        <v>3991</v>
      </c>
      <c r="B3535" s="185" t="s">
        <v>3996</v>
      </c>
      <c r="C3535" s="185" t="s">
        <v>1792</v>
      </c>
      <c r="D3535" s="185" t="s">
        <v>2707</v>
      </c>
      <c r="E3535" s="185">
        <v>24081001</v>
      </c>
      <c r="F3535" s="185" t="s">
        <v>1670</v>
      </c>
      <c r="G3535" s="185" t="s">
        <v>3993</v>
      </c>
      <c r="H3535" s="185" t="s">
        <v>1515</v>
      </c>
      <c r="I3535" s="258" t="str">
        <f t="shared" si="166"/>
        <v>2</v>
      </c>
      <c r="J3535" s="221">
        <f t="shared" si="167"/>
        <v>12757.14</v>
      </c>
      <c r="K3535" s="258">
        <f t="shared" si="168"/>
        <v>12</v>
      </c>
      <c r="L3535" s="188">
        <v>12757.14</v>
      </c>
      <c r="M3535" s="188">
        <v>0</v>
      </c>
      <c r="N3535" s="189">
        <v>860503159</v>
      </c>
      <c r="O3535" t="s">
        <v>3997</v>
      </c>
      <c r="P3535" s="187">
        <v>45281.544317129599</v>
      </c>
      <c r="Q3535" s="186">
        <v>14964</v>
      </c>
      <c r="R3535" s="185" t="s">
        <v>6</v>
      </c>
      <c r="S3535" s="185" t="s">
        <v>1672</v>
      </c>
      <c r="T3535"/>
      <c r="U3535" t="str">
        <f>IF($L3535&gt;0,VLOOKUP($E3535,Valida!$A$1:$G$270,6,FALSE),IF($M3535&gt;=0,VLOOKUP($E3535,Valida!$A$1:$G$270,7,FALSE)))</f>
        <v>(+/-) Ajustes por el incremento (disminución) de cuentas por pagar de origen comercial</v>
      </c>
      <c r="V3535" s="190" t="str">
        <f>VLOOKUP(E3535,Valida!$A$2:$K$271,4,FALSE)</f>
        <v>Trade and other payables</v>
      </c>
      <c r="W3535" s="185" t="s">
        <v>3998</v>
      </c>
      <c r="X3535" s="185" t="s">
        <v>3999</v>
      </c>
      <c r="Y3535" s="185" t="s">
        <v>1789</v>
      </c>
      <c r="Z3535"/>
    </row>
    <row r="3536" spans="1:26">
      <c r="A3536" s="185" t="s">
        <v>3991</v>
      </c>
      <c r="B3536" s="185" t="s">
        <v>3996</v>
      </c>
      <c r="C3536" s="185" t="s">
        <v>1792</v>
      </c>
      <c r="D3536" s="185" t="s">
        <v>2707</v>
      </c>
      <c r="E3536" s="185">
        <v>133015</v>
      </c>
      <c r="F3536" s="185" t="s">
        <v>138</v>
      </c>
      <c r="G3536" s="185" t="s">
        <v>3993</v>
      </c>
      <c r="H3536" s="185" t="s">
        <v>1628</v>
      </c>
      <c r="I3536" s="258" t="str">
        <f t="shared" si="166"/>
        <v>1</v>
      </c>
      <c r="J3536" s="221">
        <f t="shared" si="167"/>
        <v>-40200</v>
      </c>
      <c r="K3536" s="258">
        <f t="shared" si="168"/>
        <v>12</v>
      </c>
      <c r="L3536" s="188">
        <v>0</v>
      </c>
      <c r="M3536" s="188">
        <v>40200</v>
      </c>
      <c r="N3536" s="189">
        <v>1001284057</v>
      </c>
      <c r="O3536" t="s">
        <v>3997</v>
      </c>
      <c r="P3536" s="187">
        <v>45281.544317129599</v>
      </c>
      <c r="Q3536" s="186">
        <v>14965</v>
      </c>
      <c r="R3536" s="185"/>
      <c r="S3536" s="185" t="s">
        <v>1526</v>
      </c>
      <c r="T3536"/>
      <c r="U3536" t="str">
        <f>IF($L3536&gt;0,VLOOKUP($E3536,Valida!$A$1:$G$270,6,FALSE),IF($M3536&gt;=0,VLOOKUP($E3536,Valida!$A$1:$G$270,7,FALSE)))</f>
        <v>(+/-) Ajustes por disminuciones (incrementos) en otras cuentas por cobrar derivadas de las actividades de operación</v>
      </c>
      <c r="V3536" s="190" t="str">
        <f>VLOOKUP(E3536,Valida!$A$2:$K$271,4,FALSE)</f>
        <v>Trade and other receivables</v>
      </c>
      <c r="W3536" s="185" t="s">
        <v>3454</v>
      </c>
      <c r="X3536" s="185" t="s">
        <v>3455</v>
      </c>
      <c r="Y3536" s="185" t="s">
        <v>1789</v>
      </c>
      <c r="Z3536"/>
    </row>
    <row r="3537" spans="1:26">
      <c r="A3537" s="185" t="s">
        <v>3991</v>
      </c>
      <c r="B3537" s="185" t="s">
        <v>3996</v>
      </c>
      <c r="C3537" s="185" t="s">
        <v>1792</v>
      </c>
      <c r="D3537" s="185" t="s">
        <v>2707</v>
      </c>
      <c r="E3537" s="185">
        <v>510551</v>
      </c>
      <c r="F3537" s="185" t="s">
        <v>799</v>
      </c>
      <c r="G3537" s="185" t="s">
        <v>3993</v>
      </c>
      <c r="H3537" s="185" t="s">
        <v>1628</v>
      </c>
      <c r="I3537" s="258" t="str">
        <f t="shared" si="166"/>
        <v>5</v>
      </c>
      <c r="J3537" s="221">
        <f t="shared" si="167"/>
        <v>-39700</v>
      </c>
      <c r="K3537" s="258">
        <f t="shared" si="168"/>
        <v>12</v>
      </c>
      <c r="L3537" s="188">
        <v>0</v>
      </c>
      <c r="M3537" s="188">
        <v>39700</v>
      </c>
      <c r="N3537" s="189">
        <v>1001284057</v>
      </c>
      <c r="O3537" t="s">
        <v>3997</v>
      </c>
      <c r="P3537" s="187">
        <v>45281.544317129599</v>
      </c>
      <c r="Q3537" s="186">
        <v>14966</v>
      </c>
      <c r="R3537" s="185"/>
      <c r="S3537" s="185" t="s">
        <v>1526</v>
      </c>
      <c r="T3537"/>
      <c r="U3537" t="str">
        <f>IF($L3537&gt;0,VLOOKUP($E3537,Valida!$A$1:$G$270,6,FALSE),IF($M3537&gt;=0,VLOOKUP($E3537,Valida!$A$1:$G$270,7,FALSE)))</f>
        <v>(+/-) Ganancia (pérdida)</v>
      </c>
      <c r="V3537" s="190" t="str">
        <f>VLOOKUP(E3537,Valida!$A$2:$K$271,4,FALSE)</f>
        <v>P&amp;L</v>
      </c>
      <c r="W3537" s="185" t="s">
        <v>3454</v>
      </c>
      <c r="X3537" s="185" t="s">
        <v>3455</v>
      </c>
      <c r="Y3537" s="185" t="s">
        <v>1789</v>
      </c>
      <c r="Z3537"/>
    </row>
    <row r="3538" spans="1:26">
      <c r="A3538" s="185" t="s">
        <v>4000</v>
      </c>
      <c r="B3538" s="185" t="s">
        <v>4001</v>
      </c>
      <c r="C3538" s="185" t="s">
        <v>1792</v>
      </c>
      <c r="D3538" s="185" t="s">
        <v>2709</v>
      </c>
      <c r="E3538" s="185">
        <v>51401002</v>
      </c>
      <c r="F3538" s="185" t="s">
        <v>1303</v>
      </c>
      <c r="G3538" s="185" t="s">
        <v>2487</v>
      </c>
      <c r="H3538" s="185" t="s">
        <v>1515</v>
      </c>
      <c r="I3538" s="258" t="str">
        <f t="shared" si="166"/>
        <v>5</v>
      </c>
      <c r="J3538" s="221">
        <f t="shared" si="167"/>
        <v>14400</v>
      </c>
      <c r="K3538" s="258">
        <f t="shared" si="168"/>
        <v>12</v>
      </c>
      <c r="L3538" s="188">
        <v>14400</v>
      </c>
      <c r="M3538" s="188">
        <v>0</v>
      </c>
      <c r="N3538" s="189">
        <v>860007322</v>
      </c>
      <c r="O3538" t="s">
        <v>4002</v>
      </c>
      <c r="P3538" s="187">
        <v>45281.579803240696</v>
      </c>
      <c r="Q3538" s="186">
        <v>14967</v>
      </c>
      <c r="R3538" s="185" t="s">
        <v>1841</v>
      </c>
      <c r="S3538" s="185" t="s">
        <v>1566</v>
      </c>
      <c r="T3538"/>
      <c r="U3538" t="str">
        <f>IF($L3538&gt;0,VLOOKUP($E3538,Valida!$A$1:$G$270,6,FALSE),IF($M3538&gt;=0,VLOOKUP($E3538,Valida!$A$1:$G$270,7,FALSE)))</f>
        <v>(+/-) Ganancia (pérdida)</v>
      </c>
      <c r="V3538" s="190" t="str">
        <f>VLOOKUP(E3538,Valida!$A$2:$K$271,4,FALSE)</f>
        <v>P&amp;L</v>
      </c>
      <c r="W3538" s="185" t="s">
        <v>2306</v>
      </c>
      <c r="X3538" s="185"/>
      <c r="Y3538" s="185" t="s">
        <v>1789</v>
      </c>
      <c r="Z3538"/>
    </row>
    <row r="3539" spans="1:26">
      <c r="A3539" s="185" t="s">
        <v>4000</v>
      </c>
      <c r="B3539" s="185" t="s">
        <v>4001</v>
      </c>
      <c r="C3539" s="185" t="s">
        <v>1792</v>
      </c>
      <c r="D3539" s="185" t="s">
        <v>2709</v>
      </c>
      <c r="E3539" s="185">
        <v>23351001</v>
      </c>
      <c r="F3539" s="185" t="s">
        <v>453</v>
      </c>
      <c r="G3539" s="185" t="s">
        <v>2487</v>
      </c>
      <c r="H3539" s="185" t="s">
        <v>1628</v>
      </c>
      <c r="I3539" s="258" t="str">
        <f t="shared" si="166"/>
        <v>2</v>
      </c>
      <c r="J3539" s="221">
        <f t="shared" si="167"/>
        <v>-14400</v>
      </c>
      <c r="K3539" s="258">
        <f t="shared" si="168"/>
        <v>12</v>
      </c>
      <c r="L3539" s="188">
        <v>0</v>
      </c>
      <c r="M3539" s="188">
        <v>14400</v>
      </c>
      <c r="N3539" s="189">
        <v>860007322</v>
      </c>
      <c r="O3539" t="s">
        <v>4002</v>
      </c>
      <c r="P3539" s="187">
        <v>45281.579803240696</v>
      </c>
      <c r="Q3539" s="186">
        <v>14968</v>
      </c>
      <c r="R3539" s="185" t="s">
        <v>1841</v>
      </c>
      <c r="S3539" s="185" t="s">
        <v>1566</v>
      </c>
      <c r="T3539"/>
      <c r="U3539" t="str">
        <f>IF($L3539&gt;0,VLOOKUP($E3539,Valida!$A$1:$G$270,6,FALSE),IF($M3539&gt;=0,VLOOKUP($E3539,Valida!$A$1:$G$270,7,FALSE)))</f>
        <v>(+/-) Ajustes por el incremento (disminución) de cuentas por pagar de origen comercial</v>
      </c>
      <c r="V3539" s="190" t="str">
        <f>VLOOKUP(E3539,Valida!$A$2:$K$271,4,FALSE)</f>
        <v>Trade and other payables</v>
      </c>
      <c r="W3539" s="185" t="s">
        <v>2306</v>
      </c>
      <c r="X3539" s="185"/>
      <c r="Y3539" s="185" t="s">
        <v>1789</v>
      </c>
      <c r="Z3539"/>
    </row>
    <row r="3540" spans="1:26">
      <c r="A3540" s="185" t="s">
        <v>4000</v>
      </c>
      <c r="B3540" s="185" t="s">
        <v>4003</v>
      </c>
      <c r="C3540" s="185" t="s">
        <v>1792</v>
      </c>
      <c r="D3540" s="185" t="s">
        <v>2711</v>
      </c>
      <c r="E3540" s="185">
        <v>51952502</v>
      </c>
      <c r="F3540" s="185" t="s">
        <v>1414</v>
      </c>
      <c r="G3540" s="185" t="s">
        <v>1862</v>
      </c>
      <c r="H3540" s="185" t="s">
        <v>1515</v>
      </c>
      <c r="I3540" s="258" t="str">
        <f t="shared" si="166"/>
        <v>5</v>
      </c>
      <c r="J3540" s="221">
        <f t="shared" si="167"/>
        <v>107000</v>
      </c>
      <c r="K3540" s="258">
        <f t="shared" si="168"/>
        <v>12</v>
      </c>
      <c r="L3540" s="188">
        <v>107000</v>
      </c>
      <c r="M3540" s="188">
        <v>0</v>
      </c>
      <c r="N3540" s="189">
        <v>900424409</v>
      </c>
      <c r="O3540" t="s">
        <v>4004</v>
      </c>
      <c r="P3540" s="187">
        <v>45281.580717592602</v>
      </c>
      <c r="Q3540" s="186">
        <v>14969</v>
      </c>
      <c r="R3540" s="185" t="s">
        <v>844</v>
      </c>
      <c r="S3540" s="185" t="s">
        <v>1598</v>
      </c>
      <c r="T3540"/>
      <c r="U3540" t="str">
        <f>IF($L3540&gt;0,VLOOKUP($E3540,Valida!$A$1:$G$270,6,FALSE),IF($M3540&gt;=0,VLOOKUP($E3540,Valida!$A$1:$G$270,7,FALSE)))</f>
        <v>(+/-) Ganancia (pérdida)</v>
      </c>
      <c r="V3540" s="190" t="str">
        <f>VLOOKUP(E3540,Valida!$A$2:$K$271,4,FALSE)</f>
        <v>P&amp;L</v>
      </c>
      <c r="W3540" s="185" t="s">
        <v>1864</v>
      </c>
      <c r="X3540" s="185" t="s">
        <v>1865</v>
      </c>
      <c r="Y3540" s="185" t="s">
        <v>1789</v>
      </c>
      <c r="Z3540"/>
    </row>
    <row r="3541" spans="1:26">
      <c r="A3541" s="185" t="s">
        <v>4000</v>
      </c>
      <c r="B3541" s="185" t="s">
        <v>4003</v>
      </c>
      <c r="C3541" s="185" t="s">
        <v>1792</v>
      </c>
      <c r="D3541" s="185" t="s">
        <v>2711</v>
      </c>
      <c r="E3541" s="185">
        <v>24081002</v>
      </c>
      <c r="F3541" s="185" t="s">
        <v>1687</v>
      </c>
      <c r="G3541" s="185" t="s">
        <v>1866</v>
      </c>
      <c r="H3541" s="185" t="s">
        <v>1515</v>
      </c>
      <c r="I3541" s="258" t="str">
        <f t="shared" si="166"/>
        <v>2</v>
      </c>
      <c r="J3541" s="221">
        <f t="shared" si="167"/>
        <v>20330</v>
      </c>
      <c r="K3541" s="258">
        <f t="shared" si="168"/>
        <v>12</v>
      </c>
      <c r="L3541" s="188">
        <v>20330</v>
      </c>
      <c r="M3541" s="188">
        <v>0</v>
      </c>
      <c r="N3541" s="189">
        <v>900424409</v>
      </c>
      <c r="O3541" t="s">
        <v>4004</v>
      </c>
      <c r="P3541" s="187">
        <v>45281.580717592602</v>
      </c>
      <c r="Q3541" s="186">
        <v>14970</v>
      </c>
      <c r="R3541" s="185" t="s">
        <v>844</v>
      </c>
      <c r="S3541" s="185" t="s">
        <v>1598</v>
      </c>
      <c r="T3541"/>
      <c r="U3541" t="str">
        <f>IF($L3541&gt;0,VLOOKUP($E3541,Valida!$A$1:$G$270,6,FALSE),IF($M3541&gt;=0,VLOOKUP($E3541,Valida!$A$1:$G$270,7,FALSE)))</f>
        <v>(+/-) Ajustes por el incremento (disminución) de cuentas por pagar de origen comercial</v>
      </c>
      <c r="V3541" s="190" t="str">
        <f>VLOOKUP(E3541,Valida!$A$2:$K$271,4,FALSE)</f>
        <v>Trade and other payables</v>
      </c>
      <c r="W3541" s="185" t="s">
        <v>1864</v>
      </c>
      <c r="X3541" s="185" t="s">
        <v>1865</v>
      </c>
      <c r="Y3541" s="185" t="s">
        <v>1789</v>
      </c>
      <c r="Z3541"/>
    </row>
    <row r="3542" spans="1:26">
      <c r="A3542" s="185" t="s">
        <v>4000</v>
      </c>
      <c r="B3542" s="185" t="s">
        <v>4003</v>
      </c>
      <c r="C3542" s="185" t="s">
        <v>1792</v>
      </c>
      <c r="D3542" s="185" t="s">
        <v>2711</v>
      </c>
      <c r="E3542" s="185">
        <v>23359502</v>
      </c>
      <c r="F3542" s="185" t="s">
        <v>547</v>
      </c>
      <c r="G3542" s="185" t="s">
        <v>1862</v>
      </c>
      <c r="H3542" s="185" t="s">
        <v>1628</v>
      </c>
      <c r="I3542" s="258" t="str">
        <f t="shared" si="166"/>
        <v>2</v>
      </c>
      <c r="J3542" s="221">
        <f t="shared" si="167"/>
        <v>-122016</v>
      </c>
      <c r="K3542" s="258">
        <f t="shared" si="168"/>
        <v>12</v>
      </c>
      <c r="L3542" s="188">
        <v>0</v>
      </c>
      <c r="M3542" s="188">
        <v>122016</v>
      </c>
      <c r="N3542" s="189">
        <v>900424409</v>
      </c>
      <c r="O3542" t="s">
        <v>4004</v>
      </c>
      <c r="P3542" s="187">
        <v>45281.580717592602</v>
      </c>
      <c r="Q3542" s="186">
        <v>14971</v>
      </c>
      <c r="R3542" s="185" t="s">
        <v>844</v>
      </c>
      <c r="S3542" s="185" t="s">
        <v>1598</v>
      </c>
      <c r="T3542"/>
      <c r="U3542" t="str">
        <f>IF($L3542&gt;0,VLOOKUP($E3542,Valida!$A$1:$G$270,6,FALSE),IF($M3542&gt;=0,VLOOKUP($E3542,Valida!$A$1:$G$270,7,FALSE)))</f>
        <v>(+/-) Ajustes por el incremento (disminución) de cuentas por pagar de origen comercial</v>
      </c>
      <c r="V3542" s="190" t="str">
        <f>VLOOKUP(E3542,Valida!$A$2:$K$271,4,FALSE)</f>
        <v>Trade and other payables</v>
      </c>
      <c r="W3542" s="185" t="s">
        <v>1864</v>
      </c>
      <c r="X3542" s="185" t="s">
        <v>1865</v>
      </c>
      <c r="Y3542" s="185" t="s">
        <v>1789</v>
      </c>
      <c r="Z3542"/>
    </row>
    <row r="3543" spans="1:26">
      <c r="A3543" s="185" t="s">
        <v>4000</v>
      </c>
      <c r="B3543" s="185" t="s">
        <v>4003</v>
      </c>
      <c r="C3543" s="185" t="s">
        <v>1792</v>
      </c>
      <c r="D3543" s="185" t="s">
        <v>2711</v>
      </c>
      <c r="E3543" s="185">
        <v>23653002</v>
      </c>
      <c r="F3543" s="185" t="s">
        <v>241</v>
      </c>
      <c r="G3543" s="185" t="s">
        <v>1867</v>
      </c>
      <c r="H3543" s="185" t="s">
        <v>1628</v>
      </c>
      <c r="I3543" s="258" t="str">
        <f t="shared" si="166"/>
        <v>2</v>
      </c>
      <c r="J3543" s="221">
        <f t="shared" si="167"/>
        <v>-4280</v>
      </c>
      <c r="K3543" s="258">
        <f t="shared" si="168"/>
        <v>12</v>
      </c>
      <c r="L3543" s="188">
        <v>0</v>
      </c>
      <c r="M3543" s="188">
        <v>4280</v>
      </c>
      <c r="N3543" s="189">
        <v>900424409</v>
      </c>
      <c r="O3543" t="s">
        <v>4004</v>
      </c>
      <c r="P3543" s="187">
        <v>45281.580717592602</v>
      </c>
      <c r="Q3543" s="186">
        <v>14972</v>
      </c>
      <c r="R3543" s="185" t="s">
        <v>844</v>
      </c>
      <c r="S3543" s="185" t="s">
        <v>1598</v>
      </c>
      <c r="T3543"/>
      <c r="U3543" t="str">
        <f>IF($L3543&gt;0,VLOOKUP($E3543,Valida!$A$1:$G$270,6,FALSE),IF($M3543&gt;=0,VLOOKUP($E3543,Valida!$A$1:$G$270,7,FALSE)))</f>
        <v>(+/-) Ajustes por el incremento (disminución) de cuentas por pagar de origen comercial</v>
      </c>
      <c r="V3543" s="190" t="str">
        <f>VLOOKUP(E3543,Valida!$A$2:$K$271,4,FALSE)</f>
        <v>Trade and other payables</v>
      </c>
      <c r="W3543" s="185" t="s">
        <v>1864</v>
      </c>
      <c r="X3543" s="185" t="s">
        <v>1865</v>
      </c>
      <c r="Y3543" s="185" t="s">
        <v>1789</v>
      </c>
      <c r="Z3543"/>
    </row>
    <row r="3544" spans="1:26">
      <c r="A3544" s="185" t="s">
        <v>4000</v>
      </c>
      <c r="B3544" s="185" t="s">
        <v>4003</v>
      </c>
      <c r="C3544" s="185" t="s">
        <v>1792</v>
      </c>
      <c r="D3544" s="185" t="s">
        <v>2711</v>
      </c>
      <c r="E3544" s="185">
        <v>23680503</v>
      </c>
      <c r="F3544" s="185" t="s">
        <v>665</v>
      </c>
      <c r="G3544" s="185" t="s">
        <v>1868</v>
      </c>
      <c r="H3544" s="185" t="s">
        <v>1628</v>
      </c>
      <c r="I3544" s="258" t="str">
        <f t="shared" si="166"/>
        <v>2</v>
      </c>
      <c r="J3544" s="221">
        <f t="shared" si="167"/>
        <v>-1034</v>
      </c>
      <c r="K3544" s="258">
        <f t="shared" si="168"/>
        <v>12</v>
      </c>
      <c r="L3544" s="188">
        <v>0</v>
      </c>
      <c r="M3544" s="188">
        <v>1034</v>
      </c>
      <c r="N3544" s="189">
        <v>900424409</v>
      </c>
      <c r="O3544" t="s">
        <v>4004</v>
      </c>
      <c r="P3544" s="187">
        <v>45281.580717592602</v>
      </c>
      <c r="Q3544" s="186">
        <v>14973</v>
      </c>
      <c r="R3544" s="185" t="s">
        <v>844</v>
      </c>
      <c r="S3544" s="185" t="s">
        <v>1598</v>
      </c>
      <c r="T3544"/>
      <c r="U3544" t="str">
        <f>IF($L3544&gt;0,VLOOKUP($E3544,Valida!$A$1:$G$270,6,FALSE),IF($M3544&gt;=0,VLOOKUP($E3544,Valida!$A$1:$G$270,7,FALSE)))</f>
        <v>(+/-) Ajustes por el incremento (disminución) de cuentas por pagar de origen comercial</v>
      </c>
      <c r="V3544" s="190" t="str">
        <f>VLOOKUP(E3544,Valida!$A$2:$K$271,4,FALSE)</f>
        <v>Trade and other payables</v>
      </c>
      <c r="W3544" s="185" t="s">
        <v>1864</v>
      </c>
      <c r="X3544" s="185" t="s">
        <v>1865</v>
      </c>
      <c r="Y3544" s="185" t="s">
        <v>1789</v>
      </c>
      <c r="Z3544"/>
    </row>
    <row r="3545" spans="1:26">
      <c r="A3545" s="185" t="s">
        <v>4000</v>
      </c>
      <c r="B3545" s="185" t="s">
        <v>4005</v>
      </c>
      <c r="C3545" s="185" t="s">
        <v>1792</v>
      </c>
      <c r="D3545" s="185" t="s">
        <v>2713</v>
      </c>
      <c r="E3545" s="185">
        <v>510551</v>
      </c>
      <c r="F3545" s="185" t="s">
        <v>799</v>
      </c>
      <c r="G3545" s="185" t="s">
        <v>3254</v>
      </c>
      <c r="H3545" s="185" t="s">
        <v>1515</v>
      </c>
      <c r="I3545" s="258" t="str">
        <f t="shared" si="166"/>
        <v>5</v>
      </c>
      <c r="J3545" s="221">
        <f t="shared" si="167"/>
        <v>200000</v>
      </c>
      <c r="K3545" s="258">
        <f t="shared" si="168"/>
        <v>12</v>
      </c>
      <c r="L3545" s="188">
        <v>200000</v>
      </c>
      <c r="M3545" s="188">
        <v>0</v>
      </c>
      <c r="N3545" s="189">
        <v>222222222</v>
      </c>
      <c r="O3545"/>
      <c r="P3545" s="187">
        <v>45281.581840277802</v>
      </c>
      <c r="Q3545" s="186">
        <v>14974</v>
      </c>
      <c r="R3545" s="185"/>
      <c r="S3545" s="185" t="s">
        <v>1542</v>
      </c>
      <c r="T3545"/>
      <c r="U3545" t="str">
        <f>IF($L3545&gt;0,VLOOKUP($E3545,Valida!$A$1:$G$270,6,FALSE),IF($M3545&gt;=0,VLOOKUP($E3545,Valida!$A$1:$G$270,7,FALSE)))</f>
        <v>(+/-) Ganancia (pérdida)</v>
      </c>
      <c r="V3545" s="190" t="str">
        <f>VLOOKUP(E3545,Valida!$A$2:$K$271,4,FALSE)</f>
        <v>P&amp;L</v>
      </c>
      <c r="W3545" s="185" t="s">
        <v>1909</v>
      </c>
      <c r="X3545" s="185" t="s">
        <v>1910</v>
      </c>
      <c r="Y3545" s="185" t="s">
        <v>1789</v>
      </c>
      <c r="Z3545"/>
    </row>
    <row r="3546" spans="1:26">
      <c r="A3546" s="185" t="s">
        <v>4000</v>
      </c>
      <c r="B3546" s="185" t="s">
        <v>4005</v>
      </c>
      <c r="C3546" s="185" t="s">
        <v>1792</v>
      </c>
      <c r="D3546" s="185" t="s">
        <v>2713</v>
      </c>
      <c r="E3546" s="185">
        <v>133015</v>
      </c>
      <c r="F3546" s="185" t="s">
        <v>138</v>
      </c>
      <c r="G3546" s="185" t="s">
        <v>3254</v>
      </c>
      <c r="H3546" s="185" t="s">
        <v>1628</v>
      </c>
      <c r="I3546" s="258" t="str">
        <f t="shared" si="166"/>
        <v>1</v>
      </c>
      <c r="J3546" s="221">
        <f t="shared" si="167"/>
        <v>-200000</v>
      </c>
      <c r="K3546" s="258">
        <f t="shared" si="168"/>
        <v>12</v>
      </c>
      <c r="L3546" s="188">
        <v>0</v>
      </c>
      <c r="M3546" s="188">
        <v>200000</v>
      </c>
      <c r="N3546" s="189">
        <v>1000036375</v>
      </c>
      <c r="O3546"/>
      <c r="P3546" s="187">
        <v>45281.581840277802</v>
      </c>
      <c r="Q3546" s="186">
        <v>14975</v>
      </c>
      <c r="R3546" s="185"/>
      <c r="S3546" s="185" t="s">
        <v>1524</v>
      </c>
      <c r="T3546"/>
      <c r="U3546" t="str">
        <f>IF($L3546&gt;0,VLOOKUP($E3546,Valida!$A$1:$G$270,6,FALSE),IF($M3546&gt;=0,VLOOKUP($E3546,Valida!$A$1:$G$270,7,FALSE)))</f>
        <v>(+/-) Ajustes por disminuciones (incrementos) en otras cuentas por cobrar derivadas de las actividades de operación</v>
      </c>
      <c r="V3546" s="190" t="str">
        <f>VLOOKUP(E3546,Valida!$A$2:$K$271,4,FALSE)</f>
        <v>Trade and other receivables</v>
      </c>
      <c r="W3546" s="185" t="s">
        <v>1983</v>
      </c>
      <c r="X3546" s="185"/>
      <c r="Y3546" s="185" t="s">
        <v>1789</v>
      </c>
      <c r="Z3546"/>
    </row>
    <row r="3547" spans="1:26">
      <c r="A3547" s="185" t="s">
        <v>4006</v>
      </c>
      <c r="B3547" s="185" t="s">
        <v>4007</v>
      </c>
      <c r="C3547" s="185" t="s">
        <v>1792</v>
      </c>
      <c r="D3547" s="185" t="s">
        <v>2716</v>
      </c>
      <c r="E3547" s="185">
        <v>51059501</v>
      </c>
      <c r="F3547" s="185" t="s">
        <v>1129</v>
      </c>
      <c r="G3547" s="185" t="s">
        <v>2119</v>
      </c>
      <c r="H3547" s="185" t="s">
        <v>1515</v>
      </c>
      <c r="I3547" s="258" t="str">
        <f t="shared" si="166"/>
        <v>5</v>
      </c>
      <c r="J3547" s="221">
        <f t="shared" si="167"/>
        <v>387000</v>
      </c>
      <c r="K3547" s="258">
        <f t="shared" si="168"/>
        <v>12</v>
      </c>
      <c r="L3547" s="188">
        <v>387000</v>
      </c>
      <c r="M3547" s="188">
        <v>0</v>
      </c>
      <c r="N3547" s="189">
        <v>900170994</v>
      </c>
      <c r="O3547" t="s">
        <v>4008</v>
      </c>
      <c r="P3547" s="187">
        <v>45281.583159722199</v>
      </c>
      <c r="Q3547" s="186">
        <v>14976</v>
      </c>
      <c r="R3547" s="185" t="s">
        <v>1841</v>
      </c>
      <c r="S3547" s="185" t="s">
        <v>1592</v>
      </c>
      <c r="T3547"/>
      <c r="U3547" t="str">
        <f>IF($L3547&gt;0,VLOOKUP($E3547,Valida!$A$1:$G$270,6,FALSE),IF($M3547&gt;=0,VLOOKUP($E3547,Valida!$A$1:$G$270,7,FALSE)))</f>
        <v>(+/-) Ganancia (pérdida)</v>
      </c>
      <c r="V3547" s="190" t="str">
        <f>VLOOKUP(E3547,Valida!$A$2:$K$271,4,FALSE)</f>
        <v>P&amp;L</v>
      </c>
      <c r="W3547" s="185" t="s">
        <v>2030</v>
      </c>
      <c r="X3547" s="185" t="s">
        <v>2031</v>
      </c>
      <c r="Y3547" s="185" t="s">
        <v>1789</v>
      </c>
      <c r="Z3547"/>
    </row>
    <row r="3548" spans="1:26">
      <c r="A3548" s="185" t="s">
        <v>4006</v>
      </c>
      <c r="B3548" s="185" t="s">
        <v>4007</v>
      </c>
      <c r="C3548" s="185" t="s">
        <v>1792</v>
      </c>
      <c r="D3548" s="185" t="s">
        <v>2716</v>
      </c>
      <c r="E3548" s="185">
        <v>23352503</v>
      </c>
      <c r="F3548" s="185" t="s">
        <v>470</v>
      </c>
      <c r="G3548" s="185" t="s">
        <v>2119</v>
      </c>
      <c r="H3548" s="185" t="s">
        <v>1628</v>
      </c>
      <c r="I3548" s="258" t="str">
        <f t="shared" si="166"/>
        <v>2</v>
      </c>
      <c r="J3548" s="221">
        <f t="shared" si="167"/>
        <v>-387000</v>
      </c>
      <c r="K3548" s="258">
        <f t="shared" si="168"/>
        <v>12</v>
      </c>
      <c r="L3548" s="188">
        <v>0</v>
      </c>
      <c r="M3548" s="188">
        <v>387000</v>
      </c>
      <c r="N3548" s="189">
        <v>900170994</v>
      </c>
      <c r="O3548" t="s">
        <v>4008</v>
      </c>
      <c r="P3548" s="187">
        <v>45281.583159722199</v>
      </c>
      <c r="Q3548" s="186">
        <v>14977</v>
      </c>
      <c r="R3548" s="185" t="s">
        <v>1841</v>
      </c>
      <c r="S3548" s="185" t="s">
        <v>1592</v>
      </c>
      <c r="T3548"/>
      <c r="U3548" t="str">
        <f>IF($L3548&gt;0,VLOOKUP($E3548,Valida!$A$1:$G$270,6,FALSE),IF($M3548&gt;=0,VLOOKUP($E3548,Valida!$A$1:$G$270,7,FALSE)))</f>
        <v>(+/-) Ajustes por el incremento (disminución) de cuentas por pagar de origen comercial</v>
      </c>
      <c r="V3548" s="190" t="str">
        <f>VLOOKUP(E3548,Valida!$A$2:$K$271,4,FALSE)</f>
        <v>Trade and other payables</v>
      </c>
      <c r="W3548" s="185" t="s">
        <v>2030</v>
      </c>
      <c r="X3548" s="185" t="s">
        <v>2031</v>
      </c>
      <c r="Y3548" s="185" t="s">
        <v>1789</v>
      </c>
      <c r="Z3548"/>
    </row>
    <row r="3549" spans="1:26">
      <c r="A3549" s="185" t="s">
        <v>4009</v>
      </c>
      <c r="B3549" s="185" t="s">
        <v>4010</v>
      </c>
      <c r="C3549" s="185" t="s">
        <v>1792</v>
      </c>
      <c r="D3549" s="185" t="s">
        <v>2719</v>
      </c>
      <c r="E3549" s="185">
        <v>51352002</v>
      </c>
      <c r="F3549" s="185" t="s">
        <v>1270</v>
      </c>
      <c r="G3549" s="185" t="s">
        <v>1825</v>
      </c>
      <c r="H3549" s="185" t="s">
        <v>1515</v>
      </c>
      <c r="I3549" s="258" t="str">
        <f t="shared" si="166"/>
        <v>5</v>
      </c>
      <c r="J3549" s="221">
        <f t="shared" si="167"/>
        <v>1224400</v>
      </c>
      <c r="K3549" s="258">
        <f t="shared" si="168"/>
        <v>12</v>
      </c>
      <c r="L3549" s="188">
        <v>1224400</v>
      </c>
      <c r="M3549" s="188">
        <v>0</v>
      </c>
      <c r="N3549" s="189">
        <v>899999115</v>
      </c>
      <c r="O3549" t="s">
        <v>4011</v>
      </c>
      <c r="P3549" s="187">
        <v>45281.5854398148</v>
      </c>
      <c r="Q3549" s="186">
        <v>14978</v>
      </c>
      <c r="R3549" s="185" t="s">
        <v>1827</v>
      </c>
      <c r="S3549" s="185" t="s">
        <v>1586</v>
      </c>
      <c r="T3549"/>
      <c r="U3549" t="str">
        <f>IF($L3549&gt;0,VLOOKUP($E3549,Valida!$A$1:$G$270,6,FALSE),IF($M3549&gt;=0,VLOOKUP($E3549,Valida!$A$1:$G$270,7,FALSE)))</f>
        <v>(+/-) Ganancia (pérdida)</v>
      </c>
      <c r="V3549" s="190" t="str">
        <f>VLOOKUP(E3549,Valida!$A$2:$K$271,4,FALSE)</f>
        <v>P&amp;L</v>
      </c>
      <c r="W3549" s="185" t="s">
        <v>1828</v>
      </c>
      <c r="X3549" s="185" t="s">
        <v>1829</v>
      </c>
      <c r="Y3549" s="185" t="s">
        <v>1789</v>
      </c>
      <c r="Z3549"/>
    </row>
    <row r="3550" spans="1:26">
      <c r="A3550" s="185" t="s">
        <v>4009</v>
      </c>
      <c r="B3550" s="185" t="s">
        <v>4010</v>
      </c>
      <c r="C3550" s="185" t="s">
        <v>1792</v>
      </c>
      <c r="D3550" s="185" t="s">
        <v>2719</v>
      </c>
      <c r="E3550" s="185">
        <v>24081002</v>
      </c>
      <c r="F3550" s="185" t="s">
        <v>1687</v>
      </c>
      <c r="G3550" s="185" t="s">
        <v>1830</v>
      </c>
      <c r="H3550" s="185" t="s">
        <v>1515</v>
      </c>
      <c r="I3550" s="258" t="str">
        <f t="shared" si="166"/>
        <v>2</v>
      </c>
      <c r="J3550" s="221">
        <f t="shared" si="167"/>
        <v>232636</v>
      </c>
      <c r="K3550" s="258">
        <f t="shared" si="168"/>
        <v>12</v>
      </c>
      <c r="L3550" s="188">
        <v>232636</v>
      </c>
      <c r="M3550" s="188">
        <v>0</v>
      </c>
      <c r="N3550" s="189">
        <v>899999115</v>
      </c>
      <c r="O3550" t="s">
        <v>4011</v>
      </c>
      <c r="P3550" s="187">
        <v>45281.5854398148</v>
      </c>
      <c r="Q3550" s="186">
        <v>14979</v>
      </c>
      <c r="R3550" s="185" t="s">
        <v>1827</v>
      </c>
      <c r="S3550" s="185" t="s">
        <v>1586</v>
      </c>
      <c r="T3550"/>
      <c r="U3550" t="str">
        <f>IF($L3550&gt;0,VLOOKUP($E3550,Valida!$A$1:$G$270,6,FALSE),IF($M3550&gt;=0,VLOOKUP($E3550,Valida!$A$1:$G$270,7,FALSE)))</f>
        <v>(+/-) Ajustes por el incremento (disminución) de cuentas por pagar de origen comercial</v>
      </c>
      <c r="V3550" s="190" t="str">
        <f>VLOOKUP(E3550,Valida!$A$2:$K$271,4,FALSE)</f>
        <v>Trade and other payables</v>
      </c>
      <c r="W3550" s="185" t="s">
        <v>1828</v>
      </c>
      <c r="X3550" s="185" t="s">
        <v>1829</v>
      </c>
      <c r="Y3550" s="185" t="s">
        <v>1789</v>
      </c>
      <c r="Z3550"/>
    </row>
    <row r="3551" spans="1:26">
      <c r="A3551" s="185" t="s">
        <v>4009</v>
      </c>
      <c r="B3551" s="185" t="s">
        <v>4010</v>
      </c>
      <c r="C3551" s="185" t="s">
        <v>1792</v>
      </c>
      <c r="D3551" s="185" t="s">
        <v>2719</v>
      </c>
      <c r="E3551" s="185">
        <v>23355006</v>
      </c>
      <c r="F3551" s="185" t="s">
        <v>519</v>
      </c>
      <c r="G3551" s="185" t="s">
        <v>1825</v>
      </c>
      <c r="H3551" s="185" t="s">
        <v>1628</v>
      </c>
      <c r="I3551" s="258" t="str">
        <f t="shared" si="166"/>
        <v>2</v>
      </c>
      <c r="J3551" s="221">
        <f t="shared" si="167"/>
        <v>-1457040</v>
      </c>
      <c r="K3551" s="258">
        <f t="shared" si="168"/>
        <v>12</v>
      </c>
      <c r="L3551" s="188">
        <v>0</v>
      </c>
      <c r="M3551" s="188">
        <v>1457040</v>
      </c>
      <c r="N3551" s="189">
        <v>899999115</v>
      </c>
      <c r="O3551" t="s">
        <v>4011</v>
      </c>
      <c r="P3551" s="187">
        <v>45281.5854398148</v>
      </c>
      <c r="Q3551" s="186">
        <v>14980</v>
      </c>
      <c r="R3551" s="185" t="s">
        <v>1827</v>
      </c>
      <c r="S3551" s="185" t="s">
        <v>1586</v>
      </c>
      <c r="T3551"/>
      <c r="U3551" t="str">
        <f>IF($L3551&gt;0,VLOOKUP($E3551,Valida!$A$1:$G$270,6,FALSE),IF($M3551&gt;=0,VLOOKUP($E3551,Valida!$A$1:$G$270,7,FALSE)))</f>
        <v>(+/-) Ajustes por el incremento (disminución) de cuentas por pagar de origen comercial</v>
      </c>
      <c r="V3551" s="190" t="str">
        <f>VLOOKUP(E3551,Valida!$A$2:$K$271,4,FALSE)</f>
        <v>Trade and other payables</v>
      </c>
      <c r="W3551" s="185" t="s">
        <v>1828</v>
      </c>
      <c r="X3551" s="185" t="s">
        <v>1829</v>
      </c>
      <c r="Y3551" s="185" t="s">
        <v>1789</v>
      </c>
      <c r="Z3551"/>
    </row>
    <row r="3552" spans="1:26">
      <c r="A3552" s="185" t="s">
        <v>4009</v>
      </c>
      <c r="B3552" s="185" t="s">
        <v>4010</v>
      </c>
      <c r="C3552" s="185" t="s">
        <v>1792</v>
      </c>
      <c r="D3552" s="185" t="s">
        <v>2719</v>
      </c>
      <c r="E3552" s="185">
        <v>53059510</v>
      </c>
      <c r="F3552" s="185" t="s">
        <v>1065</v>
      </c>
      <c r="G3552" s="185" t="s">
        <v>1825</v>
      </c>
      <c r="H3552" s="185" t="s">
        <v>1515</v>
      </c>
      <c r="I3552" s="258" t="str">
        <f t="shared" si="166"/>
        <v>5</v>
      </c>
      <c r="J3552" s="221">
        <f t="shared" si="167"/>
        <v>4</v>
      </c>
      <c r="K3552" s="258">
        <f t="shared" si="168"/>
        <v>12</v>
      </c>
      <c r="L3552" s="188">
        <v>4</v>
      </c>
      <c r="M3552" s="188">
        <v>0</v>
      </c>
      <c r="N3552" s="189">
        <v>899999115</v>
      </c>
      <c r="O3552" t="s">
        <v>4011</v>
      </c>
      <c r="P3552" s="187">
        <v>45281.5854398148</v>
      </c>
      <c r="Q3552" s="186">
        <v>14981</v>
      </c>
      <c r="R3552" s="185" t="s">
        <v>1827</v>
      </c>
      <c r="S3552" s="185" t="s">
        <v>1586</v>
      </c>
      <c r="T3552"/>
      <c r="U3552" t="str">
        <f>IF($L3552&gt;0,VLOOKUP($E3552,Valida!$A$1:$G$270,6,FALSE),IF($M3552&gt;=0,VLOOKUP($E3552,Valida!$A$1:$G$270,7,FALSE)))</f>
        <v>(+/-) Ganancia (pérdida)</v>
      </c>
      <c r="V3552" s="190" t="str">
        <f>VLOOKUP(E3552,Valida!$A$2:$K$271,4,FALSE)</f>
        <v>P&amp;L</v>
      </c>
      <c r="W3552" s="185" t="s">
        <v>1828</v>
      </c>
      <c r="X3552" s="185" t="s">
        <v>1829</v>
      </c>
      <c r="Y3552" s="185" t="s">
        <v>1789</v>
      </c>
      <c r="Z3552"/>
    </row>
    <row r="3553" spans="1:26">
      <c r="A3553" s="185" t="s">
        <v>4009</v>
      </c>
      <c r="B3553" s="185" t="s">
        <v>4012</v>
      </c>
      <c r="C3553" s="185" t="s">
        <v>1792</v>
      </c>
      <c r="D3553" s="185" t="s">
        <v>2724</v>
      </c>
      <c r="E3553" s="185">
        <v>51350501</v>
      </c>
      <c r="F3553" s="185" t="s">
        <v>1256</v>
      </c>
      <c r="G3553" s="185" t="s">
        <v>1794</v>
      </c>
      <c r="H3553" s="185" t="s">
        <v>1515</v>
      </c>
      <c r="I3553" s="258" t="str">
        <f t="shared" si="166"/>
        <v>5</v>
      </c>
      <c r="J3553" s="221">
        <f t="shared" si="167"/>
        <v>1285970</v>
      </c>
      <c r="K3553" s="258">
        <f t="shared" si="168"/>
        <v>12</v>
      </c>
      <c r="L3553" s="188">
        <v>1285970</v>
      </c>
      <c r="M3553" s="188">
        <v>0</v>
      </c>
      <c r="N3553" s="189">
        <v>900736537</v>
      </c>
      <c r="O3553" t="s">
        <v>4013</v>
      </c>
      <c r="P3553" s="187">
        <v>45281.586111111101</v>
      </c>
      <c r="Q3553" s="186">
        <v>14982</v>
      </c>
      <c r="R3553" s="185" t="s">
        <v>1814</v>
      </c>
      <c r="S3553" s="185" t="s">
        <v>1602</v>
      </c>
      <c r="T3553"/>
      <c r="U3553" t="str">
        <f>IF($L3553&gt;0,VLOOKUP($E3553,Valida!$A$1:$G$270,6,FALSE),IF($M3553&gt;=0,VLOOKUP($E3553,Valida!$A$1:$G$270,7,FALSE)))</f>
        <v>(+/-) Ganancia (pérdida)</v>
      </c>
      <c r="V3553" s="190" t="str">
        <f>VLOOKUP(E3553,Valida!$A$2:$K$271,4,FALSE)</f>
        <v>P&amp;L</v>
      </c>
      <c r="W3553" s="185" t="s">
        <v>2985</v>
      </c>
      <c r="X3553" s="185" t="s">
        <v>2986</v>
      </c>
      <c r="Y3553" s="185" t="s">
        <v>1789</v>
      </c>
      <c r="Z3553"/>
    </row>
    <row r="3554" spans="1:26">
      <c r="A3554" s="185" t="s">
        <v>4009</v>
      </c>
      <c r="B3554" s="185" t="s">
        <v>4012</v>
      </c>
      <c r="C3554" s="185" t="s">
        <v>1792</v>
      </c>
      <c r="D3554" s="185" t="s">
        <v>2724</v>
      </c>
      <c r="E3554" s="185">
        <v>51350501</v>
      </c>
      <c r="F3554" s="185" t="s">
        <v>1256</v>
      </c>
      <c r="G3554" s="185" t="s">
        <v>1794</v>
      </c>
      <c r="H3554" s="185" t="s">
        <v>1515</v>
      </c>
      <c r="I3554" s="258" t="str">
        <f t="shared" si="166"/>
        <v>5</v>
      </c>
      <c r="J3554" s="221">
        <f t="shared" si="167"/>
        <v>128597</v>
      </c>
      <c r="K3554" s="258">
        <f t="shared" si="168"/>
        <v>12</v>
      </c>
      <c r="L3554" s="188">
        <v>128597</v>
      </c>
      <c r="M3554" s="188">
        <v>0</v>
      </c>
      <c r="N3554" s="189">
        <v>900736537</v>
      </c>
      <c r="O3554" t="s">
        <v>4013</v>
      </c>
      <c r="P3554" s="187">
        <v>45281.586111111101</v>
      </c>
      <c r="Q3554" s="186">
        <v>14983</v>
      </c>
      <c r="R3554" s="185" t="s">
        <v>1814</v>
      </c>
      <c r="S3554" s="185" t="s">
        <v>1602</v>
      </c>
      <c r="T3554"/>
      <c r="U3554" t="str">
        <f>IF($L3554&gt;0,VLOOKUP($E3554,Valida!$A$1:$G$270,6,FALSE),IF($M3554&gt;=0,VLOOKUP($E3554,Valida!$A$1:$G$270,7,FALSE)))</f>
        <v>(+/-) Ganancia (pérdida)</v>
      </c>
      <c r="V3554" s="190" t="str">
        <f>VLOOKUP(E3554,Valida!$A$2:$K$271,4,FALSE)</f>
        <v>P&amp;L</v>
      </c>
      <c r="W3554" s="185" t="s">
        <v>2985</v>
      </c>
      <c r="X3554" s="185" t="s">
        <v>2986</v>
      </c>
      <c r="Y3554" s="185" t="s">
        <v>1789</v>
      </c>
      <c r="Z3554"/>
    </row>
    <row r="3555" spans="1:26">
      <c r="A3555" s="185" t="s">
        <v>4009</v>
      </c>
      <c r="B3555" s="185" t="s">
        <v>4012</v>
      </c>
      <c r="C3555" s="185" t="s">
        <v>1792</v>
      </c>
      <c r="D3555" s="185" t="s">
        <v>2724</v>
      </c>
      <c r="E3555" s="185">
        <v>24081002</v>
      </c>
      <c r="F3555" s="185" t="s">
        <v>1687</v>
      </c>
      <c r="G3555" s="185" t="s">
        <v>1794</v>
      </c>
      <c r="H3555" s="185" t="s">
        <v>1515</v>
      </c>
      <c r="I3555" s="258" t="str">
        <f t="shared" si="166"/>
        <v>2</v>
      </c>
      <c r="J3555" s="221">
        <f t="shared" si="167"/>
        <v>24433</v>
      </c>
      <c r="K3555" s="258">
        <f t="shared" si="168"/>
        <v>12</v>
      </c>
      <c r="L3555" s="188">
        <v>24433</v>
      </c>
      <c r="M3555" s="188">
        <v>0</v>
      </c>
      <c r="N3555" s="189">
        <v>900736537</v>
      </c>
      <c r="O3555" t="s">
        <v>4013</v>
      </c>
      <c r="P3555" s="187">
        <v>45281.586111111101</v>
      </c>
      <c r="Q3555" s="186">
        <v>14984</v>
      </c>
      <c r="R3555" s="185" t="s">
        <v>1814</v>
      </c>
      <c r="S3555" s="185" t="s">
        <v>1602</v>
      </c>
      <c r="T3555"/>
      <c r="U3555" t="str">
        <f>IF($L3555&gt;0,VLOOKUP($E3555,Valida!$A$1:$G$270,6,FALSE),IF($M3555&gt;=0,VLOOKUP($E3555,Valida!$A$1:$G$270,7,FALSE)))</f>
        <v>(+/-) Ajustes por el incremento (disminución) de cuentas por pagar de origen comercial</v>
      </c>
      <c r="V3555" s="190" t="str">
        <f>VLOOKUP(E3555,Valida!$A$2:$K$271,4,FALSE)</f>
        <v>Trade and other payables</v>
      </c>
      <c r="W3555" s="185" t="s">
        <v>2985</v>
      </c>
      <c r="X3555" s="185" t="s">
        <v>2986</v>
      </c>
      <c r="Y3555" s="185" t="s">
        <v>1789</v>
      </c>
      <c r="Z3555"/>
    </row>
    <row r="3556" spans="1:26">
      <c r="A3556" s="185" t="s">
        <v>4009</v>
      </c>
      <c r="B3556" s="185" t="s">
        <v>4012</v>
      </c>
      <c r="C3556" s="185" t="s">
        <v>1792</v>
      </c>
      <c r="D3556" s="185" t="s">
        <v>2724</v>
      </c>
      <c r="E3556" s="185">
        <v>23355004</v>
      </c>
      <c r="F3556" s="185" t="s">
        <v>513</v>
      </c>
      <c r="G3556" s="185" t="s">
        <v>1794</v>
      </c>
      <c r="H3556" s="185" t="s">
        <v>1628</v>
      </c>
      <c r="I3556" s="258" t="str">
        <f t="shared" si="166"/>
        <v>2</v>
      </c>
      <c r="J3556" s="221">
        <f t="shared" si="167"/>
        <v>-1439000</v>
      </c>
      <c r="K3556" s="258">
        <f t="shared" si="168"/>
        <v>12</v>
      </c>
      <c r="L3556" s="188">
        <v>0</v>
      </c>
      <c r="M3556" s="188">
        <v>1439000</v>
      </c>
      <c r="N3556" s="189">
        <v>900736537</v>
      </c>
      <c r="O3556" t="s">
        <v>4013</v>
      </c>
      <c r="P3556" s="187">
        <v>45281.586111111101</v>
      </c>
      <c r="Q3556" s="186">
        <v>14985</v>
      </c>
      <c r="R3556" s="185" t="s">
        <v>1814</v>
      </c>
      <c r="S3556" s="185" t="s">
        <v>1602</v>
      </c>
      <c r="T3556"/>
      <c r="U3556" t="str">
        <f>IF($L3556&gt;0,VLOOKUP($E3556,Valida!$A$1:$G$270,6,FALSE),IF($M3556&gt;=0,VLOOKUP($E3556,Valida!$A$1:$G$270,7,FALSE)))</f>
        <v>(+/-) Ajustes por el incremento (disminución) de cuentas por pagar de origen comercial</v>
      </c>
      <c r="V3556" s="190" t="str">
        <f>VLOOKUP(E3556,Valida!$A$2:$K$271,4,FALSE)</f>
        <v>Trade and other payables</v>
      </c>
      <c r="W3556" s="185" t="s">
        <v>2985</v>
      </c>
      <c r="X3556" s="185" t="s">
        <v>2986</v>
      </c>
      <c r="Y3556" s="185" t="s">
        <v>1789</v>
      </c>
      <c r="Z3556"/>
    </row>
    <row r="3557" spans="1:26">
      <c r="A3557" s="185" t="s">
        <v>4009</v>
      </c>
      <c r="B3557" s="185" t="s">
        <v>4014</v>
      </c>
      <c r="C3557" s="185" t="s">
        <v>1792</v>
      </c>
      <c r="D3557" s="185" t="s">
        <v>2743</v>
      </c>
      <c r="E3557" s="185">
        <v>51700503</v>
      </c>
      <c r="F3557" s="185" t="s">
        <v>1397</v>
      </c>
      <c r="G3557" s="185" t="s">
        <v>1818</v>
      </c>
      <c r="H3557" s="185" t="s">
        <v>1515</v>
      </c>
      <c r="I3557" s="258" t="str">
        <f t="shared" si="166"/>
        <v>5</v>
      </c>
      <c r="J3557" s="221">
        <f t="shared" si="167"/>
        <v>350000</v>
      </c>
      <c r="K3557" s="258">
        <f t="shared" si="168"/>
        <v>12</v>
      </c>
      <c r="L3557" s="188">
        <v>350000</v>
      </c>
      <c r="M3557" s="188">
        <v>0</v>
      </c>
      <c r="N3557" s="189">
        <v>800042928</v>
      </c>
      <c r="O3557" t="s">
        <v>4015</v>
      </c>
      <c r="P3557" s="187">
        <v>45281.586585648103</v>
      </c>
      <c r="Q3557" s="186">
        <v>14986</v>
      </c>
      <c r="R3557" s="185" t="s">
        <v>6</v>
      </c>
      <c r="S3557" s="185" t="s">
        <v>1554</v>
      </c>
      <c r="T3557"/>
      <c r="U3557" t="str">
        <f>IF($L3557&gt;0,VLOOKUP($E3557,Valida!$A$1:$G$270,6,FALSE),IF($M3557&gt;=0,VLOOKUP($E3557,Valida!$A$1:$G$270,7,FALSE)))</f>
        <v>(+/-) Ganancia (pérdida)</v>
      </c>
      <c r="V3557" s="190" t="str">
        <f>VLOOKUP(E3557,Valida!$A$2:$K$271,4,FALSE)</f>
        <v>P&amp;L</v>
      </c>
      <c r="W3557" s="185" t="s">
        <v>1820</v>
      </c>
      <c r="X3557" s="185" t="s">
        <v>1821</v>
      </c>
      <c r="Y3557" s="185" t="s">
        <v>1789</v>
      </c>
      <c r="Z3557"/>
    </row>
    <row r="3558" spans="1:26">
      <c r="A3558" s="185" t="s">
        <v>4009</v>
      </c>
      <c r="B3558" s="185" t="s">
        <v>4014</v>
      </c>
      <c r="C3558" s="185" t="s">
        <v>1792</v>
      </c>
      <c r="D3558" s="185" t="s">
        <v>2743</v>
      </c>
      <c r="E3558" s="185">
        <v>23359504</v>
      </c>
      <c r="F3558" s="185" t="s">
        <v>553</v>
      </c>
      <c r="G3558" s="185" t="s">
        <v>1818</v>
      </c>
      <c r="H3558" s="185" t="s">
        <v>1628</v>
      </c>
      <c r="I3558" s="258" t="str">
        <f t="shared" si="166"/>
        <v>2</v>
      </c>
      <c r="J3558" s="221">
        <f t="shared" si="167"/>
        <v>-350000</v>
      </c>
      <c r="K3558" s="258">
        <f t="shared" si="168"/>
        <v>12</v>
      </c>
      <c r="L3558" s="188">
        <v>0</v>
      </c>
      <c r="M3558" s="188">
        <v>350000</v>
      </c>
      <c r="N3558" s="189">
        <v>800042928</v>
      </c>
      <c r="O3558" t="s">
        <v>4015</v>
      </c>
      <c r="P3558" s="187">
        <v>45281.586585648103</v>
      </c>
      <c r="Q3558" s="186">
        <v>14987</v>
      </c>
      <c r="R3558" s="185" t="s">
        <v>6</v>
      </c>
      <c r="S3558" s="185" t="s">
        <v>1554</v>
      </c>
      <c r="T3558"/>
      <c r="U3558" t="str">
        <f>IF($L3558&gt;0,VLOOKUP($E3558,Valida!$A$1:$G$270,6,FALSE),IF($M3558&gt;=0,VLOOKUP($E3558,Valida!$A$1:$G$270,7,FALSE)))</f>
        <v>(+/-) Ajustes por el incremento (disminución) de cuentas por pagar de origen comercial</v>
      </c>
      <c r="V3558" s="190" t="str">
        <f>VLOOKUP(E3558,Valida!$A$2:$K$271,4,FALSE)</f>
        <v>Trade and other payables</v>
      </c>
      <c r="W3558" s="185" t="s">
        <v>1820</v>
      </c>
      <c r="X3558" s="185" t="s">
        <v>1821</v>
      </c>
      <c r="Y3558" s="185" t="s">
        <v>1789</v>
      </c>
      <c r="Z3558"/>
    </row>
    <row r="3559" spans="1:26">
      <c r="A3559" s="185" t="s">
        <v>4009</v>
      </c>
      <c r="B3559" s="185" t="s">
        <v>4016</v>
      </c>
      <c r="C3559" s="185" t="s">
        <v>1792</v>
      </c>
      <c r="D3559" s="185" t="s">
        <v>2746</v>
      </c>
      <c r="E3559" s="185">
        <v>510551</v>
      </c>
      <c r="F3559" s="185" t="s">
        <v>799</v>
      </c>
      <c r="G3559" s="185" t="s">
        <v>3900</v>
      </c>
      <c r="H3559" s="185" t="s">
        <v>1515</v>
      </c>
      <c r="I3559" s="258" t="str">
        <f t="shared" si="166"/>
        <v>5</v>
      </c>
      <c r="J3559" s="221">
        <f t="shared" si="167"/>
        <v>151092</v>
      </c>
      <c r="K3559" s="258">
        <f t="shared" si="168"/>
        <v>12</v>
      </c>
      <c r="L3559" s="188">
        <v>151092</v>
      </c>
      <c r="M3559" s="188">
        <v>0</v>
      </c>
      <c r="N3559" s="189">
        <v>860516806</v>
      </c>
      <c r="O3559" t="s">
        <v>4017</v>
      </c>
      <c r="P3559" s="187">
        <v>45281.589212963001</v>
      </c>
      <c r="Q3559" s="186">
        <v>14988</v>
      </c>
      <c r="R3559" s="185"/>
      <c r="S3559" s="185" t="s">
        <v>1674</v>
      </c>
      <c r="T3559"/>
      <c r="U3559" t="str">
        <f>IF($L3559&gt;0,VLOOKUP($E3559,Valida!$A$1:$G$270,6,FALSE),IF($M3559&gt;=0,VLOOKUP($E3559,Valida!$A$1:$G$270,7,FALSE)))</f>
        <v>(+/-) Ganancia (pérdida)</v>
      </c>
      <c r="V3559" s="190" t="str">
        <f>VLOOKUP(E3559,Valida!$A$2:$K$271,4,FALSE)</f>
        <v>P&amp;L</v>
      </c>
      <c r="W3559" s="185" t="s">
        <v>3902</v>
      </c>
      <c r="X3559" s="185" t="s">
        <v>3903</v>
      </c>
      <c r="Y3559" s="185" t="s">
        <v>1789</v>
      </c>
      <c r="Z3559"/>
    </row>
    <row r="3560" spans="1:26">
      <c r="A3560" s="185" t="s">
        <v>4009</v>
      </c>
      <c r="B3560" s="185" t="s">
        <v>4016</v>
      </c>
      <c r="C3560" s="185" t="s">
        <v>1792</v>
      </c>
      <c r="D3560" s="185" t="s">
        <v>2746</v>
      </c>
      <c r="E3560" s="185">
        <v>24081001</v>
      </c>
      <c r="F3560" s="185" t="s">
        <v>1670</v>
      </c>
      <c r="G3560" s="185" t="s">
        <v>3900</v>
      </c>
      <c r="H3560" s="185" t="s">
        <v>1515</v>
      </c>
      <c r="I3560" s="258" t="str">
        <f t="shared" si="166"/>
        <v>2</v>
      </c>
      <c r="J3560" s="221">
        <f t="shared" si="167"/>
        <v>28707</v>
      </c>
      <c r="K3560" s="258">
        <f t="shared" si="168"/>
        <v>12</v>
      </c>
      <c r="L3560" s="188">
        <v>28707</v>
      </c>
      <c r="M3560" s="188">
        <v>0</v>
      </c>
      <c r="N3560" s="189">
        <v>860516806</v>
      </c>
      <c r="O3560" t="s">
        <v>4017</v>
      </c>
      <c r="P3560" s="187">
        <v>45281.589212963001</v>
      </c>
      <c r="Q3560" s="186">
        <v>14989</v>
      </c>
      <c r="R3560" s="185"/>
      <c r="S3560" s="185" t="s">
        <v>1674</v>
      </c>
      <c r="T3560"/>
      <c r="U3560" t="str">
        <f>IF($L3560&gt;0,VLOOKUP($E3560,Valida!$A$1:$G$270,6,FALSE),IF($M3560&gt;=0,VLOOKUP($E3560,Valida!$A$1:$G$270,7,FALSE)))</f>
        <v>(+/-) Ajustes por el incremento (disminución) de cuentas por pagar de origen comercial</v>
      </c>
      <c r="V3560" s="190" t="str">
        <f>VLOOKUP(E3560,Valida!$A$2:$K$271,4,FALSE)</f>
        <v>Trade and other payables</v>
      </c>
      <c r="W3560" s="185" t="s">
        <v>3902</v>
      </c>
      <c r="X3560" s="185" t="s">
        <v>3903</v>
      </c>
      <c r="Y3560" s="185" t="s">
        <v>1789</v>
      </c>
      <c r="Z3560"/>
    </row>
    <row r="3561" spans="1:26">
      <c r="A3561" s="185" t="s">
        <v>4009</v>
      </c>
      <c r="B3561" s="185" t="s">
        <v>4016</v>
      </c>
      <c r="C3561" s="185" t="s">
        <v>1792</v>
      </c>
      <c r="D3561" s="185" t="s">
        <v>2746</v>
      </c>
      <c r="E3561" s="185">
        <v>510551</v>
      </c>
      <c r="F3561" s="185" t="s">
        <v>799</v>
      </c>
      <c r="G3561" s="185" t="s">
        <v>3900</v>
      </c>
      <c r="H3561" s="185" t="s">
        <v>1515</v>
      </c>
      <c r="I3561" s="258" t="str">
        <f t="shared" si="166"/>
        <v>5</v>
      </c>
      <c r="J3561" s="221">
        <f t="shared" si="167"/>
        <v>20201</v>
      </c>
      <c r="K3561" s="258">
        <f t="shared" si="168"/>
        <v>12</v>
      </c>
      <c r="L3561" s="188">
        <v>20201</v>
      </c>
      <c r="M3561" s="188">
        <v>0</v>
      </c>
      <c r="N3561" s="189">
        <v>222222222</v>
      </c>
      <c r="O3561" t="s">
        <v>4017</v>
      </c>
      <c r="P3561" s="187">
        <v>45281.589212963001</v>
      </c>
      <c r="Q3561" s="186">
        <v>14990</v>
      </c>
      <c r="R3561" s="185"/>
      <c r="S3561" s="185" t="s">
        <v>1542</v>
      </c>
      <c r="T3561"/>
      <c r="U3561" t="str">
        <f>IF($L3561&gt;0,VLOOKUP($E3561,Valida!$A$1:$G$270,6,FALSE),IF($M3561&gt;=0,VLOOKUP($E3561,Valida!$A$1:$G$270,7,FALSE)))</f>
        <v>(+/-) Ganancia (pérdida)</v>
      </c>
      <c r="V3561" s="190" t="str">
        <f>VLOOKUP(E3561,Valida!$A$2:$K$271,4,FALSE)</f>
        <v>P&amp;L</v>
      </c>
      <c r="W3561" s="185" t="s">
        <v>1909</v>
      </c>
      <c r="X3561" s="185" t="s">
        <v>1910</v>
      </c>
      <c r="Y3561" s="185" t="s">
        <v>1789</v>
      </c>
      <c r="Z3561"/>
    </row>
    <row r="3562" spans="1:26">
      <c r="A3562" s="185" t="s">
        <v>4009</v>
      </c>
      <c r="B3562" s="185" t="s">
        <v>4016</v>
      </c>
      <c r="C3562" s="185" t="s">
        <v>1792</v>
      </c>
      <c r="D3562" s="185" t="s">
        <v>2746</v>
      </c>
      <c r="E3562" s="185">
        <v>133015</v>
      </c>
      <c r="F3562" s="185" t="s">
        <v>138</v>
      </c>
      <c r="G3562" s="185" t="s">
        <v>3900</v>
      </c>
      <c r="H3562" s="185" t="s">
        <v>1628</v>
      </c>
      <c r="I3562" s="258" t="str">
        <f t="shared" si="166"/>
        <v>1</v>
      </c>
      <c r="J3562" s="221">
        <f t="shared" si="167"/>
        <v>-200000</v>
      </c>
      <c r="K3562" s="258">
        <f t="shared" si="168"/>
        <v>12</v>
      </c>
      <c r="L3562" s="188">
        <v>0</v>
      </c>
      <c r="M3562" s="188">
        <v>200000</v>
      </c>
      <c r="N3562" s="189">
        <v>1000018061</v>
      </c>
      <c r="O3562" t="s">
        <v>4017</v>
      </c>
      <c r="P3562" s="187">
        <v>45281.589212963001</v>
      </c>
      <c r="Q3562" s="186">
        <v>14991</v>
      </c>
      <c r="R3562" s="185"/>
      <c r="S3562" s="185" t="s">
        <v>1522</v>
      </c>
      <c r="T3562"/>
      <c r="U3562" t="str">
        <f>IF($L3562&gt;0,VLOOKUP($E3562,Valida!$A$1:$G$270,6,FALSE),IF($M3562&gt;=0,VLOOKUP($E3562,Valida!$A$1:$G$270,7,FALSE)))</f>
        <v>(+/-) Ajustes por disminuciones (incrementos) en otras cuentas por cobrar derivadas de las actividades de operación</v>
      </c>
      <c r="V3562" s="190" t="str">
        <f>VLOOKUP(E3562,Valida!$A$2:$K$271,4,FALSE)</f>
        <v>Trade and other receivables</v>
      </c>
      <c r="W3562" s="185" t="s">
        <v>1978</v>
      </c>
      <c r="X3562" s="185"/>
      <c r="Y3562" s="185" t="s">
        <v>1789</v>
      </c>
      <c r="Z3562"/>
    </row>
    <row r="3563" spans="1:26">
      <c r="A3563" s="185" t="s">
        <v>4018</v>
      </c>
      <c r="B3563" s="185" t="s">
        <v>4019</v>
      </c>
      <c r="C3563" s="185" t="s">
        <v>1792</v>
      </c>
      <c r="D3563" s="185" t="s">
        <v>2748</v>
      </c>
      <c r="E3563" s="185">
        <v>510551</v>
      </c>
      <c r="F3563" s="185" t="s">
        <v>799</v>
      </c>
      <c r="G3563" s="185" t="s">
        <v>3252</v>
      </c>
      <c r="H3563" s="185" t="s">
        <v>1515</v>
      </c>
      <c r="I3563" s="258" t="str">
        <f t="shared" si="166"/>
        <v>5</v>
      </c>
      <c r="J3563" s="221">
        <f t="shared" si="167"/>
        <v>200000</v>
      </c>
      <c r="K3563" s="258">
        <f t="shared" si="168"/>
        <v>12</v>
      </c>
      <c r="L3563" s="188">
        <v>200000</v>
      </c>
      <c r="M3563" s="188">
        <v>0</v>
      </c>
      <c r="N3563" s="189">
        <v>222222222</v>
      </c>
      <c r="O3563"/>
      <c r="P3563" s="187">
        <v>45281.590057870402</v>
      </c>
      <c r="Q3563" s="186">
        <v>14992</v>
      </c>
      <c r="R3563" s="185"/>
      <c r="S3563" s="185" t="s">
        <v>1542</v>
      </c>
      <c r="T3563"/>
      <c r="U3563" t="str">
        <f>IF($L3563&gt;0,VLOOKUP($E3563,Valida!$A$1:$G$270,6,FALSE),IF($M3563&gt;=0,VLOOKUP($E3563,Valida!$A$1:$G$270,7,FALSE)))</f>
        <v>(+/-) Ganancia (pérdida)</v>
      </c>
      <c r="V3563" s="190" t="str">
        <f>VLOOKUP(E3563,Valida!$A$2:$K$271,4,FALSE)</f>
        <v>P&amp;L</v>
      </c>
      <c r="W3563" s="185" t="s">
        <v>1909</v>
      </c>
      <c r="X3563" s="185" t="s">
        <v>1910</v>
      </c>
      <c r="Y3563" s="185" t="s">
        <v>1789</v>
      </c>
      <c r="Z3563"/>
    </row>
    <row r="3564" spans="1:26">
      <c r="A3564" s="185" t="s">
        <v>4018</v>
      </c>
      <c r="B3564" s="185" t="s">
        <v>4019</v>
      </c>
      <c r="C3564" s="185" t="s">
        <v>1792</v>
      </c>
      <c r="D3564" s="185" t="s">
        <v>2748</v>
      </c>
      <c r="E3564" s="185">
        <v>133015</v>
      </c>
      <c r="F3564" s="185" t="s">
        <v>138</v>
      </c>
      <c r="G3564" s="185" t="s">
        <v>3252</v>
      </c>
      <c r="H3564" s="185" t="s">
        <v>1628</v>
      </c>
      <c r="I3564" s="258" t="str">
        <f t="shared" si="166"/>
        <v>1</v>
      </c>
      <c r="J3564" s="221">
        <f t="shared" si="167"/>
        <v>-200000</v>
      </c>
      <c r="K3564" s="258">
        <f t="shared" si="168"/>
        <v>12</v>
      </c>
      <c r="L3564" s="188">
        <v>0</v>
      </c>
      <c r="M3564" s="188">
        <v>200000</v>
      </c>
      <c r="N3564" s="189">
        <v>1010101811</v>
      </c>
      <c r="O3564"/>
      <c r="P3564" s="187">
        <v>45281.590069444399</v>
      </c>
      <c r="Q3564" s="186">
        <v>14993</v>
      </c>
      <c r="R3564" s="185"/>
      <c r="S3564" s="185" t="s">
        <v>1528</v>
      </c>
      <c r="T3564"/>
      <c r="U3564" t="str">
        <f>IF($L3564&gt;0,VLOOKUP($E3564,Valida!$A$1:$G$270,6,FALSE),IF($M3564&gt;=0,VLOOKUP($E3564,Valida!$A$1:$G$270,7,FALSE)))</f>
        <v>(+/-) Ajustes por disminuciones (incrementos) en otras cuentas por cobrar derivadas de las actividades de operación</v>
      </c>
      <c r="V3564" s="190" t="str">
        <f>VLOOKUP(E3564,Valida!$A$2:$K$271,4,FALSE)</f>
        <v>Trade and other receivables</v>
      </c>
      <c r="W3564" s="185" t="s">
        <v>1967</v>
      </c>
      <c r="X3564" s="185"/>
      <c r="Y3564" s="185" t="s">
        <v>1789</v>
      </c>
      <c r="Z3564"/>
    </row>
    <row r="3565" spans="1:26">
      <c r="A3565" s="185" t="s">
        <v>4018</v>
      </c>
      <c r="B3565" s="185" t="s">
        <v>4020</v>
      </c>
      <c r="C3565" s="185" t="s">
        <v>1792</v>
      </c>
      <c r="D3565" s="185" t="s">
        <v>2750</v>
      </c>
      <c r="E3565" s="185">
        <v>51352002</v>
      </c>
      <c r="F3565" s="185" t="s">
        <v>1270</v>
      </c>
      <c r="G3565" s="185" t="s">
        <v>1825</v>
      </c>
      <c r="H3565" s="185" t="s">
        <v>1515</v>
      </c>
      <c r="I3565" s="258" t="str">
        <f t="shared" si="166"/>
        <v>5</v>
      </c>
      <c r="J3565" s="221">
        <f t="shared" si="167"/>
        <v>2500000</v>
      </c>
      <c r="K3565" s="258">
        <f t="shared" si="168"/>
        <v>12</v>
      </c>
      <c r="L3565" s="188">
        <v>2500000</v>
      </c>
      <c r="M3565" s="188">
        <v>0</v>
      </c>
      <c r="N3565" s="189">
        <v>800153993</v>
      </c>
      <c r="O3565" t="s">
        <v>4021</v>
      </c>
      <c r="P3565" s="187">
        <v>45281.591446759303</v>
      </c>
      <c r="Q3565" s="186">
        <v>14994</v>
      </c>
      <c r="R3565" s="185" t="s">
        <v>1814</v>
      </c>
      <c r="S3565" s="185" t="s">
        <v>1556</v>
      </c>
      <c r="T3565"/>
      <c r="U3565" t="str">
        <f>IF($L3565&gt;0,VLOOKUP($E3565,Valida!$A$1:$G$270,6,FALSE),IF($M3565&gt;=0,VLOOKUP($E3565,Valida!$A$1:$G$270,7,FALSE)))</f>
        <v>(+/-) Ganancia (pérdida)</v>
      </c>
      <c r="V3565" s="190" t="str">
        <f>VLOOKUP(E3565,Valida!$A$2:$K$271,4,FALSE)</f>
        <v>P&amp;L</v>
      </c>
      <c r="W3565" s="185" t="s">
        <v>1815</v>
      </c>
      <c r="X3565" s="185"/>
      <c r="Y3565" s="185" t="s">
        <v>1789</v>
      </c>
      <c r="Z3565"/>
    </row>
    <row r="3566" spans="1:26">
      <c r="A3566" s="185" t="s">
        <v>4018</v>
      </c>
      <c r="B3566" s="185" t="s">
        <v>4020</v>
      </c>
      <c r="C3566" s="185" t="s">
        <v>1792</v>
      </c>
      <c r="D3566" s="185" t="s">
        <v>2750</v>
      </c>
      <c r="E3566" s="185">
        <v>24081002</v>
      </c>
      <c r="F3566" s="185" t="s">
        <v>1687</v>
      </c>
      <c r="G3566" s="185" t="s">
        <v>1830</v>
      </c>
      <c r="H3566" s="185" t="s">
        <v>1515</v>
      </c>
      <c r="I3566" s="258" t="str">
        <f t="shared" si="166"/>
        <v>2</v>
      </c>
      <c r="J3566" s="221">
        <f t="shared" si="167"/>
        <v>475000</v>
      </c>
      <c r="K3566" s="258">
        <f t="shared" si="168"/>
        <v>12</v>
      </c>
      <c r="L3566" s="188">
        <v>475000</v>
      </c>
      <c r="M3566" s="188">
        <v>0</v>
      </c>
      <c r="N3566" s="189">
        <v>800153993</v>
      </c>
      <c r="O3566" t="s">
        <v>4021</v>
      </c>
      <c r="P3566" s="187">
        <v>45281.591446759303</v>
      </c>
      <c r="Q3566" s="186">
        <v>14995</v>
      </c>
      <c r="R3566" s="185" t="s">
        <v>1814</v>
      </c>
      <c r="S3566" s="185" t="s">
        <v>1556</v>
      </c>
      <c r="T3566"/>
      <c r="U3566" t="str">
        <f>IF($L3566&gt;0,VLOOKUP($E3566,Valida!$A$1:$G$270,6,FALSE),IF($M3566&gt;=0,VLOOKUP($E3566,Valida!$A$1:$G$270,7,FALSE)))</f>
        <v>(+/-) Ajustes por el incremento (disminución) de cuentas por pagar de origen comercial</v>
      </c>
      <c r="V3566" s="190" t="str">
        <f>VLOOKUP(E3566,Valida!$A$2:$K$271,4,FALSE)</f>
        <v>Trade and other payables</v>
      </c>
      <c r="W3566" s="185" t="s">
        <v>1815</v>
      </c>
      <c r="X3566" s="185"/>
      <c r="Y3566" s="185" t="s">
        <v>1789</v>
      </c>
      <c r="Z3566"/>
    </row>
    <row r="3567" spans="1:26">
      <c r="A3567" s="185" t="s">
        <v>4018</v>
      </c>
      <c r="B3567" s="185" t="s">
        <v>4020</v>
      </c>
      <c r="C3567" s="185" t="s">
        <v>1792</v>
      </c>
      <c r="D3567" s="185" t="s">
        <v>2750</v>
      </c>
      <c r="E3567" s="185">
        <v>23355006</v>
      </c>
      <c r="F3567" s="185" t="s">
        <v>519</v>
      </c>
      <c r="G3567" s="185" t="s">
        <v>1825</v>
      </c>
      <c r="H3567" s="185" t="s">
        <v>1628</v>
      </c>
      <c r="I3567" s="258" t="str">
        <f t="shared" si="166"/>
        <v>2</v>
      </c>
      <c r="J3567" s="221">
        <f t="shared" si="167"/>
        <v>-2975000</v>
      </c>
      <c r="K3567" s="258">
        <f t="shared" si="168"/>
        <v>12</v>
      </c>
      <c r="L3567" s="188">
        <v>0</v>
      </c>
      <c r="M3567" s="188">
        <v>2975000</v>
      </c>
      <c r="N3567" s="189">
        <v>800153993</v>
      </c>
      <c r="O3567" t="s">
        <v>4021</v>
      </c>
      <c r="P3567" s="187">
        <v>45281.591446759303</v>
      </c>
      <c r="Q3567" s="186">
        <v>14996</v>
      </c>
      <c r="R3567" s="185" t="s">
        <v>1814</v>
      </c>
      <c r="S3567" s="185" t="s">
        <v>1556</v>
      </c>
      <c r="T3567"/>
      <c r="U3567" t="str">
        <f>IF($L3567&gt;0,VLOOKUP($E3567,Valida!$A$1:$G$270,6,FALSE),IF($M3567&gt;=0,VLOOKUP($E3567,Valida!$A$1:$G$270,7,FALSE)))</f>
        <v>(+/-) Ajustes por el incremento (disminución) de cuentas por pagar de origen comercial</v>
      </c>
      <c r="V3567" s="190" t="str">
        <f>VLOOKUP(E3567,Valida!$A$2:$K$271,4,FALSE)</f>
        <v>Trade and other payables</v>
      </c>
      <c r="W3567" s="185" t="s">
        <v>1815</v>
      </c>
      <c r="X3567" s="185"/>
      <c r="Y3567" s="185" t="s">
        <v>1789</v>
      </c>
      <c r="Z3567"/>
    </row>
    <row r="3568" spans="1:26">
      <c r="A3568" s="185" t="s">
        <v>4022</v>
      </c>
      <c r="B3568" s="185" t="s">
        <v>4023</v>
      </c>
      <c r="C3568" s="185" t="s">
        <v>1792</v>
      </c>
      <c r="D3568" s="185" t="s">
        <v>2752</v>
      </c>
      <c r="E3568" s="185">
        <v>51700503</v>
      </c>
      <c r="F3568" s="185" t="s">
        <v>1397</v>
      </c>
      <c r="G3568" s="185" t="s">
        <v>4024</v>
      </c>
      <c r="H3568" s="185" t="s">
        <v>1515</v>
      </c>
      <c r="I3568" s="258" t="str">
        <f t="shared" si="166"/>
        <v>5</v>
      </c>
      <c r="J3568" s="221">
        <f t="shared" si="167"/>
        <v>110000</v>
      </c>
      <c r="K3568" s="258">
        <f t="shared" si="168"/>
        <v>12</v>
      </c>
      <c r="L3568" s="188">
        <v>110000</v>
      </c>
      <c r="M3568" s="188">
        <v>0</v>
      </c>
      <c r="N3568" s="189">
        <v>800042928</v>
      </c>
      <c r="O3568" t="s">
        <v>4025</v>
      </c>
      <c r="P3568" s="187">
        <v>45281.593263888899</v>
      </c>
      <c r="Q3568" s="186">
        <v>14998</v>
      </c>
      <c r="R3568" s="185" t="s">
        <v>6</v>
      </c>
      <c r="S3568" s="185" t="s">
        <v>1554</v>
      </c>
      <c r="T3568"/>
      <c r="U3568" t="str">
        <f>IF($L3568&gt;0,VLOOKUP($E3568,Valida!$A$1:$G$270,6,FALSE),IF($M3568&gt;=0,VLOOKUP($E3568,Valida!$A$1:$G$270,7,FALSE)))</f>
        <v>(+/-) Ganancia (pérdida)</v>
      </c>
      <c r="V3568" s="190" t="str">
        <f>VLOOKUP(E3568,Valida!$A$2:$K$271,4,FALSE)</f>
        <v>P&amp;L</v>
      </c>
      <c r="W3568" s="185" t="s">
        <v>1820</v>
      </c>
      <c r="X3568" s="185" t="s">
        <v>1821</v>
      </c>
      <c r="Y3568" s="185" t="s">
        <v>1789</v>
      </c>
      <c r="Z3568"/>
    </row>
    <row r="3569" spans="1:26">
      <c r="A3569" s="185" t="s">
        <v>4022</v>
      </c>
      <c r="B3569" s="185" t="s">
        <v>4023</v>
      </c>
      <c r="C3569" s="185" t="s">
        <v>1792</v>
      </c>
      <c r="D3569" s="185" t="s">
        <v>2752</v>
      </c>
      <c r="E3569" s="185">
        <v>23359504</v>
      </c>
      <c r="F3569" s="185" t="s">
        <v>553</v>
      </c>
      <c r="G3569" s="185" t="s">
        <v>4024</v>
      </c>
      <c r="H3569" s="185" t="s">
        <v>1628</v>
      </c>
      <c r="I3569" s="258" t="str">
        <f t="shared" si="166"/>
        <v>2</v>
      </c>
      <c r="J3569" s="221">
        <f t="shared" si="167"/>
        <v>-130900</v>
      </c>
      <c r="K3569" s="258">
        <f t="shared" si="168"/>
        <v>12</v>
      </c>
      <c r="L3569" s="188">
        <v>0</v>
      </c>
      <c r="M3569" s="188">
        <v>130900</v>
      </c>
      <c r="N3569" s="189">
        <v>800042928</v>
      </c>
      <c r="O3569" t="s">
        <v>4025</v>
      </c>
      <c r="P3569" s="187">
        <v>45281.593263888899</v>
      </c>
      <c r="Q3569" s="186">
        <v>14999</v>
      </c>
      <c r="R3569" s="185" t="s">
        <v>6</v>
      </c>
      <c r="S3569" s="185" t="s">
        <v>1554</v>
      </c>
      <c r="T3569"/>
      <c r="U3569" t="str">
        <f>IF($L3569&gt;0,VLOOKUP($E3569,Valida!$A$1:$G$270,6,FALSE),IF($M3569&gt;=0,VLOOKUP($E3569,Valida!$A$1:$G$270,7,FALSE)))</f>
        <v>(+/-) Ajustes por el incremento (disminución) de cuentas por pagar de origen comercial</v>
      </c>
      <c r="V3569" s="190" t="str">
        <f>VLOOKUP(E3569,Valida!$A$2:$K$271,4,FALSE)</f>
        <v>Trade and other payables</v>
      </c>
      <c r="W3569" s="185" t="s">
        <v>1820</v>
      </c>
      <c r="X3569" s="185" t="s">
        <v>1821</v>
      </c>
      <c r="Y3569" s="185" t="s">
        <v>1789</v>
      </c>
      <c r="Z3569"/>
    </row>
    <row r="3570" spans="1:26">
      <c r="A3570" s="185" t="s">
        <v>4022</v>
      </c>
      <c r="B3570" s="185" t="s">
        <v>4023</v>
      </c>
      <c r="C3570" s="185" t="s">
        <v>1792</v>
      </c>
      <c r="D3570" s="185" t="s">
        <v>2752</v>
      </c>
      <c r="E3570" s="185">
        <v>24081002</v>
      </c>
      <c r="F3570" s="185" t="s">
        <v>1687</v>
      </c>
      <c r="G3570" s="185" t="s">
        <v>4024</v>
      </c>
      <c r="H3570" s="185" t="s">
        <v>1515</v>
      </c>
      <c r="I3570" s="258" t="str">
        <f t="shared" si="166"/>
        <v>2</v>
      </c>
      <c r="J3570" s="221">
        <f t="shared" si="167"/>
        <v>20900</v>
      </c>
      <c r="K3570" s="258">
        <f t="shared" si="168"/>
        <v>12</v>
      </c>
      <c r="L3570" s="188">
        <v>20900</v>
      </c>
      <c r="M3570" s="188">
        <v>0</v>
      </c>
      <c r="N3570" s="189">
        <v>800042928</v>
      </c>
      <c r="O3570" t="s">
        <v>4025</v>
      </c>
      <c r="P3570" s="187">
        <v>45281.593263888899</v>
      </c>
      <c r="Q3570" s="186">
        <v>15000</v>
      </c>
      <c r="R3570" s="185" t="s">
        <v>6</v>
      </c>
      <c r="S3570" s="185" t="s">
        <v>1554</v>
      </c>
      <c r="T3570"/>
      <c r="U3570" t="str">
        <f>IF($L3570&gt;0,VLOOKUP($E3570,Valida!$A$1:$G$270,6,FALSE),IF($M3570&gt;=0,VLOOKUP($E3570,Valida!$A$1:$G$270,7,FALSE)))</f>
        <v>(+/-) Ajustes por el incremento (disminución) de cuentas por pagar de origen comercial</v>
      </c>
      <c r="V3570" s="190" t="str">
        <f>VLOOKUP(E3570,Valida!$A$2:$K$271,4,FALSE)</f>
        <v>Trade and other payables</v>
      </c>
      <c r="W3570" s="185" t="s">
        <v>1820</v>
      </c>
      <c r="X3570" s="185" t="s">
        <v>1821</v>
      </c>
      <c r="Y3570" s="185" t="s">
        <v>1789</v>
      </c>
      <c r="Z3570"/>
    </row>
    <row r="3571" spans="1:26">
      <c r="A3571" s="185" t="s">
        <v>4026</v>
      </c>
      <c r="B3571" s="185" t="s">
        <v>4027</v>
      </c>
      <c r="C3571" s="185" t="s">
        <v>1792</v>
      </c>
      <c r="D3571" s="185" t="s">
        <v>2754</v>
      </c>
      <c r="E3571" s="185">
        <v>51952501</v>
      </c>
      <c r="F3571" s="185" t="s">
        <v>1412</v>
      </c>
      <c r="G3571" s="185" t="s">
        <v>4028</v>
      </c>
      <c r="H3571" s="185" t="s">
        <v>1515</v>
      </c>
      <c r="I3571" s="258" t="str">
        <f t="shared" si="166"/>
        <v>5</v>
      </c>
      <c r="J3571" s="221">
        <f t="shared" si="167"/>
        <v>546711</v>
      </c>
      <c r="K3571" s="258">
        <f t="shared" si="168"/>
        <v>12</v>
      </c>
      <c r="L3571" s="188">
        <v>546711</v>
      </c>
      <c r="M3571" s="188">
        <v>0</v>
      </c>
      <c r="N3571" s="189">
        <v>900463507</v>
      </c>
      <c r="O3571" t="s">
        <v>4029</v>
      </c>
      <c r="P3571" s="187">
        <v>45281.601365740702</v>
      </c>
      <c r="Q3571" s="186">
        <v>15001</v>
      </c>
      <c r="R3571" s="185" t="s">
        <v>844</v>
      </c>
      <c r="S3571" s="185" t="s">
        <v>1640</v>
      </c>
      <c r="T3571"/>
      <c r="U3571" t="str">
        <f>IF($L3571&gt;0,VLOOKUP($E3571,Valida!$A$1:$G$270,6,FALSE),IF($M3571&gt;=0,VLOOKUP($E3571,Valida!$A$1:$G$270,7,FALSE)))</f>
        <v>(+/-) Ganancia (pérdida)</v>
      </c>
      <c r="V3571" s="190" t="str">
        <f>VLOOKUP(E3571,Valida!$A$2:$K$271,4,FALSE)</f>
        <v>P&amp;L</v>
      </c>
      <c r="W3571" s="185" t="s">
        <v>4030</v>
      </c>
      <c r="X3571" s="185" t="s">
        <v>4031</v>
      </c>
      <c r="Y3571" s="185" t="s">
        <v>1844</v>
      </c>
      <c r="Z3571"/>
    </row>
    <row r="3572" spans="1:26">
      <c r="A3572" s="185" t="s">
        <v>4026</v>
      </c>
      <c r="B3572" s="185" t="s">
        <v>4027</v>
      </c>
      <c r="C3572" s="185" t="s">
        <v>1792</v>
      </c>
      <c r="D3572" s="185" t="s">
        <v>2754</v>
      </c>
      <c r="E3572" s="185">
        <v>24081002</v>
      </c>
      <c r="F3572" s="185" t="s">
        <v>1687</v>
      </c>
      <c r="G3572" s="185" t="s">
        <v>4028</v>
      </c>
      <c r="H3572" s="185" t="s">
        <v>1515</v>
      </c>
      <c r="I3572" s="258" t="str">
        <f t="shared" si="166"/>
        <v>2</v>
      </c>
      <c r="J3572" s="221">
        <f t="shared" si="167"/>
        <v>103875</v>
      </c>
      <c r="K3572" s="258">
        <f t="shared" si="168"/>
        <v>12</v>
      </c>
      <c r="L3572" s="188">
        <v>103875</v>
      </c>
      <c r="M3572" s="188">
        <v>0</v>
      </c>
      <c r="N3572" s="189">
        <v>900463507</v>
      </c>
      <c r="O3572" t="s">
        <v>4029</v>
      </c>
      <c r="P3572" s="187">
        <v>45281.601365740702</v>
      </c>
      <c r="Q3572" s="186">
        <v>15002</v>
      </c>
      <c r="R3572" s="185" t="s">
        <v>844</v>
      </c>
      <c r="S3572" s="185" t="s">
        <v>1640</v>
      </c>
      <c r="T3572"/>
      <c r="U3572" t="str">
        <f>IF($L3572&gt;0,VLOOKUP($E3572,Valida!$A$1:$G$270,6,FALSE),IF($M3572&gt;=0,VLOOKUP($E3572,Valida!$A$1:$G$270,7,FALSE)))</f>
        <v>(+/-) Ajustes por el incremento (disminución) de cuentas por pagar de origen comercial</v>
      </c>
      <c r="V3572" s="190" t="str">
        <f>VLOOKUP(E3572,Valida!$A$2:$K$271,4,FALSE)</f>
        <v>Trade and other payables</v>
      </c>
      <c r="W3572" s="185" t="s">
        <v>4030</v>
      </c>
      <c r="X3572" s="185" t="s">
        <v>4031</v>
      </c>
      <c r="Y3572" s="185" t="s">
        <v>1844</v>
      </c>
      <c r="Z3572"/>
    </row>
    <row r="3573" spans="1:26">
      <c r="A3573" s="185" t="s">
        <v>4026</v>
      </c>
      <c r="B3573" s="185" t="s">
        <v>4027</v>
      </c>
      <c r="C3573" s="185" t="s">
        <v>1792</v>
      </c>
      <c r="D3573" s="185" t="s">
        <v>2754</v>
      </c>
      <c r="E3573" s="185">
        <v>23652504</v>
      </c>
      <c r="F3573" s="185" t="s">
        <v>247</v>
      </c>
      <c r="G3573" s="185" t="s">
        <v>4028</v>
      </c>
      <c r="H3573" s="185" t="s">
        <v>1628</v>
      </c>
      <c r="I3573" s="258" t="str">
        <f t="shared" si="166"/>
        <v>2</v>
      </c>
      <c r="J3573" s="221">
        <f t="shared" si="167"/>
        <v>-21868</v>
      </c>
      <c r="K3573" s="258">
        <f t="shared" si="168"/>
        <v>12</v>
      </c>
      <c r="L3573" s="188">
        <v>0</v>
      </c>
      <c r="M3573" s="188">
        <v>21868</v>
      </c>
      <c r="N3573" s="189">
        <v>900463507</v>
      </c>
      <c r="O3573" t="s">
        <v>4029</v>
      </c>
      <c r="P3573" s="187">
        <v>45281.601365740702</v>
      </c>
      <c r="Q3573" s="186">
        <v>15003</v>
      </c>
      <c r="R3573" s="185" t="s">
        <v>844</v>
      </c>
      <c r="S3573" s="185" t="s">
        <v>1640</v>
      </c>
      <c r="T3573"/>
      <c r="U3573" t="str">
        <f>IF($L3573&gt;0,VLOOKUP($E3573,Valida!$A$1:$G$270,6,FALSE),IF($M3573&gt;=0,VLOOKUP($E3573,Valida!$A$1:$G$270,7,FALSE)))</f>
        <v>(+/-) Ajustes por el incremento (disminución) de cuentas por pagar de origen comercial</v>
      </c>
      <c r="V3573" s="190" t="str">
        <f>VLOOKUP(E3573,Valida!$A$2:$K$271,4,FALSE)</f>
        <v>Trade and other payables</v>
      </c>
      <c r="W3573" s="185" t="s">
        <v>4030</v>
      </c>
      <c r="X3573" s="185" t="s">
        <v>4031</v>
      </c>
      <c r="Y3573" s="185" t="s">
        <v>1844</v>
      </c>
      <c r="Z3573"/>
    </row>
    <row r="3574" spans="1:26">
      <c r="A3574" s="185" t="s">
        <v>4026</v>
      </c>
      <c r="B3574" s="185" t="s">
        <v>4027</v>
      </c>
      <c r="C3574" s="185" t="s">
        <v>1792</v>
      </c>
      <c r="D3574" s="185" t="s">
        <v>2754</v>
      </c>
      <c r="E3574" s="185">
        <v>23680503</v>
      </c>
      <c r="F3574" s="185" t="s">
        <v>665</v>
      </c>
      <c r="G3574" s="185" t="s">
        <v>4028</v>
      </c>
      <c r="H3574" s="185" t="s">
        <v>1628</v>
      </c>
      <c r="I3574" s="258" t="str">
        <f t="shared" si="166"/>
        <v>2</v>
      </c>
      <c r="J3574" s="221">
        <f t="shared" si="167"/>
        <v>-5281</v>
      </c>
      <c r="K3574" s="258">
        <f t="shared" si="168"/>
        <v>12</v>
      </c>
      <c r="L3574" s="188">
        <v>0</v>
      </c>
      <c r="M3574" s="188">
        <v>5281</v>
      </c>
      <c r="N3574" s="189">
        <v>900463507</v>
      </c>
      <c r="O3574" t="s">
        <v>4029</v>
      </c>
      <c r="P3574" s="187">
        <v>45281.601365740702</v>
      </c>
      <c r="Q3574" s="186">
        <v>15004</v>
      </c>
      <c r="R3574" s="185" t="s">
        <v>844</v>
      </c>
      <c r="S3574" s="185" t="s">
        <v>1640</v>
      </c>
      <c r="T3574"/>
      <c r="U3574" t="str">
        <f>IF($L3574&gt;0,VLOOKUP($E3574,Valida!$A$1:$G$270,6,FALSE),IF($M3574&gt;=0,VLOOKUP($E3574,Valida!$A$1:$G$270,7,FALSE)))</f>
        <v>(+/-) Ajustes por el incremento (disminución) de cuentas por pagar de origen comercial</v>
      </c>
      <c r="V3574" s="190" t="str">
        <f>VLOOKUP(E3574,Valida!$A$2:$K$271,4,FALSE)</f>
        <v>Trade and other payables</v>
      </c>
      <c r="W3574" s="185" t="s">
        <v>4030</v>
      </c>
      <c r="X3574" s="185" t="s">
        <v>4031</v>
      </c>
      <c r="Y3574" s="185" t="s">
        <v>1844</v>
      </c>
      <c r="Z3574"/>
    </row>
    <row r="3575" spans="1:26">
      <c r="A3575" s="185" t="s">
        <v>4026</v>
      </c>
      <c r="B3575" s="185" t="s">
        <v>4027</v>
      </c>
      <c r="C3575" s="185" t="s">
        <v>1792</v>
      </c>
      <c r="D3575" s="185" t="s">
        <v>2754</v>
      </c>
      <c r="E3575" s="185">
        <v>23359502</v>
      </c>
      <c r="F3575" s="185" t="s">
        <v>547</v>
      </c>
      <c r="G3575" s="185" t="s">
        <v>4028</v>
      </c>
      <c r="H3575" s="185" t="s">
        <v>1628</v>
      </c>
      <c r="I3575" s="258" t="str">
        <f t="shared" si="166"/>
        <v>2</v>
      </c>
      <c r="J3575" s="221">
        <f t="shared" si="167"/>
        <v>-623437</v>
      </c>
      <c r="K3575" s="258">
        <f t="shared" si="168"/>
        <v>12</v>
      </c>
      <c r="L3575" s="188">
        <v>0</v>
      </c>
      <c r="M3575" s="188">
        <v>623437</v>
      </c>
      <c r="N3575" s="189">
        <v>900463507</v>
      </c>
      <c r="O3575" t="s">
        <v>4029</v>
      </c>
      <c r="P3575" s="187">
        <v>45281.601365740702</v>
      </c>
      <c r="Q3575" s="186">
        <v>15005</v>
      </c>
      <c r="R3575" s="185" t="s">
        <v>844</v>
      </c>
      <c r="S3575" s="185" t="s">
        <v>1640</v>
      </c>
      <c r="T3575"/>
      <c r="U3575" t="str">
        <f>IF($L3575&gt;0,VLOOKUP($E3575,Valida!$A$1:$G$270,6,FALSE),IF($M3575&gt;=0,VLOOKUP($E3575,Valida!$A$1:$G$270,7,FALSE)))</f>
        <v>(+/-) Ajustes por el incremento (disminución) de cuentas por pagar de origen comercial</v>
      </c>
      <c r="V3575" s="190" t="str">
        <f>VLOOKUP(E3575,Valida!$A$2:$K$271,4,FALSE)</f>
        <v>Trade and other payables</v>
      </c>
      <c r="W3575" s="185" t="s">
        <v>4030</v>
      </c>
      <c r="X3575" s="185" t="s">
        <v>4031</v>
      </c>
      <c r="Y3575" s="185" t="s">
        <v>1844</v>
      </c>
      <c r="Z3575"/>
    </row>
    <row r="3576" spans="1:26">
      <c r="A3576" s="185" t="s">
        <v>4026</v>
      </c>
      <c r="B3576" s="185" t="s">
        <v>4032</v>
      </c>
      <c r="C3576" s="185" t="s">
        <v>1792</v>
      </c>
      <c r="D3576" s="185" t="s">
        <v>2760</v>
      </c>
      <c r="E3576" s="185">
        <v>51353001</v>
      </c>
      <c r="F3576" s="185" t="s">
        <v>516</v>
      </c>
      <c r="G3576" s="185" t="s">
        <v>1833</v>
      </c>
      <c r="H3576" s="185" t="s">
        <v>1515</v>
      </c>
      <c r="I3576" s="258" t="str">
        <f t="shared" si="166"/>
        <v>5</v>
      </c>
      <c r="J3576" s="221">
        <f t="shared" si="167"/>
        <v>7684880</v>
      </c>
      <c r="K3576" s="258">
        <f t="shared" si="168"/>
        <v>12</v>
      </c>
      <c r="L3576" s="188">
        <v>7684880</v>
      </c>
      <c r="M3576" s="188">
        <v>0</v>
      </c>
      <c r="N3576" s="189">
        <v>860063875</v>
      </c>
      <c r="O3576" t="s">
        <v>4033</v>
      </c>
      <c r="P3576" s="187">
        <v>45281.602997685201</v>
      </c>
      <c r="Q3576" s="186">
        <v>15006</v>
      </c>
      <c r="R3576" s="185" t="s">
        <v>1827</v>
      </c>
      <c r="S3576" s="185" t="s">
        <v>1572</v>
      </c>
      <c r="T3576"/>
      <c r="U3576" t="str">
        <f>IF($L3576&gt;0,VLOOKUP($E3576,Valida!$A$1:$G$270,6,FALSE),IF($M3576&gt;=0,VLOOKUP($E3576,Valida!$A$1:$G$270,7,FALSE)))</f>
        <v>(+/-) Ganancia (pérdida)</v>
      </c>
      <c r="V3576" s="190" t="str">
        <f>VLOOKUP(E3576,Valida!$A$2:$K$271,4,FALSE)</f>
        <v>P&amp;L</v>
      </c>
      <c r="W3576" s="185" t="s">
        <v>1835</v>
      </c>
      <c r="X3576" s="185"/>
      <c r="Y3576" s="185" t="s">
        <v>1789</v>
      </c>
      <c r="Z3576"/>
    </row>
    <row r="3577" spans="1:26">
      <c r="A3577" s="185" t="s">
        <v>4026</v>
      </c>
      <c r="B3577" s="185" t="s">
        <v>4032</v>
      </c>
      <c r="C3577" s="185" t="s">
        <v>1792</v>
      </c>
      <c r="D3577" s="185" t="s">
        <v>2760</v>
      </c>
      <c r="E3577" s="185">
        <v>51350502</v>
      </c>
      <c r="F3577" s="185" t="s">
        <v>1738</v>
      </c>
      <c r="G3577" s="185" t="s">
        <v>1833</v>
      </c>
      <c r="H3577" s="185" t="s">
        <v>1515</v>
      </c>
      <c r="I3577" s="258" t="str">
        <f t="shared" si="166"/>
        <v>5</v>
      </c>
      <c r="J3577" s="221">
        <f t="shared" si="167"/>
        <v>51820</v>
      </c>
      <c r="K3577" s="258">
        <f t="shared" si="168"/>
        <v>12</v>
      </c>
      <c r="L3577" s="188">
        <v>51820</v>
      </c>
      <c r="M3577" s="188">
        <v>0</v>
      </c>
      <c r="N3577" s="189">
        <v>901145808</v>
      </c>
      <c r="O3577" t="s">
        <v>4033</v>
      </c>
      <c r="P3577" s="187">
        <v>45281.602997685201</v>
      </c>
      <c r="Q3577" s="186">
        <v>15007</v>
      </c>
      <c r="R3577" s="185" t="s">
        <v>1067</v>
      </c>
      <c r="S3577" s="185" t="s">
        <v>1740</v>
      </c>
      <c r="T3577"/>
      <c r="U3577" t="str">
        <f>IF($L3577&gt;0,VLOOKUP($E3577,Valida!$A$1:$G$270,6,FALSE),IF($M3577&gt;=0,VLOOKUP($E3577,Valida!$A$1:$G$270,7,FALSE)))</f>
        <v>(+/-) Ganancia (pérdida)</v>
      </c>
      <c r="V3577" s="190" t="str">
        <f>VLOOKUP(E3577,Valida!$A$2:$K$271,4,FALSE)</f>
        <v>P&amp;L</v>
      </c>
      <c r="W3577" s="185" t="s">
        <v>1836</v>
      </c>
      <c r="X3577" s="185" t="s">
        <v>1837</v>
      </c>
      <c r="Y3577" s="185" t="s">
        <v>1789</v>
      </c>
      <c r="Z3577"/>
    </row>
    <row r="3578" spans="1:26">
      <c r="A3578" s="185" t="s">
        <v>4026</v>
      </c>
      <c r="B3578" s="185" t="s">
        <v>4032</v>
      </c>
      <c r="C3578" s="185" t="s">
        <v>1792</v>
      </c>
      <c r="D3578" s="185" t="s">
        <v>2760</v>
      </c>
      <c r="E3578" s="185">
        <v>23355005</v>
      </c>
      <c r="F3578" s="185" t="s">
        <v>516</v>
      </c>
      <c r="G3578" s="185" t="s">
        <v>1833</v>
      </c>
      <c r="H3578" s="185" t="s">
        <v>1628</v>
      </c>
      <c r="I3578" s="258" t="str">
        <f t="shared" si="166"/>
        <v>2</v>
      </c>
      <c r="J3578" s="221">
        <f t="shared" si="167"/>
        <v>-7736700</v>
      </c>
      <c r="K3578" s="258">
        <f t="shared" si="168"/>
        <v>12</v>
      </c>
      <c r="L3578" s="188">
        <v>0</v>
      </c>
      <c r="M3578" s="188">
        <v>7736700</v>
      </c>
      <c r="N3578" s="189">
        <v>860063875</v>
      </c>
      <c r="O3578" t="s">
        <v>4033</v>
      </c>
      <c r="P3578" s="187">
        <v>45281.602997685201</v>
      </c>
      <c r="Q3578" s="186">
        <v>15008</v>
      </c>
      <c r="R3578" s="185" t="s">
        <v>1827</v>
      </c>
      <c r="S3578" s="185" t="s">
        <v>1572</v>
      </c>
      <c r="T3578"/>
      <c r="U3578" t="str">
        <f>IF($L3578&gt;0,VLOOKUP($E3578,Valida!$A$1:$G$270,6,FALSE),IF($M3578&gt;=0,VLOOKUP($E3578,Valida!$A$1:$G$270,7,FALSE)))</f>
        <v>(+/-) Ajustes por el incremento (disminución) de cuentas por pagar de origen comercial</v>
      </c>
      <c r="V3578" s="190" t="str">
        <f>VLOOKUP(E3578,Valida!$A$2:$K$271,4,FALSE)</f>
        <v>Trade and other payables</v>
      </c>
      <c r="W3578" s="185" t="s">
        <v>1835</v>
      </c>
      <c r="X3578" s="185"/>
      <c r="Y3578" s="185" t="s">
        <v>1789</v>
      </c>
      <c r="Z3578"/>
    </row>
    <row r="3579" spans="1:26">
      <c r="A3579" s="185" t="s">
        <v>4034</v>
      </c>
      <c r="B3579" s="185" t="s">
        <v>4035</v>
      </c>
      <c r="C3579" s="185" t="s">
        <v>2045</v>
      </c>
      <c r="D3579" s="185" t="s">
        <v>4036</v>
      </c>
      <c r="E3579" s="185">
        <v>23355007</v>
      </c>
      <c r="F3579" s="185" t="s">
        <v>1638</v>
      </c>
      <c r="G3579" s="185" t="s">
        <v>4037</v>
      </c>
      <c r="H3579" s="185" t="s">
        <v>1628</v>
      </c>
      <c r="I3579" s="258" t="str">
        <f t="shared" si="166"/>
        <v>2</v>
      </c>
      <c r="J3579" s="221">
        <f t="shared" si="167"/>
        <v>-48193.13</v>
      </c>
      <c r="K3579" s="258">
        <f t="shared" si="168"/>
        <v>12</v>
      </c>
      <c r="L3579" s="188">
        <v>0</v>
      </c>
      <c r="M3579" s="188">
        <v>48193.13</v>
      </c>
      <c r="N3579" s="189">
        <v>444444001</v>
      </c>
      <c r="O3579" t="s">
        <v>4038</v>
      </c>
      <c r="P3579" s="187">
        <v>45282.447870370401</v>
      </c>
      <c r="Q3579" s="186">
        <v>15009</v>
      </c>
      <c r="R3579" s="185"/>
      <c r="S3579" s="185" t="s">
        <v>1548</v>
      </c>
      <c r="T3579"/>
      <c r="U3579" t="str">
        <f>IF($L3579&gt;0,VLOOKUP($E3579,Valida!$A$1:$G$270,6,FALSE),IF($M3579&gt;=0,VLOOKUP($E3579,Valida!$A$1:$G$270,7,FALSE)))</f>
        <v>(+/-) Ajustes por el incremento (disminución) de cuentas por pagar de origen comercial</v>
      </c>
      <c r="V3579" s="190" t="str">
        <f>VLOOKUP(E3579,Valida!$A$2:$K$271,4,FALSE)</f>
        <v>Trade and other payables</v>
      </c>
      <c r="W3579" s="185"/>
      <c r="X3579" s="185"/>
      <c r="Y3579" s="185"/>
      <c r="Z3579"/>
    </row>
    <row r="3580" spans="1:26">
      <c r="A3580" s="185" t="s">
        <v>4034</v>
      </c>
      <c r="B3580" s="185" t="s">
        <v>4035</v>
      </c>
      <c r="C3580" s="185" t="s">
        <v>2045</v>
      </c>
      <c r="D3580" s="185" t="s">
        <v>4036</v>
      </c>
      <c r="E3580" s="185">
        <v>51350504</v>
      </c>
      <c r="F3580" s="185" t="s">
        <v>1638</v>
      </c>
      <c r="G3580" s="185" t="s">
        <v>4039</v>
      </c>
      <c r="H3580" s="185" t="s">
        <v>1515</v>
      </c>
      <c r="I3580" s="258" t="str">
        <f t="shared" si="166"/>
        <v>5</v>
      </c>
      <c r="J3580" s="221">
        <f t="shared" si="167"/>
        <v>48193.13</v>
      </c>
      <c r="K3580" s="258">
        <f t="shared" si="168"/>
        <v>12</v>
      </c>
      <c r="L3580" s="188">
        <v>48193.13</v>
      </c>
      <c r="M3580" s="188">
        <v>0</v>
      </c>
      <c r="N3580" s="189">
        <v>444444001</v>
      </c>
      <c r="O3580" t="s">
        <v>4038</v>
      </c>
      <c r="P3580" s="187">
        <v>45282.447881944398</v>
      </c>
      <c r="Q3580" s="186">
        <v>15010</v>
      </c>
      <c r="R3580" s="185"/>
      <c r="S3580" s="185" t="s">
        <v>1548</v>
      </c>
      <c r="T3580"/>
      <c r="U3580" t="str">
        <f>IF($L3580&gt;0,VLOOKUP($E3580,Valida!$A$1:$G$270,6,FALSE),IF($M3580&gt;=0,VLOOKUP($E3580,Valida!$A$1:$G$270,7,FALSE)))</f>
        <v>(+/-) Ganancia (pérdida)</v>
      </c>
      <c r="V3580" s="190" t="str">
        <f>VLOOKUP(E3580,Valida!$A$2:$K$271,4,FALSE)</f>
        <v>P&amp;L</v>
      </c>
      <c r="W3580" s="185"/>
      <c r="X3580" s="185"/>
      <c r="Y3580" s="185"/>
      <c r="Z3580"/>
    </row>
    <row r="3581" spans="1:26">
      <c r="A3581" s="185" t="s">
        <v>4026</v>
      </c>
      <c r="B3581" s="185" t="s">
        <v>4040</v>
      </c>
      <c r="C3581" s="185" t="s">
        <v>1792</v>
      </c>
      <c r="D3581" s="185" t="s">
        <v>2762</v>
      </c>
      <c r="E3581" s="185">
        <v>51201001</v>
      </c>
      <c r="F3581" s="185" t="s">
        <v>1189</v>
      </c>
      <c r="G3581" s="185" t="s">
        <v>4041</v>
      </c>
      <c r="H3581" s="185" t="s">
        <v>1515</v>
      </c>
      <c r="I3581" s="258" t="str">
        <f t="shared" si="166"/>
        <v>5</v>
      </c>
      <c r="J3581" s="221">
        <f t="shared" si="167"/>
        <v>12750000</v>
      </c>
      <c r="K3581" s="258">
        <f t="shared" si="168"/>
        <v>12</v>
      </c>
      <c r="L3581" s="188">
        <v>12750000</v>
      </c>
      <c r="M3581" s="188">
        <v>0</v>
      </c>
      <c r="N3581" s="189">
        <v>900471482</v>
      </c>
      <c r="O3581" t="s">
        <v>4042</v>
      </c>
      <c r="P3581" s="187">
        <v>45282.462719907402</v>
      </c>
      <c r="Q3581" s="186">
        <v>15011</v>
      </c>
      <c r="R3581" s="185" t="s">
        <v>6</v>
      </c>
      <c r="S3581" s="185" t="s">
        <v>1600</v>
      </c>
      <c r="T3581"/>
      <c r="U3581" t="str">
        <f>IF($L3581&gt;0,VLOOKUP($E3581,Valida!$A$1:$G$270,6,FALSE),IF($M3581&gt;=0,VLOOKUP($E3581,Valida!$A$1:$G$270,7,FALSE)))</f>
        <v>(+/-) Ganancia (pérdida)</v>
      </c>
      <c r="V3581" s="190" t="str">
        <f>VLOOKUP(E3581,Valida!$A$2:$K$271,4,FALSE)</f>
        <v>P&amp;L</v>
      </c>
      <c r="W3581" s="185" t="s">
        <v>1853</v>
      </c>
      <c r="X3581" s="185" t="s">
        <v>1854</v>
      </c>
      <c r="Y3581" s="185" t="s">
        <v>1789</v>
      </c>
      <c r="Z3581"/>
    </row>
    <row r="3582" spans="1:26">
      <c r="A3582" s="185" t="s">
        <v>4026</v>
      </c>
      <c r="B3582" s="185" t="s">
        <v>4040</v>
      </c>
      <c r="C3582" s="185" t="s">
        <v>1792</v>
      </c>
      <c r="D3582" s="185" t="s">
        <v>2762</v>
      </c>
      <c r="E3582" s="185">
        <v>24081002</v>
      </c>
      <c r="F3582" s="185" t="s">
        <v>1687</v>
      </c>
      <c r="G3582" s="185" t="s">
        <v>4041</v>
      </c>
      <c r="H3582" s="185" t="s">
        <v>1515</v>
      </c>
      <c r="I3582" s="258" t="str">
        <f t="shared" si="166"/>
        <v>2</v>
      </c>
      <c r="J3582" s="221">
        <f t="shared" si="167"/>
        <v>2422500</v>
      </c>
      <c r="K3582" s="258">
        <f t="shared" si="168"/>
        <v>12</v>
      </c>
      <c r="L3582" s="188">
        <v>2422500</v>
      </c>
      <c r="M3582" s="188">
        <v>0</v>
      </c>
      <c r="N3582" s="189">
        <v>900471482</v>
      </c>
      <c r="O3582" t="s">
        <v>4042</v>
      </c>
      <c r="P3582" s="187">
        <v>45282.462719907402</v>
      </c>
      <c r="Q3582" s="186">
        <v>15012</v>
      </c>
      <c r="R3582" s="185" t="s">
        <v>6</v>
      </c>
      <c r="S3582" s="185" t="s">
        <v>1600</v>
      </c>
      <c r="T3582"/>
      <c r="U3582" t="str">
        <f>IF($L3582&gt;0,VLOOKUP($E3582,Valida!$A$1:$G$270,6,FALSE),IF($M3582&gt;=0,VLOOKUP($E3582,Valida!$A$1:$G$270,7,FALSE)))</f>
        <v>(+/-) Ajustes por el incremento (disminución) de cuentas por pagar de origen comercial</v>
      </c>
      <c r="V3582" s="190" t="str">
        <f>VLOOKUP(E3582,Valida!$A$2:$K$271,4,FALSE)</f>
        <v>Trade and other payables</v>
      </c>
      <c r="W3582" s="185" t="s">
        <v>1853</v>
      </c>
      <c r="X3582" s="185" t="s">
        <v>1854</v>
      </c>
      <c r="Y3582" s="185" t="s">
        <v>1789</v>
      </c>
      <c r="Z3582"/>
    </row>
    <row r="3583" spans="1:26">
      <c r="A3583" s="185" t="s">
        <v>4026</v>
      </c>
      <c r="B3583" s="185" t="s">
        <v>4040</v>
      </c>
      <c r="C3583" s="185" t="s">
        <v>1792</v>
      </c>
      <c r="D3583" s="185" t="s">
        <v>2762</v>
      </c>
      <c r="E3583" s="185">
        <v>23653001</v>
      </c>
      <c r="F3583" s="185" t="s">
        <v>611</v>
      </c>
      <c r="G3583" s="185" t="s">
        <v>4041</v>
      </c>
      <c r="H3583" s="185" t="s">
        <v>1628</v>
      </c>
      <c r="I3583" s="258" t="str">
        <f t="shared" si="166"/>
        <v>2</v>
      </c>
      <c r="J3583" s="221">
        <f t="shared" si="167"/>
        <v>-446250</v>
      </c>
      <c r="K3583" s="258">
        <f t="shared" si="168"/>
        <v>12</v>
      </c>
      <c r="L3583" s="188">
        <v>0</v>
      </c>
      <c r="M3583" s="188">
        <v>446250</v>
      </c>
      <c r="N3583" s="189">
        <v>900471482</v>
      </c>
      <c r="O3583" t="s">
        <v>4042</v>
      </c>
      <c r="P3583" s="187">
        <v>45282.462719907402</v>
      </c>
      <c r="Q3583" s="186">
        <v>15013</v>
      </c>
      <c r="R3583" s="185" t="s">
        <v>6</v>
      </c>
      <c r="S3583" s="185" t="s">
        <v>1600</v>
      </c>
      <c r="T3583"/>
      <c r="U3583" t="str">
        <f>IF($L3583&gt;0,VLOOKUP($E3583,Valida!$A$1:$G$270,6,FALSE),IF($M3583&gt;=0,VLOOKUP($E3583,Valida!$A$1:$G$270,7,FALSE)))</f>
        <v>(+/-) Ajustes por el incremento (disminución) de cuentas por pagar de origen comercial</v>
      </c>
      <c r="V3583" s="190" t="str">
        <f>VLOOKUP(E3583,Valida!$A$2:$K$271,4,FALSE)</f>
        <v>Trade and other payables</v>
      </c>
      <c r="W3583" s="185" t="s">
        <v>1853</v>
      </c>
      <c r="X3583" s="185" t="s">
        <v>1854</v>
      </c>
      <c r="Y3583" s="185" t="s">
        <v>1789</v>
      </c>
      <c r="Z3583"/>
    </row>
    <row r="3584" spans="1:26">
      <c r="A3584" s="185" t="s">
        <v>4026</v>
      </c>
      <c r="B3584" s="185" t="s">
        <v>4040</v>
      </c>
      <c r="C3584" s="185" t="s">
        <v>1792</v>
      </c>
      <c r="D3584" s="185" t="s">
        <v>2762</v>
      </c>
      <c r="E3584" s="185">
        <v>23680503</v>
      </c>
      <c r="F3584" s="185" t="s">
        <v>665</v>
      </c>
      <c r="G3584" s="185" t="s">
        <v>4041</v>
      </c>
      <c r="H3584" s="185" t="s">
        <v>1628</v>
      </c>
      <c r="I3584" s="258" t="str">
        <f t="shared" si="166"/>
        <v>2</v>
      </c>
      <c r="J3584" s="221">
        <f t="shared" si="167"/>
        <v>-123165</v>
      </c>
      <c r="K3584" s="258">
        <f t="shared" si="168"/>
        <v>12</v>
      </c>
      <c r="L3584" s="188">
        <v>0</v>
      </c>
      <c r="M3584" s="188">
        <v>123165</v>
      </c>
      <c r="N3584" s="189">
        <v>900471482</v>
      </c>
      <c r="O3584" t="s">
        <v>4042</v>
      </c>
      <c r="P3584" s="187">
        <v>45282.462719907402</v>
      </c>
      <c r="Q3584" s="186">
        <v>15014</v>
      </c>
      <c r="R3584" s="185" t="s">
        <v>6</v>
      </c>
      <c r="S3584" s="185" t="s">
        <v>1600</v>
      </c>
      <c r="T3584"/>
      <c r="U3584" t="str">
        <f>IF($L3584&gt;0,VLOOKUP($E3584,Valida!$A$1:$G$270,6,FALSE),IF($M3584&gt;=0,VLOOKUP($E3584,Valida!$A$1:$G$270,7,FALSE)))</f>
        <v>(+/-) Ajustes por el incremento (disminución) de cuentas por pagar de origen comercial</v>
      </c>
      <c r="V3584" s="190" t="str">
        <f>VLOOKUP(E3584,Valida!$A$2:$K$271,4,FALSE)</f>
        <v>Trade and other payables</v>
      </c>
      <c r="W3584" s="185" t="s">
        <v>1853</v>
      </c>
      <c r="X3584" s="185" t="s">
        <v>1854</v>
      </c>
      <c r="Y3584" s="185" t="s">
        <v>1789</v>
      </c>
      <c r="Z3584"/>
    </row>
    <row r="3585" spans="1:26">
      <c r="A3585" s="185" t="s">
        <v>4026</v>
      </c>
      <c r="B3585" s="185" t="s">
        <v>4040</v>
      </c>
      <c r="C3585" s="185" t="s">
        <v>1792</v>
      </c>
      <c r="D3585" s="185" t="s">
        <v>2762</v>
      </c>
      <c r="E3585" s="185">
        <v>23354001</v>
      </c>
      <c r="F3585" s="185" t="s">
        <v>484</v>
      </c>
      <c r="G3585" s="185" t="s">
        <v>4041</v>
      </c>
      <c r="H3585" s="185" t="s">
        <v>1628</v>
      </c>
      <c r="I3585" s="258" t="str">
        <f t="shared" si="166"/>
        <v>2</v>
      </c>
      <c r="J3585" s="221">
        <f t="shared" si="167"/>
        <v>-14603085</v>
      </c>
      <c r="K3585" s="258">
        <f t="shared" si="168"/>
        <v>12</v>
      </c>
      <c r="L3585" s="188">
        <v>0</v>
      </c>
      <c r="M3585" s="188">
        <v>14603085</v>
      </c>
      <c r="N3585" s="189">
        <v>900471482</v>
      </c>
      <c r="O3585" t="s">
        <v>4042</v>
      </c>
      <c r="P3585" s="187">
        <v>45282.462719907402</v>
      </c>
      <c r="Q3585" s="186">
        <v>15015</v>
      </c>
      <c r="R3585" s="185" t="s">
        <v>6</v>
      </c>
      <c r="S3585" s="185" t="s">
        <v>1600</v>
      </c>
      <c r="T3585"/>
      <c r="U3585" t="str">
        <f>IF($L3585&gt;0,VLOOKUP($E3585,Valida!$A$1:$G$270,6,FALSE),IF($M3585&gt;=0,VLOOKUP($E3585,Valida!$A$1:$G$270,7,FALSE)))</f>
        <v>(+/-) Ajustes por el incremento (disminución) de cuentas por pagar de origen comercial</v>
      </c>
      <c r="V3585" s="190" t="str">
        <f>VLOOKUP(E3585,Valida!$A$2:$K$271,4,FALSE)</f>
        <v>Trade and other payables</v>
      </c>
      <c r="W3585" s="185" t="s">
        <v>1853</v>
      </c>
      <c r="X3585" s="185" t="s">
        <v>1854</v>
      </c>
      <c r="Y3585" s="185" t="s">
        <v>1789</v>
      </c>
      <c r="Z3585"/>
    </row>
    <row r="3586" spans="1:26">
      <c r="A3586" s="185" t="s">
        <v>4026</v>
      </c>
      <c r="B3586" s="185" t="s">
        <v>4043</v>
      </c>
      <c r="C3586" s="185" t="s">
        <v>1792</v>
      </c>
      <c r="D3586" s="185" t="s">
        <v>2765</v>
      </c>
      <c r="E3586" s="185">
        <v>13300502</v>
      </c>
      <c r="F3586" s="185" t="s">
        <v>129</v>
      </c>
      <c r="G3586" s="185" t="s">
        <v>4044</v>
      </c>
      <c r="H3586" s="185" t="s">
        <v>1515</v>
      </c>
      <c r="I3586" s="258" t="str">
        <f t="shared" si="166"/>
        <v>1</v>
      </c>
      <c r="J3586" s="221">
        <f t="shared" si="167"/>
        <v>379134</v>
      </c>
      <c r="K3586" s="258">
        <f t="shared" si="168"/>
        <v>12</v>
      </c>
      <c r="L3586" s="188">
        <v>379134</v>
      </c>
      <c r="M3586" s="188">
        <v>0</v>
      </c>
      <c r="N3586" s="189">
        <v>901065664</v>
      </c>
      <c r="O3586"/>
      <c r="P3586" s="187">
        <v>45282.465949074103</v>
      </c>
      <c r="Q3586" s="186">
        <v>15016</v>
      </c>
      <c r="R3586" s="185" t="s">
        <v>1827</v>
      </c>
      <c r="S3586" s="185" t="s">
        <v>1610</v>
      </c>
      <c r="T3586"/>
      <c r="U3586" t="str">
        <f>IF($L3586&gt;0,VLOOKUP($E3586,Valida!$A$1:$G$270,6,FALSE),IF($M3586&gt;=0,VLOOKUP($E3586,Valida!$A$1:$G$270,7,FALSE)))</f>
        <v>(+/-) Ajustes por disminuciones (incrementos) en otras cuentas por cobrar derivadas de las actividades de operación</v>
      </c>
      <c r="V3586" s="190" t="str">
        <f>VLOOKUP(E3586,Valida!$A$2:$K$271,4,FALSE)</f>
        <v>Trade and other receivables</v>
      </c>
      <c r="W3586" s="185" t="s">
        <v>4045</v>
      </c>
      <c r="X3586" s="185"/>
      <c r="Y3586" s="185" t="s">
        <v>1844</v>
      </c>
      <c r="Z3586"/>
    </row>
    <row r="3587" spans="1:26">
      <c r="A3587" s="185" t="s">
        <v>4026</v>
      </c>
      <c r="B3587" s="185" t="s">
        <v>4043</v>
      </c>
      <c r="C3587" s="185" t="s">
        <v>1792</v>
      </c>
      <c r="D3587" s="185" t="s">
        <v>2765</v>
      </c>
      <c r="E3587" s="185">
        <v>23352504</v>
      </c>
      <c r="F3587" s="185" t="s">
        <v>1634</v>
      </c>
      <c r="G3587" s="185" t="s">
        <v>4044</v>
      </c>
      <c r="H3587" s="185" t="s">
        <v>1628</v>
      </c>
      <c r="I3587" s="258" t="str">
        <f t="shared" ref="I3587:I3650" si="169">LEFT(E3587,1)</f>
        <v>2</v>
      </c>
      <c r="J3587" s="221">
        <f t="shared" ref="J3587:J3650" si="170">L3587-M3587</f>
        <v>-379134</v>
      </c>
      <c r="K3587" s="258">
        <f t="shared" ref="K3587:K3650" si="171">MONTH(A3587)</f>
        <v>12</v>
      </c>
      <c r="L3587" s="188">
        <v>0</v>
      </c>
      <c r="M3587" s="188">
        <v>379134</v>
      </c>
      <c r="N3587" s="189">
        <v>901065664</v>
      </c>
      <c r="O3587"/>
      <c r="P3587" s="187">
        <v>45282.465960648202</v>
      </c>
      <c r="Q3587" s="186">
        <v>15017</v>
      </c>
      <c r="R3587" s="185" t="s">
        <v>1827</v>
      </c>
      <c r="S3587" s="185" t="s">
        <v>1610</v>
      </c>
      <c r="T3587"/>
      <c r="U3587" t="str">
        <f>IF($L3587&gt;0,VLOOKUP($E3587,Valida!$A$1:$G$270,6,FALSE),IF($M3587&gt;=0,VLOOKUP($E3587,Valida!$A$1:$G$270,7,FALSE)))</f>
        <v>(+/-) Ajustes por el incremento (disminución) de cuentas por pagar de origen comercial</v>
      </c>
      <c r="V3587" s="190" t="str">
        <f>VLOOKUP(E3587,Valida!$A$2:$K$271,4,FALSE)</f>
        <v>Trade and other payables</v>
      </c>
      <c r="W3587" s="185" t="s">
        <v>4045</v>
      </c>
      <c r="X3587" s="185"/>
      <c r="Y3587" s="185" t="s">
        <v>1844</v>
      </c>
      <c r="Z3587"/>
    </row>
    <row r="3588" spans="1:26">
      <c r="A3588" s="185" t="s">
        <v>3828</v>
      </c>
      <c r="B3588" s="185" t="s">
        <v>4046</v>
      </c>
      <c r="C3588" s="185" t="s">
        <v>1792</v>
      </c>
      <c r="D3588" s="185" t="s">
        <v>2775</v>
      </c>
      <c r="E3588" s="185">
        <v>51952501</v>
      </c>
      <c r="F3588" s="185" t="s">
        <v>1412</v>
      </c>
      <c r="G3588" s="185" t="s">
        <v>1412</v>
      </c>
      <c r="H3588" s="185" t="s">
        <v>1515</v>
      </c>
      <c r="I3588" s="258" t="str">
        <f t="shared" si="169"/>
        <v>5</v>
      </c>
      <c r="J3588" s="221">
        <f t="shared" si="170"/>
        <v>469500</v>
      </c>
      <c r="K3588" s="258">
        <f t="shared" si="171"/>
        <v>12</v>
      </c>
      <c r="L3588" s="188">
        <v>469500</v>
      </c>
      <c r="M3588" s="188">
        <v>0</v>
      </c>
      <c r="N3588" s="189">
        <v>901636211</v>
      </c>
      <c r="O3588" t="s">
        <v>4047</v>
      </c>
      <c r="P3588" s="187">
        <v>45282.467546296299</v>
      </c>
      <c r="Q3588" s="186">
        <v>15018</v>
      </c>
      <c r="R3588" s="185" t="s">
        <v>1901</v>
      </c>
      <c r="S3588" s="185" t="s">
        <v>1612</v>
      </c>
      <c r="T3588"/>
      <c r="U3588" t="str">
        <f>IF($L3588&gt;0,VLOOKUP($E3588,Valida!$A$1:$G$270,6,FALSE),IF($M3588&gt;=0,VLOOKUP($E3588,Valida!$A$1:$G$270,7,FALSE)))</f>
        <v>(+/-) Ganancia (pérdida)</v>
      </c>
      <c r="V3588" s="190" t="str">
        <f>VLOOKUP(E3588,Valida!$A$2:$K$271,4,FALSE)</f>
        <v>P&amp;L</v>
      </c>
      <c r="W3588" s="185" t="s">
        <v>3316</v>
      </c>
      <c r="X3588" s="185"/>
      <c r="Y3588" s="185" t="s">
        <v>1789</v>
      </c>
      <c r="Z3588"/>
    </row>
    <row r="3589" spans="1:26">
      <c r="A3589" s="185" t="s">
        <v>3828</v>
      </c>
      <c r="B3589" s="185" t="s">
        <v>4046</v>
      </c>
      <c r="C3589" s="185" t="s">
        <v>1792</v>
      </c>
      <c r="D3589" s="185" t="s">
        <v>2775</v>
      </c>
      <c r="E3589" s="185">
        <v>24081002</v>
      </c>
      <c r="F3589" s="185" t="s">
        <v>1687</v>
      </c>
      <c r="G3589" s="185" t="s">
        <v>1412</v>
      </c>
      <c r="H3589" s="185" t="s">
        <v>1515</v>
      </c>
      <c r="I3589" s="258" t="str">
        <f t="shared" si="169"/>
        <v>2</v>
      </c>
      <c r="J3589" s="221">
        <f t="shared" si="170"/>
        <v>89205</v>
      </c>
      <c r="K3589" s="258">
        <f t="shared" si="171"/>
        <v>12</v>
      </c>
      <c r="L3589" s="188">
        <v>89205</v>
      </c>
      <c r="M3589" s="188">
        <v>0</v>
      </c>
      <c r="N3589" s="189">
        <v>901636211</v>
      </c>
      <c r="O3589" t="s">
        <v>4047</v>
      </c>
      <c r="P3589" s="187">
        <v>45282.467546296299</v>
      </c>
      <c r="Q3589" s="186">
        <v>15019</v>
      </c>
      <c r="R3589" s="185" t="s">
        <v>1901</v>
      </c>
      <c r="S3589" s="185" t="s">
        <v>1612</v>
      </c>
      <c r="T3589"/>
      <c r="U3589" t="str">
        <f>IF($L3589&gt;0,VLOOKUP($E3589,Valida!$A$1:$G$270,6,FALSE),IF($M3589&gt;=0,VLOOKUP($E3589,Valida!$A$1:$G$270,7,FALSE)))</f>
        <v>(+/-) Ajustes por el incremento (disminución) de cuentas por pagar de origen comercial</v>
      </c>
      <c r="V3589" s="190" t="str">
        <f>VLOOKUP(E3589,Valida!$A$2:$K$271,4,FALSE)</f>
        <v>Trade and other payables</v>
      </c>
      <c r="W3589" s="185" t="s">
        <v>3316</v>
      </c>
      <c r="X3589" s="185"/>
      <c r="Y3589" s="185" t="s">
        <v>1789</v>
      </c>
      <c r="Z3589"/>
    </row>
    <row r="3590" spans="1:26">
      <c r="A3590" s="185" t="s">
        <v>3828</v>
      </c>
      <c r="B3590" s="185" t="s">
        <v>4046</v>
      </c>
      <c r="C3590" s="185" t="s">
        <v>1792</v>
      </c>
      <c r="D3590" s="185" t="s">
        <v>2775</v>
      </c>
      <c r="E3590" s="185">
        <v>23359502</v>
      </c>
      <c r="F3590" s="185" t="s">
        <v>547</v>
      </c>
      <c r="G3590" s="185" t="s">
        <v>547</v>
      </c>
      <c r="H3590" s="185" t="s">
        <v>1628</v>
      </c>
      <c r="I3590" s="258" t="str">
        <f t="shared" si="169"/>
        <v>2</v>
      </c>
      <c r="J3590" s="221">
        <f t="shared" si="170"/>
        <v>-558705</v>
      </c>
      <c r="K3590" s="258">
        <f t="shared" si="171"/>
        <v>12</v>
      </c>
      <c r="L3590" s="188">
        <v>0</v>
      </c>
      <c r="M3590" s="188">
        <v>558705</v>
      </c>
      <c r="N3590" s="189">
        <v>901636211</v>
      </c>
      <c r="O3590" t="s">
        <v>4047</v>
      </c>
      <c r="P3590" s="187">
        <v>45282.467546296299</v>
      </c>
      <c r="Q3590" s="186">
        <v>15020</v>
      </c>
      <c r="R3590" s="185" t="s">
        <v>1901</v>
      </c>
      <c r="S3590" s="185" t="s">
        <v>1612</v>
      </c>
      <c r="T3590"/>
      <c r="U3590" t="str">
        <f>IF($L3590&gt;0,VLOOKUP($E3590,Valida!$A$1:$G$270,6,FALSE),IF($M3590&gt;=0,VLOOKUP($E3590,Valida!$A$1:$G$270,7,FALSE)))</f>
        <v>(+/-) Ajustes por el incremento (disminución) de cuentas por pagar de origen comercial</v>
      </c>
      <c r="V3590" s="190" t="str">
        <f>VLOOKUP(E3590,Valida!$A$2:$K$271,4,FALSE)</f>
        <v>Trade and other payables</v>
      </c>
      <c r="W3590" s="185" t="s">
        <v>3316</v>
      </c>
      <c r="X3590" s="185"/>
      <c r="Y3590" s="185" t="s">
        <v>1789</v>
      </c>
      <c r="Z3590"/>
    </row>
    <row r="3591" spans="1:26">
      <c r="A3591" s="185" t="s">
        <v>3828</v>
      </c>
      <c r="B3591" s="185" t="s">
        <v>4048</v>
      </c>
      <c r="C3591" s="185" t="s">
        <v>1792</v>
      </c>
      <c r="D3591" s="185" t="s">
        <v>2820</v>
      </c>
      <c r="E3591" s="185">
        <v>13300502</v>
      </c>
      <c r="F3591" s="185" t="s">
        <v>129</v>
      </c>
      <c r="G3591" s="185" t="s">
        <v>3261</v>
      </c>
      <c r="H3591" s="185" t="s">
        <v>1515</v>
      </c>
      <c r="I3591" s="258" t="str">
        <f t="shared" si="169"/>
        <v>1</v>
      </c>
      <c r="J3591" s="221">
        <f t="shared" si="170"/>
        <v>5225729</v>
      </c>
      <c r="K3591" s="258">
        <f t="shared" si="171"/>
        <v>12</v>
      </c>
      <c r="L3591" s="188">
        <v>5225729</v>
      </c>
      <c r="M3591" s="188">
        <v>0</v>
      </c>
      <c r="N3591" s="189">
        <v>830062853</v>
      </c>
      <c r="O3591"/>
      <c r="P3591" s="187">
        <v>45282.468599537002</v>
      </c>
      <c r="Q3591" s="186">
        <v>15021</v>
      </c>
      <c r="R3591" s="185" t="s">
        <v>433</v>
      </c>
      <c r="S3591" s="185" t="s">
        <v>1564</v>
      </c>
      <c r="T3591"/>
      <c r="U3591" t="str">
        <f>IF($L3591&gt;0,VLOOKUP($E3591,Valida!$A$1:$G$270,6,FALSE),IF($M3591&gt;=0,VLOOKUP($E3591,Valida!$A$1:$G$270,7,FALSE)))</f>
        <v>(+/-) Ajustes por disminuciones (incrementos) en otras cuentas por cobrar derivadas de las actividades de operación</v>
      </c>
      <c r="V3591" s="190" t="str">
        <f>VLOOKUP(E3591,Valida!$A$2:$K$271,4,FALSE)</f>
        <v>Trade and other receivables</v>
      </c>
      <c r="W3591" s="185" t="s">
        <v>2024</v>
      </c>
      <c r="X3591" s="185" t="s">
        <v>2025</v>
      </c>
      <c r="Y3591" s="185" t="s">
        <v>1789</v>
      </c>
      <c r="Z3591"/>
    </row>
    <row r="3592" spans="1:26">
      <c r="A3592" s="185" t="s">
        <v>3828</v>
      </c>
      <c r="B3592" s="185" t="s">
        <v>4048</v>
      </c>
      <c r="C3592" s="185" t="s">
        <v>1792</v>
      </c>
      <c r="D3592" s="185" t="s">
        <v>2820</v>
      </c>
      <c r="E3592" s="185">
        <v>23359502</v>
      </c>
      <c r="F3592" s="185" t="s">
        <v>547</v>
      </c>
      <c r="G3592" s="185" t="s">
        <v>3261</v>
      </c>
      <c r="H3592" s="185" t="s">
        <v>1628</v>
      </c>
      <c r="I3592" s="258" t="str">
        <f t="shared" si="169"/>
        <v>2</v>
      </c>
      <c r="J3592" s="221">
        <f t="shared" si="170"/>
        <v>-5225729</v>
      </c>
      <c r="K3592" s="258">
        <f t="shared" si="171"/>
        <v>12</v>
      </c>
      <c r="L3592" s="188">
        <v>0</v>
      </c>
      <c r="M3592" s="188">
        <v>5225729</v>
      </c>
      <c r="N3592" s="189">
        <v>830062853</v>
      </c>
      <c r="O3592"/>
      <c r="P3592" s="187">
        <v>45282.468599537002</v>
      </c>
      <c r="Q3592" s="186">
        <v>15022</v>
      </c>
      <c r="R3592" s="185" t="s">
        <v>433</v>
      </c>
      <c r="S3592" s="185" t="s">
        <v>1564</v>
      </c>
      <c r="T3592"/>
      <c r="U3592" t="str">
        <f>IF($L3592&gt;0,VLOOKUP($E3592,Valida!$A$1:$G$270,6,FALSE),IF($M3592&gt;=0,VLOOKUP($E3592,Valida!$A$1:$G$270,7,FALSE)))</f>
        <v>(+/-) Ajustes por el incremento (disminución) de cuentas por pagar de origen comercial</v>
      </c>
      <c r="V3592" s="190" t="str">
        <f>VLOOKUP(E3592,Valida!$A$2:$K$271,4,FALSE)</f>
        <v>Trade and other payables</v>
      </c>
      <c r="W3592" s="185" t="s">
        <v>2024</v>
      </c>
      <c r="X3592" s="185" t="s">
        <v>2025</v>
      </c>
      <c r="Y3592" s="185" t="s">
        <v>1789</v>
      </c>
      <c r="Z3592"/>
    </row>
    <row r="3593" spans="1:26">
      <c r="A3593" s="185" t="s">
        <v>3828</v>
      </c>
      <c r="B3593" s="185" t="s">
        <v>4049</v>
      </c>
      <c r="C3593" s="185" t="s">
        <v>1792</v>
      </c>
      <c r="D3593" s="185" t="s">
        <v>2828</v>
      </c>
      <c r="E3593" s="185">
        <v>51700503</v>
      </c>
      <c r="F3593" s="185" t="s">
        <v>1397</v>
      </c>
      <c r="G3593" s="185" t="s">
        <v>4050</v>
      </c>
      <c r="H3593" s="185" t="s">
        <v>1515</v>
      </c>
      <c r="I3593" s="258" t="str">
        <f t="shared" si="169"/>
        <v>5</v>
      </c>
      <c r="J3593" s="221">
        <f t="shared" si="170"/>
        <v>250000</v>
      </c>
      <c r="K3593" s="258">
        <f t="shared" si="171"/>
        <v>12</v>
      </c>
      <c r="L3593" s="188">
        <v>250000</v>
      </c>
      <c r="M3593" s="188">
        <v>0</v>
      </c>
      <c r="N3593" s="189">
        <v>800042928</v>
      </c>
      <c r="O3593" t="s">
        <v>4051</v>
      </c>
      <c r="P3593" s="187">
        <v>45282.5053819444</v>
      </c>
      <c r="Q3593" s="186">
        <v>15023</v>
      </c>
      <c r="R3593" s="185" t="s">
        <v>6</v>
      </c>
      <c r="S3593" s="185" t="s">
        <v>1554</v>
      </c>
      <c r="T3593"/>
      <c r="U3593" t="str">
        <f>IF($L3593&gt;0,VLOOKUP($E3593,Valida!$A$1:$G$270,6,FALSE),IF($M3593&gt;=0,VLOOKUP($E3593,Valida!$A$1:$G$270,7,FALSE)))</f>
        <v>(+/-) Ganancia (pérdida)</v>
      </c>
      <c r="V3593" s="190" t="str">
        <f>VLOOKUP(E3593,Valida!$A$2:$K$271,4,FALSE)</f>
        <v>P&amp;L</v>
      </c>
      <c r="W3593" s="185" t="s">
        <v>1820</v>
      </c>
      <c r="X3593" s="185" t="s">
        <v>1821</v>
      </c>
      <c r="Y3593" s="185" t="s">
        <v>1789</v>
      </c>
      <c r="Z3593"/>
    </row>
    <row r="3594" spans="1:26">
      <c r="A3594" s="185" t="s">
        <v>3828</v>
      </c>
      <c r="B3594" s="185" t="s">
        <v>4049</v>
      </c>
      <c r="C3594" s="185" t="s">
        <v>1792</v>
      </c>
      <c r="D3594" s="185" t="s">
        <v>2828</v>
      </c>
      <c r="E3594" s="185">
        <v>13300502</v>
      </c>
      <c r="F3594" s="185" t="s">
        <v>129</v>
      </c>
      <c r="G3594" s="185" t="s">
        <v>4050</v>
      </c>
      <c r="H3594" s="185" t="s">
        <v>1628</v>
      </c>
      <c r="I3594" s="258" t="str">
        <f t="shared" si="169"/>
        <v>1</v>
      </c>
      <c r="J3594" s="221">
        <f t="shared" si="170"/>
        <v>-297500</v>
      </c>
      <c r="K3594" s="258">
        <f t="shared" si="171"/>
        <v>12</v>
      </c>
      <c r="L3594" s="188">
        <v>0</v>
      </c>
      <c r="M3594" s="188">
        <v>297500</v>
      </c>
      <c r="N3594" s="189">
        <v>800042928</v>
      </c>
      <c r="O3594" t="s">
        <v>4051</v>
      </c>
      <c r="P3594" s="187">
        <v>45282.505393518499</v>
      </c>
      <c r="Q3594" s="186">
        <v>15024</v>
      </c>
      <c r="R3594" s="185" t="s">
        <v>6</v>
      </c>
      <c r="S3594" s="185" t="s">
        <v>1554</v>
      </c>
      <c r="T3594"/>
      <c r="U3594" t="str">
        <f>IF($L3594&gt;0,VLOOKUP($E3594,Valida!$A$1:$G$270,6,FALSE),IF($M3594&gt;=0,VLOOKUP($E3594,Valida!$A$1:$G$270,7,FALSE)))</f>
        <v>(+/-) Ajustes por disminuciones (incrementos) en otras cuentas por cobrar derivadas de las actividades de operación</v>
      </c>
      <c r="V3594" s="190" t="str">
        <f>VLOOKUP(E3594,Valida!$A$2:$K$271,4,FALSE)</f>
        <v>Trade and other receivables</v>
      </c>
      <c r="W3594" s="185" t="s">
        <v>1820</v>
      </c>
      <c r="X3594" s="185" t="s">
        <v>1821</v>
      </c>
      <c r="Y3594" s="185" t="s">
        <v>1789</v>
      </c>
      <c r="Z3594"/>
    </row>
    <row r="3595" spans="1:26">
      <c r="A3595" s="185" t="s">
        <v>3828</v>
      </c>
      <c r="B3595" s="185" t="s">
        <v>4049</v>
      </c>
      <c r="C3595" s="185" t="s">
        <v>1792</v>
      </c>
      <c r="D3595" s="185" t="s">
        <v>2828</v>
      </c>
      <c r="E3595" s="185">
        <v>24081001</v>
      </c>
      <c r="F3595" s="185" t="s">
        <v>1670</v>
      </c>
      <c r="G3595" s="185" t="s">
        <v>4050</v>
      </c>
      <c r="H3595" s="185" t="s">
        <v>1515</v>
      </c>
      <c r="I3595" s="258" t="str">
        <f t="shared" si="169"/>
        <v>2</v>
      </c>
      <c r="J3595" s="221">
        <f t="shared" si="170"/>
        <v>47500</v>
      </c>
      <c r="K3595" s="258">
        <f t="shared" si="171"/>
        <v>12</v>
      </c>
      <c r="L3595" s="188">
        <v>47500</v>
      </c>
      <c r="M3595" s="188">
        <v>0</v>
      </c>
      <c r="N3595" s="189">
        <v>800042928</v>
      </c>
      <c r="O3595" t="s">
        <v>4051</v>
      </c>
      <c r="P3595" s="187">
        <v>45282.505393518499</v>
      </c>
      <c r="Q3595" s="186">
        <v>15025</v>
      </c>
      <c r="R3595" s="185" t="s">
        <v>6</v>
      </c>
      <c r="S3595" s="185" t="s">
        <v>1554</v>
      </c>
      <c r="T3595"/>
      <c r="U3595" t="str">
        <f>IF($L3595&gt;0,VLOOKUP($E3595,Valida!$A$1:$G$270,6,FALSE),IF($M3595&gt;=0,VLOOKUP($E3595,Valida!$A$1:$G$270,7,FALSE)))</f>
        <v>(+/-) Ajustes por el incremento (disminución) de cuentas por pagar de origen comercial</v>
      </c>
      <c r="V3595" s="190" t="str">
        <f>VLOOKUP(E3595,Valida!$A$2:$K$271,4,FALSE)</f>
        <v>Trade and other payables</v>
      </c>
      <c r="W3595" s="185" t="s">
        <v>1820</v>
      </c>
      <c r="X3595" s="185" t="s">
        <v>1821</v>
      </c>
      <c r="Y3595" s="185" t="s">
        <v>1789</v>
      </c>
      <c r="Z3595"/>
    </row>
    <row r="3596" spans="1:26">
      <c r="A3596" s="185" t="s">
        <v>3828</v>
      </c>
      <c r="B3596" s="185" t="s">
        <v>4052</v>
      </c>
      <c r="C3596" s="185" t="s">
        <v>1792</v>
      </c>
      <c r="D3596" s="185" t="s">
        <v>2830</v>
      </c>
      <c r="E3596" s="185">
        <v>51700502</v>
      </c>
      <c r="F3596" s="185" t="s">
        <v>1395</v>
      </c>
      <c r="G3596" s="185" t="s">
        <v>4053</v>
      </c>
      <c r="H3596" s="185" t="s">
        <v>1515</v>
      </c>
      <c r="I3596" s="258" t="str">
        <f t="shared" si="169"/>
        <v>5</v>
      </c>
      <c r="J3596" s="221">
        <f t="shared" si="170"/>
        <v>379134</v>
      </c>
      <c r="K3596" s="258">
        <f t="shared" si="171"/>
        <v>12</v>
      </c>
      <c r="L3596" s="188">
        <v>379134</v>
      </c>
      <c r="M3596" s="188">
        <v>0</v>
      </c>
      <c r="N3596" s="189">
        <v>901065664</v>
      </c>
      <c r="O3596" t="s">
        <v>4054</v>
      </c>
      <c r="P3596" s="187">
        <v>45282.5070486111</v>
      </c>
      <c r="Q3596" s="186">
        <v>15026</v>
      </c>
      <c r="R3596" s="185" t="s">
        <v>1827</v>
      </c>
      <c r="S3596" s="185" t="s">
        <v>1610</v>
      </c>
      <c r="T3596"/>
      <c r="U3596" t="str">
        <f>IF($L3596&gt;0,VLOOKUP($E3596,Valida!$A$1:$G$270,6,FALSE),IF($M3596&gt;=0,VLOOKUP($E3596,Valida!$A$1:$G$270,7,FALSE)))</f>
        <v>(+/-) Ganancia (pérdida)</v>
      </c>
      <c r="V3596" s="190" t="str">
        <f>VLOOKUP(E3596,Valida!$A$2:$K$271,4,FALSE)</f>
        <v>P&amp;L</v>
      </c>
      <c r="W3596" s="185" t="s">
        <v>4045</v>
      </c>
      <c r="X3596" s="185"/>
      <c r="Y3596" s="185" t="s">
        <v>1844</v>
      </c>
      <c r="Z3596"/>
    </row>
    <row r="3597" spans="1:26">
      <c r="A3597" s="185" t="s">
        <v>3828</v>
      </c>
      <c r="B3597" s="185" t="s">
        <v>4052</v>
      </c>
      <c r="C3597" s="185" t="s">
        <v>1792</v>
      </c>
      <c r="D3597" s="185" t="s">
        <v>2830</v>
      </c>
      <c r="E3597" s="185">
        <v>13300502</v>
      </c>
      <c r="F3597" s="185" t="s">
        <v>129</v>
      </c>
      <c r="G3597" s="185" t="s">
        <v>4053</v>
      </c>
      <c r="H3597" s="185" t="s">
        <v>1628</v>
      </c>
      <c r="I3597" s="258" t="str">
        <f t="shared" si="169"/>
        <v>1</v>
      </c>
      <c r="J3597" s="221">
        <f t="shared" si="170"/>
        <v>-379134</v>
      </c>
      <c r="K3597" s="258">
        <f t="shared" si="171"/>
        <v>12</v>
      </c>
      <c r="L3597" s="188">
        <v>0</v>
      </c>
      <c r="M3597" s="188">
        <v>379134</v>
      </c>
      <c r="N3597" s="189">
        <v>901065664</v>
      </c>
      <c r="O3597" t="s">
        <v>4054</v>
      </c>
      <c r="P3597" s="187">
        <v>45282.5070486111</v>
      </c>
      <c r="Q3597" s="186">
        <v>15027</v>
      </c>
      <c r="R3597" s="185" t="s">
        <v>1827</v>
      </c>
      <c r="S3597" s="185" t="s">
        <v>1610</v>
      </c>
      <c r="T3597"/>
      <c r="U3597" t="str">
        <f>IF($L3597&gt;0,VLOOKUP($E3597,Valida!$A$1:$G$270,6,FALSE),IF($M3597&gt;=0,VLOOKUP($E3597,Valida!$A$1:$G$270,7,FALSE)))</f>
        <v>(+/-) Ajustes por disminuciones (incrementos) en otras cuentas por cobrar derivadas de las actividades de operación</v>
      </c>
      <c r="V3597" s="190" t="str">
        <f>VLOOKUP(E3597,Valida!$A$2:$K$271,4,FALSE)</f>
        <v>Trade and other receivables</v>
      </c>
      <c r="W3597" s="185" t="s">
        <v>4045</v>
      </c>
      <c r="X3597" s="185"/>
      <c r="Y3597" s="185" t="s">
        <v>1844</v>
      </c>
      <c r="Z3597"/>
    </row>
    <row r="3598" spans="1:26">
      <c r="A3598" s="185" t="s">
        <v>3828</v>
      </c>
      <c r="B3598" s="185" t="s">
        <v>4055</v>
      </c>
      <c r="C3598" s="185" t="s">
        <v>1792</v>
      </c>
      <c r="D3598" s="185" t="s">
        <v>2833</v>
      </c>
      <c r="E3598" s="185">
        <v>51350501</v>
      </c>
      <c r="F3598" s="185" t="s">
        <v>1256</v>
      </c>
      <c r="G3598" s="185" t="s">
        <v>1794</v>
      </c>
      <c r="H3598" s="185" t="s">
        <v>1515</v>
      </c>
      <c r="I3598" s="258" t="str">
        <f t="shared" si="169"/>
        <v>5</v>
      </c>
      <c r="J3598" s="221">
        <f t="shared" si="170"/>
        <v>2432649</v>
      </c>
      <c r="K3598" s="258">
        <f t="shared" si="171"/>
        <v>12</v>
      </c>
      <c r="L3598" s="188">
        <v>2432649</v>
      </c>
      <c r="M3598" s="188">
        <v>0</v>
      </c>
      <c r="N3598" s="189">
        <v>900994552</v>
      </c>
      <c r="O3598" t="s">
        <v>4056</v>
      </c>
      <c r="P3598" s="187">
        <v>45282.507997685199</v>
      </c>
      <c r="Q3598" s="186">
        <v>15028</v>
      </c>
      <c r="R3598" s="185" t="s">
        <v>844</v>
      </c>
      <c r="S3598" s="185" t="s">
        <v>1606</v>
      </c>
      <c r="T3598"/>
      <c r="U3598" t="str">
        <f>IF($L3598&gt;0,VLOOKUP($E3598,Valida!$A$1:$G$270,6,FALSE),IF($M3598&gt;=0,VLOOKUP($E3598,Valida!$A$1:$G$270,7,FALSE)))</f>
        <v>(+/-) Ganancia (pérdida)</v>
      </c>
      <c r="V3598" s="190" t="str">
        <f>VLOOKUP(E3598,Valida!$A$2:$K$271,4,FALSE)</f>
        <v>P&amp;L</v>
      </c>
      <c r="W3598" s="185" t="s">
        <v>1796</v>
      </c>
      <c r="X3598" s="185" t="s">
        <v>1797</v>
      </c>
      <c r="Y3598" s="185" t="s">
        <v>1789</v>
      </c>
      <c r="Z3598"/>
    </row>
    <row r="3599" spans="1:26">
      <c r="A3599" s="185" t="s">
        <v>3828</v>
      </c>
      <c r="B3599" s="185" t="s">
        <v>4055</v>
      </c>
      <c r="C3599" s="185" t="s">
        <v>1792</v>
      </c>
      <c r="D3599" s="185" t="s">
        <v>2833</v>
      </c>
      <c r="E3599" s="185">
        <v>51350501</v>
      </c>
      <c r="F3599" s="185" t="s">
        <v>1256</v>
      </c>
      <c r="G3599" s="185" t="s">
        <v>1794</v>
      </c>
      <c r="H3599" s="185" t="s">
        <v>1515</v>
      </c>
      <c r="I3599" s="258" t="str">
        <f t="shared" si="169"/>
        <v>5</v>
      </c>
      <c r="J3599" s="221">
        <f t="shared" si="170"/>
        <v>243265</v>
      </c>
      <c r="K3599" s="258">
        <f t="shared" si="171"/>
        <v>12</v>
      </c>
      <c r="L3599" s="188">
        <v>243265</v>
      </c>
      <c r="M3599" s="188">
        <v>0</v>
      </c>
      <c r="N3599" s="189">
        <v>900994552</v>
      </c>
      <c r="O3599" t="s">
        <v>4056</v>
      </c>
      <c r="P3599" s="187">
        <v>45282.507997685199</v>
      </c>
      <c r="Q3599" s="186">
        <v>15029</v>
      </c>
      <c r="R3599" s="185" t="s">
        <v>844</v>
      </c>
      <c r="S3599" s="185" t="s">
        <v>1606</v>
      </c>
      <c r="T3599"/>
      <c r="U3599" t="str">
        <f>IF($L3599&gt;0,VLOOKUP($E3599,Valida!$A$1:$G$270,6,FALSE),IF($M3599&gt;=0,VLOOKUP($E3599,Valida!$A$1:$G$270,7,FALSE)))</f>
        <v>(+/-) Ganancia (pérdida)</v>
      </c>
      <c r="V3599" s="190" t="str">
        <f>VLOOKUP(E3599,Valida!$A$2:$K$271,4,FALSE)</f>
        <v>P&amp;L</v>
      </c>
      <c r="W3599" s="185" t="s">
        <v>1796</v>
      </c>
      <c r="X3599" s="185" t="s">
        <v>1797</v>
      </c>
      <c r="Y3599" s="185" t="s">
        <v>1789</v>
      </c>
      <c r="Z3599"/>
    </row>
    <row r="3600" spans="1:26">
      <c r="A3600" s="185" t="s">
        <v>3828</v>
      </c>
      <c r="B3600" s="185" t="s">
        <v>4055</v>
      </c>
      <c r="C3600" s="185" t="s">
        <v>1792</v>
      </c>
      <c r="D3600" s="185" t="s">
        <v>2833</v>
      </c>
      <c r="E3600" s="185">
        <v>24081002</v>
      </c>
      <c r="F3600" s="185" t="s">
        <v>1687</v>
      </c>
      <c r="G3600" s="185" t="s">
        <v>1794</v>
      </c>
      <c r="H3600" s="185" t="s">
        <v>1515</v>
      </c>
      <c r="I3600" s="258" t="str">
        <f t="shared" si="169"/>
        <v>2</v>
      </c>
      <c r="J3600" s="221">
        <f t="shared" si="170"/>
        <v>46221</v>
      </c>
      <c r="K3600" s="258">
        <f t="shared" si="171"/>
        <v>12</v>
      </c>
      <c r="L3600" s="188">
        <v>46221</v>
      </c>
      <c r="M3600" s="188">
        <v>0</v>
      </c>
      <c r="N3600" s="189">
        <v>900994552</v>
      </c>
      <c r="O3600" t="s">
        <v>4056</v>
      </c>
      <c r="P3600" s="187">
        <v>45282.507997685199</v>
      </c>
      <c r="Q3600" s="186">
        <v>15030</v>
      </c>
      <c r="R3600" s="185" t="s">
        <v>844</v>
      </c>
      <c r="S3600" s="185" t="s">
        <v>1606</v>
      </c>
      <c r="T3600"/>
      <c r="U3600" t="str">
        <f>IF($L3600&gt;0,VLOOKUP($E3600,Valida!$A$1:$G$270,6,FALSE),IF($M3600&gt;=0,VLOOKUP($E3600,Valida!$A$1:$G$270,7,FALSE)))</f>
        <v>(+/-) Ajustes por el incremento (disminución) de cuentas por pagar de origen comercial</v>
      </c>
      <c r="V3600" s="190" t="str">
        <f>VLOOKUP(E3600,Valida!$A$2:$K$271,4,FALSE)</f>
        <v>Trade and other payables</v>
      </c>
      <c r="W3600" s="185" t="s">
        <v>1796</v>
      </c>
      <c r="X3600" s="185" t="s">
        <v>1797</v>
      </c>
      <c r="Y3600" s="185" t="s">
        <v>1789</v>
      </c>
      <c r="Z3600"/>
    </row>
    <row r="3601" spans="1:26">
      <c r="A3601" s="185" t="s">
        <v>3828</v>
      </c>
      <c r="B3601" s="185" t="s">
        <v>4055</v>
      </c>
      <c r="C3601" s="185" t="s">
        <v>1792</v>
      </c>
      <c r="D3601" s="185" t="s">
        <v>2833</v>
      </c>
      <c r="E3601" s="185">
        <v>23355004</v>
      </c>
      <c r="F3601" s="185" t="s">
        <v>513</v>
      </c>
      <c r="G3601" s="185" t="s">
        <v>1794</v>
      </c>
      <c r="H3601" s="185" t="s">
        <v>1628</v>
      </c>
      <c r="I3601" s="258" t="str">
        <f t="shared" si="169"/>
        <v>2</v>
      </c>
      <c r="J3601" s="221">
        <f t="shared" si="170"/>
        <v>-2722135</v>
      </c>
      <c r="K3601" s="258">
        <f t="shared" si="171"/>
        <v>12</v>
      </c>
      <c r="L3601" s="188">
        <v>0</v>
      </c>
      <c r="M3601" s="188">
        <v>2722135</v>
      </c>
      <c r="N3601" s="189">
        <v>900994552</v>
      </c>
      <c r="O3601" t="s">
        <v>4056</v>
      </c>
      <c r="P3601" s="187">
        <v>45282.507997685199</v>
      </c>
      <c r="Q3601" s="186">
        <v>15031</v>
      </c>
      <c r="R3601" s="185" t="s">
        <v>844</v>
      </c>
      <c r="S3601" s="185" t="s">
        <v>1606</v>
      </c>
      <c r="T3601"/>
      <c r="U3601" t="str">
        <f>IF($L3601&gt;0,VLOOKUP($E3601,Valida!$A$1:$G$270,6,FALSE),IF($M3601&gt;=0,VLOOKUP($E3601,Valida!$A$1:$G$270,7,FALSE)))</f>
        <v>(+/-) Ajustes por el incremento (disminución) de cuentas por pagar de origen comercial</v>
      </c>
      <c r="V3601" s="190" t="str">
        <f>VLOOKUP(E3601,Valida!$A$2:$K$271,4,FALSE)</f>
        <v>Trade and other payables</v>
      </c>
      <c r="W3601" s="185" t="s">
        <v>1796</v>
      </c>
      <c r="X3601" s="185" t="s">
        <v>1797</v>
      </c>
      <c r="Y3601" s="185" t="s">
        <v>1789</v>
      </c>
      <c r="Z3601"/>
    </row>
    <row r="3602" spans="1:26">
      <c r="A3602" s="185" t="s">
        <v>3955</v>
      </c>
      <c r="B3602" s="185" t="s">
        <v>4057</v>
      </c>
      <c r="C3602" s="185" t="s">
        <v>1792</v>
      </c>
      <c r="D3602" s="185" t="s">
        <v>2836</v>
      </c>
      <c r="E3602" s="185">
        <v>51952501</v>
      </c>
      <c r="F3602" s="185" t="s">
        <v>1412</v>
      </c>
      <c r="G3602" s="185" t="s">
        <v>1412</v>
      </c>
      <c r="H3602" s="185" t="s">
        <v>1515</v>
      </c>
      <c r="I3602" s="258" t="str">
        <f t="shared" si="169"/>
        <v>5</v>
      </c>
      <c r="J3602" s="221">
        <f t="shared" si="170"/>
        <v>1711816</v>
      </c>
      <c r="K3602" s="258">
        <f t="shared" si="171"/>
        <v>12</v>
      </c>
      <c r="L3602" s="188">
        <v>1711816</v>
      </c>
      <c r="M3602" s="188">
        <v>0</v>
      </c>
      <c r="N3602" s="189">
        <v>830062853</v>
      </c>
      <c r="O3602" t="s">
        <v>4058</v>
      </c>
      <c r="P3602" s="187">
        <v>45282.515300925901</v>
      </c>
      <c r="Q3602" s="186">
        <v>15032</v>
      </c>
      <c r="R3602" s="185" t="s">
        <v>433</v>
      </c>
      <c r="S3602" s="185" t="s">
        <v>1564</v>
      </c>
      <c r="T3602"/>
      <c r="U3602" t="str">
        <f>IF($L3602&gt;0,VLOOKUP($E3602,Valida!$A$1:$G$270,6,FALSE),IF($M3602&gt;=0,VLOOKUP($E3602,Valida!$A$1:$G$270,7,FALSE)))</f>
        <v>(+/-) Ganancia (pérdida)</v>
      </c>
      <c r="V3602" s="190" t="str">
        <f>VLOOKUP(E3602,Valida!$A$2:$K$271,4,FALSE)</f>
        <v>P&amp;L</v>
      </c>
      <c r="W3602" s="185" t="s">
        <v>2024</v>
      </c>
      <c r="X3602" s="185" t="s">
        <v>2025</v>
      </c>
      <c r="Y3602" s="185" t="s">
        <v>1789</v>
      </c>
      <c r="Z3602"/>
    </row>
    <row r="3603" spans="1:26">
      <c r="A3603" s="185" t="s">
        <v>3955</v>
      </c>
      <c r="B3603" s="185" t="s">
        <v>4057</v>
      </c>
      <c r="C3603" s="185" t="s">
        <v>1792</v>
      </c>
      <c r="D3603" s="185" t="s">
        <v>2836</v>
      </c>
      <c r="E3603" s="185">
        <v>24081002</v>
      </c>
      <c r="F3603" s="185" t="s">
        <v>1687</v>
      </c>
      <c r="G3603" s="185" t="s">
        <v>1412</v>
      </c>
      <c r="H3603" s="185" t="s">
        <v>1515</v>
      </c>
      <c r="I3603" s="258" t="str">
        <f t="shared" si="169"/>
        <v>2</v>
      </c>
      <c r="J3603" s="221">
        <f t="shared" si="170"/>
        <v>325245</v>
      </c>
      <c r="K3603" s="258">
        <f t="shared" si="171"/>
        <v>12</v>
      </c>
      <c r="L3603" s="188">
        <v>325245</v>
      </c>
      <c r="M3603" s="188">
        <v>0</v>
      </c>
      <c r="N3603" s="189">
        <v>830062853</v>
      </c>
      <c r="O3603" t="s">
        <v>4058</v>
      </c>
      <c r="P3603" s="187">
        <v>45282.515300925901</v>
      </c>
      <c r="Q3603" s="186">
        <v>15033</v>
      </c>
      <c r="R3603" s="185" t="s">
        <v>433</v>
      </c>
      <c r="S3603" s="185" t="s">
        <v>1564</v>
      </c>
      <c r="T3603"/>
      <c r="U3603" t="str">
        <f>IF($L3603&gt;0,VLOOKUP($E3603,Valida!$A$1:$G$270,6,FALSE),IF($M3603&gt;=0,VLOOKUP($E3603,Valida!$A$1:$G$270,7,FALSE)))</f>
        <v>(+/-) Ajustes por el incremento (disminución) de cuentas por pagar de origen comercial</v>
      </c>
      <c r="V3603" s="190" t="str">
        <f>VLOOKUP(E3603,Valida!$A$2:$K$271,4,FALSE)</f>
        <v>Trade and other payables</v>
      </c>
      <c r="W3603" s="185" t="s">
        <v>2024</v>
      </c>
      <c r="X3603" s="185" t="s">
        <v>2025</v>
      </c>
      <c r="Y3603" s="185" t="s">
        <v>1789</v>
      </c>
      <c r="Z3603"/>
    </row>
    <row r="3604" spans="1:26">
      <c r="A3604" s="185" t="s">
        <v>3955</v>
      </c>
      <c r="B3604" s="185" t="s">
        <v>4057</v>
      </c>
      <c r="C3604" s="185" t="s">
        <v>1792</v>
      </c>
      <c r="D3604" s="185" t="s">
        <v>2836</v>
      </c>
      <c r="E3604" s="185">
        <v>51952502</v>
      </c>
      <c r="F3604" s="185" t="s">
        <v>1414</v>
      </c>
      <c r="G3604" s="185" t="s">
        <v>1414</v>
      </c>
      <c r="H3604" s="185" t="s">
        <v>1515</v>
      </c>
      <c r="I3604" s="258" t="str">
        <f t="shared" si="169"/>
        <v>5</v>
      </c>
      <c r="J3604" s="221">
        <f t="shared" si="170"/>
        <v>2859145</v>
      </c>
      <c r="K3604" s="258">
        <f t="shared" si="171"/>
        <v>12</v>
      </c>
      <c r="L3604" s="188">
        <v>2859145</v>
      </c>
      <c r="M3604" s="188">
        <v>0</v>
      </c>
      <c r="N3604" s="189">
        <v>830062853</v>
      </c>
      <c r="O3604" t="s">
        <v>4058</v>
      </c>
      <c r="P3604" s="187">
        <v>45282.515300925901</v>
      </c>
      <c r="Q3604" s="186">
        <v>15034</v>
      </c>
      <c r="R3604" s="185" t="s">
        <v>433</v>
      </c>
      <c r="S3604" s="185" t="s">
        <v>1564</v>
      </c>
      <c r="T3604"/>
      <c r="U3604" t="str">
        <f>IF($L3604&gt;0,VLOOKUP($E3604,Valida!$A$1:$G$270,6,FALSE),IF($M3604&gt;=0,VLOOKUP($E3604,Valida!$A$1:$G$270,7,FALSE)))</f>
        <v>(+/-) Ganancia (pérdida)</v>
      </c>
      <c r="V3604" s="190" t="str">
        <f>VLOOKUP(E3604,Valida!$A$2:$K$271,4,FALSE)</f>
        <v>P&amp;L</v>
      </c>
      <c r="W3604" s="185" t="s">
        <v>2024</v>
      </c>
      <c r="X3604" s="185" t="s">
        <v>2025</v>
      </c>
      <c r="Y3604" s="185" t="s">
        <v>1789</v>
      </c>
      <c r="Z3604"/>
    </row>
    <row r="3605" spans="1:26">
      <c r="A3605" s="185" t="s">
        <v>3955</v>
      </c>
      <c r="B3605" s="185" t="s">
        <v>4057</v>
      </c>
      <c r="C3605" s="185" t="s">
        <v>1792</v>
      </c>
      <c r="D3605" s="185" t="s">
        <v>2836</v>
      </c>
      <c r="E3605" s="185">
        <v>24081005</v>
      </c>
      <c r="F3605" s="185" t="s">
        <v>1688</v>
      </c>
      <c r="G3605" s="185" t="s">
        <v>1414</v>
      </c>
      <c r="H3605" s="185" t="s">
        <v>1515</v>
      </c>
      <c r="I3605" s="258" t="str">
        <f t="shared" si="169"/>
        <v>2</v>
      </c>
      <c r="J3605" s="221">
        <f t="shared" si="170"/>
        <v>142957</v>
      </c>
      <c r="K3605" s="258">
        <f t="shared" si="171"/>
        <v>12</v>
      </c>
      <c r="L3605" s="188">
        <v>142957</v>
      </c>
      <c r="M3605" s="188">
        <v>0</v>
      </c>
      <c r="N3605" s="189">
        <v>830062853</v>
      </c>
      <c r="O3605" t="s">
        <v>4058</v>
      </c>
      <c r="P3605" s="187">
        <v>45282.515300925901</v>
      </c>
      <c r="Q3605" s="186">
        <v>15035</v>
      </c>
      <c r="R3605" s="185" t="s">
        <v>433</v>
      </c>
      <c r="S3605" s="185" t="s">
        <v>1564</v>
      </c>
      <c r="T3605"/>
      <c r="U3605" t="str">
        <f>IF($L3605&gt;0,VLOOKUP($E3605,Valida!$A$1:$G$270,6,FALSE),IF($M3605&gt;=0,VLOOKUP($E3605,Valida!$A$1:$G$270,7,FALSE)))</f>
        <v>(+/-) Ajustes por el incremento (disminución) de cuentas por pagar de origen comercial</v>
      </c>
      <c r="V3605" s="190" t="str">
        <f>VLOOKUP(E3605,Valida!$A$2:$K$271,4,FALSE)</f>
        <v>Trade and other payables</v>
      </c>
      <c r="W3605" s="185" t="s">
        <v>2024</v>
      </c>
      <c r="X3605" s="185" t="s">
        <v>2025</v>
      </c>
      <c r="Y3605" s="185" t="s">
        <v>1789</v>
      </c>
      <c r="Z3605"/>
    </row>
    <row r="3606" spans="1:26">
      <c r="A3606" s="185" t="s">
        <v>3955</v>
      </c>
      <c r="B3606" s="185" t="s">
        <v>4057</v>
      </c>
      <c r="C3606" s="185" t="s">
        <v>1792</v>
      </c>
      <c r="D3606" s="185" t="s">
        <v>2836</v>
      </c>
      <c r="E3606" s="185">
        <v>51952502</v>
      </c>
      <c r="F3606" s="185" t="s">
        <v>1414</v>
      </c>
      <c r="G3606" s="185" t="s">
        <v>1414</v>
      </c>
      <c r="H3606" s="185" t="s">
        <v>1515</v>
      </c>
      <c r="I3606" s="258" t="str">
        <f t="shared" si="169"/>
        <v>5</v>
      </c>
      <c r="J3606" s="221">
        <f t="shared" si="170"/>
        <v>324783</v>
      </c>
      <c r="K3606" s="258">
        <f t="shared" si="171"/>
        <v>12</v>
      </c>
      <c r="L3606" s="188">
        <v>324783</v>
      </c>
      <c r="M3606" s="188">
        <v>0</v>
      </c>
      <c r="N3606" s="189">
        <v>830062853</v>
      </c>
      <c r="O3606" t="s">
        <v>4058</v>
      </c>
      <c r="P3606" s="187">
        <v>45282.515300925901</v>
      </c>
      <c r="Q3606" s="186">
        <v>15036</v>
      </c>
      <c r="R3606" s="185" t="s">
        <v>433</v>
      </c>
      <c r="S3606" s="185" t="s">
        <v>1564</v>
      </c>
      <c r="T3606"/>
      <c r="U3606" t="str">
        <f>IF($L3606&gt;0,VLOOKUP($E3606,Valida!$A$1:$G$270,6,FALSE),IF($M3606&gt;=0,VLOOKUP($E3606,Valida!$A$1:$G$270,7,FALSE)))</f>
        <v>(+/-) Ganancia (pérdida)</v>
      </c>
      <c r="V3606" s="190" t="str">
        <f>VLOOKUP(E3606,Valida!$A$2:$K$271,4,FALSE)</f>
        <v>P&amp;L</v>
      </c>
      <c r="W3606" s="185" t="s">
        <v>2024</v>
      </c>
      <c r="X3606" s="185" t="s">
        <v>2025</v>
      </c>
      <c r="Y3606" s="185" t="s">
        <v>1789</v>
      </c>
      <c r="Z3606"/>
    </row>
    <row r="3607" spans="1:26">
      <c r="A3607" s="185" t="s">
        <v>3955</v>
      </c>
      <c r="B3607" s="185" t="s">
        <v>4057</v>
      </c>
      <c r="C3607" s="185" t="s">
        <v>1792</v>
      </c>
      <c r="D3607" s="185" t="s">
        <v>2836</v>
      </c>
      <c r="E3607" s="185">
        <v>24081002</v>
      </c>
      <c r="F3607" s="185" t="s">
        <v>1687</v>
      </c>
      <c r="G3607" s="185" t="s">
        <v>1414</v>
      </c>
      <c r="H3607" s="185" t="s">
        <v>1515</v>
      </c>
      <c r="I3607" s="258" t="str">
        <f t="shared" si="169"/>
        <v>2</v>
      </c>
      <c r="J3607" s="221">
        <f t="shared" si="170"/>
        <v>61709</v>
      </c>
      <c r="K3607" s="258">
        <f t="shared" si="171"/>
        <v>12</v>
      </c>
      <c r="L3607" s="188">
        <v>61709</v>
      </c>
      <c r="M3607" s="188">
        <v>0</v>
      </c>
      <c r="N3607" s="189">
        <v>830062853</v>
      </c>
      <c r="O3607" t="s">
        <v>4058</v>
      </c>
      <c r="P3607" s="187">
        <v>45282.515300925901</v>
      </c>
      <c r="Q3607" s="186">
        <v>15037</v>
      </c>
      <c r="R3607" s="185" t="s">
        <v>433</v>
      </c>
      <c r="S3607" s="185" t="s">
        <v>1564</v>
      </c>
      <c r="T3607"/>
      <c r="U3607" t="str">
        <f>IF($L3607&gt;0,VLOOKUP($E3607,Valida!$A$1:$G$270,6,FALSE),IF($M3607&gt;=0,VLOOKUP($E3607,Valida!$A$1:$G$270,7,FALSE)))</f>
        <v>(+/-) Ajustes por el incremento (disminución) de cuentas por pagar de origen comercial</v>
      </c>
      <c r="V3607" s="190" t="str">
        <f>VLOOKUP(E3607,Valida!$A$2:$K$271,4,FALSE)</f>
        <v>Trade and other payables</v>
      </c>
      <c r="W3607" s="185" t="s">
        <v>2024</v>
      </c>
      <c r="X3607" s="185" t="s">
        <v>2025</v>
      </c>
      <c r="Y3607" s="185" t="s">
        <v>1789</v>
      </c>
      <c r="Z3607"/>
    </row>
    <row r="3608" spans="1:26">
      <c r="A3608" s="185" t="s">
        <v>3955</v>
      </c>
      <c r="B3608" s="185" t="s">
        <v>4057</v>
      </c>
      <c r="C3608" s="185" t="s">
        <v>1792</v>
      </c>
      <c r="D3608" s="185" t="s">
        <v>2836</v>
      </c>
      <c r="E3608" s="185">
        <v>23654001</v>
      </c>
      <c r="F3608" s="185" t="s">
        <v>622</v>
      </c>
      <c r="G3608" s="185" t="s">
        <v>547</v>
      </c>
      <c r="H3608" s="185" t="s">
        <v>1628</v>
      </c>
      <c r="I3608" s="258" t="str">
        <f t="shared" si="169"/>
        <v>2</v>
      </c>
      <c r="J3608" s="221">
        <f t="shared" si="170"/>
        <v>-122394</v>
      </c>
      <c r="K3608" s="258">
        <f t="shared" si="171"/>
        <v>12</v>
      </c>
      <c r="L3608" s="188">
        <v>0</v>
      </c>
      <c r="M3608" s="188">
        <v>122394</v>
      </c>
      <c r="N3608" s="189">
        <v>830062853</v>
      </c>
      <c r="O3608" t="s">
        <v>4058</v>
      </c>
      <c r="P3608" s="187">
        <v>45282.515300925901</v>
      </c>
      <c r="Q3608" s="186">
        <v>15038</v>
      </c>
      <c r="R3608" s="185" t="s">
        <v>433</v>
      </c>
      <c r="S3608" s="185" t="s">
        <v>1564</v>
      </c>
      <c r="T3608"/>
      <c r="U3608" t="str">
        <f>IF($L3608&gt;0,VLOOKUP($E3608,Valida!$A$1:$G$270,6,FALSE),IF($M3608&gt;=0,VLOOKUP($E3608,Valida!$A$1:$G$270,7,FALSE)))</f>
        <v>(+/-) Ajustes por el incremento (disminución) de cuentas por pagar de origen comercial</v>
      </c>
      <c r="V3608" s="190" t="str">
        <f>VLOOKUP(E3608,Valida!$A$2:$K$271,4,FALSE)</f>
        <v>Trade and other payables</v>
      </c>
      <c r="W3608" s="185" t="s">
        <v>2024</v>
      </c>
      <c r="X3608" s="185" t="s">
        <v>2025</v>
      </c>
      <c r="Y3608" s="185" t="s">
        <v>1789</v>
      </c>
      <c r="Z3608"/>
    </row>
    <row r="3609" spans="1:26">
      <c r="A3609" s="185" t="s">
        <v>3955</v>
      </c>
      <c r="B3609" s="185" t="s">
        <v>4057</v>
      </c>
      <c r="C3609" s="185" t="s">
        <v>1792</v>
      </c>
      <c r="D3609" s="185" t="s">
        <v>2836</v>
      </c>
      <c r="E3609" s="185">
        <v>23680504</v>
      </c>
      <c r="F3609" s="185" t="s">
        <v>668</v>
      </c>
      <c r="G3609" s="185" t="s">
        <v>547</v>
      </c>
      <c r="H3609" s="185" t="s">
        <v>1628</v>
      </c>
      <c r="I3609" s="258" t="str">
        <f t="shared" si="169"/>
        <v>2</v>
      </c>
      <c r="J3609" s="221">
        <f t="shared" si="170"/>
        <v>-54049</v>
      </c>
      <c r="K3609" s="258">
        <f t="shared" si="171"/>
        <v>12</v>
      </c>
      <c r="L3609" s="188">
        <v>0</v>
      </c>
      <c r="M3609" s="188">
        <v>54049</v>
      </c>
      <c r="N3609" s="189">
        <v>830062853</v>
      </c>
      <c r="O3609" t="s">
        <v>4058</v>
      </c>
      <c r="P3609" s="187">
        <v>45282.515300925901</v>
      </c>
      <c r="Q3609" s="186">
        <v>15039</v>
      </c>
      <c r="R3609" s="185" t="s">
        <v>433</v>
      </c>
      <c r="S3609" s="185" t="s">
        <v>1564</v>
      </c>
      <c r="T3609"/>
      <c r="U3609" t="str">
        <f>IF($L3609&gt;0,VLOOKUP($E3609,Valida!$A$1:$G$270,6,FALSE),IF($M3609&gt;=0,VLOOKUP($E3609,Valida!$A$1:$G$270,7,FALSE)))</f>
        <v>(+/-) Ajustes por el incremento (disminución) de cuentas por pagar de origen comercial</v>
      </c>
      <c r="V3609" s="190" t="str">
        <f>VLOOKUP(E3609,Valida!$A$2:$K$271,4,FALSE)</f>
        <v>Trade and other payables</v>
      </c>
      <c r="W3609" s="185" t="s">
        <v>2024</v>
      </c>
      <c r="X3609" s="185" t="s">
        <v>2025</v>
      </c>
      <c r="Y3609" s="185" t="s">
        <v>1789</v>
      </c>
      <c r="Z3609"/>
    </row>
    <row r="3610" spans="1:26">
      <c r="A3610" s="185" t="s">
        <v>3955</v>
      </c>
      <c r="B3610" s="185" t="s">
        <v>4057</v>
      </c>
      <c r="C3610" s="185" t="s">
        <v>1792</v>
      </c>
      <c r="D3610" s="185" t="s">
        <v>2836</v>
      </c>
      <c r="E3610" s="185">
        <v>13300502</v>
      </c>
      <c r="F3610" s="185" t="s">
        <v>129</v>
      </c>
      <c r="G3610" s="185" t="s">
        <v>547</v>
      </c>
      <c r="H3610" s="185" t="s">
        <v>1628</v>
      </c>
      <c r="I3610" s="258" t="str">
        <f t="shared" si="169"/>
        <v>1</v>
      </c>
      <c r="J3610" s="221">
        <f t="shared" si="170"/>
        <v>-5249212</v>
      </c>
      <c r="K3610" s="258">
        <f t="shared" si="171"/>
        <v>12</v>
      </c>
      <c r="L3610" s="188">
        <v>0</v>
      </c>
      <c r="M3610" s="188">
        <v>5249212</v>
      </c>
      <c r="N3610" s="189">
        <v>830062853</v>
      </c>
      <c r="O3610" t="s">
        <v>4058</v>
      </c>
      <c r="P3610" s="187">
        <v>45282.515300925901</v>
      </c>
      <c r="Q3610" s="186">
        <v>15040</v>
      </c>
      <c r="R3610" s="185" t="s">
        <v>433</v>
      </c>
      <c r="S3610" s="185" t="s">
        <v>1564</v>
      </c>
      <c r="T3610"/>
      <c r="U3610" t="str">
        <f>IF($L3610&gt;0,VLOOKUP($E3610,Valida!$A$1:$G$270,6,FALSE),IF($M3610&gt;=0,VLOOKUP($E3610,Valida!$A$1:$G$270,7,FALSE)))</f>
        <v>(+/-) Ajustes por disminuciones (incrementos) en otras cuentas por cobrar derivadas de las actividades de operación</v>
      </c>
      <c r="V3610" s="190" t="str">
        <f>VLOOKUP(E3610,Valida!$A$2:$K$271,4,FALSE)</f>
        <v>Trade and other receivables</v>
      </c>
      <c r="W3610" s="185" t="s">
        <v>2024</v>
      </c>
      <c r="X3610" s="185" t="s">
        <v>2025</v>
      </c>
      <c r="Y3610" s="185" t="s">
        <v>1789</v>
      </c>
      <c r="Z3610"/>
    </row>
    <row r="3611" spans="1:26">
      <c r="A3611" s="185" t="s">
        <v>4059</v>
      </c>
      <c r="B3611" s="185" t="s">
        <v>4060</v>
      </c>
      <c r="C3611" s="185" t="s">
        <v>1792</v>
      </c>
      <c r="D3611" s="185" t="s">
        <v>2839</v>
      </c>
      <c r="E3611" s="185">
        <v>51201001</v>
      </c>
      <c r="F3611" s="185" t="s">
        <v>1189</v>
      </c>
      <c r="G3611" s="185" t="s">
        <v>4061</v>
      </c>
      <c r="H3611" s="185" t="s">
        <v>1515</v>
      </c>
      <c r="I3611" s="258" t="str">
        <f t="shared" si="169"/>
        <v>5</v>
      </c>
      <c r="J3611" s="221">
        <f t="shared" si="170"/>
        <v>2422500</v>
      </c>
      <c r="K3611" s="258">
        <f t="shared" si="171"/>
        <v>12</v>
      </c>
      <c r="L3611" s="188">
        <v>2422500</v>
      </c>
      <c r="M3611" s="188">
        <v>0</v>
      </c>
      <c r="N3611" s="189">
        <v>900471482</v>
      </c>
      <c r="O3611" t="s">
        <v>4062</v>
      </c>
      <c r="P3611" s="187">
        <v>45282.519016203703</v>
      </c>
      <c r="Q3611" s="186">
        <v>15041</v>
      </c>
      <c r="R3611" s="185" t="s">
        <v>6</v>
      </c>
      <c r="S3611" s="185" t="s">
        <v>1600</v>
      </c>
      <c r="T3611"/>
      <c r="U3611" t="str">
        <f>IF($L3611&gt;0,VLOOKUP($E3611,Valida!$A$1:$G$270,6,FALSE),IF($M3611&gt;=0,VLOOKUP($E3611,Valida!$A$1:$G$270,7,FALSE)))</f>
        <v>(+/-) Ganancia (pérdida)</v>
      </c>
      <c r="V3611" s="190" t="str">
        <f>VLOOKUP(E3611,Valida!$A$2:$K$271,4,FALSE)</f>
        <v>P&amp;L</v>
      </c>
      <c r="W3611" s="185" t="s">
        <v>1853</v>
      </c>
      <c r="X3611" s="185" t="s">
        <v>1854</v>
      </c>
      <c r="Y3611" s="185" t="s">
        <v>1789</v>
      </c>
      <c r="Z3611"/>
    </row>
    <row r="3612" spans="1:26">
      <c r="A3612" s="185" t="s">
        <v>4059</v>
      </c>
      <c r="B3612" s="185" t="s">
        <v>4060</v>
      </c>
      <c r="C3612" s="185" t="s">
        <v>1792</v>
      </c>
      <c r="D3612" s="185" t="s">
        <v>2839</v>
      </c>
      <c r="E3612" s="185">
        <v>24081002</v>
      </c>
      <c r="F3612" s="185" t="s">
        <v>1687</v>
      </c>
      <c r="G3612" s="185" t="s">
        <v>4061</v>
      </c>
      <c r="H3612" s="185" t="s">
        <v>1515</v>
      </c>
      <c r="I3612" s="258" t="str">
        <f t="shared" si="169"/>
        <v>2</v>
      </c>
      <c r="J3612" s="221">
        <f t="shared" si="170"/>
        <v>460275</v>
      </c>
      <c r="K3612" s="258">
        <f t="shared" si="171"/>
        <v>12</v>
      </c>
      <c r="L3612" s="188">
        <v>460275</v>
      </c>
      <c r="M3612" s="188">
        <v>0</v>
      </c>
      <c r="N3612" s="189">
        <v>900471482</v>
      </c>
      <c r="O3612" t="s">
        <v>4062</v>
      </c>
      <c r="P3612" s="187">
        <v>45282.519016203703</v>
      </c>
      <c r="Q3612" s="186">
        <v>15042</v>
      </c>
      <c r="R3612" s="185" t="s">
        <v>6</v>
      </c>
      <c r="S3612" s="185" t="s">
        <v>1600</v>
      </c>
      <c r="T3612"/>
      <c r="U3612" t="str">
        <f>IF($L3612&gt;0,VLOOKUP($E3612,Valida!$A$1:$G$270,6,FALSE),IF($M3612&gt;=0,VLOOKUP($E3612,Valida!$A$1:$G$270,7,FALSE)))</f>
        <v>(+/-) Ajustes por el incremento (disminución) de cuentas por pagar de origen comercial</v>
      </c>
      <c r="V3612" s="190" t="str">
        <f>VLOOKUP(E3612,Valida!$A$2:$K$271,4,FALSE)</f>
        <v>Trade and other payables</v>
      </c>
      <c r="W3612" s="185" t="s">
        <v>1853</v>
      </c>
      <c r="X3612" s="185" t="s">
        <v>1854</v>
      </c>
      <c r="Y3612" s="185" t="s">
        <v>1789</v>
      </c>
      <c r="Z3612"/>
    </row>
    <row r="3613" spans="1:26">
      <c r="A3613" s="185" t="s">
        <v>4059</v>
      </c>
      <c r="B3613" s="185" t="s">
        <v>4060</v>
      </c>
      <c r="C3613" s="185" t="s">
        <v>1792</v>
      </c>
      <c r="D3613" s="185" t="s">
        <v>2839</v>
      </c>
      <c r="E3613" s="185">
        <v>23653001</v>
      </c>
      <c r="F3613" s="185" t="s">
        <v>611</v>
      </c>
      <c r="G3613" s="185" t="s">
        <v>4061</v>
      </c>
      <c r="H3613" s="185" t="s">
        <v>1628</v>
      </c>
      <c r="I3613" s="258" t="str">
        <f t="shared" si="169"/>
        <v>2</v>
      </c>
      <c r="J3613" s="221">
        <f t="shared" si="170"/>
        <v>-84788</v>
      </c>
      <c r="K3613" s="258">
        <f t="shared" si="171"/>
        <v>12</v>
      </c>
      <c r="L3613" s="188">
        <v>0</v>
      </c>
      <c r="M3613" s="188">
        <v>84788</v>
      </c>
      <c r="N3613" s="189">
        <v>900471482</v>
      </c>
      <c r="O3613" t="s">
        <v>4062</v>
      </c>
      <c r="P3613" s="187">
        <v>45282.519016203703</v>
      </c>
      <c r="Q3613" s="186">
        <v>15043</v>
      </c>
      <c r="R3613" s="185" t="s">
        <v>6</v>
      </c>
      <c r="S3613" s="185" t="s">
        <v>1600</v>
      </c>
      <c r="T3613"/>
      <c r="U3613" t="str">
        <f>IF($L3613&gt;0,VLOOKUP($E3613,Valida!$A$1:$G$270,6,FALSE),IF($M3613&gt;=0,VLOOKUP($E3613,Valida!$A$1:$G$270,7,FALSE)))</f>
        <v>(+/-) Ajustes por el incremento (disminución) de cuentas por pagar de origen comercial</v>
      </c>
      <c r="V3613" s="190" t="str">
        <f>VLOOKUP(E3613,Valida!$A$2:$K$271,4,FALSE)</f>
        <v>Trade and other payables</v>
      </c>
      <c r="W3613" s="185" t="s">
        <v>1853</v>
      </c>
      <c r="X3613" s="185" t="s">
        <v>1854</v>
      </c>
      <c r="Y3613" s="185" t="s">
        <v>1789</v>
      </c>
      <c r="Z3613"/>
    </row>
    <row r="3614" spans="1:26">
      <c r="A3614" s="185" t="s">
        <v>4059</v>
      </c>
      <c r="B3614" s="185" t="s">
        <v>4060</v>
      </c>
      <c r="C3614" s="185" t="s">
        <v>1792</v>
      </c>
      <c r="D3614" s="185" t="s">
        <v>2839</v>
      </c>
      <c r="E3614" s="185">
        <v>23680503</v>
      </c>
      <c r="F3614" s="185" t="s">
        <v>665</v>
      </c>
      <c r="G3614" s="185" t="s">
        <v>4061</v>
      </c>
      <c r="H3614" s="185" t="s">
        <v>1628</v>
      </c>
      <c r="I3614" s="258" t="str">
        <f t="shared" si="169"/>
        <v>2</v>
      </c>
      <c r="J3614" s="221">
        <f t="shared" si="170"/>
        <v>-23401</v>
      </c>
      <c r="K3614" s="258">
        <f t="shared" si="171"/>
        <v>12</v>
      </c>
      <c r="L3614" s="188">
        <v>0</v>
      </c>
      <c r="M3614" s="188">
        <v>23401</v>
      </c>
      <c r="N3614" s="189">
        <v>900471482</v>
      </c>
      <c r="O3614" t="s">
        <v>4062</v>
      </c>
      <c r="P3614" s="187">
        <v>45282.519016203703</v>
      </c>
      <c r="Q3614" s="186">
        <v>15044</v>
      </c>
      <c r="R3614" s="185" t="s">
        <v>6</v>
      </c>
      <c r="S3614" s="185" t="s">
        <v>1600</v>
      </c>
      <c r="T3614"/>
      <c r="U3614" t="str">
        <f>IF($L3614&gt;0,VLOOKUP($E3614,Valida!$A$1:$G$270,6,FALSE),IF($M3614&gt;=0,VLOOKUP($E3614,Valida!$A$1:$G$270,7,FALSE)))</f>
        <v>(+/-) Ajustes por el incremento (disminución) de cuentas por pagar de origen comercial</v>
      </c>
      <c r="V3614" s="190" t="str">
        <f>VLOOKUP(E3614,Valida!$A$2:$K$271,4,FALSE)</f>
        <v>Trade and other payables</v>
      </c>
      <c r="W3614" s="185" t="s">
        <v>1853</v>
      </c>
      <c r="X3614" s="185" t="s">
        <v>1854</v>
      </c>
      <c r="Y3614" s="185" t="s">
        <v>1789</v>
      </c>
      <c r="Z3614"/>
    </row>
    <row r="3615" spans="1:26">
      <c r="A3615" s="185" t="s">
        <v>4059</v>
      </c>
      <c r="B3615" s="185" t="s">
        <v>4060</v>
      </c>
      <c r="C3615" s="185" t="s">
        <v>1792</v>
      </c>
      <c r="D3615" s="185" t="s">
        <v>2839</v>
      </c>
      <c r="E3615" s="185">
        <v>23354001</v>
      </c>
      <c r="F3615" s="185" t="s">
        <v>484</v>
      </c>
      <c r="G3615" s="185" t="s">
        <v>4061</v>
      </c>
      <c r="H3615" s="185" t="s">
        <v>1628</v>
      </c>
      <c r="I3615" s="258" t="str">
        <f t="shared" si="169"/>
        <v>2</v>
      </c>
      <c r="J3615" s="221">
        <f t="shared" si="170"/>
        <v>-2774586</v>
      </c>
      <c r="K3615" s="258">
        <f t="shared" si="171"/>
        <v>12</v>
      </c>
      <c r="L3615" s="188">
        <v>0</v>
      </c>
      <c r="M3615" s="188">
        <v>2774586</v>
      </c>
      <c r="N3615" s="189">
        <v>900471482</v>
      </c>
      <c r="O3615" t="s">
        <v>4062</v>
      </c>
      <c r="P3615" s="187">
        <v>45282.519016203703</v>
      </c>
      <c r="Q3615" s="186">
        <v>15045</v>
      </c>
      <c r="R3615" s="185" t="s">
        <v>6</v>
      </c>
      <c r="S3615" s="185" t="s">
        <v>1600</v>
      </c>
      <c r="T3615"/>
      <c r="U3615" t="str">
        <f>IF($L3615&gt;0,VLOOKUP($E3615,Valida!$A$1:$G$270,6,FALSE),IF($M3615&gt;=0,VLOOKUP($E3615,Valida!$A$1:$G$270,7,FALSE)))</f>
        <v>(+/-) Ajustes por el incremento (disminución) de cuentas por pagar de origen comercial</v>
      </c>
      <c r="V3615" s="190" t="str">
        <f>VLOOKUP(E3615,Valida!$A$2:$K$271,4,FALSE)</f>
        <v>Trade and other payables</v>
      </c>
      <c r="W3615" s="185" t="s">
        <v>1853</v>
      </c>
      <c r="X3615" s="185" t="s">
        <v>1854</v>
      </c>
      <c r="Y3615" s="185" t="s">
        <v>1789</v>
      </c>
      <c r="Z3615"/>
    </row>
    <row r="3616" spans="1:26">
      <c r="A3616" s="185" t="s">
        <v>3971</v>
      </c>
      <c r="B3616" s="185" t="s">
        <v>4063</v>
      </c>
      <c r="C3616" s="185" t="s">
        <v>1890</v>
      </c>
      <c r="D3616" s="185" t="s">
        <v>4064</v>
      </c>
      <c r="E3616" s="185">
        <v>23359507</v>
      </c>
      <c r="F3616" s="185" t="s">
        <v>1644</v>
      </c>
      <c r="G3616" s="185" t="s">
        <v>4065</v>
      </c>
      <c r="H3616" s="185" t="s">
        <v>1515</v>
      </c>
      <c r="I3616" s="258" t="str">
        <f t="shared" si="169"/>
        <v>2</v>
      </c>
      <c r="J3616" s="221">
        <f t="shared" si="170"/>
        <v>200000</v>
      </c>
      <c r="K3616" s="258">
        <f t="shared" si="171"/>
        <v>12</v>
      </c>
      <c r="L3616" s="188">
        <v>200000</v>
      </c>
      <c r="M3616" s="188">
        <v>0</v>
      </c>
      <c r="N3616" s="189">
        <v>1001284057</v>
      </c>
      <c r="O3616"/>
      <c r="P3616" s="187">
        <v>45282.6493402778</v>
      </c>
      <c r="Q3616" s="186">
        <v>15046</v>
      </c>
      <c r="R3616" s="185"/>
      <c r="S3616" s="185" t="s">
        <v>1526</v>
      </c>
      <c r="T3616"/>
      <c r="U3616" t="str">
        <f>IF($L3616&gt;0,VLOOKUP($E3616,Valida!$A$1:$G$270,6,FALSE),IF($M3616&gt;=0,VLOOKUP($E3616,Valida!$A$1:$G$270,7,FALSE)))</f>
        <v>(+/-) Ajustes por el incremento (disminución) de cuentas por pagar de origen comercial</v>
      </c>
      <c r="V3616" s="190" t="str">
        <f>VLOOKUP(E3616,Valida!$A$2:$K$271,4,FALSE)</f>
        <v>Trade and other payables</v>
      </c>
      <c r="W3616" s="185" t="s">
        <v>3454</v>
      </c>
      <c r="X3616" s="185" t="s">
        <v>3455</v>
      </c>
      <c r="Y3616" s="185" t="s">
        <v>1789</v>
      </c>
      <c r="Z3616"/>
    </row>
    <row r="3617" spans="1:26">
      <c r="A3617" s="185" t="s">
        <v>3971</v>
      </c>
      <c r="B3617" s="185" t="s">
        <v>4063</v>
      </c>
      <c r="C3617" s="185" t="s">
        <v>1890</v>
      </c>
      <c r="D3617" s="185" t="s">
        <v>4064</v>
      </c>
      <c r="E3617" s="185">
        <v>112005</v>
      </c>
      <c r="F3617" s="185" t="s">
        <v>24</v>
      </c>
      <c r="G3617" s="185" t="s">
        <v>4065</v>
      </c>
      <c r="H3617" s="185" t="s">
        <v>1628</v>
      </c>
      <c r="I3617" s="258" t="str">
        <f t="shared" si="169"/>
        <v>1</v>
      </c>
      <c r="J3617" s="221">
        <f t="shared" si="170"/>
        <v>-200000</v>
      </c>
      <c r="K3617" s="258">
        <f t="shared" si="171"/>
        <v>12</v>
      </c>
      <c r="L3617" s="188">
        <v>0</v>
      </c>
      <c r="M3617" s="188">
        <v>200000</v>
      </c>
      <c r="N3617" s="189">
        <v>1001284057</v>
      </c>
      <c r="O3617"/>
      <c r="P3617" s="187">
        <v>45282.6493402778</v>
      </c>
      <c r="Q3617" s="186">
        <v>15047</v>
      </c>
      <c r="R3617" s="185"/>
      <c r="S3617" s="185" t="s">
        <v>1526</v>
      </c>
      <c r="T3617" t="s">
        <v>1894</v>
      </c>
      <c r="U3617" t="str">
        <f>IF($L3617&gt;0,VLOOKUP($E3617,Valida!$A$1:$G$270,6,FALSE),IF($M3617&gt;=0,VLOOKUP($E3617,Valida!$A$1:$G$270,7,FALSE)))</f>
        <v>Disponible</v>
      </c>
      <c r="V3617" s="190" t="str">
        <f>VLOOKUP(E3617,Valida!$A$2:$K$271,4,FALSE)</f>
        <v>Cash and equivalents</v>
      </c>
      <c r="W3617" s="185" t="s">
        <v>3454</v>
      </c>
      <c r="X3617" s="185" t="s">
        <v>3455</v>
      </c>
      <c r="Y3617" s="185" t="s">
        <v>1789</v>
      </c>
      <c r="Z3617"/>
    </row>
    <row r="3618" spans="1:26">
      <c r="A3618" s="185" t="s">
        <v>3971</v>
      </c>
      <c r="B3618" s="185" t="s">
        <v>4066</v>
      </c>
      <c r="C3618" s="185" t="s">
        <v>1890</v>
      </c>
      <c r="D3618" s="185" t="s">
        <v>4067</v>
      </c>
      <c r="E3618" s="185">
        <v>23359507</v>
      </c>
      <c r="F3618" s="185" t="s">
        <v>1644</v>
      </c>
      <c r="G3618" s="185" t="s">
        <v>4068</v>
      </c>
      <c r="H3618" s="185" t="s">
        <v>1515</v>
      </c>
      <c r="I3618" s="258" t="str">
        <f t="shared" si="169"/>
        <v>2</v>
      </c>
      <c r="J3618" s="221">
        <f t="shared" si="170"/>
        <v>200000</v>
      </c>
      <c r="K3618" s="258">
        <f t="shared" si="171"/>
        <v>12</v>
      </c>
      <c r="L3618" s="188">
        <v>200000</v>
      </c>
      <c r="M3618" s="188">
        <v>0</v>
      </c>
      <c r="N3618" s="189">
        <v>1000036375</v>
      </c>
      <c r="O3618"/>
      <c r="P3618" s="187">
        <v>45282.651087963</v>
      </c>
      <c r="Q3618" s="186">
        <v>15048</v>
      </c>
      <c r="R3618" s="185"/>
      <c r="S3618" s="185" t="s">
        <v>1524</v>
      </c>
      <c r="T3618"/>
      <c r="U3618" t="str">
        <f>IF($L3618&gt;0,VLOOKUP($E3618,Valida!$A$1:$G$270,6,FALSE),IF($M3618&gt;=0,VLOOKUP($E3618,Valida!$A$1:$G$270,7,FALSE)))</f>
        <v>(+/-) Ajustes por el incremento (disminución) de cuentas por pagar de origen comercial</v>
      </c>
      <c r="V3618" s="190" t="str">
        <f>VLOOKUP(E3618,Valida!$A$2:$K$271,4,FALSE)</f>
        <v>Trade and other payables</v>
      </c>
      <c r="W3618" s="185" t="s">
        <v>1983</v>
      </c>
      <c r="X3618" s="185"/>
      <c r="Y3618" s="185" t="s">
        <v>1789</v>
      </c>
      <c r="Z3618"/>
    </row>
    <row r="3619" spans="1:26">
      <c r="A3619" s="185" t="s">
        <v>3971</v>
      </c>
      <c r="B3619" s="185" t="s">
        <v>4066</v>
      </c>
      <c r="C3619" s="185" t="s">
        <v>1890</v>
      </c>
      <c r="D3619" s="185" t="s">
        <v>4067</v>
      </c>
      <c r="E3619" s="185">
        <v>112005</v>
      </c>
      <c r="F3619" s="185" t="s">
        <v>24</v>
      </c>
      <c r="G3619" s="185" t="s">
        <v>4068</v>
      </c>
      <c r="H3619" s="185" t="s">
        <v>1628</v>
      </c>
      <c r="I3619" s="258" t="str">
        <f t="shared" si="169"/>
        <v>1</v>
      </c>
      <c r="J3619" s="221">
        <f t="shared" si="170"/>
        <v>-200000</v>
      </c>
      <c r="K3619" s="258">
        <f t="shared" si="171"/>
        <v>12</v>
      </c>
      <c r="L3619" s="188">
        <v>0</v>
      </c>
      <c r="M3619" s="188">
        <v>200000</v>
      </c>
      <c r="N3619" s="189">
        <v>1000036375</v>
      </c>
      <c r="O3619"/>
      <c r="P3619" s="187">
        <v>45282.651099536997</v>
      </c>
      <c r="Q3619" s="186">
        <v>15049</v>
      </c>
      <c r="R3619" s="185"/>
      <c r="S3619" s="185" t="s">
        <v>1524</v>
      </c>
      <c r="T3619" t="s">
        <v>1894</v>
      </c>
      <c r="U3619" t="str">
        <f>IF($L3619&gt;0,VLOOKUP($E3619,Valida!$A$1:$G$270,6,FALSE),IF($M3619&gt;=0,VLOOKUP($E3619,Valida!$A$1:$G$270,7,FALSE)))</f>
        <v>Disponible</v>
      </c>
      <c r="V3619" s="190" t="str">
        <f>VLOOKUP(E3619,Valida!$A$2:$K$271,4,FALSE)</f>
        <v>Cash and equivalents</v>
      </c>
      <c r="W3619" s="185" t="s">
        <v>1983</v>
      </c>
      <c r="X3619" s="185"/>
      <c r="Y3619" s="185" t="s">
        <v>1789</v>
      </c>
      <c r="Z3619"/>
    </row>
    <row r="3620" spans="1:26">
      <c r="A3620" s="185" t="s">
        <v>3971</v>
      </c>
      <c r="B3620" s="185" t="s">
        <v>4069</v>
      </c>
      <c r="C3620" s="185" t="s">
        <v>1890</v>
      </c>
      <c r="D3620" s="185" t="s">
        <v>4070</v>
      </c>
      <c r="E3620" s="185">
        <v>23359507</v>
      </c>
      <c r="F3620" s="185" t="s">
        <v>1644</v>
      </c>
      <c r="G3620" s="185" t="s">
        <v>4068</v>
      </c>
      <c r="H3620" s="185" t="s">
        <v>1515</v>
      </c>
      <c r="I3620" s="258" t="str">
        <f t="shared" si="169"/>
        <v>2</v>
      </c>
      <c r="J3620" s="221">
        <f t="shared" si="170"/>
        <v>200000</v>
      </c>
      <c r="K3620" s="258">
        <f t="shared" si="171"/>
        <v>12</v>
      </c>
      <c r="L3620" s="188">
        <v>200000</v>
      </c>
      <c r="M3620" s="188">
        <v>0</v>
      </c>
      <c r="N3620" s="189">
        <v>1000018061</v>
      </c>
      <c r="O3620"/>
      <c r="P3620" s="187">
        <v>45282.678738425901</v>
      </c>
      <c r="Q3620" s="186">
        <v>15050</v>
      </c>
      <c r="R3620" s="185"/>
      <c r="S3620" s="185" t="s">
        <v>1522</v>
      </c>
      <c r="T3620"/>
      <c r="U3620" t="str">
        <f>IF($L3620&gt;0,VLOOKUP($E3620,Valida!$A$1:$G$270,6,FALSE),IF($M3620&gt;=0,VLOOKUP($E3620,Valida!$A$1:$G$270,7,FALSE)))</f>
        <v>(+/-) Ajustes por el incremento (disminución) de cuentas por pagar de origen comercial</v>
      </c>
      <c r="V3620" s="190" t="str">
        <f>VLOOKUP(E3620,Valida!$A$2:$K$271,4,FALSE)</f>
        <v>Trade and other payables</v>
      </c>
      <c r="W3620" s="185" t="s">
        <v>1978</v>
      </c>
      <c r="X3620" s="185"/>
      <c r="Y3620" s="185" t="s">
        <v>1789</v>
      </c>
      <c r="Z3620"/>
    </row>
    <row r="3621" spans="1:26">
      <c r="A3621" s="185" t="s">
        <v>3971</v>
      </c>
      <c r="B3621" s="185" t="s">
        <v>4069</v>
      </c>
      <c r="C3621" s="185" t="s">
        <v>1890</v>
      </c>
      <c r="D3621" s="185" t="s">
        <v>4070</v>
      </c>
      <c r="E3621" s="185">
        <v>112005</v>
      </c>
      <c r="F3621" s="185" t="s">
        <v>24</v>
      </c>
      <c r="G3621" s="185" t="s">
        <v>4068</v>
      </c>
      <c r="H3621" s="185" t="s">
        <v>1628</v>
      </c>
      <c r="I3621" s="258" t="str">
        <f t="shared" si="169"/>
        <v>1</v>
      </c>
      <c r="J3621" s="221">
        <f t="shared" si="170"/>
        <v>-200000</v>
      </c>
      <c r="K3621" s="258">
        <f t="shared" si="171"/>
        <v>12</v>
      </c>
      <c r="L3621" s="188">
        <v>0</v>
      </c>
      <c r="M3621" s="188">
        <v>200000</v>
      </c>
      <c r="N3621" s="189">
        <v>1000018061</v>
      </c>
      <c r="O3621"/>
      <c r="P3621" s="187">
        <v>45282.678738425901</v>
      </c>
      <c r="Q3621" s="186">
        <v>15051</v>
      </c>
      <c r="R3621" s="185"/>
      <c r="S3621" s="185" t="s">
        <v>1522</v>
      </c>
      <c r="T3621" t="s">
        <v>1894</v>
      </c>
      <c r="U3621" t="str">
        <f>IF($L3621&gt;0,VLOOKUP($E3621,Valida!$A$1:$G$270,6,FALSE),IF($M3621&gt;=0,VLOOKUP($E3621,Valida!$A$1:$G$270,7,FALSE)))</f>
        <v>Disponible</v>
      </c>
      <c r="V3621" s="190" t="str">
        <f>VLOOKUP(E3621,Valida!$A$2:$K$271,4,FALSE)</f>
        <v>Cash and equivalents</v>
      </c>
      <c r="W3621" s="185" t="s">
        <v>1978</v>
      </c>
      <c r="X3621" s="185"/>
      <c r="Y3621" s="185" t="s">
        <v>1789</v>
      </c>
      <c r="Z3621"/>
    </row>
    <row r="3622" spans="1:26">
      <c r="A3622" s="185" t="s">
        <v>3971</v>
      </c>
      <c r="B3622" s="185" t="s">
        <v>4071</v>
      </c>
      <c r="C3622" s="185" t="s">
        <v>1890</v>
      </c>
      <c r="D3622" s="185" t="s">
        <v>4072</v>
      </c>
      <c r="E3622" s="185">
        <v>23359507</v>
      </c>
      <c r="F3622" s="185" t="s">
        <v>1644</v>
      </c>
      <c r="G3622" s="185" t="s">
        <v>4068</v>
      </c>
      <c r="H3622" s="185" t="s">
        <v>1515</v>
      </c>
      <c r="I3622" s="258" t="str">
        <f t="shared" si="169"/>
        <v>2</v>
      </c>
      <c r="J3622" s="221">
        <f t="shared" si="170"/>
        <v>200000</v>
      </c>
      <c r="K3622" s="258">
        <f t="shared" si="171"/>
        <v>12</v>
      </c>
      <c r="L3622" s="188">
        <v>200000</v>
      </c>
      <c r="M3622" s="188">
        <v>0</v>
      </c>
      <c r="N3622" s="189">
        <v>1010101811</v>
      </c>
      <c r="O3622"/>
      <c r="P3622" s="187">
        <v>45282.679467592599</v>
      </c>
      <c r="Q3622" s="186">
        <v>15052</v>
      </c>
      <c r="R3622" s="185"/>
      <c r="S3622" s="185" t="s">
        <v>1528</v>
      </c>
      <c r="T3622"/>
      <c r="U3622" t="str">
        <f>IF($L3622&gt;0,VLOOKUP($E3622,Valida!$A$1:$G$270,6,FALSE),IF($M3622&gt;=0,VLOOKUP($E3622,Valida!$A$1:$G$270,7,FALSE)))</f>
        <v>(+/-) Ajustes por el incremento (disminución) de cuentas por pagar de origen comercial</v>
      </c>
      <c r="V3622" s="190" t="str">
        <f>VLOOKUP(E3622,Valida!$A$2:$K$271,4,FALSE)</f>
        <v>Trade and other payables</v>
      </c>
      <c r="W3622" s="185" t="s">
        <v>1967</v>
      </c>
      <c r="X3622" s="185"/>
      <c r="Y3622" s="185" t="s">
        <v>1789</v>
      </c>
      <c r="Z3622"/>
    </row>
    <row r="3623" spans="1:26">
      <c r="A3623" s="185" t="s">
        <v>3971</v>
      </c>
      <c r="B3623" s="185" t="s">
        <v>4071</v>
      </c>
      <c r="C3623" s="185" t="s">
        <v>1890</v>
      </c>
      <c r="D3623" s="185" t="s">
        <v>4072</v>
      </c>
      <c r="E3623" s="185">
        <v>112005</v>
      </c>
      <c r="F3623" s="185" t="s">
        <v>24</v>
      </c>
      <c r="G3623" s="185" t="s">
        <v>4068</v>
      </c>
      <c r="H3623" s="185" t="s">
        <v>1628</v>
      </c>
      <c r="I3623" s="258" t="str">
        <f t="shared" si="169"/>
        <v>1</v>
      </c>
      <c r="J3623" s="221">
        <f t="shared" si="170"/>
        <v>-200000</v>
      </c>
      <c r="K3623" s="258">
        <f t="shared" si="171"/>
        <v>12</v>
      </c>
      <c r="L3623" s="188">
        <v>0</v>
      </c>
      <c r="M3623" s="188">
        <v>200000</v>
      </c>
      <c r="N3623" s="189">
        <v>1010101811</v>
      </c>
      <c r="O3623"/>
      <c r="P3623" s="187">
        <v>45282.679467592599</v>
      </c>
      <c r="Q3623" s="186">
        <v>15053</v>
      </c>
      <c r="R3623" s="185"/>
      <c r="S3623" s="185" t="s">
        <v>1528</v>
      </c>
      <c r="T3623" t="s">
        <v>1894</v>
      </c>
      <c r="U3623" t="str">
        <f>IF($L3623&gt;0,VLOOKUP($E3623,Valida!$A$1:$G$270,6,FALSE),IF($M3623&gt;=0,VLOOKUP($E3623,Valida!$A$1:$G$270,7,FALSE)))</f>
        <v>Disponible</v>
      </c>
      <c r="V3623" s="190" t="str">
        <f>VLOOKUP(E3623,Valida!$A$2:$K$271,4,FALSE)</f>
        <v>Cash and equivalents</v>
      </c>
      <c r="W3623" s="185" t="s">
        <v>1967</v>
      </c>
      <c r="X3623" s="185"/>
      <c r="Y3623" s="185" t="s">
        <v>1789</v>
      </c>
      <c r="Z3623"/>
    </row>
    <row r="3624" spans="1:26">
      <c r="A3624" s="185" t="s">
        <v>3971</v>
      </c>
      <c r="B3624" s="185" t="s">
        <v>4073</v>
      </c>
      <c r="C3624" s="185" t="s">
        <v>1890</v>
      </c>
      <c r="D3624" s="185" t="s">
        <v>4074</v>
      </c>
      <c r="E3624" s="185">
        <v>23359507</v>
      </c>
      <c r="F3624" s="185" t="s">
        <v>1644</v>
      </c>
      <c r="G3624" s="185" t="s">
        <v>4068</v>
      </c>
      <c r="H3624" s="185" t="s">
        <v>1515</v>
      </c>
      <c r="I3624" s="258" t="str">
        <f t="shared" si="169"/>
        <v>2</v>
      </c>
      <c r="J3624" s="221">
        <f t="shared" si="170"/>
        <v>200000</v>
      </c>
      <c r="K3624" s="258">
        <f t="shared" si="171"/>
        <v>12</v>
      </c>
      <c r="L3624" s="188">
        <v>200000</v>
      </c>
      <c r="M3624" s="188">
        <v>0</v>
      </c>
      <c r="N3624" s="189">
        <v>1130744136</v>
      </c>
      <c r="O3624"/>
      <c r="P3624" s="187">
        <v>45282.679907407401</v>
      </c>
      <c r="Q3624" s="186">
        <v>15054</v>
      </c>
      <c r="R3624" s="185"/>
      <c r="S3624" s="185" t="s">
        <v>1538</v>
      </c>
      <c r="T3624"/>
      <c r="U3624" t="str">
        <f>IF($L3624&gt;0,VLOOKUP($E3624,Valida!$A$1:$G$270,6,FALSE),IF($M3624&gt;=0,VLOOKUP($E3624,Valida!$A$1:$G$270,7,FALSE)))</f>
        <v>(+/-) Ajustes por el incremento (disminución) de cuentas por pagar de origen comercial</v>
      </c>
      <c r="V3624" s="190" t="str">
        <f>VLOOKUP(E3624,Valida!$A$2:$K$271,4,FALSE)</f>
        <v>Trade and other payables</v>
      </c>
      <c r="W3624" s="185" t="s">
        <v>1909</v>
      </c>
      <c r="X3624" s="185" t="s">
        <v>1910</v>
      </c>
      <c r="Y3624" s="185" t="s">
        <v>1789</v>
      </c>
      <c r="Z3624"/>
    </row>
    <row r="3625" spans="1:26">
      <c r="A3625" s="185" t="s">
        <v>3971</v>
      </c>
      <c r="B3625" s="185" t="s">
        <v>4073</v>
      </c>
      <c r="C3625" s="185" t="s">
        <v>1890</v>
      </c>
      <c r="D3625" s="185" t="s">
        <v>4074</v>
      </c>
      <c r="E3625" s="185">
        <v>112005</v>
      </c>
      <c r="F3625" s="185" t="s">
        <v>24</v>
      </c>
      <c r="G3625" s="185" t="s">
        <v>4068</v>
      </c>
      <c r="H3625" s="185" t="s">
        <v>1628</v>
      </c>
      <c r="I3625" s="258" t="str">
        <f t="shared" si="169"/>
        <v>1</v>
      </c>
      <c r="J3625" s="221">
        <f t="shared" si="170"/>
        <v>-200000</v>
      </c>
      <c r="K3625" s="258">
        <f t="shared" si="171"/>
        <v>12</v>
      </c>
      <c r="L3625" s="188">
        <v>0</v>
      </c>
      <c r="M3625" s="188">
        <v>200000</v>
      </c>
      <c r="N3625" s="189">
        <v>1130744136</v>
      </c>
      <c r="O3625"/>
      <c r="P3625" s="187">
        <v>45282.679907407401</v>
      </c>
      <c r="Q3625" s="186">
        <v>15055</v>
      </c>
      <c r="R3625" s="185"/>
      <c r="S3625" s="185" t="s">
        <v>1538</v>
      </c>
      <c r="T3625" t="s">
        <v>1894</v>
      </c>
      <c r="U3625" t="str">
        <f>IF($L3625&gt;0,VLOOKUP($E3625,Valida!$A$1:$G$270,6,FALSE),IF($M3625&gt;=0,VLOOKUP($E3625,Valida!$A$1:$G$270,7,FALSE)))</f>
        <v>Disponible</v>
      </c>
      <c r="V3625" s="190" t="str">
        <f>VLOOKUP(E3625,Valida!$A$2:$K$271,4,FALSE)</f>
        <v>Cash and equivalents</v>
      </c>
      <c r="W3625" s="185" t="s">
        <v>1909</v>
      </c>
      <c r="X3625" s="185" t="s">
        <v>1910</v>
      </c>
      <c r="Y3625" s="185" t="s">
        <v>1789</v>
      </c>
      <c r="Z3625"/>
    </row>
    <row r="3626" spans="1:26">
      <c r="A3626" s="185" t="s">
        <v>3971</v>
      </c>
      <c r="B3626" s="185" t="s">
        <v>4075</v>
      </c>
      <c r="C3626" s="185" t="s">
        <v>1890</v>
      </c>
      <c r="D3626" s="185" t="s">
        <v>4076</v>
      </c>
      <c r="E3626" s="185">
        <v>23355002</v>
      </c>
      <c r="F3626" s="185" t="s">
        <v>506</v>
      </c>
      <c r="G3626" s="185" t="s">
        <v>1921</v>
      </c>
      <c r="H3626" s="185" t="s">
        <v>1515</v>
      </c>
      <c r="I3626" s="258" t="str">
        <f t="shared" si="169"/>
        <v>2</v>
      </c>
      <c r="J3626" s="221">
        <f t="shared" si="170"/>
        <v>97530.25</v>
      </c>
      <c r="K3626" s="258">
        <f t="shared" si="171"/>
        <v>12</v>
      </c>
      <c r="L3626" s="188">
        <v>97530.25</v>
      </c>
      <c r="M3626" s="188">
        <v>0</v>
      </c>
      <c r="N3626" s="189">
        <v>440493581</v>
      </c>
      <c r="O3626"/>
      <c r="P3626" s="187">
        <v>45282.6808564815</v>
      </c>
      <c r="Q3626" s="186">
        <v>15056</v>
      </c>
      <c r="R3626" s="185"/>
      <c r="S3626" s="185" t="s">
        <v>1546</v>
      </c>
      <c r="T3626"/>
      <c r="U3626" t="str">
        <f>IF($L3626&gt;0,VLOOKUP($E3626,Valida!$A$1:$G$270,6,FALSE),IF($M3626&gt;=0,VLOOKUP($E3626,Valida!$A$1:$G$270,7,FALSE)))</f>
        <v>(+/-) Ajustes por el incremento (disminución) de cuentas por pagar de origen comercial</v>
      </c>
      <c r="V3626" s="190" t="str">
        <f>VLOOKUP(E3626,Valida!$A$2:$K$271,4,FALSE)</f>
        <v>Trade and other payables</v>
      </c>
      <c r="W3626" s="185" t="s">
        <v>1808</v>
      </c>
      <c r="X3626" s="185"/>
      <c r="Y3626" s="185"/>
      <c r="Z3626"/>
    </row>
    <row r="3627" spans="1:26">
      <c r="A3627" s="185" t="s">
        <v>3971</v>
      </c>
      <c r="B3627" s="185" t="s">
        <v>4075</v>
      </c>
      <c r="C3627" s="185" t="s">
        <v>1890</v>
      </c>
      <c r="D3627" s="185" t="s">
        <v>4076</v>
      </c>
      <c r="E3627" s="185">
        <v>112005</v>
      </c>
      <c r="F3627" s="185" t="s">
        <v>24</v>
      </c>
      <c r="G3627" s="185" t="s">
        <v>1921</v>
      </c>
      <c r="H3627" s="185" t="s">
        <v>1628</v>
      </c>
      <c r="I3627" s="258" t="str">
        <f t="shared" si="169"/>
        <v>1</v>
      </c>
      <c r="J3627" s="221">
        <f t="shared" si="170"/>
        <v>-97530.25</v>
      </c>
      <c r="K3627" s="258">
        <f t="shared" si="171"/>
        <v>12</v>
      </c>
      <c r="L3627" s="188">
        <v>0</v>
      </c>
      <c r="M3627" s="188">
        <v>97530.25</v>
      </c>
      <c r="N3627" s="189">
        <v>440493581</v>
      </c>
      <c r="O3627"/>
      <c r="P3627" s="187">
        <v>45282.6808564815</v>
      </c>
      <c r="Q3627" s="186">
        <v>15057</v>
      </c>
      <c r="R3627" s="185"/>
      <c r="S3627" s="185" t="s">
        <v>1546</v>
      </c>
      <c r="T3627" t="s">
        <v>1894</v>
      </c>
      <c r="U3627" t="str">
        <f>IF($L3627&gt;0,VLOOKUP($E3627,Valida!$A$1:$G$270,6,FALSE),IF($M3627&gt;=0,VLOOKUP($E3627,Valida!$A$1:$G$270,7,FALSE)))</f>
        <v>Disponible</v>
      </c>
      <c r="V3627" s="190" t="str">
        <f>VLOOKUP(E3627,Valida!$A$2:$K$271,4,FALSE)</f>
        <v>Cash and equivalents</v>
      </c>
      <c r="W3627" s="185" t="s">
        <v>1808</v>
      </c>
      <c r="X3627" s="185"/>
      <c r="Y3627" s="185"/>
      <c r="Z3627"/>
    </row>
    <row r="3628" spans="1:26">
      <c r="A3628" s="185" t="s">
        <v>4000</v>
      </c>
      <c r="B3628" s="185" t="s">
        <v>4077</v>
      </c>
      <c r="C3628" s="185" t="s">
        <v>1890</v>
      </c>
      <c r="D3628" s="185" t="s">
        <v>4078</v>
      </c>
      <c r="E3628" s="185">
        <v>23351001</v>
      </c>
      <c r="F3628" s="185" t="s">
        <v>453</v>
      </c>
      <c r="G3628" s="185" t="s">
        <v>1921</v>
      </c>
      <c r="H3628" s="185" t="s">
        <v>1515</v>
      </c>
      <c r="I3628" s="258" t="str">
        <f t="shared" si="169"/>
        <v>2</v>
      </c>
      <c r="J3628" s="221">
        <f t="shared" si="170"/>
        <v>7200</v>
      </c>
      <c r="K3628" s="258">
        <f t="shared" si="171"/>
        <v>12</v>
      </c>
      <c r="L3628" s="188">
        <v>7200</v>
      </c>
      <c r="M3628" s="188">
        <v>0</v>
      </c>
      <c r="N3628" s="189">
        <v>860007322</v>
      </c>
      <c r="O3628"/>
      <c r="P3628" s="187">
        <v>45282.6820717593</v>
      </c>
      <c r="Q3628" s="186">
        <v>15058</v>
      </c>
      <c r="R3628" s="185" t="s">
        <v>1841</v>
      </c>
      <c r="S3628" s="185" t="s">
        <v>1566</v>
      </c>
      <c r="T3628"/>
      <c r="U3628" t="str">
        <f>IF($L3628&gt;0,VLOOKUP($E3628,Valida!$A$1:$G$270,6,FALSE),IF($M3628&gt;=0,VLOOKUP($E3628,Valida!$A$1:$G$270,7,FALSE)))</f>
        <v>(+/-) Ajustes por el incremento (disminución) de cuentas por pagar de origen comercial</v>
      </c>
      <c r="V3628" s="190" t="str">
        <f>VLOOKUP(E3628,Valida!$A$2:$K$271,4,FALSE)</f>
        <v>Trade and other payables</v>
      </c>
      <c r="W3628" s="185" t="s">
        <v>2306</v>
      </c>
      <c r="X3628" s="185"/>
      <c r="Y3628" s="185" t="s">
        <v>1789</v>
      </c>
      <c r="Z3628"/>
    </row>
    <row r="3629" spans="1:26">
      <c r="A3629" s="185" t="s">
        <v>4000</v>
      </c>
      <c r="B3629" s="185" t="s">
        <v>4077</v>
      </c>
      <c r="C3629" s="185" t="s">
        <v>1890</v>
      </c>
      <c r="D3629" s="185" t="s">
        <v>4078</v>
      </c>
      <c r="E3629" s="185">
        <v>112005</v>
      </c>
      <c r="F3629" s="185" t="s">
        <v>24</v>
      </c>
      <c r="G3629" s="185" t="s">
        <v>1921</v>
      </c>
      <c r="H3629" s="185" t="s">
        <v>1628</v>
      </c>
      <c r="I3629" s="258" t="str">
        <f t="shared" si="169"/>
        <v>1</v>
      </c>
      <c r="J3629" s="221">
        <f t="shared" si="170"/>
        <v>-7200</v>
      </c>
      <c r="K3629" s="258">
        <f t="shared" si="171"/>
        <v>12</v>
      </c>
      <c r="L3629" s="188">
        <v>0</v>
      </c>
      <c r="M3629" s="188">
        <v>7200</v>
      </c>
      <c r="N3629" s="189">
        <v>860007322</v>
      </c>
      <c r="O3629"/>
      <c r="P3629" s="187">
        <v>45282.6820717593</v>
      </c>
      <c r="Q3629" s="186">
        <v>15059</v>
      </c>
      <c r="R3629" s="185" t="s">
        <v>1841</v>
      </c>
      <c r="S3629" s="185" t="s">
        <v>1566</v>
      </c>
      <c r="T3629" t="s">
        <v>1894</v>
      </c>
      <c r="U3629" t="str">
        <f>IF($L3629&gt;0,VLOOKUP($E3629,Valida!$A$1:$G$270,6,FALSE),IF($M3629&gt;=0,VLOOKUP($E3629,Valida!$A$1:$G$270,7,FALSE)))</f>
        <v>Disponible</v>
      </c>
      <c r="V3629" s="190" t="str">
        <f>VLOOKUP(E3629,Valida!$A$2:$K$271,4,FALSE)</f>
        <v>Cash and equivalents</v>
      </c>
      <c r="W3629" s="185" t="s">
        <v>2306</v>
      </c>
      <c r="X3629" s="185"/>
      <c r="Y3629" s="185" t="s">
        <v>1789</v>
      </c>
      <c r="Z3629"/>
    </row>
    <row r="3630" spans="1:26">
      <c r="A3630" s="185" t="s">
        <v>4009</v>
      </c>
      <c r="B3630" s="185" t="s">
        <v>4079</v>
      </c>
      <c r="C3630" s="185" t="s">
        <v>1890</v>
      </c>
      <c r="D3630" s="185" t="s">
        <v>4080</v>
      </c>
      <c r="E3630" s="185">
        <v>23352503</v>
      </c>
      <c r="F3630" s="185" t="s">
        <v>470</v>
      </c>
      <c r="G3630" s="185" t="s">
        <v>1921</v>
      </c>
      <c r="H3630" s="185" t="s">
        <v>1515</v>
      </c>
      <c r="I3630" s="258" t="str">
        <f t="shared" si="169"/>
        <v>2</v>
      </c>
      <c r="J3630" s="221">
        <f t="shared" si="170"/>
        <v>387000</v>
      </c>
      <c r="K3630" s="258">
        <f t="shared" si="171"/>
        <v>12</v>
      </c>
      <c r="L3630" s="188">
        <v>387000</v>
      </c>
      <c r="M3630" s="188">
        <v>0</v>
      </c>
      <c r="N3630" s="189">
        <v>900170994</v>
      </c>
      <c r="O3630"/>
      <c r="P3630" s="187">
        <v>45282.682546296302</v>
      </c>
      <c r="Q3630" s="186">
        <v>15060</v>
      </c>
      <c r="R3630" s="185" t="s">
        <v>1841</v>
      </c>
      <c r="S3630" s="185" t="s">
        <v>1592</v>
      </c>
      <c r="T3630"/>
      <c r="U3630" t="str">
        <f>IF($L3630&gt;0,VLOOKUP($E3630,Valida!$A$1:$G$270,6,FALSE),IF($M3630&gt;=0,VLOOKUP($E3630,Valida!$A$1:$G$270,7,FALSE)))</f>
        <v>(+/-) Ajustes por el incremento (disminución) de cuentas por pagar de origen comercial</v>
      </c>
      <c r="V3630" s="190" t="str">
        <f>VLOOKUP(E3630,Valida!$A$2:$K$271,4,FALSE)</f>
        <v>Trade and other payables</v>
      </c>
      <c r="W3630" s="185" t="s">
        <v>2030</v>
      </c>
      <c r="X3630" s="185" t="s">
        <v>2031</v>
      </c>
      <c r="Y3630" s="185" t="s">
        <v>1789</v>
      </c>
      <c r="Z3630"/>
    </row>
    <row r="3631" spans="1:26">
      <c r="A3631" s="185" t="s">
        <v>4009</v>
      </c>
      <c r="B3631" s="185" t="s">
        <v>4079</v>
      </c>
      <c r="C3631" s="185" t="s">
        <v>1890</v>
      </c>
      <c r="D3631" s="185" t="s">
        <v>4080</v>
      </c>
      <c r="E3631" s="185">
        <v>112005</v>
      </c>
      <c r="F3631" s="185" t="s">
        <v>24</v>
      </c>
      <c r="G3631" s="185" t="s">
        <v>1921</v>
      </c>
      <c r="H3631" s="185" t="s">
        <v>1628</v>
      </c>
      <c r="I3631" s="258" t="str">
        <f t="shared" si="169"/>
        <v>1</v>
      </c>
      <c r="J3631" s="221">
        <f t="shared" si="170"/>
        <v>-387000</v>
      </c>
      <c r="K3631" s="258">
        <f t="shared" si="171"/>
        <v>12</v>
      </c>
      <c r="L3631" s="188">
        <v>0</v>
      </c>
      <c r="M3631" s="188">
        <v>387000</v>
      </c>
      <c r="N3631" s="189">
        <v>900170994</v>
      </c>
      <c r="O3631"/>
      <c r="P3631" s="187">
        <v>45282.682546296302</v>
      </c>
      <c r="Q3631" s="186">
        <v>15061</v>
      </c>
      <c r="R3631" s="185" t="s">
        <v>1841</v>
      </c>
      <c r="S3631" s="185" t="s">
        <v>1592</v>
      </c>
      <c r="T3631" t="s">
        <v>1894</v>
      </c>
      <c r="U3631" t="str">
        <f>IF($L3631&gt;0,VLOOKUP($E3631,Valida!$A$1:$G$270,6,FALSE),IF($M3631&gt;=0,VLOOKUP($E3631,Valida!$A$1:$G$270,7,FALSE)))</f>
        <v>Disponible</v>
      </c>
      <c r="V3631" s="190" t="str">
        <f>VLOOKUP(E3631,Valida!$A$2:$K$271,4,FALSE)</f>
        <v>Cash and equivalents</v>
      </c>
      <c r="W3631" s="185" t="s">
        <v>2030</v>
      </c>
      <c r="X3631" s="185" t="s">
        <v>2031</v>
      </c>
      <c r="Y3631" s="185" t="s">
        <v>1789</v>
      </c>
      <c r="Z3631"/>
    </row>
    <row r="3632" spans="1:26">
      <c r="A3632" s="185" t="s">
        <v>4009</v>
      </c>
      <c r="B3632" s="185" t="s">
        <v>4081</v>
      </c>
      <c r="C3632" s="185" t="s">
        <v>1890</v>
      </c>
      <c r="D3632" s="185" t="s">
        <v>4082</v>
      </c>
      <c r="E3632" s="185">
        <v>250505</v>
      </c>
      <c r="F3632" s="185" t="s">
        <v>767</v>
      </c>
      <c r="G3632" s="185" t="s">
        <v>2001</v>
      </c>
      <c r="H3632" s="185" t="s">
        <v>1515</v>
      </c>
      <c r="I3632" s="258" t="str">
        <f t="shared" si="169"/>
        <v>2</v>
      </c>
      <c r="J3632" s="221">
        <f t="shared" si="170"/>
        <v>1238174</v>
      </c>
      <c r="K3632" s="258">
        <f t="shared" si="171"/>
        <v>12</v>
      </c>
      <c r="L3632" s="188">
        <v>1238174</v>
      </c>
      <c r="M3632" s="188">
        <v>0</v>
      </c>
      <c r="N3632" s="189">
        <v>1001284057</v>
      </c>
      <c r="O3632"/>
      <c r="P3632" s="187">
        <v>45282.683506944399</v>
      </c>
      <c r="Q3632" s="186">
        <v>15062</v>
      </c>
      <c r="R3632" s="185"/>
      <c r="S3632" s="185" t="s">
        <v>1526</v>
      </c>
      <c r="T3632"/>
      <c r="U3632" t="str">
        <f>IF($L3632&gt;0,VLOOKUP($E3632,Valida!$A$1:$G$270,6,FALSE),IF($M3632&gt;=0,VLOOKUP($E3632,Valida!$A$1:$G$270,7,FALSE)))</f>
        <v>(+/-) Ajustes por el incremento (disminución) de cuentas por pagar de origen comercial</v>
      </c>
      <c r="V3632" s="190" t="str">
        <f>VLOOKUP(E3632,Valida!$A$2:$K$271,4,FALSE)</f>
        <v>Trade and other payables</v>
      </c>
      <c r="W3632" s="185" t="s">
        <v>3454</v>
      </c>
      <c r="X3632" s="185" t="s">
        <v>3455</v>
      </c>
      <c r="Y3632" s="185" t="s">
        <v>1789</v>
      </c>
      <c r="Z3632"/>
    </row>
    <row r="3633" spans="1:26">
      <c r="A3633" s="185" t="s">
        <v>4009</v>
      </c>
      <c r="B3633" s="185" t="s">
        <v>4081</v>
      </c>
      <c r="C3633" s="185" t="s">
        <v>1890</v>
      </c>
      <c r="D3633" s="185" t="s">
        <v>4082</v>
      </c>
      <c r="E3633" s="185">
        <v>112005</v>
      </c>
      <c r="F3633" s="185" t="s">
        <v>24</v>
      </c>
      <c r="G3633" s="185" t="s">
        <v>2001</v>
      </c>
      <c r="H3633" s="185" t="s">
        <v>1628</v>
      </c>
      <c r="I3633" s="258" t="str">
        <f t="shared" si="169"/>
        <v>1</v>
      </c>
      <c r="J3633" s="221">
        <f t="shared" si="170"/>
        <v>-1238174</v>
      </c>
      <c r="K3633" s="258">
        <f t="shared" si="171"/>
        <v>12</v>
      </c>
      <c r="L3633" s="188">
        <v>0</v>
      </c>
      <c r="M3633" s="188">
        <v>1238174</v>
      </c>
      <c r="N3633" s="189">
        <v>1001284057</v>
      </c>
      <c r="O3633"/>
      <c r="P3633" s="187">
        <v>45282.683506944399</v>
      </c>
      <c r="Q3633" s="186">
        <v>15063</v>
      </c>
      <c r="R3633" s="185"/>
      <c r="S3633" s="185" t="s">
        <v>1526</v>
      </c>
      <c r="T3633" t="s">
        <v>1894</v>
      </c>
      <c r="U3633" t="str">
        <f>IF($L3633&gt;0,VLOOKUP($E3633,Valida!$A$1:$G$270,6,FALSE),IF($M3633&gt;=0,VLOOKUP($E3633,Valida!$A$1:$G$270,7,FALSE)))</f>
        <v>Disponible</v>
      </c>
      <c r="V3633" s="190" t="str">
        <f>VLOOKUP(E3633,Valida!$A$2:$K$271,4,FALSE)</f>
        <v>Cash and equivalents</v>
      </c>
      <c r="W3633" s="185" t="s">
        <v>3454</v>
      </c>
      <c r="X3633" s="185" t="s">
        <v>3455</v>
      </c>
      <c r="Y3633" s="185" t="s">
        <v>1789</v>
      </c>
      <c r="Z3633"/>
    </row>
    <row r="3634" spans="1:26">
      <c r="A3634" s="185" t="s">
        <v>4009</v>
      </c>
      <c r="B3634" s="185" t="s">
        <v>4083</v>
      </c>
      <c r="C3634" s="185" t="s">
        <v>1890</v>
      </c>
      <c r="D3634" s="185" t="s">
        <v>4084</v>
      </c>
      <c r="E3634" s="185">
        <v>23354001</v>
      </c>
      <c r="F3634" s="185" t="s">
        <v>484</v>
      </c>
      <c r="G3634" s="185" t="s">
        <v>1921</v>
      </c>
      <c r="H3634" s="185" t="s">
        <v>1515</v>
      </c>
      <c r="I3634" s="258" t="str">
        <f t="shared" si="169"/>
        <v>2</v>
      </c>
      <c r="J3634" s="221">
        <f t="shared" si="170"/>
        <v>3955088</v>
      </c>
      <c r="K3634" s="258">
        <f t="shared" si="171"/>
        <v>12</v>
      </c>
      <c r="L3634" s="188">
        <v>3955088</v>
      </c>
      <c r="M3634" s="188">
        <v>0</v>
      </c>
      <c r="N3634" s="189">
        <v>860044821</v>
      </c>
      <c r="O3634"/>
      <c r="P3634" s="187">
        <v>45282.684016203697</v>
      </c>
      <c r="Q3634" s="186">
        <v>15064</v>
      </c>
      <c r="R3634" s="185" t="s">
        <v>6</v>
      </c>
      <c r="S3634" s="185" t="s">
        <v>1570</v>
      </c>
      <c r="T3634"/>
      <c r="U3634" t="str">
        <f>IF($L3634&gt;0,VLOOKUP($E3634,Valida!$A$1:$G$270,6,FALSE),IF($M3634&gt;=0,VLOOKUP($E3634,Valida!$A$1:$G$270,7,FALSE)))</f>
        <v>(+/-) Ajustes por el incremento (disminución) de cuentas por pagar de origen comercial</v>
      </c>
      <c r="V3634" s="190" t="str">
        <f>VLOOKUP(E3634,Valida!$A$2:$K$271,4,FALSE)</f>
        <v>Trade and other payables</v>
      </c>
      <c r="W3634" s="185" t="s">
        <v>2048</v>
      </c>
      <c r="X3634" s="185"/>
      <c r="Y3634" s="185" t="s">
        <v>1789</v>
      </c>
      <c r="Z3634"/>
    </row>
    <row r="3635" spans="1:26">
      <c r="A3635" s="185" t="s">
        <v>4009</v>
      </c>
      <c r="B3635" s="185" t="s">
        <v>4083</v>
      </c>
      <c r="C3635" s="185" t="s">
        <v>1890</v>
      </c>
      <c r="D3635" s="185" t="s">
        <v>4084</v>
      </c>
      <c r="E3635" s="185">
        <v>112005</v>
      </c>
      <c r="F3635" s="185" t="s">
        <v>24</v>
      </c>
      <c r="G3635" s="185" t="s">
        <v>1921</v>
      </c>
      <c r="H3635" s="185" t="s">
        <v>1628</v>
      </c>
      <c r="I3635" s="258" t="str">
        <f t="shared" si="169"/>
        <v>1</v>
      </c>
      <c r="J3635" s="221">
        <f t="shared" si="170"/>
        <v>-3955088</v>
      </c>
      <c r="K3635" s="258">
        <f t="shared" si="171"/>
        <v>12</v>
      </c>
      <c r="L3635" s="188">
        <v>0</v>
      </c>
      <c r="M3635" s="188">
        <v>3955088</v>
      </c>
      <c r="N3635" s="189">
        <v>860044821</v>
      </c>
      <c r="O3635"/>
      <c r="P3635" s="187">
        <v>45282.684016203697</v>
      </c>
      <c r="Q3635" s="186">
        <v>15065</v>
      </c>
      <c r="R3635" s="185" t="s">
        <v>6</v>
      </c>
      <c r="S3635" s="185" t="s">
        <v>1570</v>
      </c>
      <c r="T3635" t="s">
        <v>1894</v>
      </c>
      <c r="U3635" t="str">
        <f>IF($L3635&gt;0,VLOOKUP($E3635,Valida!$A$1:$G$270,6,FALSE),IF($M3635&gt;=0,VLOOKUP($E3635,Valida!$A$1:$G$270,7,FALSE)))</f>
        <v>Disponible</v>
      </c>
      <c r="V3635" s="190" t="str">
        <f>VLOOKUP(E3635,Valida!$A$2:$K$271,4,FALSE)</f>
        <v>Cash and equivalents</v>
      </c>
      <c r="W3635" s="185" t="s">
        <v>2048</v>
      </c>
      <c r="X3635" s="185"/>
      <c r="Y3635" s="185" t="s">
        <v>1789</v>
      </c>
      <c r="Z3635"/>
    </row>
    <row r="3636" spans="1:26">
      <c r="A3636" s="185" t="s">
        <v>4009</v>
      </c>
      <c r="B3636" s="185" t="s">
        <v>4085</v>
      </c>
      <c r="C3636" s="185" t="s">
        <v>1890</v>
      </c>
      <c r="D3636" s="185" t="s">
        <v>4086</v>
      </c>
      <c r="E3636" s="185">
        <v>23359504</v>
      </c>
      <c r="F3636" s="185" t="s">
        <v>553</v>
      </c>
      <c r="G3636" s="185" t="s">
        <v>1921</v>
      </c>
      <c r="H3636" s="185" t="s">
        <v>1515</v>
      </c>
      <c r="I3636" s="258" t="str">
        <f t="shared" si="169"/>
        <v>2</v>
      </c>
      <c r="J3636" s="221">
        <f t="shared" si="170"/>
        <v>130900</v>
      </c>
      <c r="K3636" s="258">
        <f t="shared" si="171"/>
        <v>12</v>
      </c>
      <c r="L3636" s="188">
        <v>130900</v>
      </c>
      <c r="M3636" s="188">
        <v>0</v>
      </c>
      <c r="N3636" s="189">
        <v>800042928</v>
      </c>
      <c r="O3636"/>
      <c r="P3636" s="187">
        <v>45282.684560185196</v>
      </c>
      <c r="Q3636" s="186">
        <v>15066</v>
      </c>
      <c r="R3636" s="185" t="s">
        <v>6</v>
      </c>
      <c r="S3636" s="185" t="s">
        <v>1554</v>
      </c>
      <c r="T3636"/>
      <c r="U3636" t="str">
        <f>IF($L3636&gt;0,VLOOKUP($E3636,Valida!$A$1:$G$270,6,FALSE),IF($M3636&gt;=0,VLOOKUP($E3636,Valida!$A$1:$G$270,7,FALSE)))</f>
        <v>(+/-) Ajustes por el incremento (disminución) de cuentas por pagar de origen comercial</v>
      </c>
      <c r="V3636" s="190" t="str">
        <f>VLOOKUP(E3636,Valida!$A$2:$K$271,4,FALSE)</f>
        <v>Trade and other payables</v>
      </c>
      <c r="W3636" s="185" t="s">
        <v>1820</v>
      </c>
      <c r="X3636" s="185" t="s">
        <v>1821</v>
      </c>
      <c r="Y3636" s="185" t="s">
        <v>1789</v>
      </c>
      <c r="Z3636"/>
    </row>
    <row r="3637" spans="1:26">
      <c r="A3637" s="185" t="s">
        <v>4009</v>
      </c>
      <c r="B3637" s="185" t="s">
        <v>4085</v>
      </c>
      <c r="C3637" s="185" t="s">
        <v>1890</v>
      </c>
      <c r="D3637" s="185" t="s">
        <v>4086</v>
      </c>
      <c r="E3637" s="185">
        <v>112005</v>
      </c>
      <c r="F3637" s="185" t="s">
        <v>24</v>
      </c>
      <c r="G3637" s="185" t="s">
        <v>1921</v>
      </c>
      <c r="H3637" s="185" t="s">
        <v>1628</v>
      </c>
      <c r="I3637" s="258" t="str">
        <f t="shared" si="169"/>
        <v>1</v>
      </c>
      <c r="J3637" s="221">
        <f t="shared" si="170"/>
        <v>-130900</v>
      </c>
      <c r="K3637" s="258">
        <f t="shared" si="171"/>
        <v>12</v>
      </c>
      <c r="L3637" s="188">
        <v>0</v>
      </c>
      <c r="M3637" s="188">
        <v>130900</v>
      </c>
      <c r="N3637" s="189">
        <v>800042928</v>
      </c>
      <c r="O3637"/>
      <c r="P3637" s="187">
        <v>45282.684560185196</v>
      </c>
      <c r="Q3637" s="186">
        <v>15067</v>
      </c>
      <c r="R3637" s="185" t="s">
        <v>6</v>
      </c>
      <c r="S3637" s="185" t="s">
        <v>1554</v>
      </c>
      <c r="T3637" t="s">
        <v>1894</v>
      </c>
      <c r="U3637" t="str">
        <f>IF($L3637&gt;0,VLOOKUP($E3637,Valida!$A$1:$G$270,6,FALSE),IF($M3637&gt;=0,VLOOKUP($E3637,Valida!$A$1:$G$270,7,FALSE)))</f>
        <v>Disponible</v>
      </c>
      <c r="V3637" s="190" t="str">
        <f>VLOOKUP(E3637,Valida!$A$2:$K$271,4,FALSE)</f>
        <v>Cash and equivalents</v>
      </c>
      <c r="W3637" s="185" t="s">
        <v>1820</v>
      </c>
      <c r="X3637" s="185" t="s">
        <v>1821</v>
      </c>
      <c r="Y3637" s="185" t="s">
        <v>1789</v>
      </c>
      <c r="Z3637"/>
    </row>
    <row r="3638" spans="1:26">
      <c r="A3638" s="185" t="s">
        <v>4087</v>
      </c>
      <c r="B3638" s="185" t="s">
        <v>4088</v>
      </c>
      <c r="C3638" s="185" t="s">
        <v>1890</v>
      </c>
      <c r="D3638" s="185" t="s">
        <v>4089</v>
      </c>
      <c r="E3638" s="185">
        <v>23355006</v>
      </c>
      <c r="F3638" s="185" t="s">
        <v>519</v>
      </c>
      <c r="G3638" s="185" t="s">
        <v>1921</v>
      </c>
      <c r="H3638" s="185" t="s">
        <v>1515</v>
      </c>
      <c r="I3638" s="258" t="str">
        <f t="shared" si="169"/>
        <v>2</v>
      </c>
      <c r="J3638" s="221">
        <f t="shared" si="170"/>
        <v>1457040</v>
      </c>
      <c r="K3638" s="258">
        <f t="shared" si="171"/>
        <v>12</v>
      </c>
      <c r="L3638" s="188">
        <v>1457040</v>
      </c>
      <c r="M3638" s="188">
        <v>0</v>
      </c>
      <c r="N3638" s="189">
        <v>899999115</v>
      </c>
      <c r="O3638"/>
      <c r="P3638" s="187">
        <v>45282.685497685197</v>
      </c>
      <c r="Q3638" s="186">
        <v>15068</v>
      </c>
      <c r="R3638" s="185" t="s">
        <v>1827</v>
      </c>
      <c r="S3638" s="185" t="s">
        <v>1586</v>
      </c>
      <c r="T3638"/>
      <c r="U3638" t="str">
        <f>IF($L3638&gt;0,VLOOKUP($E3638,Valida!$A$1:$G$270,6,FALSE),IF($M3638&gt;=0,VLOOKUP($E3638,Valida!$A$1:$G$270,7,FALSE)))</f>
        <v>(+/-) Ajustes por el incremento (disminución) de cuentas por pagar de origen comercial</v>
      </c>
      <c r="V3638" s="190" t="str">
        <f>VLOOKUP(E3638,Valida!$A$2:$K$271,4,FALSE)</f>
        <v>Trade and other payables</v>
      </c>
      <c r="W3638" s="185" t="s">
        <v>1828</v>
      </c>
      <c r="X3638" s="185" t="s">
        <v>1829</v>
      </c>
      <c r="Y3638" s="185" t="s">
        <v>1789</v>
      </c>
      <c r="Z3638"/>
    </row>
    <row r="3639" spans="1:26">
      <c r="A3639" s="185" t="s">
        <v>4087</v>
      </c>
      <c r="B3639" s="185" t="s">
        <v>4088</v>
      </c>
      <c r="C3639" s="185" t="s">
        <v>1890</v>
      </c>
      <c r="D3639" s="185" t="s">
        <v>4089</v>
      </c>
      <c r="E3639" s="185">
        <v>112005</v>
      </c>
      <c r="F3639" s="185" t="s">
        <v>24</v>
      </c>
      <c r="G3639" s="185" t="s">
        <v>1921</v>
      </c>
      <c r="H3639" s="185" t="s">
        <v>1628</v>
      </c>
      <c r="I3639" s="258" t="str">
        <f t="shared" si="169"/>
        <v>1</v>
      </c>
      <c r="J3639" s="221">
        <f t="shared" si="170"/>
        <v>-1457040</v>
      </c>
      <c r="K3639" s="258">
        <f t="shared" si="171"/>
        <v>12</v>
      </c>
      <c r="L3639" s="188">
        <v>0</v>
      </c>
      <c r="M3639" s="188">
        <v>1457040</v>
      </c>
      <c r="N3639" s="189">
        <v>899999115</v>
      </c>
      <c r="O3639"/>
      <c r="P3639" s="187">
        <v>45282.685497685197</v>
      </c>
      <c r="Q3639" s="186">
        <v>15069</v>
      </c>
      <c r="R3639" s="185" t="s">
        <v>1827</v>
      </c>
      <c r="S3639" s="185" t="s">
        <v>1586</v>
      </c>
      <c r="T3639" t="s">
        <v>1894</v>
      </c>
      <c r="U3639" t="str">
        <f>IF($L3639&gt;0,VLOOKUP($E3639,Valida!$A$1:$G$270,6,FALSE),IF($M3639&gt;=0,VLOOKUP($E3639,Valida!$A$1:$G$270,7,FALSE)))</f>
        <v>Disponible</v>
      </c>
      <c r="V3639" s="190" t="str">
        <f>VLOOKUP(E3639,Valida!$A$2:$K$271,4,FALSE)</f>
        <v>Cash and equivalents</v>
      </c>
      <c r="W3639" s="185" t="s">
        <v>1828</v>
      </c>
      <c r="X3639" s="185" t="s">
        <v>1829</v>
      </c>
      <c r="Y3639" s="185" t="s">
        <v>1789</v>
      </c>
      <c r="Z3639"/>
    </row>
    <row r="3640" spans="1:26">
      <c r="A3640" s="185" t="s">
        <v>4087</v>
      </c>
      <c r="B3640" s="185" t="s">
        <v>4090</v>
      </c>
      <c r="C3640" s="185" t="s">
        <v>1890</v>
      </c>
      <c r="D3640" s="185" t="s">
        <v>4091</v>
      </c>
      <c r="E3640" s="185">
        <v>23351001</v>
      </c>
      <c r="F3640" s="185" t="s">
        <v>453</v>
      </c>
      <c r="G3640" s="185" t="s">
        <v>1921</v>
      </c>
      <c r="H3640" s="185" t="s">
        <v>1515</v>
      </c>
      <c r="I3640" s="258" t="str">
        <f t="shared" si="169"/>
        <v>2</v>
      </c>
      <c r="J3640" s="221">
        <f t="shared" si="170"/>
        <v>7200</v>
      </c>
      <c r="K3640" s="258">
        <f t="shared" si="171"/>
        <v>12</v>
      </c>
      <c r="L3640" s="188">
        <v>7200</v>
      </c>
      <c r="M3640" s="188">
        <v>0</v>
      </c>
      <c r="N3640" s="189">
        <v>860007322</v>
      </c>
      <c r="O3640"/>
      <c r="P3640" s="187">
        <v>45282.685856481497</v>
      </c>
      <c r="Q3640" s="186">
        <v>15070</v>
      </c>
      <c r="R3640" s="185" t="s">
        <v>1841</v>
      </c>
      <c r="S3640" s="185" t="s">
        <v>1566</v>
      </c>
      <c r="T3640"/>
      <c r="U3640" t="str">
        <f>IF($L3640&gt;0,VLOOKUP($E3640,Valida!$A$1:$G$270,6,FALSE),IF($M3640&gt;=0,VLOOKUP($E3640,Valida!$A$1:$G$270,7,FALSE)))</f>
        <v>(+/-) Ajustes por el incremento (disminución) de cuentas por pagar de origen comercial</v>
      </c>
      <c r="V3640" s="190" t="str">
        <f>VLOOKUP(E3640,Valida!$A$2:$K$271,4,FALSE)</f>
        <v>Trade and other payables</v>
      </c>
      <c r="W3640" s="185" t="s">
        <v>2306</v>
      </c>
      <c r="X3640" s="185"/>
      <c r="Y3640" s="185" t="s">
        <v>1789</v>
      </c>
      <c r="Z3640"/>
    </row>
    <row r="3641" spans="1:26">
      <c r="A3641" s="185" t="s">
        <v>4087</v>
      </c>
      <c r="B3641" s="185" t="s">
        <v>4090</v>
      </c>
      <c r="C3641" s="185" t="s">
        <v>1890</v>
      </c>
      <c r="D3641" s="185" t="s">
        <v>4091</v>
      </c>
      <c r="E3641" s="185">
        <v>112005</v>
      </c>
      <c r="F3641" s="185" t="s">
        <v>24</v>
      </c>
      <c r="G3641" s="185" t="s">
        <v>1921</v>
      </c>
      <c r="H3641" s="185" t="s">
        <v>1628</v>
      </c>
      <c r="I3641" s="258" t="str">
        <f t="shared" si="169"/>
        <v>1</v>
      </c>
      <c r="J3641" s="221">
        <f t="shared" si="170"/>
        <v>-7200</v>
      </c>
      <c r="K3641" s="258">
        <f t="shared" si="171"/>
        <v>12</v>
      </c>
      <c r="L3641" s="188">
        <v>0</v>
      </c>
      <c r="M3641" s="188">
        <v>7200</v>
      </c>
      <c r="N3641" s="189">
        <v>860007322</v>
      </c>
      <c r="O3641"/>
      <c r="P3641" s="187">
        <v>45282.685856481497</v>
      </c>
      <c r="Q3641" s="186">
        <v>15071</v>
      </c>
      <c r="R3641" s="185" t="s">
        <v>1841</v>
      </c>
      <c r="S3641" s="185" t="s">
        <v>1566</v>
      </c>
      <c r="T3641" t="s">
        <v>1894</v>
      </c>
      <c r="U3641" t="str">
        <f>IF($L3641&gt;0,VLOOKUP($E3641,Valida!$A$1:$G$270,6,FALSE),IF($M3641&gt;=0,VLOOKUP($E3641,Valida!$A$1:$G$270,7,FALSE)))</f>
        <v>Disponible</v>
      </c>
      <c r="V3641" s="190" t="str">
        <f>VLOOKUP(E3641,Valida!$A$2:$K$271,4,FALSE)</f>
        <v>Cash and equivalents</v>
      </c>
      <c r="W3641" s="185" t="s">
        <v>2306</v>
      </c>
      <c r="X3641" s="185"/>
      <c r="Y3641" s="185" t="s">
        <v>1789</v>
      </c>
      <c r="Z3641"/>
    </row>
    <row r="3642" spans="1:26">
      <c r="A3642" s="185" t="s">
        <v>4087</v>
      </c>
      <c r="B3642" s="185" t="s">
        <v>4092</v>
      </c>
      <c r="C3642" s="185" t="s">
        <v>1890</v>
      </c>
      <c r="D3642" s="185" t="s">
        <v>4093</v>
      </c>
      <c r="E3642" s="185">
        <v>250505</v>
      </c>
      <c r="F3642" s="185" t="s">
        <v>767</v>
      </c>
      <c r="G3642" s="185" t="s">
        <v>2341</v>
      </c>
      <c r="H3642" s="185" t="s">
        <v>1515</v>
      </c>
      <c r="I3642" s="258" t="str">
        <f t="shared" si="169"/>
        <v>2</v>
      </c>
      <c r="J3642" s="221">
        <f t="shared" si="170"/>
        <v>3433720</v>
      </c>
      <c r="K3642" s="258">
        <f t="shared" si="171"/>
        <v>12</v>
      </c>
      <c r="L3642" s="188">
        <v>3433720</v>
      </c>
      <c r="M3642" s="188">
        <v>0</v>
      </c>
      <c r="N3642" s="189">
        <v>1020842223</v>
      </c>
      <c r="O3642"/>
      <c r="P3642" s="187">
        <v>45282.686388888898</v>
      </c>
      <c r="Q3642" s="186">
        <v>15072</v>
      </c>
      <c r="R3642" s="185"/>
      <c r="S3642" s="185" t="s">
        <v>1532</v>
      </c>
      <c r="T3642"/>
      <c r="U3642" t="str">
        <f>IF($L3642&gt;0,VLOOKUP($E3642,Valida!$A$1:$G$270,6,FALSE),IF($M3642&gt;=0,VLOOKUP($E3642,Valida!$A$1:$G$270,7,FALSE)))</f>
        <v>(+/-) Ajustes por el incremento (disminución) de cuentas por pagar de origen comercial</v>
      </c>
      <c r="V3642" s="190" t="str">
        <f>VLOOKUP(E3642,Valida!$A$2:$K$271,4,FALSE)</f>
        <v>Trade and other payables</v>
      </c>
      <c r="W3642" s="185" t="s">
        <v>1900</v>
      </c>
      <c r="X3642" s="185"/>
      <c r="Y3642" s="185" t="s">
        <v>1789</v>
      </c>
      <c r="Z3642"/>
    </row>
    <row r="3643" spans="1:26">
      <c r="A3643" s="185" t="s">
        <v>4087</v>
      </c>
      <c r="B3643" s="185" t="s">
        <v>4092</v>
      </c>
      <c r="C3643" s="185" t="s">
        <v>1890</v>
      </c>
      <c r="D3643" s="185" t="s">
        <v>4093</v>
      </c>
      <c r="E3643" s="185">
        <v>112005</v>
      </c>
      <c r="F3643" s="185" t="s">
        <v>24</v>
      </c>
      <c r="G3643" s="185" t="s">
        <v>2341</v>
      </c>
      <c r="H3643" s="185" t="s">
        <v>1628</v>
      </c>
      <c r="I3643" s="258" t="str">
        <f t="shared" si="169"/>
        <v>1</v>
      </c>
      <c r="J3643" s="221">
        <f t="shared" si="170"/>
        <v>-3433720</v>
      </c>
      <c r="K3643" s="258">
        <f t="shared" si="171"/>
        <v>12</v>
      </c>
      <c r="L3643" s="188">
        <v>0</v>
      </c>
      <c r="M3643" s="188">
        <v>3433720</v>
      </c>
      <c r="N3643" s="189">
        <v>1020842223</v>
      </c>
      <c r="O3643"/>
      <c r="P3643" s="187">
        <v>45282.686388888898</v>
      </c>
      <c r="Q3643" s="186">
        <v>15073</v>
      </c>
      <c r="R3643" s="185"/>
      <c r="S3643" s="185" t="s">
        <v>1532</v>
      </c>
      <c r="T3643" t="s">
        <v>1894</v>
      </c>
      <c r="U3643" t="str">
        <f>IF($L3643&gt;0,VLOOKUP($E3643,Valida!$A$1:$G$270,6,FALSE),IF($M3643&gt;=0,VLOOKUP($E3643,Valida!$A$1:$G$270,7,FALSE)))</f>
        <v>Disponible</v>
      </c>
      <c r="V3643" s="190" t="str">
        <f>VLOOKUP(E3643,Valida!$A$2:$K$271,4,FALSE)</f>
        <v>Cash and equivalents</v>
      </c>
      <c r="W3643" s="185" t="s">
        <v>1900</v>
      </c>
      <c r="X3643" s="185"/>
      <c r="Y3643" s="185" t="s">
        <v>1789</v>
      </c>
      <c r="Z3643"/>
    </row>
    <row r="3644" spans="1:26">
      <c r="A3644" s="185" t="s">
        <v>4026</v>
      </c>
      <c r="B3644" s="185" t="s">
        <v>4094</v>
      </c>
      <c r="C3644" s="185" t="s">
        <v>1890</v>
      </c>
      <c r="D3644" s="185" t="s">
        <v>4095</v>
      </c>
      <c r="E3644" s="185">
        <v>23355006</v>
      </c>
      <c r="F3644" s="185" t="s">
        <v>519</v>
      </c>
      <c r="G3644" s="185" t="s">
        <v>1921</v>
      </c>
      <c r="H3644" s="185" t="s">
        <v>1515</v>
      </c>
      <c r="I3644" s="258" t="str">
        <f t="shared" si="169"/>
        <v>2</v>
      </c>
      <c r="J3644" s="221">
        <f t="shared" si="170"/>
        <v>7677419</v>
      </c>
      <c r="K3644" s="258">
        <f t="shared" si="171"/>
        <v>12</v>
      </c>
      <c r="L3644" s="188">
        <v>7677419</v>
      </c>
      <c r="M3644" s="188">
        <v>0</v>
      </c>
      <c r="N3644" s="189">
        <v>800153993</v>
      </c>
      <c r="O3644"/>
      <c r="P3644" s="187">
        <v>45282.6877662037</v>
      </c>
      <c r="Q3644" s="186">
        <v>15074</v>
      </c>
      <c r="R3644" s="185" t="s">
        <v>1814</v>
      </c>
      <c r="S3644" s="185" t="s">
        <v>1556</v>
      </c>
      <c r="T3644"/>
      <c r="U3644" t="str">
        <f>IF($L3644&gt;0,VLOOKUP($E3644,Valida!$A$1:$G$270,6,FALSE),IF($M3644&gt;=0,VLOOKUP($E3644,Valida!$A$1:$G$270,7,FALSE)))</f>
        <v>(+/-) Ajustes por el incremento (disminución) de cuentas por pagar de origen comercial</v>
      </c>
      <c r="V3644" s="190" t="str">
        <f>VLOOKUP(E3644,Valida!$A$2:$K$271,4,FALSE)</f>
        <v>Trade and other payables</v>
      </c>
      <c r="W3644" s="185" t="s">
        <v>1815</v>
      </c>
      <c r="X3644" s="185"/>
      <c r="Y3644" s="185" t="s">
        <v>1789</v>
      </c>
      <c r="Z3644"/>
    </row>
    <row r="3645" spans="1:26">
      <c r="A3645" s="185" t="s">
        <v>4026</v>
      </c>
      <c r="B3645" s="185" t="s">
        <v>4094</v>
      </c>
      <c r="C3645" s="185" t="s">
        <v>1890</v>
      </c>
      <c r="D3645" s="185" t="s">
        <v>4095</v>
      </c>
      <c r="E3645" s="185">
        <v>112005</v>
      </c>
      <c r="F3645" s="185" t="s">
        <v>24</v>
      </c>
      <c r="G3645" s="185" t="s">
        <v>1921</v>
      </c>
      <c r="H3645" s="185" t="s">
        <v>1628</v>
      </c>
      <c r="I3645" s="258" t="str">
        <f t="shared" si="169"/>
        <v>1</v>
      </c>
      <c r="J3645" s="221">
        <f t="shared" si="170"/>
        <v>-7677419</v>
      </c>
      <c r="K3645" s="258">
        <f t="shared" si="171"/>
        <v>12</v>
      </c>
      <c r="L3645" s="188">
        <v>0</v>
      </c>
      <c r="M3645" s="188">
        <v>7677419</v>
      </c>
      <c r="N3645" s="189">
        <v>800153993</v>
      </c>
      <c r="O3645"/>
      <c r="P3645" s="187">
        <v>45282.6877662037</v>
      </c>
      <c r="Q3645" s="186">
        <v>15075</v>
      </c>
      <c r="R3645" s="185" t="s">
        <v>1814</v>
      </c>
      <c r="S3645" s="185" t="s">
        <v>1556</v>
      </c>
      <c r="T3645" t="s">
        <v>1894</v>
      </c>
      <c r="U3645" t="str">
        <f>IF($L3645&gt;0,VLOOKUP($E3645,Valida!$A$1:$G$270,6,FALSE),IF($M3645&gt;=0,VLOOKUP($E3645,Valida!$A$1:$G$270,7,FALSE)))</f>
        <v>Disponible</v>
      </c>
      <c r="V3645" s="190" t="str">
        <f>VLOOKUP(E3645,Valida!$A$2:$K$271,4,FALSE)</f>
        <v>Cash and equivalents</v>
      </c>
      <c r="W3645" s="185" t="s">
        <v>1815</v>
      </c>
      <c r="X3645" s="185"/>
      <c r="Y3645" s="185" t="s">
        <v>1789</v>
      </c>
      <c r="Z3645"/>
    </row>
    <row r="3646" spans="1:26">
      <c r="A3646" s="185" t="s">
        <v>4026</v>
      </c>
      <c r="B3646" s="185" t="s">
        <v>4096</v>
      </c>
      <c r="C3646" s="185" t="s">
        <v>1890</v>
      </c>
      <c r="D3646" s="185" t="s">
        <v>4097</v>
      </c>
      <c r="E3646" s="185">
        <v>23355005</v>
      </c>
      <c r="F3646" s="185" t="s">
        <v>516</v>
      </c>
      <c r="G3646" s="185" t="s">
        <v>1921</v>
      </c>
      <c r="H3646" s="185" t="s">
        <v>1515</v>
      </c>
      <c r="I3646" s="258" t="str">
        <f t="shared" si="169"/>
        <v>2</v>
      </c>
      <c r="J3646" s="221">
        <f t="shared" si="170"/>
        <v>7736700</v>
      </c>
      <c r="K3646" s="258">
        <f t="shared" si="171"/>
        <v>12</v>
      </c>
      <c r="L3646" s="188">
        <v>7736700</v>
      </c>
      <c r="M3646" s="188">
        <v>0</v>
      </c>
      <c r="N3646" s="189">
        <v>860063875</v>
      </c>
      <c r="O3646"/>
      <c r="P3646" s="187">
        <v>45282.688206018502</v>
      </c>
      <c r="Q3646" s="186">
        <v>15076</v>
      </c>
      <c r="R3646" s="185" t="s">
        <v>1827</v>
      </c>
      <c r="S3646" s="185" t="s">
        <v>1572</v>
      </c>
      <c r="T3646"/>
      <c r="U3646" t="str">
        <f>IF($L3646&gt;0,VLOOKUP($E3646,Valida!$A$1:$G$270,6,FALSE),IF($M3646&gt;=0,VLOOKUP($E3646,Valida!$A$1:$G$270,7,FALSE)))</f>
        <v>(+/-) Ajustes por el incremento (disminución) de cuentas por pagar de origen comercial</v>
      </c>
      <c r="V3646" s="190" t="str">
        <f>VLOOKUP(E3646,Valida!$A$2:$K$271,4,FALSE)</f>
        <v>Trade and other payables</v>
      </c>
      <c r="W3646" s="185" t="s">
        <v>1835</v>
      </c>
      <c r="X3646" s="185"/>
      <c r="Y3646" s="185" t="s">
        <v>1789</v>
      </c>
      <c r="Z3646"/>
    </row>
    <row r="3647" spans="1:26">
      <c r="A3647" s="185" t="s">
        <v>4026</v>
      </c>
      <c r="B3647" s="185" t="s">
        <v>4096</v>
      </c>
      <c r="C3647" s="185" t="s">
        <v>1890</v>
      </c>
      <c r="D3647" s="185" t="s">
        <v>4097</v>
      </c>
      <c r="E3647" s="185">
        <v>112005</v>
      </c>
      <c r="F3647" s="185" t="s">
        <v>24</v>
      </c>
      <c r="G3647" s="185" t="s">
        <v>1921</v>
      </c>
      <c r="H3647" s="185" t="s">
        <v>1628</v>
      </c>
      <c r="I3647" s="258" t="str">
        <f t="shared" si="169"/>
        <v>1</v>
      </c>
      <c r="J3647" s="221">
        <f t="shared" si="170"/>
        <v>-7736700</v>
      </c>
      <c r="K3647" s="258">
        <f t="shared" si="171"/>
        <v>12</v>
      </c>
      <c r="L3647" s="188">
        <v>0</v>
      </c>
      <c r="M3647" s="188">
        <v>7736700</v>
      </c>
      <c r="N3647" s="189">
        <v>860063875</v>
      </c>
      <c r="O3647"/>
      <c r="P3647" s="187">
        <v>45282.688206018502</v>
      </c>
      <c r="Q3647" s="186">
        <v>15077</v>
      </c>
      <c r="R3647" s="185" t="s">
        <v>1827</v>
      </c>
      <c r="S3647" s="185" t="s">
        <v>1572</v>
      </c>
      <c r="T3647" t="s">
        <v>1894</v>
      </c>
      <c r="U3647" t="str">
        <f>IF($L3647&gt;0,VLOOKUP($E3647,Valida!$A$1:$G$270,6,FALSE),IF($M3647&gt;=0,VLOOKUP($E3647,Valida!$A$1:$G$270,7,FALSE)))</f>
        <v>Disponible</v>
      </c>
      <c r="V3647" s="190" t="str">
        <f>VLOOKUP(E3647,Valida!$A$2:$K$271,4,FALSE)</f>
        <v>Cash and equivalents</v>
      </c>
      <c r="W3647" s="185" t="s">
        <v>1835</v>
      </c>
      <c r="X3647" s="185"/>
      <c r="Y3647" s="185" t="s">
        <v>1789</v>
      </c>
      <c r="Z3647"/>
    </row>
    <row r="3648" spans="1:26">
      <c r="A3648" s="185" t="s">
        <v>4034</v>
      </c>
      <c r="B3648" s="185" t="s">
        <v>4098</v>
      </c>
      <c r="C3648" s="185" t="s">
        <v>1890</v>
      </c>
      <c r="D3648" s="185" t="s">
        <v>4099</v>
      </c>
      <c r="E3648" s="185">
        <v>23359504</v>
      </c>
      <c r="F3648" s="185" t="s">
        <v>553</v>
      </c>
      <c r="G3648" s="185" t="s">
        <v>1921</v>
      </c>
      <c r="H3648" s="185" t="s">
        <v>1515</v>
      </c>
      <c r="I3648" s="258" t="str">
        <f t="shared" si="169"/>
        <v>2</v>
      </c>
      <c r="J3648" s="221">
        <f t="shared" si="170"/>
        <v>350000</v>
      </c>
      <c r="K3648" s="258">
        <f t="shared" si="171"/>
        <v>12</v>
      </c>
      <c r="L3648" s="188">
        <v>350000</v>
      </c>
      <c r="M3648" s="188">
        <v>0</v>
      </c>
      <c r="N3648" s="189">
        <v>800042928</v>
      </c>
      <c r="O3648"/>
      <c r="P3648" s="187">
        <v>45282.6887152778</v>
      </c>
      <c r="Q3648" s="186">
        <v>15078</v>
      </c>
      <c r="R3648" s="185" t="s">
        <v>6</v>
      </c>
      <c r="S3648" s="185" t="s">
        <v>1554</v>
      </c>
      <c r="T3648"/>
      <c r="U3648" t="str">
        <f>IF($L3648&gt;0,VLOOKUP($E3648,Valida!$A$1:$G$270,6,FALSE),IF($M3648&gt;=0,VLOOKUP($E3648,Valida!$A$1:$G$270,7,FALSE)))</f>
        <v>(+/-) Ajustes por el incremento (disminución) de cuentas por pagar de origen comercial</v>
      </c>
      <c r="V3648" s="190" t="str">
        <f>VLOOKUP(E3648,Valida!$A$2:$K$271,4,FALSE)</f>
        <v>Trade and other payables</v>
      </c>
      <c r="W3648" s="185" t="s">
        <v>1820</v>
      </c>
      <c r="X3648" s="185" t="s">
        <v>1821</v>
      </c>
      <c r="Y3648" s="185" t="s">
        <v>1789</v>
      </c>
      <c r="Z3648"/>
    </row>
    <row r="3649" spans="1:26">
      <c r="A3649" s="185" t="s">
        <v>4034</v>
      </c>
      <c r="B3649" s="185" t="s">
        <v>4098</v>
      </c>
      <c r="C3649" s="185" t="s">
        <v>1890</v>
      </c>
      <c r="D3649" s="185" t="s">
        <v>4099</v>
      </c>
      <c r="E3649" s="185">
        <v>112005</v>
      </c>
      <c r="F3649" s="185" t="s">
        <v>24</v>
      </c>
      <c r="G3649" s="185" t="s">
        <v>1921</v>
      </c>
      <c r="H3649" s="185" t="s">
        <v>1628</v>
      </c>
      <c r="I3649" s="258" t="str">
        <f t="shared" si="169"/>
        <v>1</v>
      </c>
      <c r="J3649" s="221">
        <f t="shared" si="170"/>
        <v>-350000</v>
      </c>
      <c r="K3649" s="258">
        <f t="shared" si="171"/>
        <v>12</v>
      </c>
      <c r="L3649" s="188">
        <v>0</v>
      </c>
      <c r="M3649" s="188">
        <v>350000</v>
      </c>
      <c r="N3649" s="189">
        <v>800042928</v>
      </c>
      <c r="O3649"/>
      <c r="P3649" s="187">
        <v>45282.6887152778</v>
      </c>
      <c r="Q3649" s="186">
        <v>15079</v>
      </c>
      <c r="R3649" s="185" t="s">
        <v>6</v>
      </c>
      <c r="S3649" s="185" t="s">
        <v>1554</v>
      </c>
      <c r="T3649" t="s">
        <v>1894</v>
      </c>
      <c r="U3649" t="str">
        <f>IF($L3649&gt;0,VLOOKUP($E3649,Valida!$A$1:$G$270,6,FALSE),IF($M3649&gt;=0,VLOOKUP($E3649,Valida!$A$1:$G$270,7,FALSE)))</f>
        <v>Disponible</v>
      </c>
      <c r="V3649" s="190" t="str">
        <f>VLOOKUP(E3649,Valida!$A$2:$K$271,4,FALSE)</f>
        <v>Cash and equivalents</v>
      </c>
      <c r="W3649" s="185" t="s">
        <v>1820</v>
      </c>
      <c r="X3649" s="185" t="s">
        <v>1821</v>
      </c>
      <c r="Y3649" s="185" t="s">
        <v>1789</v>
      </c>
      <c r="Z3649"/>
    </row>
    <row r="3650" spans="1:26">
      <c r="A3650" s="185" t="s">
        <v>4034</v>
      </c>
      <c r="B3650" s="185" t="s">
        <v>4100</v>
      </c>
      <c r="C3650" s="185" t="s">
        <v>1890</v>
      </c>
      <c r="D3650" s="185" t="s">
        <v>4101</v>
      </c>
      <c r="E3650" s="185">
        <v>23359502</v>
      </c>
      <c r="F3650" s="185" t="s">
        <v>547</v>
      </c>
      <c r="G3650" s="185" t="s">
        <v>1921</v>
      </c>
      <c r="H3650" s="185" t="s">
        <v>1515</v>
      </c>
      <c r="I3650" s="258" t="str">
        <f t="shared" si="169"/>
        <v>2</v>
      </c>
      <c r="J3650" s="221">
        <f t="shared" si="170"/>
        <v>122016</v>
      </c>
      <c r="K3650" s="258">
        <f t="shared" si="171"/>
        <v>12</v>
      </c>
      <c r="L3650" s="188">
        <v>122016</v>
      </c>
      <c r="M3650" s="188">
        <v>0</v>
      </c>
      <c r="N3650" s="189">
        <v>900424409</v>
      </c>
      <c r="O3650"/>
      <c r="P3650" s="187">
        <v>45282.689131944397</v>
      </c>
      <c r="Q3650" s="186">
        <v>15080</v>
      </c>
      <c r="R3650" s="185" t="s">
        <v>844</v>
      </c>
      <c r="S3650" s="185" t="s">
        <v>1598</v>
      </c>
      <c r="T3650"/>
      <c r="U3650" t="str">
        <f>IF($L3650&gt;0,VLOOKUP($E3650,Valida!$A$1:$G$270,6,FALSE),IF($M3650&gt;=0,VLOOKUP($E3650,Valida!$A$1:$G$270,7,FALSE)))</f>
        <v>(+/-) Ajustes por el incremento (disminución) de cuentas por pagar de origen comercial</v>
      </c>
      <c r="V3650" s="190" t="str">
        <f>VLOOKUP(E3650,Valida!$A$2:$K$271,4,FALSE)</f>
        <v>Trade and other payables</v>
      </c>
      <c r="W3650" s="185" t="s">
        <v>1864</v>
      </c>
      <c r="X3650" s="185" t="s">
        <v>1865</v>
      </c>
      <c r="Y3650" s="185" t="s">
        <v>1789</v>
      </c>
      <c r="Z3650"/>
    </row>
    <row r="3651" spans="1:26">
      <c r="A3651" s="185" t="s">
        <v>4034</v>
      </c>
      <c r="B3651" s="185" t="s">
        <v>4100</v>
      </c>
      <c r="C3651" s="185" t="s">
        <v>1890</v>
      </c>
      <c r="D3651" s="185" t="s">
        <v>4101</v>
      </c>
      <c r="E3651" s="185">
        <v>112005</v>
      </c>
      <c r="F3651" s="185" t="s">
        <v>24</v>
      </c>
      <c r="G3651" s="185" t="s">
        <v>1921</v>
      </c>
      <c r="H3651" s="185" t="s">
        <v>1628</v>
      </c>
      <c r="I3651" s="258" t="str">
        <f t="shared" ref="I3651:I3714" si="172">LEFT(E3651,1)</f>
        <v>1</v>
      </c>
      <c r="J3651" s="221">
        <f t="shared" ref="J3651:J3714" si="173">L3651-M3651</f>
        <v>-122016</v>
      </c>
      <c r="K3651" s="258">
        <f t="shared" ref="K3651:K3714" si="174">MONTH(A3651)</f>
        <v>12</v>
      </c>
      <c r="L3651" s="188">
        <v>0</v>
      </c>
      <c r="M3651" s="188">
        <v>122016</v>
      </c>
      <c r="N3651" s="189">
        <v>900424409</v>
      </c>
      <c r="O3651"/>
      <c r="P3651" s="187">
        <v>45282.689131944397</v>
      </c>
      <c r="Q3651" s="186">
        <v>15081</v>
      </c>
      <c r="R3651" s="185" t="s">
        <v>844</v>
      </c>
      <c r="S3651" s="185" t="s">
        <v>1598</v>
      </c>
      <c r="T3651" t="s">
        <v>1894</v>
      </c>
      <c r="U3651" t="str">
        <f>IF($L3651&gt;0,VLOOKUP($E3651,Valida!$A$1:$G$270,6,FALSE),IF($M3651&gt;=0,VLOOKUP($E3651,Valida!$A$1:$G$270,7,FALSE)))</f>
        <v>Disponible</v>
      </c>
      <c r="V3651" s="190" t="str">
        <f>VLOOKUP(E3651,Valida!$A$2:$K$271,4,FALSE)</f>
        <v>Cash and equivalents</v>
      </c>
      <c r="W3651" s="185" t="s">
        <v>1864</v>
      </c>
      <c r="X3651" s="185" t="s">
        <v>1865</v>
      </c>
      <c r="Y3651" s="185" t="s">
        <v>1789</v>
      </c>
      <c r="Z3651"/>
    </row>
    <row r="3652" spans="1:26">
      <c r="A3652" s="185" t="s">
        <v>4034</v>
      </c>
      <c r="B3652" s="185" t="s">
        <v>4102</v>
      </c>
      <c r="C3652" s="185" t="s">
        <v>1890</v>
      </c>
      <c r="D3652" s="185" t="s">
        <v>4103</v>
      </c>
      <c r="E3652" s="185">
        <v>23355007</v>
      </c>
      <c r="F3652" s="185" t="s">
        <v>1638</v>
      </c>
      <c r="G3652" s="185" t="s">
        <v>1921</v>
      </c>
      <c r="H3652" s="185" t="s">
        <v>1515</v>
      </c>
      <c r="I3652" s="258" t="str">
        <f t="shared" si="172"/>
        <v>2</v>
      </c>
      <c r="J3652" s="221">
        <f t="shared" si="173"/>
        <v>48193.13</v>
      </c>
      <c r="K3652" s="258">
        <f t="shared" si="174"/>
        <v>12</v>
      </c>
      <c r="L3652" s="188">
        <v>48193.13</v>
      </c>
      <c r="M3652" s="188">
        <v>0</v>
      </c>
      <c r="N3652" s="189">
        <v>444444001</v>
      </c>
      <c r="O3652"/>
      <c r="P3652" s="187">
        <v>45282.689942129597</v>
      </c>
      <c r="Q3652" s="186">
        <v>15082</v>
      </c>
      <c r="R3652" s="185"/>
      <c r="S3652" s="185" t="s">
        <v>1548</v>
      </c>
      <c r="T3652"/>
      <c r="U3652" t="str">
        <f>IF($L3652&gt;0,VLOOKUP($E3652,Valida!$A$1:$G$270,6,FALSE),IF($M3652&gt;=0,VLOOKUP($E3652,Valida!$A$1:$G$270,7,FALSE)))</f>
        <v>(+/-) Ajustes por el incremento (disminución) de cuentas por pagar de origen comercial</v>
      </c>
      <c r="V3652" s="190" t="str">
        <f>VLOOKUP(E3652,Valida!$A$2:$K$271,4,FALSE)</f>
        <v>Trade and other payables</v>
      </c>
      <c r="W3652" s="185"/>
      <c r="X3652" s="185"/>
      <c r="Y3652" s="185"/>
      <c r="Z3652"/>
    </row>
    <row r="3653" spans="1:26">
      <c r="A3653" s="185" t="s">
        <v>4034</v>
      </c>
      <c r="B3653" s="185" t="s">
        <v>4102</v>
      </c>
      <c r="C3653" s="185" t="s">
        <v>1890</v>
      </c>
      <c r="D3653" s="185" t="s">
        <v>4103</v>
      </c>
      <c r="E3653" s="185">
        <v>112005</v>
      </c>
      <c r="F3653" s="185" t="s">
        <v>24</v>
      </c>
      <c r="G3653" s="185" t="s">
        <v>1921</v>
      </c>
      <c r="H3653" s="185" t="s">
        <v>1628</v>
      </c>
      <c r="I3653" s="258" t="str">
        <f t="shared" si="172"/>
        <v>1</v>
      </c>
      <c r="J3653" s="221">
        <f t="shared" si="173"/>
        <v>-48193.13</v>
      </c>
      <c r="K3653" s="258">
        <f t="shared" si="174"/>
        <v>12</v>
      </c>
      <c r="L3653" s="188">
        <v>0</v>
      </c>
      <c r="M3653" s="188">
        <v>48193.13</v>
      </c>
      <c r="N3653" s="189">
        <v>444444001</v>
      </c>
      <c r="O3653"/>
      <c r="P3653" s="187">
        <v>45282.689942129597</v>
      </c>
      <c r="Q3653" s="186">
        <v>15083</v>
      </c>
      <c r="R3653" s="185"/>
      <c r="S3653" s="185" t="s">
        <v>1548</v>
      </c>
      <c r="T3653" t="s">
        <v>1894</v>
      </c>
      <c r="U3653" t="str">
        <f>IF($L3653&gt;0,VLOOKUP($E3653,Valida!$A$1:$G$270,6,FALSE),IF($M3653&gt;=0,VLOOKUP($E3653,Valida!$A$1:$G$270,7,FALSE)))</f>
        <v>Disponible</v>
      </c>
      <c r="V3653" s="190" t="str">
        <f>VLOOKUP(E3653,Valida!$A$2:$K$271,4,FALSE)</f>
        <v>Cash and equivalents</v>
      </c>
      <c r="W3653" s="185"/>
      <c r="X3653" s="185"/>
      <c r="Y3653" s="185"/>
      <c r="Z3653"/>
    </row>
    <row r="3654" spans="1:26">
      <c r="A3654" s="185" t="s">
        <v>3828</v>
      </c>
      <c r="B3654" s="185" t="s">
        <v>4104</v>
      </c>
      <c r="C3654" s="185" t="s">
        <v>1890</v>
      </c>
      <c r="D3654" s="185" t="s">
        <v>4105</v>
      </c>
      <c r="E3654" s="185">
        <v>236595</v>
      </c>
      <c r="F3654" s="185" t="s">
        <v>648</v>
      </c>
      <c r="G3654" s="185" t="s">
        <v>4106</v>
      </c>
      <c r="H3654" s="185" t="s">
        <v>1515</v>
      </c>
      <c r="I3654" s="258" t="str">
        <f t="shared" si="172"/>
        <v>2</v>
      </c>
      <c r="J3654" s="221">
        <f t="shared" si="173"/>
        <v>1358000</v>
      </c>
      <c r="K3654" s="258">
        <f t="shared" si="174"/>
        <v>12</v>
      </c>
      <c r="L3654" s="188">
        <v>1358000</v>
      </c>
      <c r="M3654" s="188">
        <v>0</v>
      </c>
      <c r="N3654" s="189">
        <v>800197268</v>
      </c>
      <c r="O3654"/>
      <c r="P3654" s="187">
        <v>45282.690497685202</v>
      </c>
      <c r="Q3654" s="186">
        <v>15084</v>
      </c>
      <c r="R3654" s="185" t="s">
        <v>983</v>
      </c>
      <c r="S3654" s="185" t="s">
        <v>1558</v>
      </c>
      <c r="T3654"/>
      <c r="U3654" t="str">
        <f>IF($L3654&gt;0,VLOOKUP($E3654,Valida!$A$1:$G$270,6,FALSE),IF($M3654&gt;=0,VLOOKUP($E3654,Valida!$A$1:$G$270,7,FALSE)))</f>
        <v>(+/-) Ajustes por el incremento (disminución) de cuentas por pagar de origen comercial</v>
      </c>
      <c r="V3654" s="190" t="str">
        <f>VLOOKUP(E3654,Valida!$A$2:$K$271,4,FALSE)</f>
        <v>Trade and other payables</v>
      </c>
      <c r="W3654" s="185" t="s">
        <v>1944</v>
      </c>
      <c r="X3654" s="185"/>
      <c r="Y3654" s="185" t="s">
        <v>1789</v>
      </c>
      <c r="Z3654"/>
    </row>
    <row r="3655" spans="1:26">
      <c r="A3655" s="185" t="s">
        <v>3828</v>
      </c>
      <c r="B3655" s="185" t="s">
        <v>4104</v>
      </c>
      <c r="C3655" s="185" t="s">
        <v>1890</v>
      </c>
      <c r="D3655" s="185" t="s">
        <v>4105</v>
      </c>
      <c r="E3655" s="185">
        <v>112005</v>
      </c>
      <c r="F3655" s="185" t="s">
        <v>24</v>
      </c>
      <c r="G3655" s="185" t="s">
        <v>4106</v>
      </c>
      <c r="H3655" s="185" t="s">
        <v>1628</v>
      </c>
      <c r="I3655" s="258" t="str">
        <f t="shared" si="172"/>
        <v>1</v>
      </c>
      <c r="J3655" s="221">
        <f t="shared" si="173"/>
        <v>-1783000</v>
      </c>
      <c r="K3655" s="258">
        <f t="shared" si="174"/>
        <v>12</v>
      </c>
      <c r="L3655" s="188">
        <v>0</v>
      </c>
      <c r="M3655" s="188">
        <v>1783000</v>
      </c>
      <c r="N3655" s="189">
        <v>800197268</v>
      </c>
      <c r="O3655"/>
      <c r="P3655" s="187">
        <v>45282.690497685202</v>
      </c>
      <c r="Q3655" s="186">
        <v>15085</v>
      </c>
      <c r="R3655" s="185" t="s">
        <v>983</v>
      </c>
      <c r="S3655" s="185" t="s">
        <v>1558</v>
      </c>
      <c r="T3655" t="s">
        <v>1894</v>
      </c>
      <c r="U3655" t="str">
        <f>IF($L3655&gt;0,VLOOKUP($E3655,Valida!$A$1:$G$270,6,FALSE),IF($M3655&gt;=0,VLOOKUP($E3655,Valida!$A$1:$G$270,7,FALSE)))</f>
        <v>Disponible</v>
      </c>
      <c r="V3655" s="190" t="str">
        <f>VLOOKUP(E3655,Valida!$A$2:$K$271,4,FALSE)</f>
        <v>Cash and equivalents</v>
      </c>
      <c r="W3655" s="185" t="s">
        <v>1944</v>
      </c>
      <c r="X3655" s="185"/>
      <c r="Y3655" s="185" t="s">
        <v>1789</v>
      </c>
      <c r="Z3655"/>
    </row>
    <row r="3656" spans="1:26">
      <c r="A3656" s="185" t="s">
        <v>3828</v>
      </c>
      <c r="B3656" s="185" t="s">
        <v>4107</v>
      </c>
      <c r="C3656" s="185" t="s">
        <v>1890</v>
      </c>
      <c r="D3656" s="185" t="s">
        <v>4108</v>
      </c>
      <c r="E3656" s="185">
        <v>23359502</v>
      </c>
      <c r="F3656" s="185" t="s">
        <v>547</v>
      </c>
      <c r="G3656" s="185" t="s">
        <v>4109</v>
      </c>
      <c r="H3656" s="185" t="s">
        <v>1515</v>
      </c>
      <c r="I3656" s="258" t="str">
        <f t="shared" si="172"/>
        <v>2</v>
      </c>
      <c r="J3656" s="221">
        <f t="shared" si="173"/>
        <v>5225729</v>
      </c>
      <c r="K3656" s="258">
        <f t="shared" si="174"/>
        <v>12</v>
      </c>
      <c r="L3656" s="188">
        <v>5225729</v>
      </c>
      <c r="M3656" s="188">
        <v>0</v>
      </c>
      <c r="N3656" s="189">
        <v>830062853</v>
      </c>
      <c r="O3656"/>
      <c r="P3656" s="187">
        <v>45282.691840277803</v>
      </c>
      <c r="Q3656" s="186">
        <v>15086</v>
      </c>
      <c r="R3656" s="185" t="s">
        <v>433</v>
      </c>
      <c r="S3656" s="185" t="s">
        <v>1564</v>
      </c>
      <c r="T3656"/>
      <c r="U3656" t="str">
        <f>IF($L3656&gt;0,VLOOKUP($E3656,Valida!$A$1:$G$270,6,FALSE),IF($M3656&gt;=0,VLOOKUP($E3656,Valida!$A$1:$G$270,7,FALSE)))</f>
        <v>(+/-) Ajustes por el incremento (disminución) de cuentas por pagar de origen comercial</v>
      </c>
      <c r="V3656" s="190" t="str">
        <f>VLOOKUP(E3656,Valida!$A$2:$K$271,4,FALSE)</f>
        <v>Trade and other payables</v>
      </c>
      <c r="W3656" s="185" t="s">
        <v>2024</v>
      </c>
      <c r="X3656" s="185" t="s">
        <v>2025</v>
      </c>
      <c r="Y3656" s="185" t="s">
        <v>1789</v>
      </c>
      <c r="Z3656"/>
    </row>
    <row r="3657" spans="1:26">
      <c r="A3657" s="185" t="s">
        <v>3828</v>
      </c>
      <c r="B3657" s="185" t="s">
        <v>4107</v>
      </c>
      <c r="C3657" s="185" t="s">
        <v>1890</v>
      </c>
      <c r="D3657" s="185" t="s">
        <v>4108</v>
      </c>
      <c r="E3657" s="185">
        <v>112005</v>
      </c>
      <c r="F3657" s="185" t="s">
        <v>24</v>
      </c>
      <c r="G3657" s="185" t="s">
        <v>4109</v>
      </c>
      <c r="H3657" s="185" t="s">
        <v>1628</v>
      </c>
      <c r="I3657" s="258" t="str">
        <f t="shared" si="172"/>
        <v>1</v>
      </c>
      <c r="J3657" s="221">
        <f t="shared" si="173"/>
        <v>-5225729</v>
      </c>
      <c r="K3657" s="258">
        <f t="shared" si="174"/>
        <v>12</v>
      </c>
      <c r="L3657" s="188">
        <v>0</v>
      </c>
      <c r="M3657" s="188">
        <v>5225729</v>
      </c>
      <c r="N3657" s="189">
        <v>830062853</v>
      </c>
      <c r="O3657"/>
      <c r="P3657" s="187">
        <v>45282.691840277803</v>
      </c>
      <c r="Q3657" s="186">
        <v>15087</v>
      </c>
      <c r="R3657" s="185" t="s">
        <v>433</v>
      </c>
      <c r="S3657" s="185" t="s">
        <v>1564</v>
      </c>
      <c r="T3657" t="s">
        <v>1894</v>
      </c>
      <c r="U3657" t="str">
        <f>IF($L3657&gt;0,VLOOKUP($E3657,Valida!$A$1:$G$270,6,FALSE),IF($M3657&gt;=0,VLOOKUP($E3657,Valida!$A$1:$G$270,7,FALSE)))</f>
        <v>Disponible</v>
      </c>
      <c r="V3657" s="190" t="str">
        <f>VLOOKUP(E3657,Valida!$A$2:$K$271,4,FALSE)</f>
        <v>Cash and equivalents</v>
      </c>
      <c r="W3657" s="185" t="s">
        <v>2024</v>
      </c>
      <c r="X3657" s="185" t="s">
        <v>2025</v>
      </c>
      <c r="Y3657" s="185" t="s">
        <v>1789</v>
      </c>
      <c r="Z3657"/>
    </row>
    <row r="3658" spans="1:26">
      <c r="A3658" s="185" t="s">
        <v>4110</v>
      </c>
      <c r="B3658" s="185" t="s">
        <v>4111</v>
      </c>
      <c r="C3658" s="185" t="s">
        <v>1890</v>
      </c>
      <c r="D3658" s="185" t="s">
        <v>4112</v>
      </c>
      <c r="E3658" s="185">
        <v>23359502</v>
      </c>
      <c r="F3658" s="185" t="s">
        <v>547</v>
      </c>
      <c r="G3658" s="185" t="s">
        <v>4113</v>
      </c>
      <c r="H3658" s="185" t="s">
        <v>1515</v>
      </c>
      <c r="I3658" s="258" t="str">
        <f t="shared" si="172"/>
        <v>2</v>
      </c>
      <c r="J3658" s="221">
        <f t="shared" si="173"/>
        <v>558705</v>
      </c>
      <c r="K3658" s="258">
        <f t="shared" si="174"/>
        <v>12</v>
      </c>
      <c r="L3658" s="188">
        <v>558705</v>
      </c>
      <c r="M3658" s="188">
        <v>0</v>
      </c>
      <c r="N3658" s="189">
        <v>901636211</v>
      </c>
      <c r="O3658"/>
      <c r="P3658" s="187">
        <v>45282.693865740701</v>
      </c>
      <c r="Q3658" s="186">
        <v>15088</v>
      </c>
      <c r="R3658" s="185" t="s">
        <v>1901</v>
      </c>
      <c r="S3658" s="185" t="s">
        <v>1612</v>
      </c>
      <c r="T3658"/>
      <c r="U3658" t="str">
        <f>IF($L3658&gt;0,VLOOKUP($E3658,Valida!$A$1:$G$270,6,FALSE),IF($M3658&gt;=0,VLOOKUP($E3658,Valida!$A$1:$G$270,7,FALSE)))</f>
        <v>(+/-) Ajustes por el incremento (disminución) de cuentas por pagar de origen comercial</v>
      </c>
      <c r="V3658" s="190" t="str">
        <f>VLOOKUP(E3658,Valida!$A$2:$K$271,4,FALSE)</f>
        <v>Trade and other payables</v>
      </c>
      <c r="W3658" s="185" t="s">
        <v>3316</v>
      </c>
      <c r="X3658" s="185"/>
      <c r="Y3658" s="185" t="s">
        <v>1789</v>
      </c>
      <c r="Z3658"/>
    </row>
    <row r="3659" spans="1:26">
      <c r="A3659" s="185" t="s">
        <v>4110</v>
      </c>
      <c r="B3659" s="185" t="s">
        <v>4111</v>
      </c>
      <c r="C3659" s="185" t="s">
        <v>1890</v>
      </c>
      <c r="D3659" s="185" t="s">
        <v>4112</v>
      </c>
      <c r="E3659" s="185">
        <v>112005</v>
      </c>
      <c r="F3659" s="185" t="s">
        <v>24</v>
      </c>
      <c r="G3659" s="185" t="s">
        <v>4113</v>
      </c>
      <c r="H3659" s="185" t="s">
        <v>1628</v>
      </c>
      <c r="I3659" s="258" t="str">
        <f t="shared" si="172"/>
        <v>1</v>
      </c>
      <c r="J3659" s="221">
        <f t="shared" si="173"/>
        <v>-558705</v>
      </c>
      <c r="K3659" s="258">
        <f t="shared" si="174"/>
        <v>12</v>
      </c>
      <c r="L3659" s="188">
        <v>0</v>
      </c>
      <c r="M3659" s="188">
        <v>558705</v>
      </c>
      <c r="N3659" s="189">
        <v>901636211</v>
      </c>
      <c r="O3659"/>
      <c r="P3659" s="187">
        <v>45282.693877314799</v>
      </c>
      <c r="Q3659" s="186">
        <v>15089</v>
      </c>
      <c r="R3659" s="185" t="s">
        <v>1901</v>
      </c>
      <c r="S3659" s="185" t="s">
        <v>1612</v>
      </c>
      <c r="T3659" t="s">
        <v>1894</v>
      </c>
      <c r="U3659" t="str">
        <f>IF($L3659&gt;0,VLOOKUP($E3659,Valida!$A$1:$G$270,6,FALSE),IF($M3659&gt;=0,VLOOKUP($E3659,Valida!$A$1:$G$270,7,FALSE)))</f>
        <v>Disponible</v>
      </c>
      <c r="V3659" s="190" t="str">
        <f>VLOOKUP(E3659,Valida!$A$2:$K$271,4,FALSE)</f>
        <v>Cash and equivalents</v>
      </c>
      <c r="W3659" s="185" t="s">
        <v>3316</v>
      </c>
      <c r="X3659" s="185"/>
      <c r="Y3659" s="185" t="s">
        <v>1789</v>
      </c>
      <c r="Z3659"/>
    </row>
    <row r="3660" spans="1:26">
      <c r="A3660" s="185" t="s">
        <v>3955</v>
      </c>
      <c r="B3660" s="185" t="s">
        <v>4114</v>
      </c>
      <c r="C3660" s="185" t="s">
        <v>1890</v>
      </c>
      <c r="D3660" s="185" t="s">
        <v>4115</v>
      </c>
      <c r="E3660" s="185">
        <v>23355004</v>
      </c>
      <c r="F3660" s="185" t="s">
        <v>513</v>
      </c>
      <c r="G3660" s="185" t="s">
        <v>1921</v>
      </c>
      <c r="H3660" s="185" t="s">
        <v>1515</v>
      </c>
      <c r="I3660" s="258" t="str">
        <f t="shared" si="172"/>
        <v>2</v>
      </c>
      <c r="J3660" s="221">
        <f t="shared" si="173"/>
        <v>1439000</v>
      </c>
      <c r="K3660" s="258">
        <f t="shared" si="174"/>
        <v>12</v>
      </c>
      <c r="L3660" s="188">
        <v>1439000</v>
      </c>
      <c r="M3660" s="188">
        <v>0</v>
      </c>
      <c r="N3660" s="189">
        <v>900736537</v>
      </c>
      <c r="O3660"/>
      <c r="P3660" s="187">
        <v>45282.694629629601</v>
      </c>
      <c r="Q3660" s="186">
        <v>15090</v>
      </c>
      <c r="R3660" s="185" t="s">
        <v>1814</v>
      </c>
      <c r="S3660" s="185" t="s">
        <v>1602</v>
      </c>
      <c r="T3660"/>
      <c r="U3660" t="str">
        <f>IF($L3660&gt;0,VLOOKUP($E3660,Valida!$A$1:$G$270,6,FALSE),IF($M3660&gt;=0,VLOOKUP($E3660,Valida!$A$1:$G$270,7,FALSE)))</f>
        <v>(+/-) Ajustes por el incremento (disminución) de cuentas por pagar de origen comercial</v>
      </c>
      <c r="V3660" s="190" t="str">
        <f>VLOOKUP(E3660,Valida!$A$2:$K$271,4,FALSE)</f>
        <v>Trade and other payables</v>
      </c>
      <c r="W3660" s="185" t="s">
        <v>2985</v>
      </c>
      <c r="X3660" s="185" t="s">
        <v>2986</v>
      </c>
      <c r="Y3660" s="185" t="s">
        <v>1789</v>
      </c>
      <c r="Z3660"/>
    </row>
    <row r="3661" spans="1:26">
      <c r="A3661" s="185" t="s">
        <v>3955</v>
      </c>
      <c r="B3661" s="185" t="s">
        <v>4114</v>
      </c>
      <c r="C3661" s="185" t="s">
        <v>1890</v>
      </c>
      <c r="D3661" s="185" t="s">
        <v>4115</v>
      </c>
      <c r="E3661" s="185">
        <v>112005</v>
      </c>
      <c r="F3661" s="185" t="s">
        <v>24</v>
      </c>
      <c r="G3661" s="185" t="s">
        <v>1921</v>
      </c>
      <c r="H3661" s="185" t="s">
        <v>1628</v>
      </c>
      <c r="I3661" s="258" t="str">
        <f t="shared" si="172"/>
        <v>1</v>
      </c>
      <c r="J3661" s="221">
        <f t="shared" si="173"/>
        <v>-1439000</v>
      </c>
      <c r="K3661" s="258">
        <f t="shared" si="174"/>
        <v>12</v>
      </c>
      <c r="L3661" s="188">
        <v>0</v>
      </c>
      <c r="M3661" s="188">
        <v>1439000</v>
      </c>
      <c r="N3661" s="189">
        <v>900736537</v>
      </c>
      <c r="O3661"/>
      <c r="P3661" s="187">
        <v>45282.694629629601</v>
      </c>
      <c r="Q3661" s="186">
        <v>15091</v>
      </c>
      <c r="R3661" s="185" t="s">
        <v>1814</v>
      </c>
      <c r="S3661" s="185" t="s">
        <v>1602</v>
      </c>
      <c r="T3661" t="s">
        <v>1894</v>
      </c>
      <c r="U3661" t="str">
        <f>IF($L3661&gt;0,VLOOKUP($E3661,Valida!$A$1:$G$270,6,FALSE),IF($M3661&gt;=0,VLOOKUP($E3661,Valida!$A$1:$G$270,7,FALSE)))</f>
        <v>Disponible</v>
      </c>
      <c r="V3661" s="190" t="str">
        <f>VLOOKUP(E3661,Valida!$A$2:$K$271,4,FALSE)</f>
        <v>Cash and equivalents</v>
      </c>
      <c r="W3661" s="185" t="s">
        <v>2985</v>
      </c>
      <c r="X3661" s="185" t="s">
        <v>2986</v>
      </c>
      <c r="Y3661" s="185" t="s">
        <v>1789</v>
      </c>
      <c r="Z3661"/>
    </row>
    <row r="3662" spans="1:26">
      <c r="A3662" s="185" t="s">
        <v>3955</v>
      </c>
      <c r="B3662" s="185" t="s">
        <v>4116</v>
      </c>
      <c r="C3662" s="185" t="s">
        <v>1890</v>
      </c>
      <c r="D3662" s="185" t="s">
        <v>4117</v>
      </c>
      <c r="E3662" s="185">
        <v>23355004</v>
      </c>
      <c r="F3662" s="185" t="s">
        <v>513</v>
      </c>
      <c r="G3662" s="185" t="s">
        <v>1921</v>
      </c>
      <c r="H3662" s="185" t="s">
        <v>1515</v>
      </c>
      <c r="I3662" s="258" t="str">
        <f t="shared" si="172"/>
        <v>2</v>
      </c>
      <c r="J3662" s="221">
        <f t="shared" si="173"/>
        <v>2722135</v>
      </c>
      <c r="K3662" s="258">
        <f t="shared" si="174"/>
        <v>12</v>
      </c>
      <c r="L3662" s="188">
        <v>2722135</v>
      </c>
      <c r="M3662" s="188">
        <v>0</v>
      </c>
      <c r="N3662" s="189">
        <v>900994552</v>
      </c>
      <c r="O3662"/>
      <c r="P3662" s="187">
        <v>45282.695023148102</v>
      </c>
      <c r="Q3662" s="186">
        <v>15092</v>
      </c>
      <c r="R3662" s="185" t="s">
        <v>844</v>
      </c>
      <c r="S3662" s="185" t="s">
        <v>1606</v>
      </c>
      <c r="T3662"/>
      <c r="U3662" t="str">
        <f>IF($L3662&gt;0,VLOOKUP($E3662,Valida!$A$1:$G$270,6,FALSE),IF($M3662&gt;=0,VLOOKUP($E3662,Valida!$A$1:$G$270,7,FALSE)))</f>
        <v>(+/-) Ajustes por el incremento (disminución) de cuentas por pagar de origen comercial</v>
      </c>
      <c r="V3662" s="190" t="str">
        <f>VLOOKUP(E3662,Valida!$A$2:$K$271,4,FALSE)</f>
        <v>Trade and other payables</v>
      </c>
      <c r="W3662" s="185" t="s">
        <v>1796</v>
      </c>
      <c r="X3662" s="185" t="s">
        <v>1797</v>
      </c>
      <c r="Y3662" s="185" t="s">
        <v>1789</v>
      </c>
      <c r="Z3662"/>
    </row>
    <row r="3663" spans="1:26">
      <c r="A3663" s="185" t="s">
        <v>3955</v>
      </c>
      <c r="B3663" s="185" t="s">
        <v>4116</v>
      </c>
      <c r="C3663" s="185" t="s">
        <v>1890</v>
      </c>
      <c r="D3663" s="185" t="s">
        <v>4117</v>
      </c>
      <c r="E3663" s="185">
        <v>112005</v>
      </c>
      <c r="F3663" s="185" t="s">
        <v>24</v>
      </c>
      <c r="G3663" s="185" t="s">
        <v>1921</v>
      </c>
      <c r="H3663" s="185" t="s">
        <v>1628</v>
      </c>
      <c r="I3663" s="258" t="str">
        <f t="shared" si="172"/>
        <v>1</v>
      </c>
      <c r="J3663" s="221">
        <f t="shared" si="173"/>
        <v>-2722135</v>
      </c>
      <c r="K3663" s="258">
        <f t="shared" si="174"/>
        <v>12</v>
      </c>
      <c r="L3663" s="188">
        <v>0</v>
      </c>
      <c r="M3663" s="188">
        <v>2722135</v>
      </c>
      <c r="N3663" s="189">
        <v>900994552</v>
      </c>
      <c r="O3663"/>
      <c r="P3663" s="187">
        <v>45282.695023148102</v>
      </c>
      <c r="Q3663" s="186">
        <v>15093</v>
      </c>
      <c r="R3663" s="185" t="s">
        <v>844</v>
      </c>
      <c r="S3663" s="185" t="s">
        <v>1606</v>
      </c>
      <c r="T3663" t="s">
        <v>1894</v>
      </c>
      <c r="U3663" t="str">
        <f>IF($L3663&gt;0,VLOOKUP($E3663,Valida!$A$1:$G$270,6,FALSE),IF($M3663&gt;=0,VLOOKUP($E3663,Valida!$A$1:$G$270,7,FALSE)))</f>
        <v>Disponible</v>
      </c>
      <c r="V3663" s="190" t="str">
        <f>VLOOKUP(E3663,Valida!$A$2:$K$271,4,FALSE)</f>
        <v>Cash and equivalents</v>
      </c>
      <c r="W3663" s="185" t="s">
        <v>1796</v>
      </c>
      <c r="X3663" s="185" t="s">
        <v>1797</v>
      </c>
      <c r="Y3663" s="185" t="s">
        <v>1789</v>
      </c>
      <c r="Z3663"/>
    </row>
    <row r="3664" spans="1:26">
      <c r="A3664" s="185" t="s">
        <v>3955</v>
      </c>
      <c r="B3664" s="185" t="s">
        <v>4118</v>
      </c>
      <c r="C3664" s="185" t="s">
        <v>1890</v>
      </c>
      <c r="D3664" s="185" t="s">
        <v>4119</v>
      </c>
      <c r="E3664" s="185">
        <v>23352502</v>
      </c>
      <c r="F3664" s="185" t="s">
        <v>466</v>
      </c>
      <c r="G3664" s="185" t="s">
        <v>4120</v>
      </c>
      <c r="H3664" s="185" t="s">
        <v>1515</v>
      </c>
      <c r="I3664" s="258" t="str">
        <f t="shared" si="172"/>
        <v>2</v>
      </c>
      <c r="J3664" s="221">
        <f t="shared" si="173"/>
        <v>238229</v>
      </c>
      <c r="K3664" s="258">
        <f t="shared" si="174"/>
        <v>12</v>
      </c>
      <c r="L3664" s="188">
        <v>238229</v>
      </c>
      <c r="M3664" s="188">
        <v>0</v>
      </c>
      <c r="N3664" s="189">
        <v>1012448875</v>
      </c>
      <c r="O3664"/>
      <c r="P3664" s="187">
        <v>45282.696365740703</v>
      </c>
      <c r="Q3664" s="186">
        <v>15094</v>
      </c>
      <c r="R3664" s="185"/>
      <c r="S3664" s="185" t="s">
        <v>1530</v>
      </c>
      <c r="T3664"/>
      <c r="U3664" t="str">
        <f>IF($L3664&gt;0,VLOOKUP($E3664,Valida!$A$1:$G$270,6,FALSE),IF($M3664&gt;=0,VLOOKUP($E3664,Valida!$A$1:$G$270,7,FALSE)))</f>
        <v>(+/-) Ajustes por el incremento (disminución) de cuentas por pagar de origen comercial</v>
      </c>
      <c r="V3664" s="190" t="str">
        <f>VLOOKUP(E3664,Valida!$A$2:$K$271,4,FALSE)</f>
        <v>Trade and other payables</v>
      </c>
      <c r="W3664" s="185" t="s">
        <v>3573</v>
      </c>
      <c r="X3664" s="185"/>
      <c r="Y3664" s="185" t="s">
        <v>1789</v>
      </c>
      <c r="Z3664"/>
    </row>
    <row r="3665" spans="1:26">
      <c r="A3665" s="185" t="s">
        <v>3955</v>
      </c>
      <c r="B3665" s="185" t="s">
        <v>4118</v>
      </c>
      <c r="C3665" s="185" t="s">
        <v>1890</v>
      </c>
      <c r="D3665" s="185" t="s">
        <v>4119</v>
      </c>
      <c r="E3665" s="185">
        <v>112005</v>
      </c>
      <c r="F3665" s="185" t="s">
        <v>24</v>
      </c>
      <c r="G3665" s="185" t="s">
        <v>4120</v>
      </c>
      <c r="H3665" s="185" t="s">
        <v>1628</v>
      </c>
      <c r="I3665" s="258" t="str">
        <f t="shared" si="172"/>
        <v>1</v>
      </c>
      <c r="J3665" s="221">
        <f t="shared" si="173"/>
        <v>-238229</v>
      </c>
      <c r="K3665" s="258">
        <f t="shared" si="174"/>
        <v>12</v>
      </c>
      <c r="L3665" s="188">
        <v>0</v>
      </c>
      <c r="M3665" s="188">
        <v>238229</v>
      </c>
      <c r="N3665" s="189">
        <v>1012448875</v>
      </c>
      <c r="O3665"/>
      <c r="P3665" s="187">
        <v>45282.696365740703</v>
      </c>
      <c r="Q3665" s="186">
        <v>15095</v>
      </c>
      <c r="R3665" s="185"/>
      <c r="S3665" s="185" t="s">
        <v>1530</v>
      </c>
      <c r="T3665" t="s">
        <v>1894</v>
      </c>
      <c r="U3665" t="str">
        <f>IF($L3665&gt;0,VLOOKUP($E3665,Valida!$A$1:$G$270,6,FALSE),IF($M3665&gt;=0,VLOOKUP($E3665,Valida!$A$1:$G$270,7,FALSE)))</f>
        <v>Disponible</v>
      </c>
      <c r="V3665" s="190" t="str">
        <f>VLOOKUP(E3665,Valida!$A$2:$K$271,4,FALSE)</f>
        <v>Cash and equivalents</v>
      </c>
      <c r="W3665" s="185" t="s">
        <v>3573</v>
      </c>
      <c r="X3665" s="185"/>
      <c r="Y3665" s="185" t="s">
        <v>1789</v>
      </c>
      <c r="Z3665"/>
    </row>
    <row r="3666" spans="1:26">
      <c r="A3666" s="185" t="s">
        <v>3955</v>
      </c>
      <c r="B3666" s="185" t="s">
        <v>4121</v>
      </c>
      <c r="C3666" s="185" t="s">
        <v>1890</v>
      </c>
      <c r="D3666" s="185" t="s">
        <v>4122</v>
      </c>
      <c r="E3666" s="185">
        <v>250505</v>
      </c>
      <c r="F3666" s="185" t="s">
        <v>767</v>
      </c>
      <c r="G3666" s="185" t="s">
        <v>4123</v>
      </c>
      <c r="H3666" s="185" t="s">
        <v>1515</v>
      </c>
      <c r="I3666" s="258" t="str">
        <f t="shared" si="172"/>
        <v>2</v>
      </c>
      <c r="J3666" s="221">
        <f t="shared" si="173"/>
        <v>3004923</v>
      </c>
      <c r="K3666" s="258">
        <f t="shared" si="174"/>
        <v>12</v>
      </c>
      <c r="L3666" s="188">
        <v>3004923</v>
      </c>
      <c r="M3666" s="188">
        <v>0</v>
      </c>
      <c r="N3666" s="189">
        <v>1000036375</v>
      </c>
      <c r="O3666"/>
      <c r="P3666" s="187">
        <v>45282.6968865741</v>
      </c>
      <c r="Q3666" s="186">
        <v>15096</v>
      </c>
      <c r="R3666" s="185"/>
      <c r="S3666" s="185" t="s">
        <v>1524</v>
      </c>
      <c r="T3666"/>
      <c r="U3666" t="str">
        <f>IF($L3666&gt;0,VLOOKUP($E3666,Valida!$A$1:$G$270,6,FALSE),IF($M3666&gt;=0,VLOOKUP($E3666,Valida!$A$1:$G$270,7,FALSE)))</f>
        <v>(+/-) Ajustes por el incremento (disminución) de cuentas por pagar de origen comercial</v>
      </c>
      <c r="V3666" s="190" t="str">
        <f>VLOOKUP(E3666,Valida!$A$2:$K$271,4,FALSE)</f>
        <v>Trade and other payables</v>
      </c>
      <c r="W3666" s="185" t="s">
        <v>1983</v>
      </c>
      <c r="X3666" s="185"/>
      <c r="Y3666" s="185" t="s">
        <v>1789</v>
      </c>
      <c r="Z3666"/>
    </row>
    <row r="3667" spans="1:26">
      <c r="A3667" s="185" t="s">
        <v>3955</v>
      </c>
      <c r="B3667" s="185" t="s">
        <v>4121</v>
      </c>
      <c r="C3667" s="185" t="s">
        <v>1890</v>
      </c>
      <c r="D3667" s="185" t="s">
        <v>4122</v>
      </c>
      <c r="E3667" s="185">
        <v>112005</v>
      </c>
      <c r="F3667" s="185" t="s">
        <v>24</v>
      </c>
      <c r="G3667" s="185" t="s">
        <v>4123</v>
      </c>
      <c r="H3667" s="185" t="s">
        <v>1628</v>
      </c>
      <c r="I3667" s="258" t="str">
        <f t="shared" si="172"/>
        <v>1</v>
      </c>
      <c r="J3667" s="221">
        <f t="shared" si="173"/>
        <v>-3004923</v>
      </c>
      <c r="K3667" s="258">
        <f t="shared" si="174"/>
        <v>12</v>
      </c>
      <c r="L3667" s="188">
        <v>0</v>
      </c>
      <c r="M3667" s="188">
        <v>3004923</v>
      </c>
      <c r="N3667" s="189">
        <v>1000036375</v>
      </c>
      <c r="O3667"/>
      <c r="P3667" s="187">
        <v>45282.6968865741</v>
      </c>
      <c r="Q3667" s="186">
        <v>15097</v>
      </c>
      <c r="R3667" s="185"/>
      <c r="S3667" s="185" t="s">
        <v>1524</v>
      </c>
      <c r="T3667" t="s">
        <v>1894</v>
      </c>
      <c r="U3667" t="str">
        <f>IF($L3667&gt;0,VLOOKUP($E3667,Valida!$A$1:$G$270,6,FALSE),IF($M3667&gt;=0,VLOOKUP($E3667,Valida!$A$1:$G$270,7,FALSE)))</f>
        <v>Disponible</v>
      </c>
      <c r="V3667" s="190" t="str">
        <f>VLOOKUP(E3667,Valida!$A$2:$K$271,4,FALSE)</f>
        <v>Cash and equivalents</v>
      </c>
      <c r="W3667" s="185" t="s">
        <v>1983</v>
      </c>
      <c r="X3667" s="185"/>
      <c r="Y3667" s="185" t="s">
        <v>1789</v>
      </c>
      <c r="Z3667"/>
    </row>
    <row r="3668" spans="1:26">
      <c r="A3668" s="185" t="s">
        <v>3955</v>
      </c>
      <c r="B3668" s="185" t="s">
        <v>4124</v>
      </c>
      <c r="C3668" s="185" t="s">
        <v>1890</v>
      </c>
      <c r="D3668" s="185" t="s">
        <v>4125</v>
      </c>
      <c r="E3668" s="185">
        <v>250505</v>
      </c>
      <c r="F3668" s="185" t="s">
        <v>767</v>
      </c>
      <c r="G3668" s="185" t="s">
        <v>4123</v>
      </c>
      <c r="H3668" s="185" t="s">
        <v>1515</v>
      </c>
      <c r="I3668" s="258" t="str">
        <f t="shared" si="172"/>
        <v>2</v>
      </c>
      <c r="J3668" s="221">
        <f t="shared" si="173"/>
        <v>2022829</v>
      </c>
      <c r="K3668" s="258">
        <f t="shared" si="174"/>
        <v>12</v>
      </c>
      <c r="L3668" s="188">
        <v>2022829</v>
      </c>
      <c r="M3668" s="188">
        <v>0</v>
      </c>
      <c r="N3668" s="189">
        <v>1000018061</v>
      </c>
      <c r="O3668"/>
      <c r="P3668" s="187">
        <v>45282.697256944397</v>
      </c>
      <c r="Q3668" s="186">
        <v>15098</v>
      </c>
      <c r="R3668" s="185"/>
      <c r="S3668" s="185" t="s">
        <v>1522</v>
      </c>
      <c r="T3668"/>
      <c r="U3668" t="str">
        <f>IF($L3668&gt;0,VLOOKUP($E3668,Valida!$A$1:$G$270,6,FALSE),IF($M3668&gt;=0,VLOOKUP($E3668,Valida!$A$1:$G$270,7,FALSE)))</f>
        <v>(+/-) Ajustes por el incremento (disminución) de cuentas por pagar de origen comercial</v>
      </c>
      <c r="V3668" s="190" t="str">
        <f>VLOOKUP(E3668,Valida!$A$2:$K$271,4,FALSE)</f>
        <v>Trade and other payables</v>
      </c>
      <c r="W3668" s="185" t="s">
        <v>1978</v>
      </c>
      <c r="X3668" s="185"/>
      <c r="Y3668" s="185" t="s">
        <v>1789</v>
      </c>
      <c r="Z3668"/>
    </row>
    <row r="3669" spans="1:26">
      <c r="A3669" s="185" t="s">
        <v>3955</v>
      </c>
      <c r="B3669" s="185" t="s">
        <v>4124</v>
      </c>
      <c r="C3669" s="185" t="s">
        <v>1890</v>
      </c>
      <c r="D3669" s="185" t="s">
        <v>4125</v>
      </c>
      <c r="E3669" s="185">
        <v>112005</v>
      </c>
      <c r="F3669" s="185" t="s">
        <v>24</v>
      </c>
      <c r="G3669" s="185" t="s">
        <v>4123</v>
      </c>
      <c r="H3669" s="185" t="s">
        <v>1628</v>
      </c>
      <c r="I3669" s="258" t="str">
        <f t="shared" si="172"/>
        <v>1</v>
      </c>
      <c r="J3669" s="221">
        <f t="shared" si="173"/>
        <v>-2022829</v>
      </c>
      <c r="K3669" s="258">
        <f t="shared" si="174"/>
        <v>12</v>
      </c>
      <c r="L3669" s="188">
        <v>0</v>
      </c>
      <c r="M3669" s="188">
        <v>2022829</v>
      </c>
      <c r="N3669" s="189">
        <v>1000018061</v>
      </c>
      <c r="O3669"/>
      <c r="P3669" s="187">
        <v>45282.697256944397</v>
      </c>
      <c r="Q3669" s="186">
        <v>15099</v>
      </c>
      <c r="R3669" s="185"/>
      <c r="S3669" s="185" t="s">
        <v>1522</v>
      </c>
      <c r="T3669" t="s">
        <v>1894</v>
      </c>
      <c r="U3669" t="str">
        <f>IF($L3669&gt;0,VLOOKUP($E3669,Valida!$A$1:$G$270,6,FALSE),IF($M3669&gt;=0,VLOOKUP($E3669,Valida!$A$1:$G$270,7,FALSE)))</f>
        <v>Disponible</v>
      </c>
      <c r="V3669" s="190" t="str">
        <f>VLOOKUP(E3669,Valida!$A$2:$K$271,4,FALSE)</f>
        <v>Cash and equivalents</v>
      </c>
      <c r="W3669" s="185" t="s">
        <v>1978</v>
      </c>
      <c r="X3669" s="185"/>
      <c r="Y3669" s="185" t="s">
        <v>1789</v>
      </c>
      <c r="Z3669"/>
    </row>
    <row r="3670" spans="1:26">
      <c r="A3670" s="185" t="s">
        <v>3955</v>
      </c>
      <c r="B3670" s="185" t="s">
        <v>4126</v>
      </c>
      <c r="C3670" s="185" t="s">
        <v>1890</v>
      </c>
      <c r="D3670" s="185" t="s">
        <v>4127</v>
      </c>
      <c r="E3670" s="185">
        <v>250505</v>
      </c>
      <c r="F3670" s="185" t="s">
        <v>767</v>
      </c>
      <c r="G3670" s="185" t="s">
        <v>4123</v>
      </c>
      <c r="H3670" s="185" t="s">
        <v>1515</v>
      </c>
      <c r="I3670" s="258" t="str">
        <f t="shared" si="172"/>
        <v>2</v>
      </c>
      <c r="J3670" s="221">
        <f t="shared" si="173"/>
        <v>1858109</v>
      </c>
      <c r="K3670" s="258">
        <f t="shared" si="174"/>
        <v>12</v>
      </c>
      <c r="L3670" s="188">
        <v>1858109</v>
      </c>
      <c r="M3670" s="188">
        <v>0</v>
      </c>
      <c r="N3670" s="189">
        <v>1130744136</v>
      </c>
      <c r="O3670"/>
      <c r="P3670" s="187">
        <v>45282.697673611103</v>
      </c>
      <c r="Q3670" s="186">
        <v>15100</v>
      </c>
      <c r="R3670" s="185"/>
      <c r="S3670" s="185" t="s">
        <v>1538</v>
      </c>
      <c r="T3670"/>
      <c r="U3670" t="str">
        <f>IF($L3670&gt;0,VLOOKUP($E3670,Valida!$A$1:$G$270,6,FALSE),IF($M3670&gt;=0,VLOOKUP($E3670,Valida!$A$1:$G$270,7,FALSE)))</f>
        <v>(+/-) Ajustes por el incremento (disminución) de cuentas por pagar de origen comercial</v>
      </c>
      <c r="V3670" s="190" t="str">
        <f>VLOOKUP(E3670,Valida!$A$2:$K$271,4,FALSE)</f>
        <v>Trade and other payables</v>
      </c>
      <c r="W3670" s="185" t="s">
        <v>1909</v>
      </c>
      <c r="X3670" s="185" t="s">
        <v>1910</v>
      </c>
      <c r="Y3670" s="185" t="s">
        <v>1789</v>
      </c>
      <c r="Z3670"/>
    </row>
    <row r="3671" spans="1:26">
      <c r="A3671" s="185" t="s">
        <v>3955</v>
      </c>
      <c r="B3671" s="185" t="s">
        <v>4126</v>
      </c>
      <c r="C3671" s="185" t="s">
        <v>1890</v>
      </c>
      <c r="D3671" s="185" t="s">
        <v>4127</v>
      </c>
      <c r="E3671" s="185">
        <v>112005</v>
      </c>
      <c r="F3671" s="185" t="s">
        <v>24</v>
      </c>
      <c r="G3671" s="185" t="s">
        <v>4123</v>
      </c>
      <c r="H3671" s="185" t="s">
        <v>1628</v>
      </c>
      <c r="I3671" s="258" t="str">
        <f t="shared" si="172"/>
        <v>1</v>
      </c>
      <c r="J3671" s="221">
        <f t="shared" si="173"/>
        <v>-1858109</v>
      </c>
      <c r="K3671" s="258">
        <f t="shared" si="174"/>
        <v>12</v>
      </c>
      <c r="L3671" s="188">
        <v>0</v>
      </c>
      <c r="M3671" s="188">
        <v>1858109</v>
      </c>
      <c r="N3671" s="189">
        <v>1130744136</v>
      </c>
      <c r="O3671"/>
      <c r="P3671" s="187">
        <v>45282.697673611103</v>
      </c>
      <c r="Q3671" s="186">
        <v>15101</v>
      </c>
      <c r="R3671" s="185"/>
      <c r="S3671" s="185" t="s">
        <v>1538</v>
      </c>
      <c r="T3671" t="s">
        <v>1894</v>
      </c>
      <c r="U3671" t="str">
        <f>IF($L3671&gt;0,VLOOKUP($E3671,Valida!$A$1:$G$270,6,FALSE),IF($M3671&gt;=0,VLOOKUP($E3671,Valida!$A$1:$G$270,7,FALSE)))</f>
        <v>Disponible</v>
      </c>
      <c r="V3671" s="190" t="str">
        <f>VLOOKUP(E3671,Valida!$A$2:$K$271,4,FALSE)</f>
        <v>Cash and equivalents</v>
      </c>
      <c r="W3671" s="185" t="s">
        <v>1909</v>
      </c>
      <c r="X3671" s="185" t="s">
        <v>1910</v>
      </c>
      <c r="Y3671" s="185" t="s">
        <v>1789</v>
      </c>
      <c r="Z3671"/>
    </row>
    <row r="3672" spans="1:26">
      <c r="A3672" s="185" t="s">
        <v>3955</v>
      </c>
      <c r="B3672" s="185" t="s">
        <v>4128</v>
      </c>
      <c r="C3672" s="185" t="s">
        <v>1890</v>
      </c>
      <c r="D3672" s="185" t="s">
        <v>4129</v>
      </c>
      <c r="E3672" s="185">
        <v>250505</v>
      </c>
      <c r="F3672" s="185" t="s">
        <v>767</v>
      </c>
      <c r="G3672" s="185" t="s">
        <v>4123</v>
      </c>
      <c r="H3672" s="185" t="s">
        <v>1515</v>
      </c>
      <c r="I3672" s="258" t="str">
        <f t="shared" si="172"/>
        <v>2</v>
      </c>
      <c r="J3672" s="221">
        <f t="shared" si="173"/>
        <v>2289354</v>
      </c>
      <c r="K3672" s="258">
        <f t="shared" si="174"/>
        <v>12</v>
      </c>
      <c r="L3672" s="188">
        <v>2289354</v>
      </c>
      <c r="M3672" s="188">
        <v>0</v>
      </c>
      <c r="N3672" s="189">
        <v>1010101811</v>
      </c>
      <c r="O3672"/>
      <c r="P3672" s="187">
        <v>45282.698032407403</v>
      </c>
      <c r="Q3672" s="186">
        <v>15102</v>
      </c>
      <c r="R3672" s="185"/>
      <c r="S3672" s="185" t="s">
        <v>1528</v>
      </c>
      <c r="T3672"/>
      <c r="U3672" t="str">
        <f>IF($L3672&gt;0,VLOOKUP($E3672,Valida!$A$1:$G$270,6,FALSE),IF($M3672&gt;=0,VLOOKUP($E3672,Valida!$A$1:$G$270,7,FALSE)))</f>
        <v>(+/-) Ajustes por el incremento (disminución) de cuentas por pagar de origen comercial</v>
      </c>
      <c r="V3672" s="190" t="str">
        <f>VLOOKUP(E3672,Valida!$A$2:$K$271,4,FALSE)</f>
        <v>Trade and other payables</v>
      </c>
      <c r="W3672" s="185" t="s">
        <v>1967</v>
      </c>
      <c r="X3672" s="185"/>
      <c r="Y3672" s="185" t="s">
        <v>1789</v>
      </c>
      <c r="Z3672"/>
    </row>
    <row r="3673" spans="1:26">
      <c r="A3673" s="185" t="s">
        <v>3955</v>
      </c>
      <c r="B3673" s="185" t="s">
        <v>4128</v>
      </c>
      <c r="C3673" s="185" t="s">
        <v>1890</v>
      </c>
      <c r="D3673" s="185" t="s">
        <v>4129</v>
      </c>
      <c r="E3673" s="185">
        <v>112005</v>
      </c>
      <c r="F3673" s="185" t="s">
        <v>24</v>
      </c>
      <c r="G3673" s="185" t="s">
        <v>4123</v>
      </c>
      <c r="H3673" s="185" t="s">
        <v>1628</v>
      </c>
      <c r="I3673" s="258" t="str">
        <f t="shared" si="172"/>
        <v>1</v>
      </c>
      <c r="J3673" s="221">
        <f t="shared" si="173"/>
        <v>-2289354</v>
      </c>
      <c r="K3673" s="258">
        <f t="shared" si="174"/>
        <v>12</v>
      </c>
      <c r="L3673" s="188">
        <v>0</v>
      </c>
      <c r="M3673" s="188">
        <v>2289354</v>
      </c>
      <c r="N3673" s="189">
        <v>1010101811</v>
      </c>
      <c r="O3673"/>
      <c r="P3673" s="187">
        <v>45282.698032407403</v>
      </c>
      <c r="Q3673" s="186">
        <v>15103</v>
      </c>
      <c r="R3673" s="185"/>
      <c r="S3673" s="185" t="s">
        <v>1528</v>
      </c>
      <c r="T3673" t="s">
        <v>1894</v>
      </c>
      <c r="U3673" t="str">
        <f>IF($L3673&gt;0,VLOOKUP($E3673,Valida!$A$1:$G$270,6,FALSE),IF($M3673&gt;=0,VLOOKUP($E3673,Valida!$A$1:$G$270,7,FALSE)))</f>
        <v>Disponible</v>
      </c>
      <c r="V3673" s="190" t="str">
        <f>VLOOKUP(E3673,Valida!$A$2:$K$271,4,FALSE)</f>
        <v>Cash and equivalents</v>
      </c>
      <c r="W3673" s="185" t="s">
        <v>1967</v>
      </c>
      <c r="X3673" s="185"/>
      <c r="Y3673" s="185" t="s">
        <v>1789</v>
      </c>
      <c r="Z3673"/>
    </row>
    <row r="3674" spans="1:26">
      <c r="A3674" s="185" t="s">
        <v>3955</v>
      </c>
      <c r="B3674" s="185" t="s">
        <v>4130</v>
      </c>
      <c r="C3674" s="185" t="s">
        <v>1890</v>
      </c>
      <c r="D3674" s="185" t="s">
        <v>4131</v>
      </c>
      <c r="E3674" s="185">
        <v>237095</v>
      </c>
      <c r="F3674" s="185" t="s">
        <v>150</v>
      </c>
      <c r="G3674" s="185" t="s">
        <v>4132</v>
      </c>
      <c r="H3674" s="185" t="s">
        <v>1515</v>
      </c>
      <c r="I3674" s="258" t="str">
        <f t="shared" si="172"/>
        <v>2</v>
      </c>
      <c r="J3674" s="221">
        <f t="shared" si="173"/>
        <v>1435800</v>
      </c>
      <c r="K3674" s="258">
        <f t="shared" si="174"/>
        <v>12</v>
      </c>
      <c r="L3674" s="188">
        <v>1435800</v>
      </c>
      <c r="M3674" s="188">
        <v>0</v>
      </c>
      <c r="N3674" s="189">
        <v>860066942</v>
      </c>
      <c r="O3674"/>
      <c r="P3674" s="187">
        <v>45282.698518518497</v>
      </c>
      <c r="Q3674" s="186">
        <v>15104</v>
      </c>
      <c r="R3674" s="185" t="s">
        <v>1814</v>
      </c>
      <c r="S3674" s="185" t="s">
        <v>1574</v>
      </c>
      <c r="T3674"/>
      <c r="U3674" t="str">
        <f>IF($L3674&gt;0,VLOOKUP($E3674,Valida!$A$1:$G$270,6,FALSE),IF($M3674&gt;=0,VLOOKUP($E3674,Valida!$A$1:$G$270,7,FALSE)))</f>
        <v>(+/-) Ajustes por el incremento (disminución) de cuentas por pagar de origen comercial</v>
      </c>
      <c r="V3674" s="190" t="str">
        <f>VLOOKUP(E3674,Valida!$A$2:$K$271,4,FALSE)</f>
        <v>Trade and other payables</v>
      </c>
      <c r="W3674" s="185" t="s">
        <v>1914</v>
      </c>
      <c r="X3674" s="185" t="s">
        <v>1915</v>
      </c>
      <c r="Y3674" s="185" t="s">
        <v>1789</v>
      </c>
      <c r="Z3674"/>
    </row>
    <row r="3675" spans="1:26">
      <c r="A3675" s="185" t="s">
        <v>3955</v>
      </c>
      <c r="B3675" s="185" t="s">
        <v>4130</v>
      </c>
      <c r="C3675" s="185" t="s">
        <v>1890</v>
      </c>
      <c r="D3675" s="185" t="s">
        <v>4131</v>
      </c>
      <c r="E3675" s="185">
        <v>112005</v>
      </c>
      <c r="F3675" s="185" t="s">
        <v>24</v>
      </c>
      <c r="G3675" s="185" t="s">
        <v>4132</v>
      </c>
      <c r="H3675" s="185" t="s">
        <v>1628</v>
      </c>
      <c r="I3675" s="258" t="str">
        <f t="shared" si="172"/>
        <v>1</v>
      </c>
      <c r="J3675" s="221">
        <f t="shared" si="173"/>
        <v>-1435800</v>
      </c>
      <c r="K3675" s="258">
        <f t="shared" si="174"/>
        <v>12</v>
      </c>
      <c r="L3675" s="188">
        <v>0</v>
      </c>
      <c r="M3675" s="188">
        <v>1435800</v>
      </c>
      <c r="N3675" s="189">
        <v>860066942</v>
      </c>
      <c r="O3675"/>
      <c r="P3675" s="187">
        <v>45282.698518518497</v>
      </c>
      <c r="Q3675" s="186">
        <v>15105</v>
      </c>
      <c r="R3675" s="185" t="s">
        <v>1814</v>
      </c>
      <c r="S3675" s="185" t="s">
        <v>1574</v>
      </c>
      <c r="T3675" t="s">
        <v>1894</v>
      </c>
      <c r="U3675" t="str">
        <f>IF($L3675&gt;0,VLOOKUP($E3675,Valida!$A$1:$G$270,6,FALSE),IF($M3675&gt;=0,VLOOKUP($E3675,Valida!$A$1:$G$270,7,FALSE)))</f>
        <v>Disponible</v>
      </c>
      <c r="V3675" s="190" t="str">
        <f>VLOOKUP(E3675,Valida!$A$2:$K$271,4,FALSE)</f>
        <v>Cash and equivalents</v>
      </c>
      <c r="W3675" s="185" t="s">
        <v>1914</v>
      </c>
      <c r="X3675" s="185" t="s">
        <v>1915</v>
      </c>
      <c r="Y3675" s="185" t="s">
        <v>1789</v>
      </c>
      <c r="Z3675"/>
    </row>
    <row r="3676" spans="1:26">
      <c r="A3676" s="185" t="s">
        <v>4133</v>
      </c>
      <c r="B3676" s="185" t="s">
        <v>4134</v>
      </c>
      <c r="C3676" s="185" t="s">
        <v>1890</v>
      </c>
      <c r="D3676" s="185" t="s">
        <v>4135</v>
      </c>
      <c r="E3676" s="185">
        <v>23354001</v>
      </c>
      <c r="F3676" s="185" t="s">
        <v>484</v>
      </c>
      <c r="G3676" s="185" t="s">
        <v>1921</v>
      </c>
      <c r="H3676" s="185" t="s">
        <v>1515</v>
      </c>
      <c r="I3676" s="258" t="str">
        <f t="shared" si="172"/>
        <v>2</v>
      </c>
      <c r="J3676" s="221">
        <f t="shared" si="173"/>
        <v>14603085</v>
      </c>
      <c r="K3676" s="258">
        <f t="shared" si="174"/>
        <v>12</v>
      </c>
      <c r="L3676" s="188">
        <v>14603085</v>
      </c>
      <c r="M3676" s="188">
        <v>0</v>
      </c>
      <c r="N3676" s="189">
        <v>900471482</v>
      </c>
      <c r="O3676"/>
      <c r="P3676" s="187">
        <v>45282.699826388904</v>
      </c>
      <c r="Q3676" s="186">
        <v>15106</v>
      </c>
      <c r="R3676" s="185" t="s">
        <v>6</v>
      </c>
      <c r="S3676" s="185" t="s">
        <v>1600</v>
      </c>
      <c r="T3676"/>
      <c r="U3676" t="str">
        <f>IF($L3676&gt;0,VLOOKUP($E3676,Valida!$A$1:$G$270,6,FALSE),IF($M3676&gt;=0,VLOOKUP($E3676,Valida!$A$1:$G$270,7,FALSE)))</f>
        <v>(+/-) Ajustes por el incremento (disminución) de cuentas por pagar de origen comercial</v>
      </c>
      <c r="V3676" s="190" t="str">
        <f>VLOOKUP(E3676,Valida!$A$2:$K$271,4,FALSE)</f>
        <v>Trade and other payables</v>
      </c>
      <c r="W3676" s="185" t="s">
        <v>1853</v>
      </c>
      <c r="X3676" s="185" t="s">
        <v>1854</v>
      </c>
      <c r="Y3676" s="185" t="s">
        <v>1789</v>
      </c>
      <c r="Z3676"/>
    </row>
    <row r="3677" spans="1:26">
      <c r="A3677" s="185" t="s">
        <v>4133</v>
      </c>
      <c r="B3677" s="185" t="s">
        <v>4134</v>
      </c>
      <c r="C3677" s="185" t="s">
        <v>1890</v>
      </c>
      <c r="D3677" s="185" t="s">
        <v>4135</v>
      </c>
      <c r="E3677" s="185">
        <v>112005</v>
      </c>
      <c r="F3677" s="185" t="s">
        <v>24</v>
      </c>
      <c r="G3677" s="185" t="s">
        <v>1921</v>
      </c>
      <c r="H3677" s="185" t="s">
        <v>1628</v>
      </c>
      <c r="I3677" s="258" t="str">
        <f t="shared" si="172"/>
        <v>1</v>
      </c>
      <c r="J3677" s="221">
        <f t="shared" si="173"/>
        <v>-14603085</v>
      </c>
      <c r="K3677" s="258">
        <f t="shared" si="174"/>
        <v>12</v>
      </c>
      <c r="L3677" s="188">
        <v>0</v>
      </c>
      <c r="M3677" s="188">
        <v>14603085</v>
      </c>
      <c r="N3677" s="189">
        <v>900471482</v>
      </c>
      <c r="O3677"/>
      <c r="P3677" s="187">
        <v>45282.699826388904</v>
      </c>
      <c r="Q3677" s="186">
        <v>15107</v>
      </c>
      <c r="R3677" s="185" t="s">
        <v>6</v>
      </c>
      <c r="S3677" s="185" t="s">
        <v>1600</v>
      </c>
      <c r="T3677" t="s">
        <v>1894</v>
      </c>
      <c r="U3677" t="str">
        <f>IF($L3677&gt;0,VLOOKUP($E3677,Valida!$A$1:$G$270,6,FALSE),IF($M3677&gt;=0,VLOOKUP($E3677,Valida!$A$1:$G$270,7,FALSE)))</f>
        <v>Disponible</v>
      </c>
      <c r="V3677" s="190" t="str">
        <f>VLOOKUP(E3677,Valida!$A$2:$K$271,4,FALSE)</f>
        <v>Cash and equivalents</v>
      </c>
      <c r="W3677" s="185" t="s">
        <v>1853</v>
      </c>
      <c r="X3677" s="185" t="s">
        <v>1854</v>
      </c>
      <c r="Y3677" s="185" t="s">
        <v>1789</v>
      </c>
      <c r="Z3677"/>
    </row>
    <row r="3678" spans="1:26">
      <c r="A3678" s="185" t="s">
        <v>4133</v>
      </c>
      <c r="B3678" s="185" t="s">
        <v>4136</v>
      </c>
      <c r="C3678" s="185" t="s">
        <v>1890</v>
      </c>
      <c r="D3678" s="185" t="s">
        <v>4137</v>
      </c>
      <c r="E3678" s="185">
        <v>23354001</v>
      </c>
      <c r="F3678" s="185" t="s">
        <v>484</v>
      </c>
      <c r="G3678" s="185" t="s">
        <v>1921</v>
      </c>
      <c r="H3678" s="185" t="s">
        <v>1515</v>
      </c>
      <c r="I3678" s="258" t="str">
        <f t="shared" si="172"/>
        <v>2</v>
      </c>
      <c r="J3678" s="221">
        <f t="shared" si="173"/>
        <v>2774586</v>
      </c>
      <c r="K3678" s="258">
        <f t="shared" si="174"/>
        <v>12</v>
      </c>
      <c r="L3678" s="188">
        <v>2774586</v>
      </c>
      <c r="M3678" s="188">
        <v>0</v>
      </c>
      <c r="N3678" s="189">
        <v>900471482</v>
      </c>
      <c r="O3678"/>
      <c r="P3678" s="187">
        <v>45282.702060185198</v>
      </c>
      <c r="Q3678" s="186">
        <v>15108</v>
      </c>
      <c r="R3678" s="185" t="s">
        <v>6</v>
      </c>
      <c r="S3678" s="185" t="s">
        <v>1600</v>
      </c>
      <c r="T3678"/>
      <c r="U3678" t="str">
        <f>IF($L3678&gt;0,VLOOKUP($E3678,Valida!$A$1:$G$270,6,FALSE),IF($M3678&gt;=0,VLOOKUP($E3678,Valida!$A$1:$G$270,7,FALSE)))</f>
        <v>(+/-) Ajustes por el incremento (disminución) de cuentas por pagar de origen comercial</v>
      </c>
      <c r="V3678" s="190" t="str">
        <f>VLOOKUP(E3678,Valida!$A$2:$K$271,4,FALSE)</f>
        <v>Trade and other payables</v>
      </c>
      <c r="W3678" s="185" t="s">
        <v>1853</v>
      </c>
      <c r="X3678" s="185" t="s">
        <v>1854</v>
      </c>
      <c r="Y3678" s="185" t="s">
        <v>1789</v>
      </c>
      <c r="Z3678"/>
    </row>
    <row r="3679" spans="1:26">
      <c r="A3679" s="185" t="s">
        <v>4110</v>
      </c>
      <c r="B3679" s="185" t="s">
        <v>4138</v>
      </c>
      <c r="C3679" s="185" t="s">
        <v>1801</v>
      </c>
      <c r="D3679" s="185" t="s">
        <v>727</v>
      </c>
      <c r="E3679" s="185">
        <v>130510</v>
      </c>
      <c r="F3679" s="185" t="s">
        <v>64</v>
      </c>
      <c r="G3679" s="185" t="s">
        <v>4139</v>
      </c>
      <c r="H3679" s="185" t="s">
        <v>1515</v>
      </c>
      <c r="I3679" s="258" t="str">
        <f t="shared" si="172"/>
        <v>1</v>
      </c>
      <c r="J3679" s="221">
        <f t="shared" si="173"/>
        <v>70104960</v>
      </c>
      <c r="K3679" s="258">
        <f t="shared" si="174"/>
        <v>12</v>
      </c>
      <c r="L3679" s="188">
        <v>70104960</v>
      </c>
      <c r="M3679" s="188">
        <v>0</v>
      </c>
      <c r="N3679" s="189">
        <v>374795</v>
      </c>
      <c r="O3679"/>
      <c r="P3679" s="187">
        <v>45282.717280092598</v>
      </c>
      <c r="Q3679" s="186">
        <v>15116</v>
      </c>
      <c r="R3679" s="185"/>
      <c r="S3679" s="185" t="s">
        <v>1544</v>
      </c>
      <c r="T3679"/>
      <c r="U3679" t="str">
        <f>IF($L3679&gt;0,VLOOKUP($E3679,Valida!$A$1:$G$270,6,FALSE),IF($M3679&gt;=0,VLOOKUP($E3679,Valida!$A$1:$G$270,7,FALSE)))</f>
        <v>(+/-) Ajustes por la disminución (incremento) de cuentas por cobrar de origen comercial</v>
      </c>
      <c r="V3679" s="190" t="str">
        <f>VLOOKUP(E3679,Valida!$A$2:$K$271,4,FALSE)</f>
        <v>Trade and other receivables</v>
      </c>
      <c r="W3679" s="185" t="s">
        <v>1803</v>
      </c>
      <c r="X3679" s="185"/>
      <c r="Y3679" s="185"/>
      <c r="Z3679"/>
    </row>
    <row r="3680" spans="1:26">
      <c r="A3680" s="185" t="s">
        <v>4110</v>
      </c>
      <c r="B3680" s="185" t="s">
        <v>4138</v>
      </c>
      <c r="C3680" s="185" t="s">
        <v>1801</v>
      </c>
      <c r="D3680" s="185" t="s">
        <v>727</v>
      </c>
      <c r="E3680" s="185">
        <v>41559505</v>
      </c>
      <c r="F3680" s="185" t="s">
        <v>1708</v>
      </c>
      <c r="G3680" s="185" t="s">
        <v>4140</v>
      </c>
      <c r="H3680" s="185" t="s">
        <v>1628</v>
      </c>
      <c r="I3680" s="258" t="str">
        <f t="shared" si="172"/>
        <v>4</v>
      </c>
      <c r="J3680" s="221">
        <f t="shared" si="173"/>
        <v>-70104960</v>
      </c>
      <c r="K3680" s="258">
        <f t="shared" si="174"/>
        <v>12</v>
      </c>
      <c r="L3680" s="188">
        <v>0</v>
      </c>
      <c r="M3680" s="188">
        <v>70104960</v>
      </c>
      <c r="N3680" s="189">
        <v>374795</v>
      </c>
      <c r="O3680"/>
      <c r="P3680" s="187">
        <v>45282.717280092598</v>
      </c>
      <c r="Q3680" s="186">
        <v>15117</v>
      </c>
      <c r="R3680" s="185"/>
      <c r="S3680" s="185" t="s">
        <v>1544</v>
      </c>
      <c r="T3680"/>
      <c r="U3680" t="str">
        <f>IF($L3680&gt;0,VLOOKUP($E3680,Valida!$A$1:$G$270,6,FALSE),IF($M3680&gt;=0,VLOOKUP($E3680,Valida!$A$1:$G$270,7,FALSE)))</f>
        <v>(+/-) Ganancia (pérdida)</v>
      </c>
      <c r="V3680" s="190" t="str">
        <f>VLOOKUP(E3680,Valida!$A$2:$K$271,4,FALSE)</f>
        <v>P&amp;L</v>
      </c>
      <c r="W3680" s="185" t="s">
        <v>1803</v>
      </c>
      <c r="X3680" s="185"/>
      <c r="Y3680" s="185"/>
      <c r="Z3680"/>
    </row>
    <row r="3681" spans="1:26">
      <c r="A3681" s="185" t="s">
        <v>4133</v>
      </c>
      <c r="B3681" s="185" t="s">
        <v>4136</v>
      </c>
      <c r="C3681" s="185" t="s">
        <v>1890</v>
      </c>
      <c r="D3681" s="185" t="s">
        <v>4137</v>
      </c>
      <c r="E3681" s="185">
        <v>112005</v>
      </c>
      <c r="F3681" s="185" t="s">
        <v>24</v>
      </c>
      <c r="G3681" s="185" t="s">
        <v>1921</v>
      </c>
      <c r="H3681" s="185" t="s">
        <v>1628</v>
      </c>
      <c r="I3681" s="258" t="str">
        <f t="shared" si="172"/>
        <v>1</v>
      </c>
      <c r="J3681" s="221">
        <f t="shared" si="173"/>
        <v>-2774586</v>
      </c>
      <c r="K3681" s="258">
        <f t="shared" si="174"/>
        <v>12</v>
      </c>
      <c r="L3681" s="188">
        <v>0</v>
      </c>
      <c r="M3681" s="188">
        <v>2774586</v>
      </c>
      <c r="N3681" s="189">
        <v>900471482</v>
      </c>
      <c r="O3681"/>
      <c r="P3681" s="187">
        <v>45282.702060185198</v>
      </c>
      <c r="Q3681" s="186">
        <v>15109</v>
      </c>
      <c r="R3681" s="185" t="s">
        <v>6</v>
      </c>
      <c r="S3681" s="185" t="s">
        <v>1600</v>
      </c>
      <c r="T3681" t="s">
        <v>1894</v>
      </c>
      <c r="U3681" t="str">
        <f>IF($L3681&gt;0,VLOOKUP($E3681,Valida!$A$1:$G$270,6,FALSE),IF($M3681&gt;=0,VLOOKUP($E3681,Valida!$A$1:$G$270,7,FALSE)))</f>
        <v>Disponible</v>
      </c>
      <c r="V3681" s="190" t="str">
        <f>VLOOKUP(E3681,Valida!$A$2:$K$271,4,FALSE)</f>
        <v>Cash and equivalents</v>
      </c>
      <c r="W3681" s="185" t="s">
        <v>1853</v>
      </c>
      <c r="X3681" s="185" t="s">
        <v>1854</v>
      </c>
      <c r="Y3681" s="185" t="s">
        <v>1789</v>
      </c>
      <c r="Z3681"/>
    </row>
    <row r="3682" spans="1:26">
      <c r="A3682" s="185" t="s">
        <v>4133</v>
      </c>
      <c r="B3682" s="185" t="s">
        <v>4141</v>
      </c>
      <c r="C3682" s="185" t="s">
        <v>1897</v>
      </c>
      <c r="D3682" s="185" t="s">
        <v>4142</v>
      </c>
      <c r="E3682" s="185">
        <v>51054801</v>
      </c>
      <c r="F3682" s="185" t="s">
        <v>1726</v>
      </c>
      <c r="G3682" s="185" t="s">
        <v>4143</v>
      </c>
      <c r="H3682" s="185" t="s">
        <v>1515</v>
      </c>
      <c r="I3682" s="258" t="str">
        <f t="shared" si="172"/>
        <v>5</v>
      </c>
      <c r="J3682" s="221">
        <f t="shared" si="173"/>
        <v>310000</v>
      </c>
      <c r="K3682" s="258">
        <f t="shared" si="174"/>
        <v>12</v>
      </c>
      <c r="L3682" s="188">
        <v>310000</v>
      </c>
      <c r="M3682" s="188">
        <v>0</v>
      </c>
      <c r="N3682" s="189">
        <v>1001284057</v>
      </c>
      <c r="O3682"/>
      <c r="P3682" s="187">
        <v>45282.707835648202</v>
      </c>
      <c r="Q3682" s="186">
        <v>15110</v>
      </c>
      <c r="R3682" s="185"/>
      <c r="S3682" s="185" t="s">
        <v>1526</v>
      </c>
      <c r="T3682"/>
      <c r="U3682" t="str">
        <f>IF($L3682&gt;0,VLOOKUP($E3682,Valida!$A$1:$G$270,6,FALSE),IF($M3682&gt;=0,VLOOKUP($E3682,Valida!$A$1:$G$270,7,FALSE)))</f>
        <v>(+/-) Ganancia (pérdida)</v>
      </c>
      <c r="V3682" s="190" t="str">
        <f>VLOOKUP(E3682,Valida!$A$2:$K$271,4,FALSE)</f>
        <v>P&amp;L</v>
      </c>
      <c r="W3682" s="185" t="s">
        <v>3454</v>
      </c>
      <c r="X3682" s="185" t="s">
        <v>3455</v>
      </c>
      <c r="Y3682" s="185" t="s">
        <v>1789</v>
      </c>
      <c r="Z3682"/>
    </row>
    <row r="3683" spans="1:26">
      <c r="A3683" s="185" t="s">
        <v>4133</v>
      </c>
      <c r="B3683" s="185" t="s">
        <v>4141</v>
      </c>
      <c r="C3683" s="185" t="s">
        <v>1897</v>
      </c>
      <c r="D3683" s="185" t="s">
        <v>4142</v>
      </c>
      <c r="E3683" s="185">
        <v>250505</v>
      </c>
      <c r="F3683" s="185" t="s">
        <v>767</v>
      </c>
      <c r="G3683" s="185" t="s">
        <v>4143</v>
      </c>
      <c r="H3683" s="185" t="s">
        <v>1628</v>
      </c>
      <c r="I3683" s="258" t="str">
        <f t="shared" si="172"/>
        <v>2</v>
      </c>
      <c r="J3683" s="221">
        <f t="shared" si="173"/>
        <v>-310000</v>
      </c>
      <c r="K3683" s="258">
        <f t="shared" si="174"/>
        <v>12</v>
      </c>
      <c r="L3683" s="188">
        <v>0</v>
      </c>
      <c r="M3683" s="188">
        <v>310000</v>
      </c>
      <c r="N3683" s="189">
        <v>1001284057</v>
      </c>
      <c r="O3683"/>
      <c r="P3683" s="187">
        <v>45282.707835648202</v>
      </c>
      <c r="Q3683" s="186">
        <v>15111</v>
      </c>
      <c r="R3683" s="185"/>
      <c r="S3683" s="185" t="s">
        <v>1526</v>
      </c>
      <c r="T3683"/>
      <c r="U3683" t="str">
        <f>IF($L3683&gt;0,VLOOKUP($E3683,Valida!$A$1:$G$270,6,FALSE),IF($M3683&gt;=0,VLOOKUP($E3683,Valida!$A$1:$G$270,7,FALSE)))</f>
        <v>(+/-) Ajustes por el incremento (disminución) de cuentas por pagar de origen comercial</v>
      </c>
      <c r="V3683" s="190" t="str">
        <f>VLOOKUP(E3683,Valida!$A$2:$K$271,4,FALSE)</f>
        <v>Trade and other payables</v>
      </c>
      <c r="W3683" s="185" t="s">
        <v>3454</v>
      </c>
      <c r="X3683" s="185" t="s">
        <v>3455</v>
      </c>
      <c r="Y3683" s="185" t="s">
        <v>1789</v>
      </c>
      <c r="Z3683"/>
    </row>
    <row r="3684" spans="1:26">
      <c r="A3684" s="185" t="s">
        <v>4133</v>
      </c>
      <c r="B3684" s="185" t="s">
        <v>4144</v>
      </c>
      <c r="C3684" s="185" t="s">
        <v>1890</v>
      </c>
      <c r="D3684" s="185" t="s">
        <v>4145</v>
      </c>
      <c r="E3684" s="185">
        <v>250505</v>
      </c>
      <c r="F3684" s="185" t="s">
        <v>767</v>
      </c>
      <c r="G3684" s="185" t="s">
        <v>4143</v>
      </c>
      <c r="H3684" s="185" t="s">
        <v>1515</v>
      </c>
      <c r="I3684" s="258" t="str">
        <f t="shared" si="172"/>
        <v>2</v>
      </c>
      <c r="J3684" s="221">
        <f t="shared" si="173"/>
        <v>310000</v>
      </c>
      <c r="K3684" s="258">
        <f t="shared" si="174"/>
        <v>12</v>
      </c>
      <c r="L3684" s="188">
        <v>310000</v>
      </c>
      <c r="M3684" s="188">
        <v>0</v>
      </c>
      <c r="N3684" s="189">
        <v>1001284057</v>
      </c>
      <c r="O3684"/>
      <c r="P3684" s="187">
        <v>45282.708310185197</v>
      </c>
      <c r="Q3684" s="186">
        <v>15112</v>
      </c>
      <c r="R3684" s="185"/>
      <c r="S3684" s="185" t="s">
        <v>1526</v>
      </c>
      <c r="T3684"/>
      <c r="U3684" t="str">
        <f>IF($L3684&gt;0,VLOOKUP($E3684,Valida!$A$1:$G$270,6,FALSE),IF($M3684&gt;=0,VLOOKUP($E3684,Valida!$A$1:$G$270,7,FALSE)))</f>
        <v>(+/-) Ajustes por el incremento (disminución) de cuentas por pagar de origen comercial</v>
      </c>
      <c r="V3684" s="190" t="str">
        <f>VLOOKUP(E3684,Valida!$A$2:$K$271,4,FALSE)</f>
        <v>Trade and other payables</v>
      </c>
      <c r="W3684" s="185" t="s">
        <v>3454</v>
      </c>
      <c r="X3684" s="185" t="s">
        <v>3455</v>
      </c>
      <c r="Y3684" s="185" t="s">
        <v>1789</v>
      </c>
      <c r="Z3684"/>
    </row>
    <row r="3685" spans="1:26">
      <c r="A3685" s="185" t="s">
        <v>4133</v>
      </c>
      <c r="B3685" s="185" t="s">
        <v>4144</v>
      </c>
      <c r="C3685" s="185" t="s">
        <v>1890</v>
      </c>
      <c r="D3685" s="185" t="s">
        <v>4145</v>
      </c>
      <c r="E3685" s="185">
        <v>112005</v>
      </c>
      <c r="F3685" s="185" t="s">
        <v>24</v>
      </c>
      <c r="G3685" s="185" t="s">
        <v>4143</v>
      </c>
      <c r="H3685" s="185" t="s">
        <v>1628</v>
      </c>
      <c r="I3685" s="258" t="str">
        <f t="shared" si="172"/>
        <v>1</v>
      </c>
      <c r="J3685" s="221">
        <f t="shared" si="173"/>
        <v>-310000</v>
      </c>
      <c r="K3685" s="258">
        <f t="shared" si="174"/>
        <v>12</v>
      </c>
      <c r="L3685" s="188">
        <v>0</v>
      </c>
      <c r="M3685" s="188">
        <v>310000</v>
      </c>
      <c r="N3685" s="189">
        <v>1001284057</v>
      </c>
      <c r="O3685"/>
      <c r="P3685" s="187">
        <v>45282.708310185197</v>
      </c>
      <c r="Q3685" s="186">
        <v>15113</v>
      </c>
      <c r="R3685" s="185"/>
      <c r="S3685" s="185" t="s">
        <v>1526</v>
      </c>
      <c r="T3685" t="s">
        <v>1894</v>
      </c>
      <c r="U3685" t="str">
        <f>IF($L3685&gt;0,VLOOKUP($E3685,Valida!$A$1:$G$270,6,FALSE),IF($M3685&gt;=0,VLOOKUP($E3685,Valida!$A$1:$G$270,7,FALSE)))</f>
        <v>Disponible</v>
      </c>
      <c r="V3685" s="190" t="str">
        <f>VLOOKUP(E3685,Valida!$A$2:$K$271,4,FALSE)</f>
        <v>Cash and equivalents</v>
      </c>
      <c r="W3685" s="185" t="s">
        <v>3454</v>
      </c>
      <c r="X3685" s="185" t="s">
        <v>3455</v>
      </c>
      <c r="Y3685" s="185" t="s">
        <v>1789</v>
      </c>
      <c r="Z3685"/>
    </row>
    <row r="3686" spans="1:26">
      <c r="A3686" s="185" t="s">
        <v>4022</v>
      </c>
      <c r="B3686" s="185" t="s">
        <v>4146</v>
      </c>
      <c r="C3686" s="185" t="s">
        <v>1949</v>
      </c>
      <c r="D3686" s="185" t="s">
        <v>2768</v>
      </c>
      <c r="E3686" s="185">
        <v>510506</v>
      </c>
      <c r="F3686" s="185" t="s">
        <v>1076</v>
      </c>
      <c r="G3686" s="185" t="s">
        <v>4147</v>
      </c>
      <c r="H3686" s="185" t="s">
        <v>1628</v>
      </c>
      <c r="I3686" s="258" t="str">
        <f t="shared" si="172"/>
        <v>5</v>
      </c>
      <c r="J3686" s="221">
        <f t="shared" si="173"/>
        <v>-502667</v>
      </c>
      <c r="K3686" s="258">
        <f t="shared" si="174"/>
        <v>12</v>
      </c>
      <c r="L3686" s="188">
        <v>0</v>
      </c>
      <c r="M3686" s="188">
        <v>502667</v>
      </c>
      <c r="N3686" s="189">
        <v>800251440</v>
      </c>
      <c r="O3686"/>
      <c r="P3686" s="187">
        <v>45282.709340277797</v>
      </c>
      <c r="Q3686" s="186">
        <v>15114</v>
      </c>
      <c r="R3686" s="185" t="s">
        <v>1901</v>
      </c>
      <c r="S3686" s="185" t="s">
        <v>1560</v>
      </c>
      <c r="T3686"/>
      <c r="U3686" t="str">
        <f>IF($L3686&gt;0,VLOOKUP($E3686,Valida!$A$1:$G$270,6,FALSE),IF($M3686&gt;=0,VLOOKUP($E3686,Valida!$A$1:$G$270,7,FALSE)))</f>
        <v>(+/-) Ganancia (pérdida)</v>
      </c>
      <c r="V3686" s="190" t="str">
        <f>VLOOKUP(E3686,Valida!$A$2:$K$271,4,FALSE)</f>
        <v>P&amp;L</v>
      </c>
      <c r="W3686" s="185" t="s">
        <v>1902</v>
      </c>
      <c r="X3686" s="185" t="s">
        <v>1903</v>
      </c>
      <c r="Y3686" s="185" t="s">
        <v>1789</v>
      </c>
      <c r="Z3686"/>
    </row>
    <row r="3687" spans="1:26">
      <c r="A3687" s="185" t="s">
        <v>4022</v>
      </c>
      <c r="B3687" s="185" t="s">
        <v>4146</v>
      </c>
      <c r="C3687" s="185" t="s">
        <v>1949</v>
      </c>
      <c r="D3687" s="185" t="s">
        <v>2768</v>
      </c>
      <c r="E3687" s="185">
        <v>112005</v>
      </c>
      <c r="F3687" s="185" t="s">
        <v>24</v>
      </c>
      <c r="G3687" s="185" t="s">
        <v>4147</v>
      </c>
      <c r="H3687" s="185" t="s">
        <v>1515</v>
      </c>
      <c r="I3687" s="258" t="str">
        <f t="shared" si="172"/>
        <v>1</v>
      </c>
      <c r="J3687" s="221">
        <f t="shared" si="173"/>
        <v>502667</v>
      </c>
      <c r="K3687" s="258">
        <f t="shared" si="174"/>
        <v>12</v>
      </c>
      <c r="L3687" s="188">
        <v>502667</v>
      </c>
      <c r="M3687" s="188">
        <v>0</v>
      </c>
      <c r="N3687" s="189">
        <v>800251440</v>
      </c>
      <c r="O3687"/>
      <c r="P3687" s="187">
        <v>45282.709340277797</v>
      </c>
      <c r="Q3687" s="186">
        <v>15115</v>
      </c>
      <c r="R3687" s="185" t="s">
        <v>1901</v>
      </c>
      <c r="S3687" s="185" t="s">
        <v>1560</v>
      </c>
      <c r="T3687" t="s">
        <v>1894</v>
      </c>
      <c r="U3687" t="str">
        <f>IF($L3687&gt;0,VLOOKUP($E3687,Valida!$A$1:$G$270,6,FALSE),IF($M3687&gt;=0,VLOOKUP($E3687,Valida!$A$1:$G$270,7,FALSE)))</f>
        <v>Disponible</v>
      </c>
      <c r="V3687" s="190" t="str">
        <f>VLOOKUP(E3687,Valida!$A$2:$K$271,4,FALSE)</f>
        <v>Cash and equivalents</v>
      </c>
      <c r="W3687" s="185" t="s">
        <v>1902</v>
      </c>
      <c r="X3687" s="185" t="s">
        <v>1903</v>
      </c>
      <c r="Y3687" s="185" t="s">
        <v>1789</v>
      </c>
      <c r="Z3687"/>
    </row>
    <row r="3688" spans="1:26">
      <c r="A3688" s="185" t="s">
        <v>4026</v>
      </c>
      <c r="B3688" s="185" t="s">
        <v>4148</v>
      </c>
      <c r="C3688" s="185" t="s">
        <v>1949</v>
      </c>
      <c r="D3688" s="185" t="s">
        <v>2778</v>
      </c>
      <c r="E3688" s="185">
        <v>280505</v>
      </c>
      <c r="F3688" s="185" t="s">
        <v>834</v>
      </c>
      <c r="G3688" s="185" t="s">
        <v>4149</v>
      </c>
      <c r="H3688" s="185" t="s">
        <v>1628</v>
      </c>
      <c r="I3688" s="258" t="str">
        <f t="shared" si="172"/>
        <v>2</v>
      </c>
      <c r="J3688" s="221">
        <f t="shared" si="173"/>
        <v>-68348282</v>
      </c>
      <c r="K3688" s="258">
        <f t="shared" si="174"/>
        <v>12</v>
      </c>
      <c r="L3688" s="188">
        <v>0</v>
      </c>
      <c r="M3688" s="188">
        <v>68348282</v>
      </c>
      <c r="N3688" s="189">
        <v>374795</v>
      </c>
      <c r="O3688"/>
      <c r="P3688" s="187">
        <v>45282.7186574074</v>
      </c>
      <c r="Q3688" s="186">
        <v>15118</v>
      </c>
      <c r="R3688" s="185"/>
      <c r="S3688" s="185" t="s">
        <v>1544</v>
      </c>
      <c r="T3688"/>
      <c r="U3688" t="str">
        <f>IF($L3688&gt;0,VLOOKUP($E3688,Valida!$A$1:$G$270,6,FALSE),IF($M3688&gt;=0,VLOOKUP($E3688,Valida!$A$1:$G$270,7,FALSE)))</f>
        <v>(+/-) Ajustes por incrementos (disminuciones) en otras cuentas por pagar derivadas de las actividades de operación</v>
      </c>
      <c r="V3688" s="190" t="str">
        <f>VLOOKUP(E3688,Valida!$A$2:$K$271,4,FALSE)</f>
        <v>Trade and other payables</v>
      </c>
      <c r="W3688" s="185" t="s">
        <v>1803</v>
      </c>
      <c r="X3688" s="185"/>
      <c r="Y3688" s="185"/>
      <c r="Z3688"/>
    </row>
    <row r="3689" spans="1:26">
      <c r="A3689" s="185" t="s">
        <v>4026</v>
      </c>
      <c r="B3689" s="185" t="s">
        <v>4148</v>
      </c>
      <c r="C3689" s="185" t="s">
        <v>1949</v>
      </c>
      <c r="D3689" s="185" t="s">
        <v>2778</v>
      </c>
      <c r="E3689" s="185">
        <v>112005</v>
      </c>
      <c r="F3689" s="185" t="s">
        <v>24</v>
      </c>
      <c r="G3689" s="185" t="s">
        <v>4149</v>
      </c>
      <c r="H3689" s="185" t="s">
        <v>1515</v>
      </c>
      <c r="I3689" s="258" t="str">
        <f t="shared" si="172"/>
        <v>1</v>
      </c>
      <c r="J3689" s="221">
        <f t="shared" si="173"/>
        <v>68348282</v>
      </c>
      <c r="K3689" s="258">
        <f t="shared" si="174"/>
        <v>12</v>
      </c>
      <c r="L3689" s="188">
        <v>68348282</v>
      </c>
      <c r="M3689" s="188">
        <v>0</v>
      </c>
      <c r="N3689" s="189">
        <v>374795</v>
      </c>
      <c r="O3689"/>
      <c r="P3689" s="187">
        <v>45282.7186574074</v>
      </c>
      <c r="Q3689" s="186">
        <v>15119</v>
      </c>
      <c r="R3689" s="185"/>
      <c r="S3689" s="185" t="s">
        <v>1544</v>
      </c>
      <c r="T3689" t="s">
        <v>1894</v>
      </c>
      <c r="U3689" t="str">
        <f>IF($L3689&gt;0,VLOOKUP($E3689,Valida!$A$1:$G$270,6,FALSE),IF($M3689&gt;=0,VLOOKUP($E3689,Valida!$A$1:$G$270,7,FALSE)))</f>
        <v>Disponible</v>
      </c>
      <c r="V3689" s="190" t="str">
        <f>VLOOKUP(E3689,Valida!$A$2:$K$271,4,FALSE)</f>
        <v>Cash and equivalents</v>
      </c>
      <c r="W3689" s="185" t="s">
        <v>1803</v>
      </c>
      <c r="X3689" s="185"/>
      <c r="Y3689" s="185"/>
      <c r="Z3689"/>
    </row>
    <row r="3690" spans="1:26">
      <c r="A3690" s="185" t="s">
        <v>3955</v>
      </c>
      <c r="B3690" s="185" t="s">
        <v>4150</v>
      </c>
      <c r="C3690" s="185" t="s">
        <v>1949</v>
      </c>
      <c r="D3690" s="185" t="s">
        <v>2922</v>
      </c>
      <c r="E3690" s="185">
        <v>130510</v>
      </c>
      <c r="F3690" s="185" t="s">
        <v>64</v>
      </c>
      <c r="G3690" s="185" t="s">
        <v>3878</v>
      </c>
      <c r="H3690" s="185" t="s">
        <v>1628</v>
      </c>
      <c r="I3690" s="258" t="str">
        <f t="shared" si="172"/>
        <v>1</v>
      </c>
      <c r="J3690" s="221">
        <f t="shared" si="173"/>
        <v>-70104960</v>
      </c>
      <c r="K3690" s="258">
        <f t="shared" si="174"/>
        <v>12</v>
      </c>
      <c r="L3690" s="188">
        <v>0</v>
      </c>
      <c r="M3690" s="188">
        <v>70104960</v>
      </c>
      <c r="N3690" s="189">
        <v>374795</v>
      </c>
      <c r="O3690"/>
      <c r="P3690" s="187">
        <v>45282.720601851899</v>
      </c>
      <c r="Q3690" s="186">
        <v>15120</v>
      </c>
      <c r="R3690" s="185"/>
      <c r="S3690" s="185" t="s">
        <v>1544</v>
      </c>
      <c r="T3690"/>
      <c r="U3690" t="str">
        <f>IF($L3690&gt;0,VLOOKUP($E3690,Valida!$A$1:$G$270,6,FALSE),IF($M3690&gt;=0,VLOOKUP($E3690,Valida!$A$1:$G$270,7,FALSE)))</f>
        <v>(+/-) Ajustes por la disminución (incremento) de cuentas por cobrar de origen comercial</v>
      </c>
      <c r="V3690" s="190" t="str">
        <f>VLOOKUP(E3690,Valida!$A$2:$K$271,4,FALSE)</f>
        <v>Trade and other receivables</v>
      </c>
      <c r="W3690" s="185" t="s">
        <v>1803</v>
      </c>
      <c r="X3690" s="185"/>
      <c r="Y3690" s="185"/>
      <c r="Z3690"/>
    </row>
    <row r="3691" spans="1:26">
      <c r="A3691" s="185" t="s">
        <v>3955</v>
      </c>
      <c r="B3691" s="185" t="s">
        <v>4150</v>
      </c>
      <c r="C3691" s="185" t="s">
        <v>1949</v>
      </c>
      <c r="D3691" s="185" t="s">
        <v>2922</v>
      </c>
      <c r="E3691" s="185">
        <v>280505</v>
      </c>
      <c r="F3691" s="185" t="s">
        <v>834</v>
      </c>
      <c r="G3691" s="185" t="s">
        <v>3878</v>
      </c>
      <c r="H3691" s="185" t="s">
        <v>1515</v>
      </c>
      <c r="I3691" s="258" t="str">
        <f t="shared" si="172"/>
        <v>2</v>
      </c>
      <c r="J3691" s="221">
        <f t="shared" si="173"/>
        <v>68348282</v>
      </c>
      <c r="K3691" s="258">
        <f t="shared" si="174"/>
        <v>12</v>
      </c>
      <c r="L3691" s="188">
        <v>68348282</v>
      </c>
      <c r="M3691" s="188">
        <v>0</v>
      </c>
      <c r="N3691" s="189">
        <v>374795</v>
      </c>
      <c r="O3691"/>
      <c r="P3691" s="187">
        <v>45282.720601851899</v>
      </c>
      <c r="Q3691" s="186">
        <v>15121</v>
      </c>
      <c r="R3691" s="185"/>
      <c r="S3691" s="185" t="s">
        <v>1544</v>
      </c>
      <c r="T3691"/>
      <c r="U3691" t="str">
        <f>IF($L3691&gt;0,VLOOKUP($E3691,Valida!$A$1:$G$270,6,FALSE),IF($M3691&gt;=0,VLOOKUP($E3691,Valida!$A$1:$G$270,7,FALSE)))</f>
        <v>(+/-) Ajustes por incrementos (disminuciones) en otras cuentas por pagar derivadas de las actividades de operación</v>
      </c>
      <c r="V3691" s="190" t="str">
        <f>VLOOKUP(E3691,Valida!$A$2:$K$271,4,FALSE)</f>
        <v>Trade and other payables</v>
      </c>
      <c r="W3691" s="185" t="s">
        <v>1803</v>
      </c>
      <c r="X3691" s="185"/>
      <c r="Y3691" s="185"/>
      <c r="Z3691"/>
    </row>
    <row r="3692" spans="1:26">
      <c r="A3692" s="185" t="s">
        <v>3955</v>
      </c>
      <c r="B3692" s="185" t="s">
        <v>4150</v>
      </c>
      <c r="C3692" s="185" t="s">
        <v>1949</v>
      </c>
      <c r="D3692" s="185" t="s">
        <v>2922</v>
      </c>
      <c r="E3692" s="185">
        <v>53052501</v>
      </c>
      <c r="F3692" s="185" t="s">
        <v>1752</v>
      </c>
      <c r="G3692" s="185" t="s">
        <v>3878</v>
      </c>
      <c r="H3692" s="185" t="s">
        <v>1515</v>
      </c>
      <c r="I3692" s="258" t="str">
        <f t="shared" si="172"/>
        <v>5</v>
      </c>
      <c r="J3692" s="221">
        <f t="shared" si="173"/>
        <v>1756678</v>
      </c>
      <c r="K3692" s="258">
        <f t="shared" si="174"/>
        <v>12</v>
      </c>
      <c r="L3692" s="188">
        <v>1756678</v>
      </c>
      <c r="M3692" s="188">
        <v>0</v>
      </c>
      <c r="N3692" s="189">
        <v>374795</v>
      </c>
      <c r="O3692"/>
      <c r="P3692" s="187">
        <v>45282.720601851899</v>
      </c>
      <c r="Q3692" s="186">
        <v>15122</v>
      </c>
      <c r="R3692" s="185"/>
      <c r="S3692" s="185" t="s">
        <v>1544</v>
      </c>
      <c r="T3692"/>
      <c r="U3692" t="str">
        <f>IF($L3692&gt;0,VLOOKUP($E3692,Valida!$A$1:$G$270,6,FALSE),IF($M3692&gt;=0,VLOOKUP($E3692,Valida!$A$1:$G$270,7,FALSE)))</f>
        <v>(+/-) Ganancia (pérdida)</v>
      </c>
      <c r="V3692" s="190" t="str">
        <f>VLOOKUP(E3692,Valida!$A$2:$K$271,4,FALSE)</f>
        <v>P&amp;L</v>
      </c>
      <c r="W3692" s="185" t="s">
        <v>1803</v>
      </c>
      <c r="X3692" s="185"/>
      <c r="Y3692" s="185"/>
      <c r="Z3692"/>
    </row>
    <row r="3693" spans="1:26">
      <c r="A3693" s="185" t="s">
        <v>4133</v>
      </c>
      <c r="B3693" s="185" t="s">
        <v>4151</v>
      </c>
      <c r="C3693" s="185" t="s">
        <v>1949</v>
      </c>
      <c r="D3693" s="185" t="s">
        <v>2925</v>
      </c>
      <c r="E3693" s="185">
        <v>425015</v>
      </c>
      <c r="F3693" s="185" t="s">
        <v>1718</v>
      </c>
      <c r="G3693" s="185" t="s">
        <v>4152</v>
      </c>
      <c r="H3693" s="185" t="s">
        <v>1628</v>
      </c>
      <c r="I3693" s="258" t="str">
        <f t="shared" si="172"/>
        <v>4</v>
      </c>
      <c r="J3693" s="221">
        <f t="shared" si="173"/>
        <v>-5000000</v>
      </c>
      <c r="K3693" s="258">
        <f t="shared" si="174"/>
        <v>12</v>
      </c>
      <c r="L3693" s="188">
        <v>0</v>
      </c>
      <c r="M3693" s="188">
        <v>5000000</v>
      </c>
      <c r="N3693" s="189">
        <v>860044821</v>
      </c>
      <c r="O3693"/>
      <c r="P3693" s="187">
        <v>45282.722962963002</v>
      </c>
      <c r="Q3693" s="186">
        <v>15123</v>
      </c>
      <c r="R3693" s="185" t="s">
        <v>6</v>
      </c>
      <c r="S3693" s="185" t="s">
        <v>1570</v>
      </c>
      <c r="T3693"/>
      <c r="U3693" t="str">
        <f>IF($L3693&gt;0,VLOOKUP($E3693,Valida!$A$1:$G$270,6,FALSE),IF($M3693&gt;=0,VLOOKUP($E3693,Valida!$A$1:$G$270,7,FALSE)))</f>
        <v>(+/-) Ganancia (pérdida)</v>
      </c>
      <c r="V3693" s="190" t="str">
        <f>VLOOKUP(E3693,Valida!$A$2:$K$271,4,FALSE)</f>
        <v>P&amp;L</v>
      </c>
      <c r="W3693" s="185" t="s">
        <v>2048</v>
      </c>
      <c r="X3693" s="185"/>
      <c r="Y3693" s="185" t="s">
        <v>1789</v>
      </c>
      <c r="Z3693"/>
    </row>
    <row r="3694" spans="1:26">
      <c r="A3694" s="185" t="s">
        <v>4133</v>
      </c>
      <c r="B3694" s="185" t="s">
        <v>4151</v>
      </c>
      <c r="C3694" s="185" t="s">
        <v>1949</v>
      </c>
      <c r="D3694" s="185" t="s">
        <v>2925</v>
      </c>
      <c r="E3694" s="185">
        <v>112005</v>
      </c>
      <c r="F3694" s="185" t="s">
        <v>24</v>
      </c>
      <c r="G3694" s="185" t="s">
        <v>4152</v>
      </c>
      <c r="H3694" s="185" t="s">
        <v>1515</v>
      </c>
      <c r="I3694" s="258" t="str">
        <f t="shared" si="172"/>
        <v>1</v>
      </c>
      <c r="J3694" s="221">
        <f t="shared" si="173"/>
        <v>5000000</v>
      </c>
      <c r="K3694" s="258">
        <f t="shared" si="174"/>
        <v>12</v>
      </c>
      <c r="L3694" s="188">
        <v>5000000</v>
      </c>
      <c r="M3694" s="188">
        <v>0</v>
      </c>
      <c r="N3694" s="189">
        <v>860044821</v>
      </c>
      <c r="O3694"/>
      <c r="P3694" s="187">
        <v>45282.722962963002</v>
      </c>
      <c r="Q3694" s="186">
        <v>15124</v>
      </c>
      <c r="R3694" s="185" t="s">
        <v>6</v>
      </c>
      <c r="S3694" s="185" t="s">
        <v>1570</v>
      </c>
      <c r="T3694" t="s">
        <v>1894</v>
      </c>
      <c r="U3694" t="str">
        <f>IF($L3694&gt;0,VLOOKUP($E3694,Valida!$A$1:$G$270,6,FALSE),IF($M3694&gt;=0,VLOOKUP($E3694,Valida!$A$1:$G$270,7,FALSE)))</f>
        <v>Disponible</v>
      </c>
      <c r="V3694" s="190" t="str">
        <f>VLOOKUP(E3694,Valida!$A$2:$K$271,4,FALSE)</f>
        <v>Cash and equivalents</v>
      </c>
      <c r="W3694" s="185" t="s">
        <v>2048</v>
      </c>
      <c r="X3694" s="185"/>
      <c r="Y3694" s="185" t="s">
        <v>1789</v>
      </c>
      <c r="Z3694"/>
    </row>
    <row r="3695" spans="1:26">
      <c r="A3695" s="185" t="s">
        <v>4133</v>
      </c>
      <c r="B3695" s="185" t="s">
        <v>4153</v>
      </c>
      <c r="C3695" s="185" t="s">
        <v>1949</v>
      </c>
      <c r="D3695" s="185" t="s">
        <v>2928</v>
      </c>
      <c r="E3695" s="185">
        <v>112005</v>
      </c>
      <c r="F3695" s="185" t="s">
        <v>24</v>
      </c>
      <c r="G3695" s="185" t="s">
        <v>4154</v>
      </c>
      <c r="H3695" s="185" t="s">
        <v>1515</v>
      </c>
      <c r="I3695" s="258" t="str">
        <f t="shared" si="172"/>
        <v>1</v>
      </c>
      <c r="J3695" s="221">
        <f t="shared" si="173"/>
        <v>7844000</v>
      </c>
      <c r="K3695" s="258">
        <f t="shared" si="174"/>
        <v>12</v>
      </c>
      <c r="L3695" s="188">
        <v>7844000</v>
      </c>
      <c r="M3695" s="188">
        <v>0</v>
      </c>
      <c r="N3695" s="189">
        <v>800197268</v>
      </c>
      <c r="O3695"/>
      <c r="P3695" s="187">
        <v>45282.7262037037</v>
      </c>
      <c r="Q3695" s="186">
        <v>15125</v>
      </c>
      <c r="R3695" s="185" t="s">
        <v>983</v>
      </c>
      <c r="S3695" s="185" t="s">
        <v>1558</v>
      </c>
      <c r="T3695" t="s">
        <v>1894</v>
      </c>
      <c r="U3695" t="str">
        <f>IF($L3695&gt;0,VLOOKUP($E3695,Valida!$A$1:$G$270,6,FALSE),IF($M3695&gt;=0,VLOOKUP($E3695,Valida!$A$1:$G$270,7,FALSE)))</f>
        <v>Disponible</v>
      </c>
      <c r="V3695" s="190" t="str">
        <f>VLOOKUP(E3695,Valida!$A$2:$K$271,4,FALSE)</f>
        <v>Cash and equivalents</v>
      </c>
      <c r="W3695" s="185" t="s">
        <v>1944</v>
      </c>
      <c r="X3695" s="185"/>
      <c r="Y3695" s="185" t="s">
        <v>1789</v>
      </c>
      <c r="Z3695"/>
    </row>
    <row r="3696" spans="1:26">
      <c r="A3696" s="185" t="s">
        <v>4133</v>
      </c>
      <c r="B3696" s="185" t="s">
        <v>4153</v>
      </c>
      <c r="C3696" s="185" t="s">
        <v>1949</v>
      </c>
      <c r="D3696" s="185" t="s">
        <v>2928</v>
      </c>
      <c r="E3696" s="185">
        <v>13552001</v>
      </c>
      <c r="F3696" s="185" t="s">
        <v>276</v>
      </c>
      <c r="G3696" s="185" t="s">
        <v>4154</v>
      </c>
      <c r="H3696" s="185" t="s">
        <v>1628</v>
      </c>
      <c r="I3696" s="258" t="str">
        <f t="shared" si="172"/>
        <v>1</v>
      </c>
      <c r="J3696" s="221">
        <f t="shared" si="173"/>
        <v>-7844000</v>
      </c>
      <c r="K3696" s="258">
        <f t="shared" si="174"/>
        <v>12</v>
      </c>
      <c r="L3696" s="188">
        <v>0</v>
      </c>
      <c r="M3696" s="188">
        <v>7844000</v>
      </c>
      <c r="N3696" s="189">
        <v>800197268</v>
      </c>
      <c r="O3696"/>
      <c r="P3696" s="187">
        <v>45282.7262037037</v>
      </c>
      <c r="Q3696" s="186">
        <v>15126</v>
      </c>
      <c r="R3696" s="185" t="s">
        <v>983</v>
      </c>
      <c r="S3696" s="185" t="s">
        <v>1558</v>
      </c>
      <c r="T3696"/>
      <c r="U3696" t="str">
        <f>IF($L3696&gt;0,VLOOKUP($E3696,Valida!$A$1:$G$270,6,FALSE),IF($M3696&gt;=0,VLOOKUP($E3696,Valida!$A$1:$G$270,7,FALSE)))</f>
        <v>(+/-) Ajustes por disminuciones (incrementos) en otras cuentas por cobrar derivadas de las actividades de operación</v>
      </c>
      <c r="V3696" s="190" t="str">
        <f>VLOOKUP(E3696,Valida!$A$2:$K$271,4,FALSE)</f>
        <v>Trade and other receivables</v>
      </c>
      <c r="W3696" s="185" t="s">
        <v>1944</v>
      </c>
      <c r="X3696" s="185"/>
      <c r="Y3696" s="185" t="s">
        <v>1789</v>
      </c>
      <c r="Z3696"/>
    </row>
    <row r="3697" spans="1:26">
      <c r="A3697" s="185" t="s">
        <v>4133</v>
      </c>
      <c r="B3697" s="185" t="s">
        <v>4155</v>
      </c>
      <c r="C3697" s="185" t="s">
        <v>1949</v>
      </c>
      <c r="D3697" s="185" t="s">
        <v>2931</v>
      </c>
      <c r="E3697" s="185">
        <v>112005</v>
      </c>
      <c r="F3697" s="185" t="s">
        <v>24</v>
      </c>
      <c r="G3697" s="185" t="s">
        <v>4154</v>
      </c>
      <c r="H3697" s="185" t="s">
        <v>1515</v>
      </c>
      <c r="I3697" s="258" t="str">
        <f t="shared" si="172"/>
        <v>1</v>
      </c>
      <c r="J3697" s="221">
        <f t="shared" si="173"/>
        <v>17478000</v>
      </c>
      <c r="K3697" s="258">
        <f t="shared" si="174"/>
        <v>12</v>
      </c>
      <c r="L3697" s="188">
        <v>17478000</v>
      </c>
      <c r="M3697" s="188">
        <v>0</v>
      </c>
      <c r="N3697" s="189">
        <v>800197268</v>
      </c>
      <c r="O3697"/>
      <c r="P3697" s="187">
        <v>45282.726493055598</v>
      </c>
      <c r="Q3697" s="186">
        <v>15127</v>
      </c>
      <c r="R3697" s="185" t="s">
        <v>983</v>
      </c>
      <c r="S3697" s="185" t="s">
        <v>1558</v>
      </c>
      <c r="T3697" t="s">
        <v>1894</v>
      </c>
      <c r="U3697" t="str">
        <f>IF($L3697&gt;0,VLOOKUP($E3697,Valida!$A$1:$G$270,6,FALSE),IF($M3697&gt;=0,VLOOKUP($E3697,Valida!$A$1:$G$270,7,FALSE)))</f>
        <v>Disponible</v>
      </c>
      <c r="V3697" s="190" t="str">
        <f>VLOOKUP(E3697,Valida!$A$2:$K$271,4,FALSE)</f>
        <v>Cash and equivalents</v>
      </c>
      <c r="W3697" s="185" t="s">
        <v>1944</v>
      </c>
      <c r="X3697" s="185"/>
      <c r="Y3697" s="185" t="s">
        <v>1789</v>
      </c>
      <c r="Z3697"/>
    </row>
    <row r="3698" spans="1:26">
      <c r="A3698" s="185" t="s">
        <v>4133</v>
      </c>
      <c r="B3698" s="185" t="s">
        <v>4155</v>
      </c>
      <c r="C3698" s="185" t="s">
        <v>1949</v>
      </c>
      <c r="D3698" s="185" t="s">
        <v>2931</v>
      </c>
      <c r="E3698" s="185">
        <v>13552001</v>
      </c>
      <c r="F3698" s="185" t="s">
        <v>276</v>
      </c>
      <c r="G3698" s="185" t="s">
        <v>4154</v>
      </c>
      <c r="H3698" s="185" t="s">
        <v>1628</v>
      </c>
      <c r="I3698" s="258" t="str">
        <f t="shared" si="172"/>
        <v>1</v>
      </c>
      <c r="J3698" s="221">
        <f t="shared" si="173"/>
        <v>-17932000</v>
      </c>
      <c r="K3698" s="258">
        <f t="shared" si="174"/>
        <v>12</v>
      </c>
      <c r="L3698" s="188">
        <v>0</v>
      </c>
      <c r="M3698" s="188">
        <v>17932000</v>
      </c>
      <c r="N3698" s="189">
        <v>800197268</v>
      </c>
      <c r="O3698"/>
      <c r="P3698" s="187">
        <v>45282.726493055598</v>
      </c>
      <c r="Q3698" s="186">
        <v>15128</v>
      </c>
      <c r="R3698" s="185" t="s">
        <v>983</v>
      </c>
      <c r="S3698" s="185" t="s">
        <v>1558</v>
      </c>
      <c r="T3698"/>
      <c r="U3698" t="str">
        <f>IF($L3698&gt;0,VLOOKUP($E3698,Valida!$A$1:$G$270,6,FALSE),IF($M3698&gt;=0,VLOOKUP($E3698,Valida!$A$1:$G$270,7,FALSE)))</f>
        <v>(+/-) Ajustes por disminuciones (incrementos) en otras cuentas por cobrar derivadas de las actividades de operación</v>
      </c>
      <c r="V3698" s="190" t="str">
        <f>VLOOKUP(E3698,Valida!$A$2:$K$271,4,FALSE)</f>
        <v>Trade and other receivables</v>
      </c>
      <c r="W3698" s="185" t="s">
        <v>1944</v>
      </c>
      <c r="X3698" s="185"/>
      <c r="Y3698" s="185" t="s">
        <v>1789</v>
      </c>
      <c r="Z3698"/>
    </row>
    <row r="3699" spans="1:26">
      <c r="A3699" s="185" t="s">
        <v>4133</v>
      </c>
      <c r="B3699" s="185" t="s">
        <v>4156</v>
      </c>
      <c r="C3699" s="185" t="s">
        <v>1890</v>
      </c>
      <c r="D3699" s="185" t="s">
        <v>4157</v>
      </c>
      <c r="E3699" s="185">
        <v>23352504</v>
      </c>
      <c r="F3699" s="185" t="s">
        <v>1634</v>
      </c>
      <c r="G3699" s="185" t="s">
        <v>1921</v>
      </c>
      <c r="H3699" s="185" t="s">
        <v>1515</v>
      </c>
      <c r="I3699" s="258" t="str">
        <f t="shared" si="172"/>
        <v>2</v>
      </c>
      <c r="J3699" s="221">
        <f t="shared" si="173"/>
        <v>379134</v>
      </c>
      <c r="K3699" s="258">
        <f t="shared" si="174"/>
        <v>12</v>
      </c>
      <c r="L3699" s="188">
        <v>379134</v>
      </c>
      <c r="M3699" s="188">
        <v>0</v>
      </c>
      <c r="N3699" s="189">
        <v>901065664</v>
      </c>
      <c r="O3699"/>
      <c r="P3699" s="187">
        <v>45282.747847222199</v>
      </c>
      <c r="Q3699" s="186">
        <v>15129</v>
      </c>
      <c r="R3699" s="185" t="s">
        <v>1827</v>
      </c>
      <c r="S3699" s="185" t="s">
        <v>1610</v>
      </c>
      <c r="T3699"/>
      <c r="U3699" t="str">
        <f>IF($L3699&gt;0,VLOOKUP($E3699,Valida!$A$1:$G$270,6,FALSE),IF($M3699&gt;=0,VLOOKUP($E3699,Valida!$A$1:$G$270,7,FALSE)))</f>
        <v>(+/-) Ajustes por el incremento (disminución) de cuentas por pagar de origen comercial</v>
      </c>
      <c r="V3699" s="190" t="str">
        <f>VLOOKUP(E3699,Valida!$A$2:$K$271,4,FALSE)</f>
        <v>Trade and other payables</v>
      </c>
      <c r="W3699" s="185" t="s">
        <v>4045</v>
      </c>
      <c r="X3699" s="185"/>
      <c r="Y3699" s="185" t="s">
        <v>1844</v>
      </c>
      <c r="Z3699"/>
    </row>
    <row r="3700" spans="1:26">
      <c r="A3700" s="185" t="s">
        <v>4133</v>
      </c>
      <c r="B3700" s="185" t="s">
        <v>4156</v>
      </c>
      <c r="C3700" s="185" t="s">
        <v>1890</v>
      </c>
      <c r="D3700" s="185" t="s">
        <v>4157</v>
      </c>
      <c r="E3700" s="185">
        <v>112005</v>
      </c>
      <c r="F3700" s="185" t="s">
        <v>24</v>
      </c>
      <c r="G3700" s="185" t="s">
        <v>1921</v>
      </c>
      <c r="H3700" s="185" t="s">
        <v>1628</v>
      </c>
      <c r="I3700" s="258" t="str">
        <f t="shared" si="172"/>
        <v>1</v>
      </c>
      <c r="J3700" s="221">
        <f t="shared" si="173"/>
        <v>-379134</v>
      </c>
      <c r="K3700" s="258">
        <f t="shared" si="174"/>
        <v>12</v>
      </c>
      <c r="L3700" s="188">
        <v>0</v>
      </c>
      <c r="M3700" s="188">
        <v>379134</v>
      </c>
      <c r="N3700" s="189">
        <v>901065664</v>
      </c>
      <c r="O3700"/>
      <c r="P3700" s="187">
        <v>45282.747847222199</v>
      </c>
      <c r="Q3700" s="186">
        <v>15130</v>
      </c>
      <c r="R3700" s="185" t="s">
        <v>1827</v>
      </c>
      <c r="S3700" s="185" t="s">
        <v>1610</v>
      </c>
      <c r="T3700" t="s">
        <v>1894</v>
      </c>
      <c r="U3700" t="str">
        <f>IF($L3700&gt;0,VLOOKUP($E3700,Valida!$A$1:$G$270,6,FALSE),IF($M3700&gt;=0,VLOOKUP($E3700,Valida!$A$1:$G$270,7,FALSE)))</f>
        <v>Disponible</v>
      </c>
      <c r="V3700" s="190" t="str">
        <f>VLOOKUP(E3700,Valida!$A$2:$K$271,4,FALSE)</f>
        <v>Cash and equivalents</v>
      </c>
      <c r="W3700" s="185" t="s">
        <v>4045</v>
      </c>
      <c r="X3700" s="185"/>
      <c r="Y3700" s="185" t="s">
        <v>1844</v>
      </c>
      <c r="Z3700"/>
    </row>
    <row r="3701" spans="1:26">
      <c r="A3701" s="185" t="s">
        <v>4158</v>
      </c>
      <c r="B3701" s="185" t="s">
        <v>4159</v>
      </c>
      <c r="C3701" s="185" t="s">
        <v>1792</v>
      </c>
      <c r="D3701" s="185" t="s">
        <v>2842</v>
      </c>
      <c r="E3701" s="185">
        <v>51952502</v>
      </c>
      <c r="F3701" s="185" t="s">
        <v>1414</v>
      </c>
      <c r="G3701" s="185" t="s">
        <v>4160</v>
      </c>
      <c r="H3701" s="185" t="s">
        <v>1515</v>
      </c>
      <c r="I3701" s="258" t="str">
        <f t="shared" si="172"/>
        <v>5</v>
      </c>
      <c r="J3701" s="221">
        <f t="shared" si="173"/>
        <v>307857</v>
      </c>
      <c r="K3701" s="258">
        <f t="shared" si="174"/>
        <v>12</v>
      </c>
      <c r="L3701" s="188">
        <v>307857</v>
      </c>
      <c r="M3701" s="188">
        <v>0</v>
      </c>
      <c r="N3701" s="189">
        <v>890900608</v>
      </c>
      <c r="O3701" t="s">
        <v>4161</v>
      </c>
      <c r="P3701" s="187">
        <v>45288.580231481501</v>
      </c>
      <c r="Q3701" s="186">
        <v>15131</v>
      </c>
      <c r="R3701" s="185" t="s">
        <v>1841</v>
      </c>
      <c r="S3701" s="185" t="s">
        <v>1578</v>
      </c>
      <c r="T3701"/>
      <c r="U3701" t="str">
        <f>IF($L3701&gt;0,VLOOKUP($E3701,Valida!$A$1:$G$270,6,FALSE),IF($M3701&gt;=0,VLOOKUP($E3701,Valida!$A$1:$G$270,7,FALSE)))</f>
        <v>(+/-) Ganancia (pérdida)</v>
      </c>
      <c r="V3701" s="190" t="str">
        <f>VLOOKUP(E3701,Valida!$A$2:$K$271,4,FALSE)</f>
        <v>P&amp;L</v>
      </c>
      <c r="W3701" s="185" t="s">
        <v>4162</v>
      </c>
      <c r="X3701" s="185" t="s">
        <v>4163</v>
      </c>
      <c r="Y3701" s="185" t="s">
        <v>4164</v>
      </c>
      <c r="Z3701"/>
    </row>
    <row r="3702" spans="1:26">
      <c r="A3702" s="185" t="s">
        <v>4158</v>
      </c>
      <c r="B3702" s="185" t="s">
        <v>4159</v>
      </c>
      <c r="C3702" s="185" t="s">
        <v>1792</v>
      </c>
      <c r="D3702" s="185" t="s">
        <v>2842</v>
      </c>
      <c r="E3702" s="185">
        <v>24081005</v>
      </c>
      <c r="F3702" s="185" t="s">
        <v>1688</v>
      </c>
      <c r="G3702" s="185" t="s">
        <v>4160</v>
      </c>
      <c r="H3702" s="185" t="s">
        <v>1515</v>
      </c>
      <c r="I3702" s="258" t="str">
        <f t="shared" si="172"/>
        <v>2</v>
      </c>
      <c r="J3702" s="221">
        <f t="shared" si="173"/>
        <v>15393</v>
      </c>
      <c r="K3702" s="258">
        <f t="shared" si="174"/>
        <v>12</v>
      </c>
      <c r="L3702" s="188">
        <v>15393</v>
      </c>
      <c r="M3702" s="188">
        <v>0</v>
      </c>
      <c r="N3702" s="189">
        <v>890900608</v>
      </c>
      <c r="O3702" t="s">
        <v>4161</v>
      </c>
      <c r="P3702" s="187">
        <v>45288.580231481501</v>
      </c>
      <c r="Q3702" s="186">
        <v>15132</v>
      </c>
      <c r="R3702" s="185" t="s">
        <v>1841</v>
      </c>
      <c r="S3702" s="185" t="s">
        <v>1578</v>
      </c>
      <c r="T3702"/>
      <c r="U3702" t="str">
        <f>IF($L3702&gt;0,VLOOKUP($E3702,Valida!$A$1:$G$270,6,FALSE),IF($M3702&gt;=0,VLOOKUP($E3702,Valida!$A$1:$G$270,7,FALSE)))</f>
        <v>(+/-) Ajustes por el incremento (disminución) de cuentas por pagar de origen comercial</v>
      </c>
      <c r="V3702" s="190" t="str">
        <f>VLOOKUP(E3702,Valida!$A$2:$K$271,4,FALSE)</f>
        <v>Trade and other payables</v>
      </c>
      <c r="W3702" s="185" t="s">
        <v>4162</v>
      </c>
      <c r="X3702" s="185" t="s">
        <v>4163</v>
      </c>
      <c r="Y3702" s="185" t="s">
        <v>4164</v>
      </c>
      <c r="Z3702"/>
    </row>
    <row r="3703" spans="1:26">
      <c r="A3703" s="185" t="s">
        <v>4158</v>
      </c>
      <c r="B3703" s="185" t="s">
        <v>4159</v>
      </c>
      <c r="C3703" s="185" t="s">
        <v>1792</v>
      </c>
      <c r="D3703" s="185" t="s">
        <v>2842</v>
      </c>
      <c r="E3703" s="185">
        <v>51952502</v>
      </c>
      <c r="F3703" s="185" t="s">
        <v>1414</v>
      </c>
      <c r="G3703" s="185" t="s">
        <v>4160</v>
      </c>
      <c r="H3703" s="185" t="s">
        <v>1515</v>
      </c>
      <c r="I3703" s="258" t="str">
        <f t="shared" si="172"/>
        <v>5</v>
      </c>
      <c r="J3703" s="221">
        <f t="shared" si="173"/>
        <v>862689</v>
      </c>
      <c r="K3703" s="258">
        <f t="shared" si="174"/>
        <v>12</v>
      </c>
      <c r="L3703" s="188">
        <v>862689</v>
      </c>
      <c r="M3703" s="188">
        <v>0</v>
      </c>
      <c r="N3703" s="189">
        <v>890900608</v>
      </c>
      <c r="O3703" t="s">
        <v>4161</v>
      </c>
      <c r="P3703" s="187">
        <v>45288.580231481501</v>
      </c>
      <c r="Q3703" s="186">
        <v>15133</v>
      </c>
      <c r="R3703" s="185" t="s">
        <v>1841</v>
      </c>
      <c r="S3703" s="185" t="s">
        <v>1578</v>
      </c>
      <c r="T3703"/>
      <c r="U3703" t="str">
        <f>IF($L3703&gt;0,VLOOKUP($E3703,Valida!$A$1:$G$270,6,FALSE),IF($M3703&gt;=0,VLOOKUP($E3703,Valida!$A$1:$G$270,7,FALSE)))</f>
        <v>(+/-) Ganancia (pérdida)</v>
      </c>
      <c r="V3703" s="190" t="str">
        <f>VLOOKUP(E3703,Valida!$A$2:$K$271,4,FALSE)</f>
        <v>P&amp;L</v>
      </c>
      <c r="W3703" s="185" t="s">
        <v>4162</v>
      </c>
      <c r="X3703" s="185" t="s">
        <v>4163</v>
      </c>
      <c r="Y3703" s="185" t="s">
        <v>4164</v>
      </c>
      <c r="Z3703"/>
    </row>
    <row r="3704" spans="1:26">
      <c r="A3704" s="185" t="s">
        <v>4158</v>
      </c>
      <c r="B3704" s="185" t="s">
        <v>4159</v>
      </c>
      <c r="C3704" s="185" t="s">
        <v>1792</v>
      </c>
      <c r="D3704" s="185" t="s">
        <v>2842</v>
      </c>
      <c r="E3704" s="185">
        <v>24081001</v>
      </c>
      <c r="F3704" s="185" t="s">
        <v>1670</v>
      </c>
      <c r="G3704" s="185" t="s">
        <v>4160</v>
      </c>
      <c r="H3704" s="185" t="s">
        <v>1515</v>
      </c>
      <c r="I3704" s="258" t="str">
        <f t="shared" si="172"/>
        <v>2</v>
      </c>
      <c r="J3704" s="221">
        <f t="shared" si="173"/>
        <v>163911</v>
      </c>
      <c r="K3704" s="258">
        <f t="shared" si="174"/>
        <v>12</v>
      </c>
      <c r="L3704" s="188">
        <v>163911</v>
      </c>
      <c r="M3704" s="188">
        <v>0</v>
      </c>
      <c r="N3704" s="189">
        <v>890900608</v>
      </c>
      <c r="O3704" t="s">
        <v>4161</v>
      </c>
      <c r="P3704" s="187">
        <v>45288.580231481501</v>
      </c>
      <c r="Q3704" s="186">
        <v>15134</v>
      </c>
      <c r="R3704" s="185" t="s">
        <v>1841</v>
      </c>
      <c r="S3704" s="185" t="s">
        <v>1578</v>
      </c>
      <c r="T3704"/>
      <c r="U3704" t="str">
        <f>IF($L3704&gt;0,VLOOKUP($E3704,Valida!$A$1:$G$270,6,FALSE),IF($M3704&gt;=0,VLOOKUP($E3704,Valida!$A$1:$G$270,7,FALSE)))</f>
        <v>(+/-) Ajustes por el incremento (disminución) de cuentas por pagar de origen comercial</v>
      </c>
      <c r="V3704" s="190" t="str">
        <f>VLOOKUP(E3704,Valida!$A$2:$K$271,4,FALSE)</f>
        <v>Trade and other payables</v>
      </c>
      <c r="W3704" s="185" t="s">
        <v>4162</v>
      </c>
      <c r="X3704" s="185" t="s">
        <v>4163</v>
      </c>
      <c r="Y3704" s="185" t="s">
        <v>4164</v>
      </c>
      <c r="Z3704"/>
    </row>
    <row r="3705" spans="1:26">
      <c r="A3705" s="185" t="s">
        <v>4158</v>
      </c>
      <c r="B3705" s="185" t="s">
        <v>4159</v>
      </c>
      <c r="C3705" s="185" t="s">
        <v>1792</v>
      </c>
      <c r="D3705" s="185" t="s">
        <v>2842</v>
      </c>
      <c r="E3705" s="185">
        <v>51952502</v>
      </c>
      <c r="F3705" s="185" t="s">
        <v>1414</v>
      </c>
      <c r="G3705" s="185" t="s">
        <v>4160</v>
      </c>
      <c r="H3705" s="185" t="s">
        <v>1515</v>
      </c>
      <c r="I3705" s="258" t="str">
        <f t="shared" si="172"/>
        <v>5</v>
      </c>
      <c r="J3705" s="221">
        <f t="shared" si="173"/>
        <v>25800</v>
      </c>
      <c r="K3705" s="258">
        <f t="shared" si="174"/>
        <v>12</v>
      </c>
      <c r="L3705" s="188">
        <v>25800</v>
      </c>
      <c r="M3705" s="188">
        <v>0</v>
      </c>
      <c r="N3705" s="189">
        <v>890900608</v>
      </c>
      <c r="O3705" t="s">
        <v>4161</v>
      </c>
      <c r="P3705" s="187">
        <v>45288.580231481501</v>
      </c>
      <c r="Q3705" s="186">
        <v>15135</v>
      </c>
      <c r="R3705" s="185" t="s">
        <v>1841</v>
      </c>
      <c r="S3705" s="185" t="s">
        <v>1578</v>
      </c>
      <c r="T3705"/>
      <c r="U3705" t="str">
        <f>IF($L3705&gt;0,VLOOKUP($E3705,Valida!$A$1:$G$270,6,FALSE),IF($M3705&gt;=0,VLOOKUP($E3705,Valida!$A$1:$G$270,7,FALSE)))</f>
        <v>(+/-) Ganancia (pérdida)</v>
      </c>
      <c r="V3705" s="190" t="str">
        <f>VLOOKUP(E3705,Valida!$A$2:$K$271,4,FALSE)</f>
        <v>P&amp;L</v>
      </c>
      <c r="W3705" s="185" t="s">
        <v>4162</v>
      </c>
      <c r="X3705" s="185" t="s">
        <v>4163</v>
      </c>
      <c r="Y3705" s="185" t="s">
        <v>4164</v>
      </c>
      <c r="Z3705"/>
    </row>
    <row r="3706" spans="1:26">
      <c r="A3706" s="185" t="s">
        <v>4158</v>
      </c>
      <c r="B3706" s="185" t="s">
        <v>4159</v>
      </c>
      <c r="C3706" s="185" t="s">
        <v>1792</v>
      </c>
      <c r="D3706" s="185" t="s">
        <v>2842</v>
      </c>
      <c r="E3706" s="185">
        <v>23359502</v>
      </c>
      <c r="F3706" s="185" t="s">
        <v>547</v>
      </c>
      <c r="G3706" s="185" t="s">
        <v>4160</v>
      </c>
      <c r="H3706" s="185" t="s">
        <v>1628</v>
      </c>
      <c r="I3706" s="258" t="str">
        <f t="shared" si="172"/>
        <v>2</v>
      </c>
      <c r="J3706" s="221">
        <f t="shared" si="173"/>
        <v>-1375650</v>
      </c>
      <c r="K3706" s="258">
        <f t="shared" si="174"/>
        <v>12</v>
      </c>
      <c r="L3706" s="188">
        <v>0</v>
      </c>
      <c r="M3706" s="188">
        <v>1375650</v>
      </c>
      <c r="N3706" s="189">
        <v>890900608</v>
      </c>
      <c r="O3706" t="s">
        <v>4161</v>
      </c>
      <c r="P3706" s="187">
        <v>45288.5802430556</v>
      </c>
      <c r="Q3706" s="186">
        <v>15136</v>
      </c>
      <c r="R3706" s="185" t="s">
        <v>1841</v>
      </c>
      <c r="S3706" s="185" t="s">
        <v>1578</v>
      </c>
      <c r="T3706"/>
      <c r="U3706" t="str">
        <f>IF($L3706&gt;0,VLOOKUP($E3706,Valida!$A$1:$G$270,6,FALSE),IF($M3706&gt;=0,VLOOKUP($E3706,Valida!$A$1:$G$270,7,FALSE)))</f>
        <v>(+/-) Ajustes por el incremento (disminución) de cuentas por pagar de origen comercial</v>
      </c>
      <c r="V3706" s="190" t="str">
        <f>VLOOKUP(E3706,Valida!$A$2:$K$271,4,FALSE)</f>
        <v>Trade and other payables</v>
      </c>
      <c r="W3706" s="185" t="s">
        <v>4162</v>
      </c>
      <c r="X3706" s="185" t="s">
        <v>4163</v>
      </c>
      <c r="Y3706" s="185" t="s">
        <v>4164</v>
      </c>
      <c r="Z3706"/>
    </row>
    <row r="3707" spans="1:26">
      <c r="A3707" s="185" t="s">
        <v>4158</v>
      </c>
      <c r="B3707" s="185" t="s">
        <v>4165</v>
      </c>
      <c r="C3707" s="185" t="s">
        <v>1792</v>
      </c>
      <c r="D3707" s="185" t="s">
        <v>2844</v>
      </c>
      <c r="E3707" s="185">
        <v>51952502</v>
      </c>
      <c r="F3707" s="185" t="s">
        <v>1414</v>
      </c>
      <c r="G3707" s="185" t="s">
        <v>4160</v>
      </c>
      <c r="H3707" s="185" t="s">
        <v>1515</v>
      </c>
      <c r="I3707" s="258" t="str">
        <f t="shared" si="172"/>
        <v>5</v>
      </c>
      <c r="J3707" s="221">
        <f t="shared" si="173"/>
        <v>1150252</v>
      </c>
      <c r="K3707" s="258">
        <f t="shared" si="174"/>
        <v>12</v>
      </c>
      <c r="L3707" s="188">
        <v>1150252</v>
      </c>
      <c r="M3707" s="188">
        <v>0</v>
      </c>
      <c r="N3707" s="189">
        <v>890900608</v>
      </c>
      <c r="O3707" t="s">
        <v>4166</v>
      </c>
      <c r="P3707" s="187">
        <v>45288.585752314801</v>
      </c>
      <c r="Q3707" s="186">
        <v>15137</v>
      </c>
      <c r="R3707" s="185" t="s">
        <v>1841</v>
      </c>
      <c r="S3707" s="185" t="s">
        <v>1578</v>
      </c>
      <c r="T3707"/>
      <c r="U3707" t="str">
        <f>IF($L3707&gt;0,VLOOKUP($E3707,Valida!$A$1:$G$270,6,FALSE),IF($M3707&gt;=0,VLOOKUP($E3707,Valida!$A$1:$G$270,7,FALSE)))</f>
        <v>(+/-) Ganancia (pérdida)</v>
      </c>
      <c r="V3707" s="190" t="str">
        <f>VLOOKUP(E3707,Valida!$A$2:$K$271,4,FALSE)</f>
        <v>P&amp;L</v>
      </c>
      <c r="W3707" s="185" t="s">
        <v>4162</v>
      </c>
      <c r="X3707" s="185" t="s">
        <v>4163</v>
      </c>
      <c r="Y3707" s="185" t="s">
        <v>4164</v>
      </c>
      <c r="Z3707"/>
    </row>
    <row r="3708" spans="1:26">
      <c r="A3708" s="185" t="s">
        <v>4158</v>
      </c>
      <c r="B3708" s="185" t="s">
        <v>4165</v>
      </c>
      <c r="C3708" s="185" t="s">
        <v>1792</v>
      </c>
      <c r="D3708" s="185" t="s">
        <v>2844</v>
      </c>
      <c r="E3708" s="185">
        <v>24081001</v>
      </c>
      <c r="F3708" s="185" t="s">
        <v>1670</v>
      </c>
      <c r="G3708" s="185" t="s">
        <v>4160</v>
      </c>
      <c r="H3708" s="185" t="s">
        <v>1515</v>
      </c>
      <c r="I3708" s="258" t="str">
        <f t="shared" si="172"/>
        <v>2</v>
      </c>
      <c r="J3708" s="221">
        <f t="shared" si="173"/>
        <v>218548</v>
      </c>
      <c r="K3708" s="258">
        <f t="shared" si="174"/>
        <v>12</v>
      </c>
      <c r="L3708" s="188">
        <v>218548</v>
      </c>
      <c r="M3708" s="188">
        <v>0</v>
      </c>
      <c r="N3708" s="189">
        <v>890900608</v>
      </c>
      <c r="O3708" t="s">
        <v>4166</v>
      </c>
      <c r="P3708" s="187">
        <v>45288.585752314801</v>
      </c>
      <c r="Q3708" s="186">
        <v>15138</v>
      </c>
      <c r="R3708" s="185" t="s">
        <v>1841</v>
      </c>
      <c r="S3708" s="185" t="s">
        <v>1578</v>
      </c>
      <c r="T3708"/>
      <c r="U3708" t="str">
        <f>IF($L3708&gt;0,VLOOKUP($E3708,Valida!$A$1:$G$270,6,FALSE),IF($M3708&gt;=0,VLOOKUP($E3708,Valida!$A$1:$G$270,7,FALSE)))</f>
        <v>(+/-) Ajustes por el incremento (disminución) de cuentas por pagar de origen comercial</v>
      </c>
      <c r="V3708" s="190" t="str">
        <f>VLOOKUP(E3708,Valida!$A$2:$K$271,4,FALSE)</f>
        <v>Trade and other payables</v>
      </c>
      <c r="W3708" s="185" t="s">
        <v>4162</v>
      </c>
      <c r="X3708" s="185" t="s">
        <v>4163</v>
      </c>
      <c r="Y3708" s="185" t="s">
        <v>4164</v>
      </c>
      <c r="Z3708"/>
    </row>
    <row r="3709" spans="1:26">
      <c r="A3709" s="185" t="s">
        <v>4158</v>
      </c>
      <c r="B3709" s="185" t="s">
        <v>4165</v>
      </c>
      <c r="C3709" s="185" t="s">
        <v>1792</v>
      </c>
      <c r="D3709" s="185" t="s">
        <v>2844</v>
      </c>
      <c r="E3709" s="185">
        <v>51952502</v>
      </c>
      <c r="F3709" s="185" t="s">
        <v>1414</v>
      </c>
      <c r="G3709" s="185" t="s">
        <v>4160</v>
      </c>
      <c r="H3709" s="185" t="s">
        <v>1515</v>
      </c>
      <c r="I3709" s="258" t="str">
        <f t="shared" si="172"/>
        <v>5</v>
      </c>
      <c r="J3709" s="221">
        <f t="shared" si="173"/>
        <v>410476</v>
      </c>
      <c r="K3709" s="258">
        <f t="shared" si="174"/>
        <v>12</v>
      </c>
      <c r="L3709" s="188">
        <v>410476</v>
      </c>
      <c r="M3709" s="188">
        <v>0</v>
      </c>
      <c r="N3709" s="189">
        <v>890900608</v>
      </c>
      <c r="O3709" t="s">
        <v>4166</v>
      </c>
      <c r="P3709" s="187">
        <v>45288.585763888899</v>
      </c>
      <c r="Q3709" s="186">
        <v>15139</v>
      </c>
      <c r="R3709" s="185" t="s">
        <v>1841</v>
      </c>
      <c r="S3709" s="185" t="s">
        <v>1578</v>
      </c>
      <c r="T3709"/>
      <c r="U3709" t="str">
        <f>IF($L3709&gt;0,VLOOKUP($E3709,Valida!$A$1:$G$270,6,FALSE),IF($M3709&gt;=0,VLOOKUP($E3709,Valida!$A$1:$G$270,7,FALSE)))</f>
        <v>(+/-) Ganancia (pérdida)</v>
      </c>
      <c r="V3709" s="190" t="str">
        <f>VLOOKUP(E3709,Valida!$A$2:$K$271,4,FALSE)</f>
        <v>P&amp;L</v>
      </c>
      <c r="W3709" s="185" t="s">
        <v>4162</v>
      </c>
      <c r="X3709" s="185" t="s">
        <v>4163</v>
      </c>
      <c r="Y3709" s="185" t="s">
        <v>4164</v>
      </c>
      <c r="Z3709"/>
    </row>
    <row r="3710" spans="1:26">
      <c r="A3710" s="185" t="s">
        <v>4158</v>
      </c>
      <c r="B3710" s="185" t="s">
        <v>4165</v>
      </c>
      <c r="C3710" s="185" t="s">
        <v>1792</v>
      </c>
      <c r="D3710" s="185" t="s">
        <v>2844</v>
      </c>
      <c r="E3710" s="185">
        <v>24081005</v>
      </c>
      <c r="F3710" s="185" t="s">
        <v>1688</v>
      </c>
      <c r="G3710" s="185" t="s">
        <v>4160</v>
      </c>
      <c r="H3710" s="185" t="s">
        <v>1515</v>
      </c>
      <c r="I3710" s="258" t="str">
        <f t="shared" si="172"/>
        <v>2</v>
      </c>
      <c r="J3710" s="221">
        <f t="shared" si="173"/>
        <v>20524</v>
      </c>
      <c r="K3710" s="258">
        <f t="shared" si="174"/>
        <v>12</v>
      </c>
      <c r="L3710" s="188">
        <v>20524</v>
      </c>
      <c r="M3710" s="188">
        <v>0</v>
      </c>
      <c r="N3710" s="189">
        <v>890900608</v>
      </c>
      <c r="O3710" t="s">
        <v>4166</v>
      </c>
      <c r="P3710" s="187">
        <v>45288.585763888899</v>
      </c>
      <c r="Q3710" s="186">
        <v>15140</v>
      </c>
      <c r="R3710" s="185" t="s">
        <v>1841</v>
      </c>
      <c r="S3710" s="185" t="s">
        <v>1578</v>
      </c>
      <c r="T3710"/>
      <c r="U3710" t="str">
        <f>IF($L3710&gt;0,VLOOKUP($E3710,Valida!$A$1:$G$270,6,FALSE),IF($M3710&gt;=0,VLOOKUP($E3710,Valida!$A$1:$G$270,7,FALSE)))</f>
        <v>(+/-) Ajustes por el incremento (disminución) de cuentas por pagar de origen comercial</v>
      </c>
      <c r="V3710" s="190" t="str">
        <f>VLOOKUP(E3710,Valida!$A$2:$K$271,4,FALSE)</f>
        <v>Trade and other payables</v>
      </c>
      <c r="W3710" s="185" t="s">
        <v>4162</v>
      </c>
      <c r="X3710" s="185" t="s">
        <v>4163</v>
      </c>
      <c r="Y3710" s="185" t="s">
        <v>4164</v>
      </c>
      <c r="Z3710"/>
    </row>
    <row r="3711" spans="1:26">
      <c r="A3711" s="185" t="s">
        <v>4158</v>
      </c>
      <c r="B3711" s="185" t="s">
        <v>4165</v>
      </c>
      <c r="C3711" s="185" t="s">
        <v>1792</v>
      </c>
      <c r="D3711" s="185" t="s">
        <v>2844</v>
      </c>
      <c r="E3711" s="185">
        <v>23359502</v>
      </c>
      <c r="F3711" s="185" t="s">
        <v>547</v>
      </c>
      <c r="G3711" s="185" t="s">
        <v>4160</v>
      </c>
      <c r="H3711" s="185" t="s">
        <v>1628</v>
      </c>
      <c r="I3711" s="258" t="str">
        <f t="shared" si="172"/>
        <v>2</v>
      </c>
      <c r="J3711" s="221">
        <f t="shared" si="173"/>
        <v>-1799800</v>
      </c>
      <c r="K3711" s="258">
        <f t="shared" si="174"/>
        <v>12</v>
      </c>
      <c r="L3711" s="188">
        <v>0</v>
      </c>
      <c r="M3711" s="188">
        <v>1799800</v>
      </c>
      <c r="N3711" s="189">
        <v>890900608</v>
      </c>
      <c r="O3711" t="s">
        <v>4166</v>
      </c>
      <c r="P3711" s="187">
        <v>45288.585763888899</v>
      </c>
      <c r="Q3711" s="186">
        <v>15141</v>
      </c>
      <c r="R3711" s="185" t="s">
        <v>1841</v>
      </c>
      <c r="S3711" s="185" t="s">
        <v>1578</v>
      </c>
      <c r="T3711"/>
      <c r="U3711" t="str">
        <f>IF($L3711&gt;0,VLOOKUP($E3711,Valida!$A$1:$G$270,6,FALSE),IF($M3711&gt;=0,VLOOKUP($E3711,Valida!$A$1:$G$270,7,FALSE)))</f>
        <v>(+/-) Ajustes por el incremento (disminución) de cuentas por pagar de origen comercial</v>
      </c>
      <c r="V3711" s="190" t="str">
        <f>VLOOKUP(E3711,Valida!$A$2:$K$271,4,FALSE)</f>
        <v>Trade and other payables</v>
      </c>
      <c r="W3711" s="185" t="s">
        <v>4162</v>
      </c>
      <c r="X3711" s="185" t="s">
        <v>4163</v>
      </c>
      <c r="Y3711" s="185" t="s">
        <v>4164</v>
      </c>
      <c r="Z3711"/>
    </row>
    <row r="3712" spans="1:26">
      <c r="A3712" s="185" t="s">
        <v>4158</v>
      </c>
      <c r="B3712" s="185" t="s">
        <v>4167</v>
      </c>
      <c r="C3712" s="185" t="s">
        <v>1890</v>
      </c>
      <c r="D3712" s="185" t="s">
        <v>4168</v>
      </c>
      <c r="E3712" s="185">
        <v>23359502</v>
      </c>
      <c r="F3712" s="185" t="s">
        <v>547</v>
      </c>
      <c r="G3712" s="185" t="s">
        <v>1921</v>
      </c>
      <c r="H3712" s="185" t="s">
        <v>1515</v>
      </c>
      <c r="I3712" s="258" t="str">
        <f t="shared" si="172"/>
        <v>2</v>
      </c>
      <c r="J3712" s="221">
        <f t="shared" si="173"/>
        <v>1799800</v>
      </c>
      <c r="K3712" s="258">
        <f t="shared" si="174"/>
        <v>12</v>
      </c>
      <c r="L3712" s="188">
        <v>1799800</v>
      </c>
      <c r="M3712" s="188">
        <v>0</v>
      </c>
      <c r="N3712" s="189">
        <v>890900608</v>
      </c>
      <c r="O3712"/>
      <c r="P3712" s="187">
        <v>45288.603379629603</v>
      </c>
      <c r="Q3712" s="186">
        <v>15142</v>
      </c>
      <c r="R3712" s="185" t="s">
        <v>1841</v>
      </c>
      <c r="S3712" s="185" t="s">
        <v>1578</v>
      </c>
      <c r="T3712"/>
      <c r="U3712" t="str">
        <f>IF($L3712&gt;0,VLOOKUP($E3712,Valida!$A$1:$G$270,6,FALSE),IF($M3712&gt;=0,VLOOKUP($E3712,Valida!$A$1:$G$270,7,FALSE)))</f>
        <v>(+/-) Ajustes por el incremento (disminución) de cuentas por pagar de origen comercial</v>
      </c>
      <c r="V3712" s="190" t="str">
        <f>VLOOKUP(E3712,Valida!$A$2:$K$271,4,FALSE)</f>
        <v>Trade and other payables</v>
      </c>
      <c r="W3712" s="185" t="s">
        <v>4162</v>
      </c>
      <c r="X3712" s="185" t="s">
        <v>4163</v>
      </c>
      <c r="Y3712" s="185" t="s">
        <v>4164</v>
      </c>
      <c r="Z3712"/>
    </row>
    <row r="3713" spans="1:26">
      <c r="A3713" s="185" t="s">
        <v>4158</v>
      </c>
      <c r="B3713" s="185" t="s">
        <v>4167</v>
      </c>
      <c r="C3713" s="185" t="s">
        <v>1890</v>
      </c>
      <c r="D3713" s="185" t="s">
        <v>4168</v>
      </c>
      <c r="E3713" s="185">
        <v>112005</v>
      </c>
      <c r="F3713" s="185" t="s">
        <v>24</v>
      </c>
      <c r="G3713" s="185" t="s">
        <v>1921</v>
      </c>
      <c r="H3713" s="185" t="s">
        <v>1628</v>
      </c>
      <c r="I3713" s="258" t="str">
        <f t="shared" si="172"/>
        <v>1</v>
      </c>
      <c r="J3713" s="221">
        <f t="shared" si="173"/>
        <v>-1799800</v>
      </c>
      <c r="K3713" s="258">
        <f t="shared" si="174"/>
        <v>12</v>
      </c>
      <c r="L3713" s="188">
        <v>0</v>
      </c>
      <c r="M3713" s="188">
        <v>1799800</v>
      </c>
      <c r="N3713" s="189">
        <v>890900608</v>
      </c>
      <c r="O3713"/>
      <c r="P3713" s="187">
        <v>45288.603391203702</v>
      </c>
      <c r="Q3713" s="186">
        <v>15143</v>
      </c>
      <c r="R3713" s="185" t="s">
        <v>1841</v>
      </c>
      <c r="S3713" s="185" t="s">
        <v>1578</v>
      </c>
      <c r="T3713" t="s">
        <v>1894</v>
      </c>
      <c r="U3713" t="str">
        <f>IF($L3713&gt;0,VLOOKUP($E3713,Valida!$A$1:$G$270,6,FALSE),IF($M3713&gt;=0,VLOOKUP($E3713,Valida!$A$1:$G$270,7,FALSE)))</f>
        <v>Disponible</v>
      </c>
      <c r="V3713" s="190" t="str">
        <f>VLOOKUP(E3713,Valida!$A$2:$K$271,4,FALSE)</f>
        <v>Cash and equivalents</v>
      </c>
      <c r="W3713" s="185" t="s">
        <v>4162</v>
      </c>
      <c r="X3713" s="185" t="s">
        <v>4163</v>
      </c>
      <c r="Y3713" s="185" t="s">
        <v>4164</v>
      </c>
      <c r="Z3713"/>
    </row>
    <row r="3714" spans="1:26">
      <c r="A3714" s="185" t="s">
        <v>4158</v>
      </c>
      <c r="B3714" s="185" t="s">
        <v>4169</v>
      </c>
      <c r="C3714" s="185" t="s">
        <v>1890</v>
      </c>
      <c r="D3714" s="185" t="s">
        <v>4170</v>
      </c>
      <c r="E3714" s="185">
        <v>23359502</v>
      </c>
      <c r="F3714" s="185" t="s">
        <v>547</v>
      </c>
      <c r="G3714" s="185" t="s">
        <v>1921</v>
      </c>
      <c r="H3714" s="185" t="s">
        <v>1515</v>
      </c>
      <c r="I3714" s="258" t="str">
        <f t="shared" si="172"/>
        <v>2</v>
      </c>
      <c r="J3714" s="221">
        <f t="shared" si="173"/>
        <v>1375650</v>
      </c>
      <c r="K3714" s="258">
        <f t="shared" si="174"/>
        <v>12</v>
      </c>
      <c r="L3714" s="188">
        <v>1375650</v>
      </c>
      <c r="M3714" s="188">
        <v>0</v>
      </c>
      <c r="N3714" s="189">
        <v>890900608</v>
      </c>
      <c r="O3714"/>
      <c r="P3714" s="187">
        <v>45288.603703703702</v>
      </c>
      <c r="Q3714" s="186">
        <v>15144</v>
      </c>
      <c r="R3714" s="185" t="s">
        <v>1841</v>
      </c>
      <c r="S3714" s="185" t="s">
        <v>1578</v>
      </c>
      <c r="T3714"/>
      <c r="U3714" t="str">
        <f>IF($L3714&gt;0,VLOOKUP($E3714,Valida!$A$1:$G$270,6,FALSE),IF($M3714&gt;=0,VLOOKUP($E3714,Valida!$A$1:$G$270,7,FALSE)))</f>
        <v>(+/-) Ajustes por el incremento (disminución) de cuentas por pagar de origen comercial</v>
      </c>
      <c r="V3714" s="190" t="str">
        <f>VLOOKUP(E3714,Valida!$A$2:$K$271,4,FALSE)</f>
        <v>Trade and other payables</v>
      </c>
      <c r="W3714" s="185" t="s">
        <v>4162</v>
      </c>
      <c r="X3714" s="185" t="s">
        <v>4163</v>
      </c>
      <c r="Y3714" s="185" t="s">
        <v>4164</v>
      </c>
      <c r="Z3714"/>
    </row>
    <row r="3715" spans="1:26">
      <c r="A3715" s="185" t="s">
        <v>4158</v>
      </c>
      <c r="B3715" s="185" t="s">
        <v>4169</v>
      </c>
      <c r="C3715" s="185" t="s">
        <v>1890</v>
      </c>
      <c r="D3715" s="185" t="s">
        <v>4170</v>
      </c>
      <c r="E3715" s="185">
        <v>112005</v>
      </c>
      <c r="F3715" s="185" t="s">
        <v>24</v>
      </c>
      <c r="G3715" s="185" t="s">
        <v>1921</v>
      </c>
      <c r="H3715" s="185" t="s">
        <v>1628</v>
      </c>
      <c r="I3715" s="258" t="str">
        <f t="shared" ref="I3715:I3778" si="175">LEFT(E3715,1)</f>
        <v>1</v>
      </c>
      <c r="J3715" s="221">
        <f t="shared" ref="J3715:J3778" si="176">L3715-M3715</f>
        <v>-1375650</v>
      </c>
      <c r="K3715" s="258">
        <f t="shared" ref="K3715:K3778" si="177">MONTH(A3715)</f>
        <v>12</v>
      </c>
      <c r="L3715" s="188">
        <v>0</v>
      </c>
      <c r="M3715" s="188">
        <v>1375650</v>
      </c>
      <c r="N3715" s="189">
        <v>890900608</v>
      </c>
      <c r="O3715"/>
      <c r="P3715" s="187">
        <v>45288.603703703702</v>
      </c>
      <c r="Q3715" s="186">
        <v>15145</v>
      </c>
      <c r="R3715" s="185" t="s">
        <v>1841</v>
      </c>
      <c r="S3715" s="185" t="s">
        <v>1578</v>
      </c>
      <c r="T3715" t="s">
        <v>1894</v>
      </c>
      <c r="U3715" t="str">
        <f>IF($L3715&gt;0,VLOOKUP($E3715,Valida!$A$1:$G$270,6,FALSE),IF($M3715&gt;=0,VLOOKUP($E3715,Valida!$A$1:$G$270,7,FALSE)))</f>
        <v>Disponible</v>
      </c>
      <c r="V3715" s="190" t="str">
        <f>VLOOKUP(E3715,Valida!$A$2:$K$271,4,FALSE)</f>
        <v>Cash and equivalents</v>
      </c>
      <c r="W3715" s="185" t="s">
        <v>4162</v>
      </c>
      <c r="X3715" s="185" t="s">
        <v>4163</v>
      </c>
      <c r="Y3715" s="185" t="s">
        <v>4164</v>
      </c>
      <c r="Z3715"/>
    </row>
    <row r="3716" spans="1:26">
      <c r="A3716" s="185" t="s">
        <v>3932</v>
      </c>
      <c r="B3716" s="185" t="s">
        <v>4171</v>
      </c>
      <c r="C3716" s="185" t="s">
        <v>1952</v>
      </c>
      <c r="D3716" s="185" t="s">
        <v>3874</v>
      </c>
      <c r="E3716" s="185">
        <v>53050501</v>
      </c>
      <c r="F3716" s="185" t="s">
        <v>1462</v>
      </c>
      <c r="G3716" s="185" t="s">
        <v>1954</v>
      </c>
      <c r="H3716" s="185" t="s">
        <v>1515</v>
      </c>
      <c r="I3716" s="258" t="str">
        <f t="shared" si="175"/>
        <v>5</v>
      </c>
      <c r="J3716" s="221">
        <f t="shared" si="176"/>
        <v>69200</v>
      </c>
      <c r="K3716" s="258">
        <f t="shared" si="177"/>
        <v>12</v>
      </c>
      <c r="L3716" s="188">
        <v>69200</v>
      </c>
      <c r="M3716" s="188">
        <v>0</v>
      </c>
      <c r="N3716" s="189">
        <v>890903938</v>
      </c>
      <c r="O3716"/>
      <c r="P3716" s="187">
        <v>45288.607476851903</v>
      </c>
      <c r="Q3716" s="186">
        <v>15146</v>
      </c>
      <c r="R3716" s="185" t="s">
        <v>1827</v>
      </c>
      <c r="S3716" s="185" t="s">
        <v>1580</v>
      </c>
      <c r="T3716"/>
      <c r="U3716" t="str">
        <f>IF($L3716&gt;0,VLOOKUP($E3716,Valida!$A$1:$G$270,6,FALSE),IF($M3716&gt;=0,VLOOKUP($E3716,Valida!$A$1:$G$270,7,FALSE)))</f>
        <v>(+/-) Ganancia (pérdida)</v>
      </c>
      <c r="V3716" s="190" t="str">
        <f>VLOOKUP(E3716,Valida!$A$2:$K$271,4,FALSE)</f>
        <v>P&amp;L</v>
      </c>
      <c r="W3716" s="185" t="s">
        <v>1955</v>
      </c>
      <c r="X3716" s="185"/>
      <c r="Y3716" s="185" t="s">
        <v>1844</v>
      </c>
      <c r="Z3716"/>
    </row>
    <row r="3717" spans="1:26">
      <c r="A3717" s="185" t="s">
        <v>3932</v>
      </c>
      <c r="B3717" s="185" t="s">
        <v>4171</v>
      </c>
      <c r="C3717" s="185" t="s">
        <v>1952</v>
      </c>
      <c r="D3717" s="185" t="s">
        <v>3874</v>
      </c>
      <c r="E3717" s="185">
        <v>24081002</v>
      </c>
      <c r="F3717" s="185" t="s">
        <v>1687</v>
      </c>
      <c r="G3717" s="185" t="s">
        <v>1954</v>
      </c>
      <c r="H3717" s="185" t="s">
        <v>1515</v>
      </c>
      <c r="I3717" s="258" t="str">
        <f t="shared" si="175"/>
        <v>2</v>
      </c>
      <c r="J3717" s="221">
        <f t="shared" si="176"/>
        <v>13148</v>
      </c>
      <c r="K3717" s="258">
        <f t="shared" si="177"/>
        <v>12</v>
      </c>
      <c r="L3717" s="188">
        <v>13148</v>
      </c>
      <c r="M3717" s="188">
        <v>0</v>
      </c>
      <c r="N3717" s="189">
        <v>890903938</v>
      </c>
      <c r="O3717"/>
      <c r="P3717" s="187">
        <v>45288.607476851903</v>
      </c>
      <c r="Q3717" s="186">
        <v>15147</v>
      </c>
      <c r="R3717" s="185" t="s">
        <v>1827</v>
      </c>
      <c r="S3717" s="185" t="s">
        <v>1580</v>
      </c>
      <c r="T3717"/>
      <c r="U3717" t="str">
        <f>IF($L3717&gt;0,VLOOKUP($E3717,Valida!$A$1:$G$270,6,FALSE),IF($M3717&gt;=0,VLOOKUP($E3717,Valida!$A$1:$G$270,7,FALSE)))</f>
        <v>(+/-) Ajustes por el incremento (disminución) de cuentas por pagar de origen comercial</v>
      </c>
      <c r="V3717" s="190" t="str">
        <f>VLOOKUP(E3717,Valida!$A$2:$K$271,4,FALSE)</f>
        <v>Trade and other payables</v>
      </c>
      <c r="W3717" s="185" t="s">
        <v>1955</v>
      </c>
      <c r="X3717" s="185"/>
      <c r="Y3717" s="185" t="s">
        <v>1844</v>
      </c>
      <c r="Z3717"/>
    </row>
    <row r="3718" spans="1:26">
      <c r="A3718" s="185" t="s">
        <v>3932</v>
      </c>
      <c r="B3718" s="185" t="s">
        <v>4171</v>
      </c>
      <c r="C3718" s="185" t="s">
        <v>1952</v>
      </c>
      <c r="D3718" s="185" t="s">
        <v>3874</v>
      </c>
      <c r="E3718" s="185">
        <v>112005</v>
      </c>
      <c r="F3718" s="185" t="s">
        <v>24</v>
      </c>
      <c r="G3718" s="185" t="s">
        <v>1954</v>
      </c>
      <c r="H3718" s="185" t="s">
        <v>1628</v>
      </c>
      <c r="I3718" s="258" t="str">
        <f t="shared" si="175"/>
        <v>1</v>
      </c>
      <c r="J3718" s="221">
        <f t="shared" si="176"/>
        <v>-82348</v>
      </c>
      <c r="K3718" s="258">
        <f t="shared" si="177"/>
        <v>12</v>
      </c>
      <c r="L3718" s="188">
        <v>0</v>
      </c>
      <c r="M3718" s="188">
        <v>82348</v>
      </c>
      <c r="N3718" s="189">
        <v>890903938</v>
      </c>
      <c r="O3718"/>
      <c r="P3718" s="187">
        <v>45288.607476851903</v>
      </c>
      <c r="Q3718" s="186">
        <v>15148</v>
      </c>
      <c r="R3718" s="185" t="s">
        <v>1827</v>
      </c>
      <c r="S3718" s="185" t="s">
        <v>1580</v>
      </c>
      <c r="T3718" t="s">
        <v>1894</v>
      </c>
      <c r="U3718" t="str">
        <f>IF($L3718&gt;0,VLOOKUP($E3718,Valida!$A$1:$G$270,6,FALSE),IF($M3718&gt;=0,VLOOKUP($E3718,Valida!$A$1:$G$270,7,FALSE)))</f>
        <v>Disponible</v>
      </c>
      <c r="V3718" s="190" t="str">
        <f>VLOOKUP(E3718,Valida!$A$2:$K$271,4,FALSE)</f>
        <v>Cash and equivalents</v>
      </c>
      <c r="W3718" s="185" t="s">
        <v>1955</v>
      </c>
      <c r="X3718" s="185"/>
      <c r="Y3718" s="185" t="s">
        <v>1844</v>
      </c>
      <c r="Z3718"/>
    </row>
    <row r="3719" spans="1:26">
      <c r="A3719" s="185" t="s">
        <v>3932</v>
      </c>
      <c r="B3719" s="185" t="s">
        <v>4171</v>
      </c>
      <c r="C3719" s="185" t="s">
        <v>1952</v>
      </c>
      <c r="D3719" s="185" t="s">
        <v>3874</v>
      </c>
      <c r="E3719" s="185">
        <v>53050503</v>
      </c>
      <c r="F3719" s="185" t="s">
        <v>1468</v>
      </c>
      <c r="G3719" s="185" t="s">
        <v>1957</v>
      </c>
      <c r="H3719" s="185" t="s">
        <v>1515</v>
      </c>
      <c r="I3719" s="258" t="str">
        <f t="shared" si="175"/>
        <v>5</v>
      </c>
      <c r="J3719" s="221">
        <f t="shared" si="176"/>
        <v>137760</v>
      </c>
      <c r="K3719" s="258">
        <f t="shared" si="177"/>
        <v>12</v>
      </c>
      <c r="L3719" s="188">
        <v>137760</v>
      </c>
      <c r="M3719" s="188">
        <v>0</v>
      </c>
      <c r="N3719" s="189">
        <v>890903938</v>
      </c>
      <c r="O3719"/>
      <c r="P3719" s="187">
        <v>45288.607476851903</v>
      </c>
      <c r="Q3719" s="186">
        <v>15149</v>
      </c>
      <c r="R3719" s="185" t="s">
        <v>1827</v>
      </c>
      <c r="S3719" s="185" t="s">
        <v>1580</v>
      </c>
      <c r="T3719"/>
      <c r="U3719" t="str">
        <f>IF($L3719&gt;0,VLOOKUP($E3719,Valida!$A$1:$G$270,6,FALSE),IF($M3719&gt;=0,VLOOKUP($E3719,Valida!$A$1:$G$270,7,FALSE)))</f>
        <v>(+/-) Ganancia (pérdida)</v>
      </c>
      <c r="V3719" s="190" t="str">
        <f>VLOOKUP(E3719,Valida!$A$2:$K$271,4,FALSE)</f>
        <v>P&amp;L</v>
      </c>
      <c r="W3719" s="185" t="s">
        <v>1955</v>
      </c>
      <c r="X3719" s="185"/>
      <c r="Y3719" s="185" t="s">
        <v>1844</v>
      </c>
      <c r="Z3719"/>
    </row>
    <row r="3720" spans="1:26">
      <c r="A3720" s="185" t="s">
        <v>3932</v>
      </c>
      <c r="B3720" s="185" t="s">
        <v>4171</v>
      </c>
      <c r="C3720" s="185" t="s">
        <v>1952</v>
      </c>
      <c r="D3720" s="185" t="s">
        <v>3874</v>
      </c>
      <c r="E3720" s="185">
        <v>24081002</v>
      </c>
      <c r="F3720" s="185" t="s">
        <v>1687</v>
      </c>
      <c r="G3720" s="185" t="s">
        <v>1687</v>
      </c>
      <c r="H3720" s="185" t="s">
        <v>1515</v>
      </c>
      <c r="I3720" s="258" t="str">
        <f t="shared" si="175"/>
        <v>2</v>
      </c>
      <c r="J3720" s="221">
        <f t="shared" si="176"/>
        <v>26174.400000000001</v>
      </c>
      <c r="K3720" s="258">
        <f t="shared" si="177"/>
        <v>12</v>
      </c>
      <c r="L3720" s="188">
        <v>26174.400000000001</v>
      </c>
      <c r="M3720" s="188">
        <v>0</v>
      </c>
      <c r="N3720" s="189">
        <v>890903938</v>
      </c>
      <c r="O3720"/>
      <c r="P3720" s="187">
        <v>45288.607476851903</v>
      </c>
      <c r="Q3720" s="186">
        <v>15150</v>
      </c>
      <c r="R3720" s="185" t="s">
        <v>1827</v>
      </c>
      <c r="S3720" s="185" t="s">
        <v>1580</v>
      </c>
      <c r="T3720"/>
      <c r="U3720" t="str">
        <f>IF($L3720&gt;0,VLOOKUP($E3720,Valida!$A$1:$G$270,6,FALSE),IF($M3720&gt;=0,VLOOKUP($E3720,Valida!$A$1:$G$270,7,FALSE)))</f>
        <v>(+/-) Ajustes por el incremento (disminución) de cuentas por pagar de origen comercial</v>
      </c>
      <c r="V3720" s="190" t="str">
        <f>VLOOKUP(E3720,Valida!$A$2:$K$271,4,FALSE)</f>
        <v>Trade and other payables</v>
      </c>
      <c r="W3720" s="185" t="s">
        <v>1955</v>
      </c>
      <c r="X3720" s="185"/>
      <c r="Y3720" s="185" t="s">
        <v>1844</v>
      </c>
      <c r="Z3720"/>
    </row>
    <row r="3721" spans="1:26">
      <c r="A3721" s="185" t="s">
        <v>3932</v>
      </c>
      <c r="B3721" s="185" t="s">
        <v>4171</v>
      </c>
      <c r="C3721" s="185" t="s">
        <v>1952</v>
      </c>
      <c r="D3721" s="185" t="s">
        <v>3874</v>
      </c>
      <c r="E3721" s="185">
        <v>112005</v>
      </c>
      <c r="F3721" s="185" t="s">
        <v>24</v>
      </c>
      <c r="G3721" s="185" t="s">
        <v>1957</v>
      </c>
      <c r="H3721" s="185" t="s">
        <v>1628</v>
      </c>
      <c r="I3721" s="258" t="str">
        <f t="shared" si="175"/>
        <v>1</v>
      </c>
      <c r="J3721" s="221">
        <f t="shared" si="176"/>
        <v>-163934.39999999999</v>
      </c>
      <c r="K3721" s="258">
        <f t="shared" si="177"/>
        <v>12</v>
      </c>
      <c r="L3721" s="188">
        <v>0</v>
      </c>
      <c r="M3721" s="188">
        <v>163934.39999999999</v>
      </c>
      <c r="N3721" s="189">
        <v>890903938</v>
      </c>
      <c r="O3721"/>
      <c r="P3721" s="187">
        <v>45288.607476851903</v>
      </c>
      <c r="Q3721" s="186">
        <v>15151</v>
      </c>
      <c r="R3721" s="185" t="s">
        <v>1827</v>
      </c>
      <c r="S3721" s="185" t="s">
        <v>1580</v>
      </c>
      <c r="T3721" t="s">
        <v>1894</v>
      </c>
      <c r="U3721" t="str">
        <f>IF($L3721&gt;0,VLOOKUP($E3721,Valida!$A$1:$G$270,6,FALSE),IF($M3721&gt;=0,VLOOKUP($E3721,Valida!$A$1:$G$270,7,FALSE)))</f>
        <v>Disponible</v>
      </c>
      <c r="V3721" s="190" t="str">
        <f>VLOOKUP(E3721,Valida!$A$2:$K$271,4,FALSE)</f>
        <v>Cash and equivalents</v>
      </c>
      <c r="W3721" s="185" t="s">
        <v>1955</v>
      </c>
      <c r="X3721" s="185"/>
      <c r="Y3721" s="185" t="s">
        <v>1844</v>
      </c>
      <c r="Z3721"/>
    </row>
    <row r="3722" spans="1:26">
      <c r="A3722" s="185" t="s">
        <v>3932</v>
      </c>
      <c r="B3722" s="185" t="s">
        <v>4171</v>
      </c>
      <c r="C3722" s="185" t="s">
        <v>1952</v>
      </c>
      <c r="D3722" s="185" t="s">
        <v>3874</v>
      </c>
      <c r="E3722" s="185">
        <v>53050502</v>
      </c>
      <c r="F3722" s="185" t="s">
        <v>1465</v>
      </c>
      <c r="G3722" s="185" t="s">
        <v>1466</v>
      </c>
      <c r="H3722" s="185" t="s">
        <v>1515</v>
      </c>
      <c r="I3722" s="258" t="str">
        <f t="shared" si="175"/>
        <v>5</v>
      </c>
      <c r="J3722" s="221">
        <f t="shared" si="176"/>
        <v>14190</v>
      </c>
      <c r="K3722" s="258">
        <f t="shared" si="177"/>
        <v>12</v>
      </c>
      <c r="L3722" s="188">
        <v>14190</v>
      </c>
      <c r="M3722" s="188">
        <v>0</v>
      </c>
      <c r="N3722" s="189">
        <v>890903938</v>
      </c>
      <c r="O3722"/>
      <c r="P3722" s="187">
        <v>45288.6074884259</v>
      </c>
      <c r="Q3722" s="186">
        <v>15152</v>
      </c>
      <c r="R3722" s="185" t="s">
        <v>1827</v>
      </c>
      <c r="S3722" s="185" t="s">
        <v>1580</v>
      </c>
      <c r="T3722"/>
      <c r="U3722" t="str">
        <f>IF($L3722&gt;0,VLOOKUP($E3722,Valida!$A$1:$G$270,6,FALSE),IF($M3722&gt;=0,VLOOKUP($E3722,Valida!$A$1:$G$270,7,FALSE)))</f>
        <v>(+/-) Ganancia (pérdida)</v>
      </c>
      <c r="V3722" s="190" t="str">
        <f>VLOOKUP(E3722,Valida!$A$2:$K$271,4,FALSE)</f>
        <v>P&amp;L</v>
      </c>
      <c r="W3722" s="185" t="s">
        <v>1955</v>
      </c>
      <c r="X3722" s="185"/>
      <c r="Y3722" s="185" t="s">
        <v>1844</v>
      </c>
      <c r="Z3722"/>
    </row>
    <row r="3723" spans="1:26">
      <c r="A3723" s="185" t="s">
        <v>3932</v>
      </c>
      <c r="B3723" s="185" t="s">
        <v>4171</v>
      </c>
      <c r="C3723" s="185" t="s">
        <v>1952</v>
      </c>
      <c r="D3723" s="185" t="s">
        <v>3874</v>
      </c>
      <c r="E3723" s="185">
        <v>112005</v>
      </c>
      <c r="F3723" s="185" t="s">
        <v>24</v>
      </c>
      <c r="G3723" s="185" t="s">
        <v>1466</v>
      </c>
      <c r="H3723" s="185" t="s">
        <v>1628</v>
      </c>
      <c r="I3723" s="258" t="str">
        <f t="shared" si="175"/>
        <v>1</v>
      </c>
      <c r="J3723" s="221">
        <f t="shared" si="176"/>
        <v>-14190</v>
      </c>
      <c r="K3723" s="258">
        <f t="shared" si="177"/>
        <v>12</v>
      </c>
      <c r="L3723" s="188">
        <v>0</v>
      </c>
      <c r="M3723" s="188">
        <v>14190</v>
      </c>
      <c r="N3723" s="189">
        <v>890903938</v>
      </c>
      <c r="O3723"/>
      <c r="P3723" s="187">
        <v>45288.6074884259</v>
      </c>
      <c r="Q3723" s="186">
        <v>15153</v>
      </c>
      <c r="R3723" s="185" t="s">
        <v>1827</v>
      </c>
      <c r="S3723" s="185" t="s">
        <v>1580</v>
      </c>
      <c r="T3723" t="s">
        <v>1894</v>
      </c>
      <c r="U3723" t="str">
        <f>IF($L3723&gt;0,VLOOKUP($E3723,Valida!$A$1:$G$270,6,FALSE),IF($M3723&gt;=0,VLOOKUP($E3723,Valida!$A$1:$G$270,7,FALSE)))</f>
        <v>Disponible</v>
      </c>
      <c r="V3723" s="190" t="str">
        <f>VLOOKUP(E3723,Valida!$A$2:$K$271,4,FALSE)</f>
        <v>Cash and equivalents</v>
      </c>
      <c r="W3723" s="185" t="s">
        <v>1955</v>
      </c>
      <c r="X3723" s="185"/>
      <c r="Y3723" s="185" t="s">
        <v>1844</v>
      </c>
      <c r="Z3723"/>
    </row>
    <row r="3724" spans="1:26">
      <c r="A3724" s="185" t="s">
        <v>3932</v>
      </c>
      <c r="B3724" s="185" t="s">
        <v>4171</v>
      </c>
      <c r="C3724" s="185" t="s">
        <v>1952</v>
      </c>
      <c r="D3724" s="185" t="s">
        <v>3874</v>
      </c>
      <c r="E3724" s="185">
        <v>51159501</v>
      </c>
      <c r="F3724" s="185" t="s">
        <v>1181</v>
      </c>
      <c r="G3724" s="185" t="s">
        <v>1958</v>
      </c>
      <c r="H3724" s="185" t="s">
        <v>1515</v>
      </c>
      <c r="I3724" s="258" t="str">
        <f t="shared" si="175"/>
        <v>5</v>
      </c>
      <c r="J3724" s="221">
        <f t="shared" si="176"/>
        <v>319991.17</v>
      </c>
      <c r="K3724" s="258">
        <f t="shared" si="177"/>
        <v>12</v>
      </c>
      <c r="L3724" s="188">
        <v>319991.17</v>
      </c>
      <c r="M3724" s="188">
        <v>0</v>
      </c>
      <c r="N3724" s="189">
        <v>890903938</v>
      </c>
      <c r="O3724"/>
      <c r="P3724" s="187">
        <v>45288.6074884259</v>
      </c>
      <c r="Q3724" s="186">
        <v>15154</v>
      </c>
      <c r="R3724" s="185" t="s">
        <v>1827</v>
      </c>
      <c r="S3724" s="185" t="s">
        <v>1580</v>
      </c>
      <c r="T3724"/>
      <c r="U3724" t="str">
        <f>IF($L3724&gt;0,VLOOKUP($E3724,Valida!$A$1:$G$270,6,FALSE),IF($M3724&gt;=0,VLOOKUP($E3724,Valida!$A$1:$G$270,7,FALSE)))</f>
        <v>(+/-) Ganancia (pérdida)</v>
      </c>
      <c r="V3724" s="190" t="str">
        <f>VLOOKUP(E3724,Valida!$A$2:$K$271,4,FALSE)</f>
        <v>P&amp;L</v>
      </c>
      <c r="W3724" s="185" t="s">
        <v>1955</v>
      </c>
      <c r="X3724" s="185"/>
      <c r="Y3724" s="185" t="s">
        <v>1844</v>
      </c>
      <c r="Z3724"/>
    </row>
    <row r="3725" spans="1:26">
      <c r="A3725" s="185" t="s">
        <v>3932</v>
      </c>
      <c r="B3725" s="185" t="s">
        <v>4171</v>
      </c>
      <c r="C3725" s="185" t="s">
        <v>1952</v>
      </c>
      <c r="D3725" s="185" t="s">
        <v>3874</v>
      </c>
      <c r="E3725" s="185">
        <v>112005</v>
      </c>
      <c r="F3725" s="185" t="s">
        <v>24</v>
      </c>
      <c r="G3725" s="185" t="s">
        <v>1958</v>
      </c>
      <c r="H3725" s="185" t="s">
        <v>1628</v>
      </c>
      <c r="I3725" s="258" t="str">
        <f t="shared" si="175"/>
        <v>1</v>
      </c>
      <c r="J3725" s="221">
        <f t="shared" si="176"/>
        <v>-319991.17</v>
      </c>
      <c r="K3725" s="258">
        <f t="shared" si="177"/>
        <v>12</v>
      </c>
      <c r="L3725" s="188">
        <v>0</v>
      </c>
      <c r="M3725" s="188">
        <v>319991.17</v>
      </c>
      <c r="N3725" s="189">
        <v>890903938</v>
      </c>
      <c r="O3725"/>
      <c r="P3725" s="187">
        <v>45288.6074884259</v>
      </c>
      <c r="Q3725" s="186">
        <v>15155</v>
      </c>
      <c r="R3725" s="185" t="s">
        <v>1827</v>
      </c>
      <c r="S3725" s="185" t="s">
        <v>1580</v>
      </c>
      <c r="T3725" t="s">
        <v>1894</v>
      </c>
      <c r="U3725" t="str">
        <f>IF($L3725&gt;0,VLOOKUP($E3725,Valida!$A$1:$G$270,6,FALSE),IF($M3725&gt;=0,VLOOKUP($E3725,Valida!$A$1:$G$270,7,FALSE)))</f>
        <v>Disponible</v>
      </c>
      <c r="V3725" s="190" t="str">
        <f>VLOOKUP(E3725,Valida!$A$2:$K$271,4,FALSE)</f>
        <v>Cash and equivalents</v>
      </c>
      <c r="W3725" s="185" t="s">
        <v>1955</v>
      </c>
      <c r="X3725" s="185"/>
      <c r="Y3725" s="185" t="s">
        <v>1844</v>
      </c>
      <c r="Z3725"/>
    </row>
    <row r="3726" spans="1:26">
      <c r="A3726" s="185" t="s">
        <v>3932</v>
      </c>
      <c r="B3726" s="185" t="s">
        <v>4172</v>
      </c>
      <c r="C3726" s="185" t="s">
        <v>1960</v>
      </c>
      <c r="D3726" s="185" t="s">
        <v>4173</v>
      </c>
      <c r="E3726" s="185">
        <v>112005</v>
      </c>
      <c r="F3726" s="185" t="s">
        <v>24</v>
      </c>
      <c r="G3726" s="185" t="s">
        <v>1961</v>
      </c>
      <c r="H3726" s="185" t="s">
        <v>1515</v>
      </c>
      <c r="I3726" s="258" t="str">
        <f t="shared" si="175"/>
        <v>1</v>
      </c>
      <c r="J3726" s="221">
        <f t="shared" si="176"/>
        <v>5212.96</v>
      </c>
      <c r="K3726" s="258">
        <f t="shared" si="177"/>
        <v>12</v>
      </c>
      <c r="L3726" s="188">
        <v>5212.96</v>
      </c>
      <c r="M3726" s="188">
        <v>0</v>
      </c>
      <c r="N3726" s="189">
        <v>890903938</v>
      </c>
      <c r="O3726"/>
      <c r="P3726" s="187">
        <v>45288.608182870397</v>
      </c>
      <c r="Q3726" s="186">
        <v>15156</v>
      </c>
      <c r="R3726" s="185" t="s">
        <v>1827</v>
      </c>
      <c r="S3726" s="185" t="s">
        <v>1580</v>
      </c>
      <c r="T3726" t="s">
        <v>1894</v>
      </c>
      <c r="U3726" t="str">
        <f>IF($L3726&gt;0,VLOOKUP($E3726,Valida!$A$1:$G$270,6,FALSE),IF($M3726&gt;=0,VLOOKUP($E3726,Valida!$A$1:$G$270,7,FALSE)))</f>
        <v>Disponible</v>
      </c>
      <c r="V3726" s="190" t="str">
        <f>VLOOKUP(E3726,Valida!$A$2:$K$271,4,FALSE)</f>
        <v>Cash and equivalents</v>
      </c>
      <c r="W3726" s="185" t="s">
        <v>1955</v>
      </c>
      <c r="X3726" s="185"/>
      <c r="Y3726" s="185" t="s">
        <v>1844</v>
      </c>
      <c r="Z3726"/>
    </row>
    <row r="3727" spans="1:26">
      <c r="A3727" s="185" t="s">
        <v>3932</v>
      </c>
      <c r="B3727" s="185" t="s">
        <v>4172</v>
      </c>
      <c r="C3727" s="185" t="s">
        <v>1960</v>
      </c>
      <c r="D3727" s="185" t="s">
        <v>4173</v>
      </c>
      <c r="E3727" s="185">
        <v>42100501</v>
      </c>
      <c r="F3727" s="185" t="s">
        <v>1039</v>
      </c>
      <c r="G3727" s="185" t="s">
        <v>1961</v>
      </c>
      <c r="H3727" s="185" t="s">
        <v>1628</v>
      </c>
      <c r="I3727" s="258" t="str">
        <f t="shared" si="175"/>
        <v>4</v>
      </c>
      <c r="J3727" s="221">
        <f t="shared" si="176"/>
        <v>-5212.96</v>
      </c>
      <c r="K3727" s="258">
        <f t="shared" si="177"/>
        <v>12</v>
      </c>
      <c r="L3727" s="188">
        <v>0</v>
      </c>
      <c r="M3727" s="188">
        <v>5212.96</v>
      </c>
      <c r="N3727" s="189">
        <v>890903938</v>
      </c>
      <c r="O3727"/>
      <c r="P3727" s="187">
        <v>45288.608182870397</v>
      </c>
      <c r="Q3727" s="186">
        <v>15157</v>
      </c>
      <c r="R3727" s="185" t="s">
        <v>1827</v>
      </c>
      <c r="S3727" s="185" t="s">
        <v>1580</v>
      </c>
      <c r="T3727"/>
      <c r="U3727" t="str">
        <f>IF($L3727&gt;0,VLOOKUP($E3727,Valida!$A$1:$G$270,6,FALSE),IF($M3727&gt;=0,VLOOKUP($E3727,Valida!$A$1:$G$270,7,FALSE)))</f>
        <v>(+/-) Ganancia (pérdida)</v>
      </c>
      <c r="V3727" s="190" t="str">
        <f>VLOOKUP(E3727,Valida!$A$2:$K$271,4,FALSE)</f>
        <v>P&amp;L</v>
      </c>
      <c r="W3727" s="185" t="s">
        <v>1955</v>
      </c>
      <c r="X3727" s="185"/>
      <c r="Y3727" s="185" t="s">
        <v>1844</v>
      </c>
      <c r="Z3727"/>
    </row>
    <row r="3728" spans="1:26">
      <c r="A3728" s="185" t="s">
        <v>4174</v>
      </c>
      <c r="B3728" s="185" t="s">
        <v>4175</v>
      </c>
      <c r="C3728" s="185" t="s">
        <v>1785</v>
      </c>
      <c r="D3728" s="185" t="s">
        <v>3958</v>
      </c>
      <c r="E3728" s="185">
        <v>51602001</v>
      </c>
      <c r="F3728" s="185" t="s">
        <v>416</v>
      </c>
      <c r="G3728" s="185" t="s">
        <v>2232</v>
      </c>
      <c r="H3728" s="185" t="s">
        <v>1515</v>
      </c>
      <c r="I3728" s="258" t="str">
        <f t="shared" si="175"/>
        <v>5</v>
      </c>
      <c r="J3728" s="221">
        <f t="shared" si="176"/>
        <v>1596762</v>
      </c>
      <c r="K3728" s="258">
        <f t="shared" si="177"/>
        <v>12</v>
      </c>
      <c r="L3728" s="188">
        <v>1596762</v>
      </c>
      <c r="M3728" s="188">
        <v>0</v>
      </c>
      <c r="N3728" s="189">
        <v>901513634</v>
      </c>
      <c r="O3728"/>
      <c r="P3728" s="187">
        <v>45288.610717592601</v>
      </c>
      <c r="Q3728" s="186">
        <v>15158</v>
      </c>
      <c r="R3728" s="185" t="s">
        <v>6</v>
      </c>
      <c r="S3728" s="185" t="s">
        <v>1518</v>
      </c>
      <c r="T3728"/>
      <c r="U3728" t="str">
        <f>IF($L3728&gt;0,VLOOKUP($E3728,Valida!$A$1:$G$270,6,FALSE),IF($M3728&gt;=0,VLOOKUP($E3728,Valida!$A$1:$G$270,7,FALSE)))</f>
        <v>(+/-) Ganancia (pérdida)</v>
      </c>
      <c r="V3728" s="190" t="str">
        <f>VLOOKUP(E3728,Valida!$A$2:$K$271,4,FALSE)</f>
        <v>P&amp;L</v>
      </c>
      <c r="W3728" s="185" t="s">
        <v>1787</v>
      </c>
      <c r="X3728" s="185" t="s">
        <v>1788</v>
      </c>
      <c r="Y3728" s="185" t="s">
        <v>1789</v>
      </c>
      <c r="Z3728"/>
    </row>
    <row r="3729" spans="1:26">
      <c r="A3729" s="185" t="s">
        <v>4174</v>
      </c>
      <c r="B3729" s="185" t="s">
        <v>4175</v>
      </c>
      <c r="C3729" s="185" t="s">
        <v>1785</v>
      </c>
      <c r="D3729" s="185" t="s">
        <v>3958</v>
      </c>
      <c r="E3729" s="185">
        <v>15922001</v>
      </c>
      <c r="F3729" s="185" t="s">
        <v>416</v>
      </c>
      <c r="G3729" s="185" t="s">
        <v>2232</v>
      </c>
      <c r="H3729" s="185" t="s">
        <v>1628</v>
      </c>
      <c r="I3729" s="258" t="str">
        <f t="shared" si="175"/>
        <v>1</v>
      </c>
      <c r="J3729" s="221">
        <f t="shared" si="176"/>
        <v>-1596762</v>
      </c>
      <c r="K3729" s="258">
        <f t="shared" si="177"/>
        <v>12</v>
      </c>
      <c r="L3729" s="188">
        <v>0</v>
      </c>
      <c r="M3729" s="188">
        <v>1596762</v>
      </c>
      <c r="N3729" s="189">
        <v>901513634</v>
      </c>
      <c r="O3729"/>
      <c r="P3729" s="187">
        <v>45288.610717592601</v>
      </c>
      <c r="Q3729" s="186">
        <v>15159</v>
      </c>
      <c r="R3729" s="185" t="s">
        <v>6</v>
      </c>
      <c r="S3729" s="185" t="s">
        <v>1518</v>
      </c>
      <c r="T3729"/>
      <c r="U3729" t="str">
        <f>IF($L3729&gt;0,VLOOKUP($E3729,Valida!$A$1:$G$270,6,FALSE),IF($M3729&gt;=0,VLOOKUP($E3729,Valida!$A$1:$G$270,7,FALSE)))</f>
        <v>( + ) Ajustes por gastos de depreciación</v>
      </c>
      <c r="V3729" s="190" t="str">
        <f>VLOOKUP(E3729,Valida!$A$2:$K$271,4,FALSE)</f>
        <v>Depreciation</v>
      </c>
      <c r="W3729" s="185" t="s">
        <v>1787</v>
      </c>
      <c r="X3729" s="185" t="s">
        <v>1788</v>
      </c>
      <c r="Y3729" s="185" t="s">
        <v>1789</v>
      </c>
      <c r="Z3729"/>
    </row>
    <row r="3730" spans="1:26">
      <c r="A3730" s="185" t="s">
        <v>4174</v>
      </c>
      <c r="B3730" s="185" t="s">
        <v>4175</v>
      </c>
      <c r="C3730" s="185" t="s">
        <v>1785</v>
      </c>
      <c r="D3730" s="185" t="s">
        <v>3958</v>
      </c>
      <c r="E3730" s="185">
        <v>51602004</v>
      </c>
      <c r="F3730" s="185" t="s">
        <v>404</v>
      </c>
      <c r="G3730" s="185" t="s">
        <v>2236</v>
      </c>
      <c r="H3730" s="185" t="s">
        <v>1515</v>
      </c>
      <c r="I3730" s="258" t="str">
        <f t="shared" si="175"/>
        <v>5</v>
      </c>
      <c r="J3730" s="221">
        <f t="shared" si="176"/>
        <v>163793</v>
      </c>
      <c r="K3730" s="258">
        <f t="shared" si="177"/>
        <v>12</v>
      </c>
      <c r="L3730" s="188">
        <v>163793</v>
      </c>
      <c r="M3730" s="188">
        <v>0</v>
      </c>
      <c r="N3730" s="189">
        <v>901513634</v>
      </c>
      <c r="O3730"/>
      <c r="P3730" s="187">
        <v>45288.610717592601</v>
      </c>
      <c r="Q3730" s="186">
        <v>15160</v>
      </c>
      <c r="R3730" s="185" t="s">
        <v>6</v>
      </c>
      <c r="S3730" s="185" t="s">
        <v>1518</v>
      </c>
      <c r="T3730"/>
      <c r="U3730" t="str">
        <f>IF($L3730&gt;0,VLOOKUP($E3730,Valida!$A$1:$G$270,6,FALSE),IF($M3730&gt;=0,VLOOKUP($E3730,Valida!$A$1:$G$270,7,FALSE)))</f>
        <v>(+/-) Ganancia (pérdida)</v>
      </c>
      <c r="V3730" s="190" t="str">
        <f>VLOOKUP(E3730,Valida!$A$2:$K$271,4,FALSE)</f>
        <v>P&amp;L</v>
      </c>
      <c r="W3730" s="185" t="s">
        <v>1787</v>
      </c>
      <c r="X3730" s="185" t="s">
        <v>1788</v>
      </c>
      <c r="Y3730" s="185" t="s">
        <v>1789</v>
      </c>
      <c r="Z3730"/>
    </row>
    <row r="3731" spans="1:26">
      <c r="A3731" s="185" t="s">
        <v>4174</v>
      </c>
      <c r="B3731" s="185" t="s">
        <v>4175</v>
      </c>
      <c r="C3731" s="185" t="s">
        <v>1785</v>
      </c>
      <c r="D3731" s="185" t="s">
        <v>3958</v>
      </c>
      <c r="E3731" s="185">
        <v>15922004</v>
      </c>
      <c r="F3731" s="185" t="s">
        <v>404</v>
      </c>
      <c r="G3731" s="185" t="s">
        <v>2236</v>
      </c>
      <c r="H3731" s="185" t="s">
        <v>1628</v>
      </c>
      <c r="I3731" s="258" t="str">
        <f t="shared" si="175"/>
        <v>1</v>
      </c>
      <c r="J3731" s="221">
        <f t="shared" si="176"/>
        <v>-163793</v>
      </c>
      <c r="K3731" s="258">
        <f t="shared" si="177"/>
        <v>12</v>
      </c>
      <c r="L3731" s="188">
        <v>0</v>
      </c>
      <c r="M3731" s="291">
        <v>163793</v>
      </c>
      <c r="N3731" s="189">
        <v>901513634</v>
      </c>
      <c r="O3731"/>
      <c r="P3731" s="187">
        <v>45288.610717592601</v>
      </c>
      <c r="Q3731" s="186">
        <v>15161</v>
      </c>
      <c r="R3731" s="185" t="s">
        <v>6</v>
      </c>
      <c r="S3731" s="185" t="s">
        <v>1518</v>
      </c>
      <c r="T3731"/>
      <c r="U3731" t="str">
        <f>IF($L3731&gt;0,VLOOKUP($E3731,Valida!$A$1:$G$270,6,FALSE),IF($M3731&gt;=0,VLOOKUP($E3731,Valida!$A$1:$G$270,7,FALSE)))</f>
        <v>( + ) Ajustes por gastos de depreciación</v>
      </c>
      <c r="V3731" s="190" t="str">
        <f>VLOOKUP(E3731,Valida!$A$2:$K$271,4,FALSE)</f>
        <v>Depreciation</v>
      </c>
      <c r="W3731" s="185" t="s">
        <v>1787</v>
      </c>
      <c r="X3731" s="185" t="s">
        <v>1788</v>
      </c>
      <c r="Y3731" s="185" t="s">
        <v>1789</v>
      </c>
      <c r="Z3731"/>
    </row>
    <row r="3732" spans="1:26">
      <c r="A3732" s="185" t="s">
        <v>3932</v>
      </c>
      <c r="B3732" s="185" t="s">
        <v>4176</v>
      </c>
      <c r="C3732" s="185" t="s">
        <v>1785</v>
      </c>
      <c r="D3732" s="185" t="s">
        <v>3961</v>
      </c>
      <c r="E3732" s="185">
        <v>15922001</v>
      </c>
      <c r="F3732" s="185" t="s">
        <v>416</v>
      </c>
      <c r="G3732" s="185" t="s">
        <v>4177</v>
      </c>
      <c r="H3732" s="185" t="s">
        <v>1628</v>
      </c>
      <c r="I3732" s="258" t="str">
        <f t="shared" si="175"/>
        <v>1</v>
      </c>
      <c r="J3732" s="221">
        <f t="shared" si="176"/>
        <v>0</v>
      </c>
      <c r="K3732" s="258">
        <f t="shared" si="177"/>
        <v>12</v>
      </c>
      <c r="L3732" s="188">
        <v>0</v>
      </c>
      <c r="M3732" s="188">
        <v>0</v>
      </c>
      <c r="N3732" s="189">
        <v>901513634</v>
      </c>
      <c r="O3732"/>
      <c r="P3732" s="187">
        <v>45288.629189814797</v>
      </c>
      <c r="Q3732" s="186">
        <v>15162</v>
      </c>
      <c r="R3732" s="185" t="s">
        <v>6</v>
      </c>
      <c r="S3732" s="185" t="s">
        <v>1518</v>
      </c>
      <c r="T3732"/>
      <c r="U3732" t="str">
        <f>IF($L3732&gt;0,VLOOKUP($E3732,Valida!$A$1:$G$270,6,FALSE),IF($M3732&gt;=0,VLOOKUP($E3732,Valida!$A$1:$G$270,7,FALSE)))</f>
        <v>( + ) Ajustes por gastos de depreciación</v>
      </c>
      <c r="V3732" s="190" t="str">
        <f>VLOOKUP(E3732,Valida!$A$2:$K$271,4,FALSE)</f>
        <v>Depreciation</v>
      </c>
      <c r="W3732" s="185" t="s">
        <v>1787</v>
      </c>
      <c r="X3732" s="185" t="s">
        <v>1788</v>
      </c>
      <c r="Y3732" s="185" t="s">
        <v>1789</v>
      </c>
      <c r="Z3732"/>
    </row>
    <row r="3733" spans="1:26">
      <c r="A3733" s="185" t="s">
        <v>3932</v>
      </c>
      <c r="B3733" s="185" t="s">
        <v>4176</v>
      </c>
      <c r="C3733" s="185" t="s">
        <v>1785</v>
      </c>
      <c r="D3733" s="185" t="s">
        <v>3961</v>
      </c>
      <c r="E3733" s="185">
        <v>15922004</v>
      </c>
      <c r="F3733" s="185" t="s">
        <v>404</v>
      </c>
      <c r="G3733" s="185" t="s">
        <v>4177</v>
      </c>
      <c r="H3733" s="185" t="s">
        <v>1628</v>
      </c>
      <c r="I3733" s="258" t="str">
        <f t="shared" si="175"/>
        <v>1</v>
      </c>
      <c r="J3733" s="221">
        <f t="shared" si="176"/>
        <v>0</v>
      </c>
      <c r="K3733" s="258">
        <f t="shared" si="177"/>
        <v>12</v>
      </c>
      <c r="L3733" s="188">
        <v>0</v>
      </c>
      <c r="M3733" s="188">
        <v>0</v>
      </c>
      <c r="N3733" s="189">
        <v>901513634</v>
      </c>
      <c r="O3733"/>
      <c r="P3733" s="187">
        <v>45288.629201388903</v>
      </c>
      <c r="Q3733" s="186">
        <v>15163</v>
      </c>
      <c r="R3733" s="185" t="s">
        <v>6</v>
      </c>
      <c r="S3733" s="185" t="s">
        <v>1518</v>
      </c>
      <c r="T3733"/>
      <c r="U3733" t="str">
        <f>IF($L3733&gt;0,VLOOKUP($E3733,Valida!$A$1:$G$270,6,FALSE),IF($M3733&gt;=0,VLOOKUP($E3733,Valida!$A$1:$G$270,7,FALSE)))</f>
        <v>( + ) Ajustes por gastos de depreciación</v>
      </c>
      <c r="V3733" s="190" t="str">
        <f>VLOOKUP(E3733,Valida!$A$2:$K$271,4,FALSE)</f>
        <v>Depreciation</v>
      </c>
      <c r="W3733" s="185" t="s">
        <v>1787</v>
      </c>
      <c r="X3733" s="185" t="s">
        <v>1788</v>
      </c>
      <c r="Y3733" s="185" t="s">
        <v>1789</v>
      </c>
      <c r="Z3733"/>
    </row>
    <row r="3734" spans="1:26">
      <c r="A3734" s="185" t="s">
        <v>3932</v>
      </c>
      <c r="B3734" s="185" t="s">
        <v>4176</v>
      </c>
      <c r="C3734" s="185" t="s">
        <v>1785</v>
      </c>
      <c r="D3734" s="185" t="s">
        <v>3961</v>
      </c>
      <c r="E3734" s="185">
        <v>425045</v>
      </c>
      <c r="F3734" s="185" t="s">
        <v>4178</v>
      </c>
      <c r="G3734" s="185" t="s">
        <v>4177</v>
      </c>
      <c r="H3734" s="185" t="s">
        <v>1628</v>
      </c>
      <c r="I3734" s="258" t="str">
        <f t="shared" si="175"/>
        <v>4</v>
      </c>
      <c r="J3734" s="221">
        <f t="shared" si="176"/>
        <v>0</v>
      </c>
      <c r="K3734" s="258">
        <f t="shared" si="177"/>
        <v>12</v>
      </c>
      <c r="L3734" s="291">
        <v>0</v>
      </c>
      <c r="M3734" s="188">
        <v>0</v>
      </c>
      <c r="N3734" s="189">
        <v>901513634</v>
      </c>
      <c r="O3734"/>
      <c r="P3734" s="187">
        <v>45288.629201388903</v>
      </c>
      <c r="Q3734" s="186">
        <v>15164</v>
      </c>
      <c r="R3734" s="185" t="s">
        <v>6</v>
      </c>
      <c r="S3734" s="185" t="s">
        <v>1518</v>
      </c>
      <c r="T3734"/>
      <c r="U3734" t="str">
        <f>IF($L3734&gt;0,VLOOKUP($E3734,Valida!$A$1:$G$270,6,FALSE),IF($M3734&gt;=0,VLOOKUP($E3734,Valida!$A$1:$G$270,7,FALSE)))</f>
        <v>(+/-) Ganancia (pérdida)</v>
      </c>
      <c r="V3734" s="190" t="str">
        <f>VLOOKUP(E3734,Valida!$A$2:$K$271,4,FALSE)</f>
        <v>P&amp;L</v>
      </c>
      <c r="W3734" s="185" t="s">
        <v>1787</v>
      </c>
      <c r="X3734" s="185" t="s">
        <v>1788</v>
      </c>
      <c r="Y3734" s="185" t="s">
        <v>1789</v>
      </c>
      <c r="Z3734"/>
    </row>
    <row r="3735" spans="1:26">
      <c r="A3735" s="185" t="s">
        <v>3932</v>
      </c>
      <c r="B3735" s="185" t="s">
        <v>4176</v>
      </c>
      <c r="C3735" s="185" t="s">
        <v>1785</v>
      </c>
      <c r="D3735" s="185" t="s">
        <v>3961</v>
      </c>
      <c r="E3735" s="185">
        <v>15280501</v>
      </c>
      <c r="F3735" s="185" t="s">
        <v>396</v>
      </c>
      <c r="G3735" s="185" t="s">
        <v>4177</v>
      </c>
      <c r="H3735" s="185" t="s">
        <v>1628</v>
      </c>
      <c r="I3735" s="258" t="str">
        <f t="shared" si="175"/>
        <v>1</v>
      </c>
      <c r="J3735" s="221">
        <f t="shared" si="176"/>
        <v>0</v>
      </c>
      <c r="K3735" s="258">
        <f t="shared" si="177"/>
        <v>12</v>
      </c>
      <c r="L3735" s="188">
        <v>0</v>
      </c>
      <c r="M3735" s="188">
        <v>0</v>
      </c>
      <c r="N3735" s="189">
        <v>901513634</v>
      </c>
      <c r="O3735"/>
      <c r="P3735" s="187">
        <v>45288.629201388903</v>
      </c>
      <c r="Q3735" s="186">
        <v>15165</v>
      </c>
      <c r="R3735" s="185" t="s">
        <v>6</v>
      </c>
      <c r="S3735" s="185" t="s">
        <v>1518</v>
      </c>
      <c r="T3735"/>
      <c r="U3735" t="str">
        <f>IF($L3735&gt;0,VLOOKUP($E3735,Valida!$A$1:$G$270,6,FALSE),IF($M3735&gt;=0,VLOOKUP($E3735,Valida!$A$1:$G$270,7,FALSE)))</f>
        <v>(+) Importes procedentes de la venta de propiedades, planta y equipo</v>
      </c>
      <c r="V3735" s="190" t="str">
        <f>VLOOKUP(E3735,Valida!$A$2:$K$271,4,FALSE)</f>
        <v>Purchase of property, plant and equipment</v>
      </c>
      <c r="W3735" s="185" t="s">
        <v>1787</v>
      </c>
      <c r="X3735" s="185" t="s">
        <v>1788</v>
      </c>
      <c r="Y3735" s="185" t="s">
        <v>1789</v>
      </c>
      <c r="Z3735"/>
    </row>
    <row r="3736" spans="1:26">
      <c r="A3736" s="185" t="s">
        <v>3932</v>
      </c>
      <c r="B3736" s="185" t="s">
        <v>4176</v>
      </c>
      <c r="C3736" s="185" t="s">
        <v>1785</v>
      </c>
      <c r="D3736" s="185" t="s">
        <v>3961</v>
      </c>
      <c r="E3736" s="185">
        <v>15280504</v>
      </c>
      <c r="F3736" s="185" t="s">
        <v>404</v>
      </c>
      <c r="G3736" s="185" t="s">
        <v>4177</v>
      </c>
      <c r="H3736" s="185" t="s">
        <v>1628</v>
      </c>
      <c r="I3736" s="258" t="str">
        <f t="shared" si="175"/>
        <v>1</v>
      </c>
      <c r="J3736" s="221">
        <f t="shared" si="176"/>
        <v>0</v>
      </c>
      <c r="K3736" s="258">
        <f t="shared" si="177"/>
        <v>12</v>
      </c>
      <c r="L3736" s="291">
        <v>0</v>
      </c>
      <c r="M3736" s="188">
        <v>0</v>
      </c>
      <c r="N3736" s="189">
        <v>901513634</v>
      </c>
      <c r="O3736"/>
      <c r="P3736" s="187">
        <v>45288.629201388903</v>
      </c>
      <c r="Q3736" s="186">
        <v>15166</v>
      </c>
      <c r="R3736" s="185" t="s">
        <v>6</v>
      </c>
      <c r="S3736" s="185" t="s">
        <v>1518</v>
      </c>
      <c r="T3736"/>
      <c r="U3736" t="str">
        <f>IF($L3736&gt;0,VLOOKUP($E3736,Valida!$A$1:$G$270,6,FALSE),IF($M3736&gt;=0,VLOOKUP($E3736,Valida!$A$1:$G$270,7,FALSE)))</f>
        <v>(+) Importes procedentes de la venta de propiedades, planta y equipo</v>
      </c>
      <c r="V3736" s="190" t="str">
        <f>VLOOKUP(E3736,Valida!$A$2:$K$271,4,FALSE)</f>
        <v>Purchase of property, plant and equipment</v>
      </c>
      <c r="W3736" s="185" t="s">
        <v>1787</v>
      </c>
      <c r="X3736" s="185" t="s">
        <v>1788</v>
      </c>
      <c r="Y3736" s="185" t="s">
        <v>1789</v>
      </c>
      <c r="Z3736"/>
    </row>
    <row r="3737" spans="1:26">
      <c r="A3737" s="185" t="s">
        <v>3932</v>
      </c>
      <c r="B3737" s="185" t="s">
        <v>4176</v>
      </c>
      <c r="C3737" s="185" t="s">
        <v>1785</v>
      </c>
      <c r="D3737" s="185" t="s">
        <v>3961</v>
      </c>
      <c r="E3737" s="185">
        <v>131015</v>
      </c>
      <c r="F3737" s="185" t="s">
        <v>77</v>
      </c>
      <c r="G3737" s="185" t="s">
        <v>4179</v>
      </c>
      <c r="H3737" s="185" t="s">
        <v>1628</v>
      </c>
      <c r="I3737" s="258" t="str">
        <f t="shared" si="175"/>
        <v>1</v>
      </c>
      <c r="J3737" s="221">
        <f t="shared" si="176"/>
        <v>0</v>
      </c>
      <c r="K3737" s="258">
        <f t="shared" si="177"/>
        <v>12</v>
      </c>
      <c r="L3737" s="188">
        <v>0</v>
      </c>
      <c r="M3737" s="188">
        <v>0</v>
      </c>
      <c r="N3737" s="189">
        <v>374795</v>
      </c>
      <c r="O3737"/>
      <c r="P3737" s="187">
        <v>45288.629201388903</v>
      </c>
      <c r="Q3737" s="186">
        <v>15167</v>
      </c>
      <c r="R3737" s="185"/>
      <c r="S3737" s="185" t="s">
        <v>1544</v>
      </c>
      <c r="T3737"/>
      <c r="U3737" t="str">
        <f>IF($L3737&gt;0,VLOOKUP($E3737,Valida!$A$1:$G$270,6,FALSE),IF($M3737&gt;=0,VLOOKUP($E3737,Valida!$A$1:$G$270,7,FALSE)))</f>
        <v>(+/-) Ajustes por disminuciones (incrementos) en otras cuentas por cobrar derivadas de las actividades de operación</v>
      </c>
      <c r="V3737" s="190" t="str">
        <f>VLOOKUP(E3737,Valida!$A$2:$K$271,4,FALSE)</f>
        <v>Trade and other receivables</v>
      </c>
      <c r="W3737" s="185" t="s">
        <v>1803</v>
      </c>
      <c r="X3737" s="185"/>
      <c r="Y3737" s="185"/>
      <c r="Z3737"/>
    </row>
    <row r="3738" spans="1:26">
      <c r="A3738" s="185" t="s">
        <v>3932</v>
      </c>
      <c r="B3738" s="185" t="s">
        <v>4176</v>
      </c>
      <c r="C3738" s="185" t="s">
        <v>1785</v>
      </c>
      <c r="D3738" s="185" t="s">
        <v>3961</v>
      </c>
      <c r="E3738" s="185">
        <v>131015</v>
      </c>
      <c r="F3738" s="185" t="s">
        <v>77</v>
      </c>
      <c r="G3738" s="185" t="s">
        <v>4180</v>
      </c>
      <c r="H3738" s="185" t="s">
        <v>1628</v>
      </c>
      <c r="I3738" s="258" t="str">
        <f t="shared" si="175"/>
        <v>1</v>
      </c>
      <c r="J3738" s="221">
        <f t="shared" si="176"/>
        <v>0</v>
      </c>
      <c r="K3738" s="258">
        <f t="shared" si="177"/>
        <v>12</v>
      </c>
      <c r="L3738" s="188">
        <v>0</v>
      </c>
      <c r="M3738" s="188">
        <v>0</v>
      </c>
      <c r="N3738" s="189">
        <v>901513634</v>
      </c>
      <c r="O3738"/>
      <c r="P3738" s="187">
        <v>45288.629201388903</v>
      </c>
      <c r="Q3738" s="186">
        <v>15168</v>
      </c>
      <c r="R3738" s="185" t="s">
        <v>6</v>
      </c>
      <c r="S3738" s="185" t="s">
        <v>1518</v>
      </c>
      <c r="T3738"/>
      <c r="U3738" t="str">
        <f>IF($L3738&gt;0,VLOOKUP($E3738,Valida!$A$1:$G$270,6,FALSE),IF($M3738&gt;=0,VLOOKUP($E3738,Valida!$A$1:$G$270,7,FALSE)))</f>
        <v>(+/-) Ajustes por disminuciones (incrementos) en otras cuentas por cobrar derivadas de las actividades de operación</v>
      </c>
      <c r="V3738" s="190" t="str">
        <f>VLOOKUP(E3738,Valida!$A$2:$K$271,4,FALSE)</f>
        <v>Trade and other receivables</v>
      </c>
      <c r="W3738" s="185" t="s">
        <v>1787</v>
      </c>
      <c r="X3738" s="185" t="s">
        <v>1788</v>
      </c>
      <c r="Y3738" s="185" t="s">
        <v>1789</v>
      </c>
      <c r="Z3738"/>
    </row>
    <row r="3739" spans="1:26">
      <c r="A3739" s="185" t="s">
        <v>3932</v>
      </c>
      <c r="B3739" s="185" t="s">
        <v>4176</v>
      </c>
      <c r="C3739" s="185" t="s">
        <v>1785</v>
      </c>
      <c r="D3739" s="185" t="s">
        <v>3961</v>
      </c>
      <c r="E3739" s="185">
        <v>531015</v>
      </c>
      <c r="F3739" s="185" t="s">
        <v>4181</v>
      </c>
      <c r="G3739" s="185" t="s">
        <v>4179</v>
      </c>
      <c r="H3739" s="185" t="s">
        <v>1628</v>
      </c>
      <c r="I3739" s="258" t="str">
        <f t="shared" si="175"/>
        <v>5</v>
      </c>
      <c r="J3739" s="221">
        <f t="shared" si="176"/>
        <v>0</v>
      </c>
      <c r="K3739" s="258">
        <f t="shared" si="177"/>
        <v>12</v>
      </c>
      <c r="L3739" s="188">
        <v>0</v>
      </c>
      <c r="M3739" s="188">
        <v>0</v>
      </c>
      <c r="N3739" s="189">
        <v>374795</v>
      </c>
      <c r="O3739"/>
      <c r="P3739" s="187">
        <v>45288.629201388903</v>
      </c>
      <c r="Q3739" s="186">
        <v>15169</v>
      </c>
      <c r="R3739" s="185"/>
      <c r="S3739" s="185" t="s">
        <v>1544</v>
      </c>
      <c r="T3739"/>
      <c r="U3739" t="str">
        <f>IF($L3739&gt;0,VLOOKUP($E3739,Valida!$A$1:$G$270,6,FALSE),IF($M3739&gt;=0,VLOOKUP($E3739,Valida!$A$1:$G$270,7,FALSE)))</f>
        <v>(+/-) Ganancia (pérdida)</v>
      </c>
      <c r="V3739" s="190" t="str">
        <f>VLOOKUP(E3739,Valida!$A$2:$K$271,4,FALSE)</f>
        <v>P&amp;L</v>
      </c>
      <c r="W3739" s="185" t="s">
        <v>1803</v>
      </c>
      <c r="X3739" s="185"/>
      <c r="Y3739" s="185"/>
      <c r="Z3739"/>
    </row>
    <row r="3740" spans="1:26">
      <c r="A3740" s="185" t="s">
        <v>3932</v>
      </c>
      <c r="B3740" s="185" t="s">
        <v>4182</v>
      </c>
      <c r="C3740" s="185" t="s">
        <v>1991</v>
      </c>
      <c r="D3740" s="185" t="s">
        <v>2231</v>
      </c>
      <c r="E3740" s="185">
        <v>24081001</v>
      </c>
      <c r="F3740" s="185" t="s">
        <v>1670</v>
      </c>
      <c r="G3740" s="185" t="s">
        <v>4183</v>
      </c>
      <c r="H3740" s="185" t="s">
        <v>1628</v>
      </c>
      <c r="I3740" s="258" t="str">
        <f t="shared" si="175"/>
        <v>2</v>
      </c>
      <c r="J3740" s="221">
        <f t="shared" si="176"/>
        <v>-565292.14</v>
      </c>
      <c r="K3740" s="258">
        <f t="shared" si="177"/>
        <v>12</v>
      </c>
      <c r="L3740" s="188">
        <v>0</v>
      </c>
      <c r="M3740" s="188">
        <v>565292.14</v>
      </c>
      <c r="N3740" s="189">
        <v>800197268</v>
      </c>
      <c r="O3740"/>
      <c r="P3740" s="187">
        <v>45288.7346412037</v>
      </c>
      <c r="Q3740" s="186">
        <v>15170</v>
      </c>
      <c r="R3740" s="185" t="s">
        <v>983</v>
      </c>
      <c r="S3740" s="185" t="s">
        <v>1558</v>
      </c>
      <c r="T3740"/>
      <c r="U3740" t="str">
        <f>IF($L3740&gt;0,VLOOKUP($E3740,Valida!$A$1:$G$270,6,FALSE),IF($M3740&gt;=0,VLOOKUP($E3740,Valida!$A$1:$G$270,7,FALSE)))</f>
        <v>(+/-) Ajustes por el incremento (disminución) de cuentas por pagar de origen comercial</v>
      </c>
      <c r="V3740" s="190" t="str">
        <f>VLOOKUP(E3740,Valida!$A$2:$K$271,4,FALSE)</f>
        <v>Trade and other payables</v>
      </c>
      <c r="W3740" s="185" t="s">
        <v>1944</v>
      </c>
      <c r="X3740" s="185"/>
      <c r="Y3740" s="185" t="s">
        <v>1789</v>
      </c>
      <c r="Z3740"/>
    </row>
    <row r="3741" spans="1:26">
      <c r="A3741" s="185" t="s">
        <v>3932</v>
      </c>
      <c r="B3741" s="185" t="s">
        <v>4182</v>
      </c>
      <c r="C3741" s="185" t="s">
        <v>1991</v>
      </c>
      <c r="D3741" s="185" t="s">
        <v>2231</v>
      </c>
      <c r="E3741" s="185">
        <v>24081002</v>
      </c>
      <c r="F3741" s="185" t="s">
        <v>1687</v>
      </c>
      <c r="G3741" s="185" t="s">
        <v>4183</v>
      </c>
      <c r="H3741" s="185" t="s">
        <v>1628</v>
      </c>
      <c r="I3741" s="258" t="str">
        <f t="shared" si="175"/>
        <v>2</v>
      </c>
      <c r="J3741" s="221">
        <f t="shared" si="176"/>
        <v>-8029306.0999999996</v>
      </c>
      <c r="K3741" s="258">
        <f t="shared" si="177"/>
        <v>12</v>
      </c>
      <c r="L3741" s="188">
        <v>0</v>
      </c>
      <c r="M3741" s="188">
        <v>8029306.0999999996</v>
      </c>
      <c r="N3741" s="189">
        <v>800197268</v>
      </c>
      <c r="O3741"/>
      <c r="P3741" s="187">
        <v>45288.7346412037</v>
      </c>
      <c r="Q3741" s="186">
        <v>15171</v>
      </c>
      <c r="R3741" s="185" t="s">
        <v>983</v>
      </c>
      <c r="S3741" s="185" t="s">
        <v>1558</v>
      </c>
      <c r="T3741"/>
      <c r="U3741" t="str">
        <f>IF($L3741&gt;0,VLOOKUP($E3741,Valida!$A$1:$G$270,6,FALSE),IF($M3741&gt;=0,VLOOKUP($E3741,Valida!$A$1:$G$270,7,FALSE)))</f>
        <v>(+/-) Ajustes por el incremento (disminución) de cuentas por pagar de origen comercial</v>
      </c>
      <c r="V3741" s="190" t="str">
        <f>VLOOKUP(E3741,Valida!$A$2:$K$271,4,FALSE)</f>
        <v>Trade and other payables</v>
      </c>
      <c r="W3741" s="185" t="s">
        <v>1944</v>
      </c>
      <c r="X3741" s="185"/>
      <c r="Y3741" s="185" t="s">
        <v>1789</v>
      </c>
      <c r="Z3741"/>
    </row>
    <row r="3742" spans="1:26">
      <c r="A3742" s="185" t="s">
        <v>3932</v>
      </c>
      <c r="B3742" s="185" t="s">
        <v>4182</v>
      </c>
      <c r="C3742" s="185" t="s">
        <v>1991</v>
      </c>
      <c r="D3742" s="185" t="s">
        <v>2231</v>
      </c>
      <c r="E3742" s="185">
        <v>24081005</v>
      </c>
      <c r="F3742" s="185" t="s">
        <v>1688</v>
      </c>
      <c r="G3742" s="185" t="s">
        <v>4183</v>
      </c>
      <c r="H3742" s="185" t="s">
        <v>1628</v>
      </c>
      <c r="I3742" s="258" t="str">
        <f t="shared" si="175"/>
        <v>2</v>
      </c>
      <c r="J3742" s="221">
        <f t="shared" si="176"/>
        <v>-309524</v>
      </c>
      <c r="K3742" s="258">
        <f t="shared" si="177"/>
        <v>12</v>
      </c>
      <c r="L3742" s="188">
        <v>0</v>
      </c>
      <c r="M3742" s="188">
        <v>309524</v>
      </c>
      <c r="N3742" s="189">
        <v>800197268</v>
      </c>
      <c r="O3742"/>
      <c r="P3742" s="187">
        <v>45288.7346412037</v>
      </c>
      <c r="Q3742" s="186">
        <v>15172</v>
      </c>
      <c r="R3742" s="185" t="s">
        <v>983</v>
      </c>
      <c r="S3742" s="185" t="s">
        <v>1558</v>
      </c>
      <c r="T3742"/>
      <c r="U3742" t="str">
        <f>IF($L3742&gt;0,VLOOKUP($E3742,Valida!$A$1:$G$270,6,FALSE),IF($M3742&gt;=0,VLOOKUP($E3742,Valida!$A$1:$G$270,7,FALSE)))</f>
        <v>(+/-) Ajustes por el incremento (disminución) de cuentas por pagar de origen comercial</v>
      </c>
      <c r="V3742" s="190" t="str">
        <f>VLOOKUP(E3742,Valida!$A$2:$K$271,4,FALSE)</f>
        <v>Trade and other payables</v>
      </c>
      <c r="W3742" s="185" t="s">
        <v>1944</v>
      </c>
      <c r="X3742" s="185"/>
      <c r="Y3742" s="185" t="s">
        <v>1789</v>
      </c>
      <c r="Z3742"/>
    </row>
    <row r="3743" spans="1:26">
      <c r="A3743" s="185" t="s">
        <v>3932</v>
      </c>
      <c r="B3743" s="185" t="s">
        <v>4182</v>
      </c>
      <c r="C3743" s="185" t="s">
        <v>1991</v>
      </c>
      <c r="D3743" s="185" t="s">
        <v>2231</v>
      </c>
      <c r="E3743" s="185">
        <v>24081501</v>
      </c>
      <c r="F3743" s="185" t="s">
        <v>747</v>
      </c>
      <c r="G3743" s="185" t="s">
        <v>4183</v>
      </c>
      <c r="H3743" s="185" t="s">
        <v>1515</v>
      </c>
      <c r="I3743" s="258" t="str">
        <f t="shared" si="175"/>
        <v>2</v>
      </c>
      <c r="J3743" s="221">
        <f t="shared" si="176"/>
        <v>565000</v>
      </c>
      <c r="K3743" s="258">
        <f t="shared" si="177"/>
        <v>12</v>
      </c>
      <c r="L3743" s="188">
        <v>565000</v>
      </c>
      <c r="M3743" s="188">
        <v>0</v>
      </c>
      <c r="N3743" s="189">
        <v>800197268</v>
      </c>
      <c r="O3743"/>
      <c r="P3743" s="187">
        <v>45288.734652777799</v>
      </c>
      <c r="Q3743" s="186">
        <v>15173</v>
      </c>
      <c r="R3743" s="185" t="s">
        <v>983</v>
      </c>
      <c r="S3743" s="185" t="s">
        <v>1558</v>
      </c>
      <c r="T3743"/>
      <c r="U3743" t="str">
        <f>IF($L3743&gt;0,VLOOKUP($E3743,Valida!$A$1:$G$270,6,FALSE),IF($M3743&gt;=0,VLOOKUP($E3743,Valida!$A$1:$G$270,7,FALSE)))</f>
        <v>(+/-) Ajustes por el incremento (disminución) de cuentas por pagar de origen comercial</v>
      </c>
      <c r="V3743" s="190" t="str">
        <f>VLOOKUP(E3743,Valida!$A$2:$K$271,4,FALSE)</f>
        <v>Trade and other payables</v>
      </c>
      <c r="W3743" s="185" t="s">
        <v>1944</v>
      </c>
      <c r="X3743" s="185"/>
      <c r="Y3743" s="185" t="s">
        <v>1789</v>
      </c>
      <c r="Z3743"/>
    </row>
    <row r="3744" spans="1:26">
      <c r="A3744" s="185" t="s">
        <v>3932</v>
      </c>
      <c r="B3744" s="185" t="s">
        <v>4182</v>
      </c>
      <c r="C3744" s="185" t="s">
        <v>1991</v>
      </c>
      <c r="D3744" s="185" t="s">
        <v>2231</v>
      </c>
      <c r="E3744" s="185">
        <v>24081502</v>
      </c>
      <c r="F3744" s="185" t="s">
        <v>750</v>
      </c>
      <c r="G3744" s="185" t="s">
        <v>4183</v>
      </c>
      <c r="H3744" s="185" t="s">
        <v>1515</v>
      </c>
      <c r="I3744" s="258" t="str">
        <f t="shared" si="175"/>
        <v>2</v>
      </c>
      <c r="J3744" s="221">
        <f t="shared" si="176"/>
        <v>8029000</v>
      </c>
      <c r="K3744" s="258">
        <f t="shared" si="177"/>
        <v>12</v>
      </c>
      <c r="L3744" s="188">
        <v>8029000</v>
      </c>
      <c r="M3744" s="188">
        <v>0</v>
      </c>
      <c r="N3744" s="189">
        <v>800197268</v>
      </c>
      <c r="O3744"/>
      <c r="P3744" s="187">
        <v>45288.734652777799</v>
      </c>
      <c r="Q3744" s="186">
        <v>15174</v>
      </c>
      <c r="R3744" s="185" t="s">
        <v>983</v>
      </c>
      <c r="S3744" s="185" t="s">
        <v>1558</v>
      </c>
      <c r="T3744"/>
      <c r="U3744" t="str">
        <f>IF($L3744&gt;0,VLOOKUP($E3744,Valida!$A$1:$G$270,6,FALSE),IF($M3744&gt;=0,VLOOKUP($E3744,Valida!$A$1:$G$270,7,FALSE)))</f>
        <v>(+/-) Ajustes por el incremento (disminución) de cuentas por pagar de origen comercial</v>
      </c>
      <c r="V3744" s="190" t="str">
        <f>VLOOKUP(E3744,Valida!$A$2:$K$271,4,FALSE)</f>
        <v>Trade and other payables</v>
      </c>
      <c r="W3744" s="185" t="s">
        <v>1944</v>
      </c>
      <c r="X3744" s="185"/>
      <c r="Y3744" s="185" t="s">
        <v>1789</v>
      </c>
      <c r="Z3744"/>
    </row>
    <row r="3745" spans="1:26">
      <c r="A3745" s="185" t="s">
        <v>3932</v>
      </c>
      <c r="B3745" s="185" t="s">
        <v>4182</v>
      </c>
      <c r="C3745" s="185" t="s">
        <v>1991</v>
      </c>
      <c r="D3745" s="185" t="s">
        <v>2231</v>
      </c>
      <c r="E3745" s="185">
        <v>24081505</v>
      </c>
      <c r="F3745" s="185" t="s">
        <v>756</v>
      </c>
      <c r="G3745" s="185" t="s">
        <v>4183</v>
      </c>
      <c r="H3745" s="185" t="s">
        <v>1515</v>
      </c>
      <c r="I3745" s="258" t="str">
        <f t="shared" si="175"/>
        <v>2</v>
      </c>
      <c r="J3745" s="221">
        <f t="shared" si="176"/>
        <v>310000</v>
      </c>
      <c r="K3745" s="258">
        <f t="shared" si="177"/>
        <v>12</v>
      </c>
      <c r="L3745" s="188">
        <v>310000</v>
      </c>
      <c r="M3745" s="188">
        <v>0</v>
      </c>
      <c r="N3745" s="189">
        <v>800197268</v>
      </c>
      <c r="O3745"/>
      <c r="P3745" s="187">
        <v>45288.734652777799</v>
      </c>
      <c r="Q3745" s="186">
        <v>15175</v>
      </c>
      <c r="R3745" s="185" t="s">
        <v>983</v>
      </c>
      <c r="S3745" s="185" t="s">
        <v>1558</v>
      </c>
      <c r="T3745"/>
      <c r="U3745" t="str">
        <f>IF($L3745&gt;0,VLOOKUP($E3745,Valida!$A$1:$G$270,6,FALSE),IF($M3745&gt;=0,VLOOKUP($E3745,Valida!$A$1:$G$270,7,FALSE)))</f>
        <v>(+/-) Ajustes por el incremento (disminución) de cuentas por pagar de origen comercial</v>
      </c>
      <c r="V3745" s="190" t="str">
        <f>VLOOKUP(E3745,Valida!$A$2:$K$271,4,FALSE)</f>
        <v>Trade and other payables</v>
      </c>
      <c r="W3745" s="185" t="s">
        <v>1944</v>
      </c>
      <c r="X3745" s="185"/>
      <c r="Y3745" s="185" t="s">
        <v>1789</v>
      </c>
      <c r="Z3745"/>
    </row>
    <row r="3746" spans="1:26">
      <c r="A3746" s="185" t="s">
        <v>3932</v>
      </c>
      <c r="B3746" s="185" t="s">
        <v>4182</v>
      </c>
      <c r="C3746" s="185" t="s">
        <v>1991</v>
      </c>
      <c r="D3746" s="185" t="s">
        <v>2231</v>
      </c>
      <c r="E3746" s="185">
        <v>53152003</v>
      </c>
      <c r="F3746" s="185" t="s">
        <v>1498</v>
      </c>
      <c r="G3746" s="185" t="s">
        <v>4183</v>
      </c>
      <c r="H3746" s="185" t="s">
        <v>1515</v>
      </c>
      <c r="I3746" s="258" t="str">
        <f t="shared" si="175"/>
        <v>5</v>
      </c>
      <c r="J3746" s="221">
        <f t="shared" si="176"/>
        <v>122.24</v>
      </c>
      <c r="K3746" s="258">
        <f t="shared" si="177"/>
        <v>12</v>
      </c>
      <c r="L3746" s="188">
        <v>122.24</v>
      </c>
      <c r="M3746" s="188">
        <v>0</v>
      </c>
      <c r="N3746" s="189">
        <v>800197268</v>
      </c>
      <c r="O3746"/>
      <c r="P3746" s="187">
        <v>45288.734652777799</v>
      </c>
      <c r="Q3746" s="186">
        <v>15176</v>
      </c>
      <c r="R3746" s="185" t="s">
        <v>983</v>
      </c>
      <c r="S3746" s="185" t="s">
        <v>1558</v>
      </c>
      <c r="T3746"/>
      <c r="U3746" t="str">
        <f>IF($L3746&gt;0,VLOOKUP($E3746,Valida!$A$1:$G$270,6,FALSE),IF($M3746&gt;=0,VLOOKUP($E3746,Valida!$A$1:$G$270,7,FALSE)))</f>
        <v>(+/-) Ganancia (pérdida)</v>
      </c>
      <c r="V3746" s="190" t="str">
        <f>VLOOKUP(E3746,Valida!$A$2:$K$271,4,FALSE)</f>
        <v>P&amp;L</v>
      </c>
      <c r="W3746" s="185" t="s">
        <v>1944</v>
      </c>
      <c r="X3746" s="185"/>
      <c r="Y3746" s="185" t="s">
        <v>1789</v>
      </c>
      <c r="Z3746"/>
    </row>
    <row r="3747" spans="1:26">
      <c r="A3747" s="185" t="s">
        <v>3932</v>
      </c>
      <c r="B3747" s="185" t="s">
        <v>4184</v>
      </c>
      <c r="C3747" s="185" t="s">
        <v>1991</v>
      </c>
      <c r="D3747" s="185" t="s">
        <v>2239</v>
      </c>
      <c r="E3747" s="185">
        <v>24081501</v>
      </c>
      <c r="F3747" s="185" t="s">
        <v>747</v>
      </c>
      <c r="G3747" s="185" t="s">
        <v>4183</v>
      </c>
      <c r="H3747" s="185" t="s">
        <v>1628</v>
      </c>
      <c r="I3747" s="258" t="str">
        <f t="shared" si="175"/>
        <v>2</v>
      </c>
      <c r="J3747" s="221">
        <f t="shared" si="176"/>
        <v>-565000</v>
      </c>
      <c r="K3747" s="258">
        <f t="shared" si="177"/>
        <v>12</v>
      </c>
      <c r="L3747" s="188">
        <v>0</v>
      </c>
      <c r="M3747" s="188">
        <v>565000</v>
      </c>
      <c r="N3747" s="189">
        <v>800197268</v>
      </c>
      <c r="O3747"/>
      <c r="P3747" s="187">
        <v>45288.736747685201</v>
      </c>
      <c r="Q3747" s="186">
        <v>15177</v>
      </c>
      <c r="R3747" s="185" t="s">
        <v>983</v>
      </c>
      <c r="S3747" s="185" t="s">
        <v>1558</v>
      </c>
      <c r="T3747"/>
      <c r="U3747" t="str">
        <f>IF($L3747&gt;0,VLOOKUP($E3747,Valida!$A$1:$G$270,6,FALSE),IF($M3747&gt;=0,VLOOKUP($E3747,Valida!$A$1:$G$270,7,FALSE)))</f>
        <v>(+/-) Ajustes por el incremento (disminución) de cuentas por pagar de origen comercial</v>
      </c>
      <c r="V3747" s="190" t="str">
        <f>VLOOKUP(E3747,Valida!$A$2:$K$271,4,FALSE)</f>
        <v>Trade and other payables</v>
      </c>
      <c r="W3747" s="185" t="s">
        <v>1944</v>
      </c>
      <c r="X3747" s="185"/>
      <c r="Y3747" s="185" t="s">
        <v>1789</v>
      </c>
      <c r="Z3747"/>
    </row>
    <row r="3748" spans="1:26">
      <c r="A3748" s="185" t="s">
        <v>3932</v>
      </c>
      <c r="B3748" s="185" t="s">
        <v>4184</v>
      </c>
      <c r="C3748" s="185" t="s">
        <v>1991</v>
      </c>
      <c r="D3748" s="185" t="s">
        <v>2239</v>
      </c>
      <c r="E3748" s="185">
        <v>24081502</v>
      </c>
      <c r="F3748" s="185" t="s">
        <v>750</v>
      </c>
      <c r="G3748" s="185" t="s">
        <v>4183</v>
      </c>
      <c r="H3748" s="185" t="s">
        <v>1628</v>
      </c>
      <c r="I3748" s="258" t="str">
        <f t="shared" si="175"/>
        <v>2</v>
      </c>
      <c r="J3748" s="221">
        <f t="shared" si="176"/>
        <v>-8029000</v>
      </c>
      <c r="K3748" s="258">
        <f t="shared" si="177"/>
        <v>12</v>
      </c>
      <c r="L3748" s="188">
        <v>0</v>
      </c>
      <c r="M3748" s="188">
        <v>8029000</v>
      </c>
      <c r="N3748" s="189">
        <v>800197268</v>
      </c>
      <c r="O3748"/>
      <c r="P3748" s="187">
        <v>45288.736747685201</v>
      </c>
      <c r="Q3748" s="186">
        <v>15178</v>
      </c>
      <c r="R3748" s="185" t="s">
        <v>983</v>
      </c>
      <c r="S3748" s="185" t="s">
        <v>1558</v>
      </c>
      <c r="T3748"/>
      <c r="U3748" t="str">
        <f>IF($L3748&gt;0,VLOOKUP($E3748,Valida!$A$1:$G$270,6,FALSE),IF($M3748&gt;=0,VLOOKUP($E3748,Valida!$A$1:$G$270,7,FALSE)))</f>
        <v>(+/-) Ajustes por el incremento (disminución) de cuentas por pagar de origen comercial</v>
      </c>
      <c r="V3748" s="190" t="str">
        <f>VLOOKUP(E3748,Valida!$A$2:$K$271,4,FALSE)</f>
        <v>Trade and other payables</v>
      </c>
      <c r="W3748" s="185" t="s">
        <v>1944</v>
      </c>
      <c r="X3748" s="185"/>
      <c r="Y3748" s="185" t="s">
        <v>1789</v>
      </c>
      <c r="Z3748"/>
    </row>
    <row r="3749" spans="1:26">
      <c r="A3749" s="185" t="s">
        <v>3932</v>
      </c>
      <c r="B3749" s="185" t="s">
        <v>4184</v>
      </c>
      <c r="C3749" s="185" t="s">
        <v>1991</v>
      </c>
      <c r="D3749" s="185" t="s">
        <v>2239</v>
      </c>
      <c r="E3749" s="185">
        <v>24081505</v>
      </c>
      <c r="F3749" s="185" t="s">
        <v>756</v>
      </c>
      <c r="G3749" s="185" t="s">
        <v>4183</v>
      </c>
      <c r="H3749" s="185" t="s">
        <v>1628</v>
      </c>
      <c r="I3749" s="258" t="str">
        <f t="shared" si="175"/>
        <v>2</v>
      </c>
      <c r="J3749" s="221">
        <f t="shared" si="176"/>
        <v>-310000</v>
      </c>
      <c r="K3749" s="258">
        <f t="shared" si="177"/>
        <v>12</v>
      </c>
      <c r="L3749" s="188">
        <v>0</v>
      </c>
      <c r="M3749" s="188">
        <v>310000</v>
      </c>
      <c r="N3749" s="189">
        <v>800197268</v>
      </c>
      <c r="O3749"/>
      <c r="P3749" s="187">
        <v>45288.736747685201</v>
      </c>
      <c r="Q3749" s="186">
        <v>15179</v>
      </c>
      <c r="R3749" s="185" t="s">
        <v>983</v>
      </c>
      <c r="S3749" s="185" t="s">
        <v>1558</v>
      </c>
      <c r="T3749"/>
      <c r="U3749" t="str">
        <f>IF($L3749&gt;0,VLOOKUP($E3749,Valida!$A$1:$G$270,6,FALSE),IF($M3749&gt;=0,VLOOKUP($E3749,Valida!$A$1:$G$270,7,FALSE)))</f>
        <v>(+/-) Ajustes por el incremento (disminución) de cuentas por pagar de origen comercial</v>
      </c>
      <c r="V3749" s="190" t="str">
        <f>VLOOKUP(E3749,Valida!$A$2:$K$271,4,FALSE)</f>
        <v>Trade and other payables</v>
      </c>
      <c r="W3749" s="185" t="s">
        <v>1944</v>
      </c>
      <c r="X3749" s="185"/>
      <c r="Y3749" s="185" t="s">
        <v>1789</v>
      </c>
      <c r="Z3749"/>
    </row>
    <row r="3750" spans="1:26">
      <c r="A3750" s="185" t="s">
        <v>3932</v>
      </c>
      <c r="B3750" s="185" t="s">
        <v>4184</v>
      </c>
      <c r="C3750" s="185" t="s">
        <v>1991</v>
      </c>
      <c r="D3750" s="185" t="s">
        <v>2239</v>
      </c>
      <c r="E3750" s="185">
        <v>13552001</v>
      </c>
      <c r="F3750" s="185" t="s">
        <v>276</v>
      </c>
      <c r="G3750" s="185" t="s">
        <v>4183</v>
      </c>
      <c r="H3750" s="185" t="s">
        <v>1515</v>
      </c>
      <c r="I3750" s="258" t="str">
        <f t="shared" si="175"/>
        <v>1</v>
      </c>
      <c r="J3750" s="221">
        <f t="shared" si="176"/>
        <v>8904000</v>
      </c>
      <c r="K3750" s="258">
        <f t="shared" si="177"/>
        <v>12</v>
      </c>
      <c r="L3750" s="188">
        <v>8904000</v>
      </c>
      <c r="M3750" s="188">
        <v>0</v>
      </c>
      <c r="N3750" s="189">
        <v>800197268</v>
      </c>
      <c r="O3750"/>
      <c r="P3750" s="187">
        <v>45288.736747685201</v>
      </c>
      <c r="Q3750" s="186">
        <v>15180</v>
      </c>
      <c r="R3750" s="185" t="s">
        <v>983</v>
      </c>
      <c r="S3750" s="185" t="s">
        <v>1558</v>
      </c>
      <c r="T3750"/>
      <c r="U3750" t="str">
        <f>IF($L3750&gt;0,VLOOKUP($E3750,Valida!$A$1:$G$270,6,FALSE),IF($M3750&gt;=0,VLOOKUP($E3750,Valida!$A$1:$G$270,7,FALSE)))</f>
        <v>(+/-) Ajustes por disminuciones (incrementos) en otras cuentas por cobrar derivadas de las actividades de operación</v>
      </c>
      <c r="V3750" s="190" t="str">
        <f>VLOOKUP(E3750,Valida!$A$2:$K$271,4,FALSE)</f>
        <v>Trade and other receivables</v>
      </c>
      <c r="W3750" s="185" t="s">
        <v>1944</v>
      </c>
      <c r="X3750" s="185"/>
      <c r="Y3750" s="185" t="s">
        <v>1789</v>
      </c>
      <c r="Z3750"/>
    </row>
    <row r="3751" spans="1:26">
      <c r="A3751" s="185" t="s">
        <v>3932</v>
      </c>
      <c r="B3751" s="185" t="s">
        <v>4185</v>
      </c>
      <c r="C3751" s="185" t="s">
        <v>1991</v>
      </c>
      <c r="D3751" s="185" t="s">
        <v>2243</v>
      </c>
      <c r="E3751" s="185">
        <v>23680503</v>
      </c>
      <c r="F3751" s="185" t="s">
        <v>665</v>
      </c>
      <c r="G3751" s="185" t="s">
        <v>4186</v>
      </c>
      <c r="H3751" s="185" t="s">
        <v>1515</v>
      </c>
      <c r="I3751" s="258" t="str">
        <f t="shared" si="175"/>
        <v>2</v>
      </c>
      <c r="J3751" s="221">
        <f t="shared" si="176"/>
        <v>277080</v>
      </c>
      <c r="K3751" s="258">
        <f t="shared" si="177"/>
        <v>12</v>
      </c>
      <c r="L3751" s="188">
        <v>277080</v>
      </c>
      <c r="M3751" s="188">
        <v>0</v>
      </c>
      <c r="N3751" s="189">
        <v>899999061</v>
      </c>
      <c r="O3751"/>
      <c r="P3751" s="187">
        <v>45288.738009259301</v>
      </c>
      <c r="Q3751" s="186">
        <v>15181</v>
      </c>
      <c r="R3751" s="185"/>
      <c r="S3751" s="185" t="s">
        <v>1584</v>
      </c>
      <c r="T3751"/>
      <c r="U3751" t="str">
        <f>IF($L3751&gt;0,VLOOKUP($E3751,Valida!$A$1:$G$270,6,FALSE),IF($M3751&gt;=0,VLOOKUP($E3751,Valida!$A$1:$G$270,7,FALSE)))</f>
        <v>(+/-) Ajustes por el incremento (disminución) de cuentas por pagar de origen comercial</v>
      </c>
      <c r="V3751" s="190" t="str">
        <f>VLOOKUP(E3751,Valida!$A$2:$K$271,4,FALSE)</f>
        <v>Trade and other payables</v>
      </c>
      <c r="W3751" s="185" t="s">
        <v>1893</v>
      </c>
      <c r="X3751" s="185"/>
      <c r="Y3751" s="185" t="s">
        <v>1789</v>
      </c>
      <c r="Z3751"/>
    </row>
    <row r="3752" spans="1:26">
      <c r="A3752" s="185" t="s">
        <v>3932</v>
      </c>
      <c r="B3752" s="185" t="s">
        <v>4185</v>
      </c>
      <c r="C3752" s="185" t="s">
        <v>1991</v>
      </c>
      <c r="D3752" s="185" t="s">
        <v>2243</v>
      </c>
      <c r="E3752" s="185">
        <v>23680504</v>
      </c>
      <c r="F3752" s="185" t="s">
        <v>668</v>
      </c>
      <c r="G3752" s="185" t="s">
        <v>4186</v>
      </c>
      <c r="H3752" s="185" t="s">
        <v>1515</v>
      </c>
      <c r="I3752" s="258" t="str">
        <f t="shared" si="175"/>
        <v>2</v>
      </c>
      <c r="J3752" s="221">
        <f t="shared" si="176"/>
        <v>105130</v>
      </c>
      <c r="K3752" s="258">
        <f t="shared" si="177"/>
        <v>12</v>
      </c>
      <c r="L3752" s="188">
        <v>105130</v>
      </c>
      <c r="M3752" s="188">
        <v>0</v>
      </c>
      <c r="N3752" s="189">
        <v>899999061</v>
      </c>
      <c r="O3752"/>
      <c r="P3752" s="187">
        <v>45288.738009259301</v>
      </c>
      <c r="Q3752" s="186">
        <v>15182</v>
      </c>
      <c r="R3752" s="185"/>
      <c r="S3752" s="185" t="s">
        <v>1584</v>
      </c>
      <c r="T3752"/>
      <c r="U3752" t="str">
        <f>IF($L3752&gt;0,VLOOKUP($E3752,Valida!$A$1:$G$270,6,FALSE),IF($M3752&gt;=0,VLOOKUP($E3752,Valida!$A$1:$G$270,7,FALSE)))</f>
        <v>(+/-) Ajustes por el incremento (disminución) de cuentas por pagar de origen comercial</v>
      </c>
      <c r="V3752" s="190" t="str">
        <f>VLOOKUP(E3752,Valida!$A$2:$K$271,4,FALSE)</f>
        <v>Trade and other payables</v>
      </c>
      <c r="W3752" s="185" t="s">
        <v>1893</v>
      </c>
      <c r="X3752" s="185"/>
      <c r="Y3752" s="185" t="s">
        <v>1789</v>
      </c>
      <c r="Z3752"/>
    </row>
    <row r="3753" spans="1:26">
      <c r="A3753" s="185" t="s">
        <v>3932</v>
      </c>
      <c r="B3753" s="185" t="s">
        <v>4185</v>
      </c>
      <c r="C3753" s="185" t="s">
        <v>1991</v>
      </c>
      <c r="D3753" s="185" t="s">
        <v>2243</v>
      </c>
      <c r="E3753" s="185">
        <v>236890</v>
      </c>
      <c r="F3753" s="185" t="s">
        <v>1648</v>
      </c>
      <c r="G3753" s="185" t="s">
        <v>4186</v>
      </c>
      <c r="H3753" s="185" t="s">
        <v>1628</v>
      </c>
      <c r="I3753" s="258" t="str">
        <f t="shared" si="175"/>
        <v>2</v>
      </c>
      <c r="J3753" s="221">
        <f t="shared" si="176"/>
        <v>-382000</v>
      </c>
      <c r="K3753" s="258">
        <f t="shared" si="177"/>
        <v>12</v>
      </c>
      <c r="L3753" s="188">
        <v>0</v>
      </c>
      <c r="M3753" s="188">
        <v>382000</v>
      </c>
      <c r="N3753" s="189">
        <v>899999061</v>
      </c>
      <c r="O3753"/>
      <c r="P3753" s="187">
        <v>45288.738009259301</v>
      </c>
      <c r="Q3753" s="186">
        <v>15183</v>
      </c>
      <c r="R3753" s="185"/>
      <c r="S3753" s="185" t="s">
        <v>1584</v>
      </c>
      <c r="T3753"/>
      <c r="U3753" t="str">
        <f>IF($L3753&gt;0,VLOOKUP($E3753,Valida!$A$1:$G$270,6,FALSE),IF($M3753&gt;=0,VLOOKUP($E3753,Valida!$A$1:$G$270,7,FALSE)))</f>
        <v>(+/-) Ajustes por el incremento (disminución) de cuentas por pagar de origen comercial</v>
      </c>
      <c r="V3753" s="190" t="str">
        <f>VLOOKUP(E3753,Valida!$A$2:$K$271,4,FALSE)</f>
        <v>Trade and other payables</v>
      </c>
      <c r="W3753" s="185" t="s">
        <v>1893</v>
      </c>
      <c r="X3753" s="185"/>
      <c r="Y3753" s="185" t="s">
        <v>1789</v>
      </c>
      <c r="Z3753"/>
    </row>
    <row r="3754" spans="1:26">
      <c r="A3754" s="185" t="s">
        <v>3932</v>
      </c>
      <c r="B3754" s="185" t="s">
        <v>4185</v>
      </c>
      <c r="C3754" s="185" t="s">
        <v>1991</v>
      </c>
      <c r="D3754" s="185" t="s">
        <v>2243</v>
      </c>
      <c r="E3754" s="185">
        <v>53059510</v>
      </c>
      <c r="F3754" s="185" t="s">
        <v>1065</v>
      </c>
      <c r="G3754" s="185" t="s">
        <v>4186</v>
      </c>
      <c r="H3754" s="185" t="s">
        <v>1628</v>
      </c>
      <c r="I3754" s="258" t="str">
        <f t="shared" si="175"/>
        <v>5</v>
      </c>
      <c r="J3754" s="221">
        <f t="shared" si="176"/>
        <v>-210</v>
      </c>
      <c r="K3754" s="258">
        <f t="shared" si="177"/>
        <v>12</v>
      </c>
      <c r="L3754" s="188">
        <v>0</v>
      </c>
      <c r="M3754" s="188">
        <v>210</v>
      </c>
      <c r="N3754" s="189">
        <v>899999061</v>
      </c>
      <c r="O3754"/>
      <c r="P3754" s="187">
        <v>45288.738009259301</v>
      </c>
      <c r="Q3754" s="186">
        <v>15184</v>
      </c>
      <c r="R3754" s="185"/>
      <c r="S3754" s="185" t="s">
        <v>1584</v>
      </c>
      <c r="T3754"/>
      <c r="U3754" t="str">
        <f>IF($L3754&gt;0,VLOOKUP($E3754,Valida!$A$1:$G$270,6,FALSE),IF($M3754&gt;=0,VLOOKUP($E3754,Valida!$A$1:$G$270,7,FALSE)))</f>
        <v>(+/-) Ganancia (pérdida)</v>
      </c>
      <c r="V3754" s="190" t="str">
        <f>VLOOKUP(E3754,Valida!$A$2:$K$271,4,FALSE)</f>
        <v>P&amp;L</v>
      </c>
      <c r="W3754" s="185" t="s">
        <v>1893</v>
      </c>
      <c r="X3754" s="185"/>
      <c r="Y3754" s="185" t="s">
        <v>1789</v>
      </c>
      <c r="Z3754"/>
    </row>
    <row r="3755" spans="1:26">
      <c r="A3755" s="185" t="s">
        <v>3932</v>
      </c>
      <c r="B3755" s="185" t="s">
        <v>4187</v>
      </c>
      <c r="C3755" s="185" t="s">
        <v>1991</v>
      </c>
      <c r="D3755" s="185" t="s">
        <v>2300</v>
      </c>
      <c r="E3755" s="185">
        <v>23657502</v>
      </c>
      <c r="F3755" s="185" t="s">
        <v>1646</v>
      </c>
      <c r="G3755" s="185" t="s">
        <v>4188</v>
      </c>
      <c r="H3755" s="185" t="s">
        <v>1628</v>
      </c>
      <c r="I3755" s="258" t="str">
        <f t="shared" si="175"/>
        <v>2</v>
      </c>
      <c r="J3755" s="221">
        <f t="shared" si="176"/>
        <v>0</v>
      </c>
      <c r="K3755" s="258">
        <f t="shared" si="177"/>
        <v>12</v>
      </c>
      <c r="L3755" s="188">
        <v>0</v>
      </c>
      <c r="M3755" s="188">
        <v>0</v>
      </c>
      <c r="N3755" s="189">
        <v>800197268</v>
      </c>
      <c r="O3755"/>
      <c r="P3755" s="187">
        <v>45288.738807870403</v>
      </c>
      <c r="Q3755" s="186">
        <v>15185</v>
      </c>
      <c r="R3755" s="185" t="s">
        <v>983</v>
      </c>
      <c r="S3755" s="185" t="s">
        <v>1558</v>
      </c>
      <c r="T3755"/>
      <c r="U3755" t="str">
        <f>IF($L3755&gt;0,VLOOKUP($E3755,Valida!$A$1:$G$270,6,FALSE),IF($M3755&gt;=0,VLOOKUP($E3755,Valida!$A$1:$G$270,7,FALSE)))</f>
        <v>(+/-) Ajustes por el incremento (disminución) de cuentas por pagar de origen comercial</v>
      </c>
      <c r="V3755" s="190" t="str">
        <f>VLOOKUP(E3755,Valida!$A$2:$K$271,4,FALSE)</f>
        <v>Trade and other payables</v>
      </c>
      <c r="W3755" s="185" t="s">
        <v>1944</v>
      </c>
      <c r="X3755" s="185"/>
      <c r="Y3755" s="185" t="s">
        <v>1789</v>
      </c>
      <c r="Z3755"/>
    </row>
    <row r="3756" spans="1:26">
      <c r="A3756" s="185" t="s">
        <v>3932</v>
      </c>
      <c r="B3756" s="185" t="s">
        <v>4187</v>
      </c>
      <c r="C3756" s="185" t="s">
        <v>1991</v>
      </c>
      <c r="D3756" s="185" t="s">
        <v>2300</v>
      </c>
      <c r="E3756" s="185">
        <v>13551902</v>
      </c>
      <c r="F3756" s="185" t="s">
        <v>1614</v>
      </c>
      <c r="G3756" s="185" t="s">
        <v>4188</v>
      </c>
      <c r="H3756" s="185" t="s">
        <v>1628</v>
      </c>
      <c r="I3756" s="258" t="str">
        <f t="shared" si="175"/>
        <v>1</v>
      </c>
      <c r="J3756" s="221">
        <f t="shared" si="176"/>
        <v>0</v>
      </c>
      <c r="K3756" s="258">
        <f t="shared" si="177"/>
        <v>12</v>
      </c>
      <c r="L3756" s="188">
        <v>0</v>
      </c>
      <c r="M3756" s="188">
        <v>0</v>
      </c>
      <c r="N3756" s="189">
        <v>800197268</v>
      </c>
      <c r="O3756"/>
      <c r="P3756" s="187">
        <v>45288.738807870403</v>
      </c>
      <c r="Q3756" s="186">
        <v>15186</v>
      </c>
      <c r="R3756" s="185" t="s">
        <v>983</v>
      </c>
      <c r="S3756" s="185" t="s">
        <v>1558</v>
      </c>
      <c r="T3756"/>
      <c r="U3756" t="str">
        <f>IF($L3756&gt;0,VLOOKUP($E3756,Valida!$A$1:$G$270,6,FALSE),IF($M3756&gt;=0,VLOOKUP($E3756,Valida!$A$1:$G$270,7,FALSE)))</f>
        <v>(+/-) Ajustes por disminuciones (incrementos) en otras cuentas por cobrar derivadas de las actividades de operación</v>
      </c>
      <c r="V3756" s="190" t="str">
        <f>VLOOKUP(E3756,Valida!$A$2:$K$271,4,FALSE)</f>
        <v>Prepayments: Taxes</v>
      </c>
      <c r="W3756" s="185" t="s">
        <v>1944</v>
      </c>
      <c r="X3756" s="185"/>
      <c r="Y3756" s="185" t="s">
        <v>1789</v>
      </c>
      <c r="Z3756"/>
    </row>
    <row r="3757" spans="1:26">
      <c r="A3757" s="185" t="s">
        <v>3932</v>
      </c>
      <c r="B3757" s="185" t="s">
        <v>4189</v>
      </c>
      <c r="C3757" s="185" t="s">
        <v>1991</v>
      </c>
      <c r="D3757" s="185" t="s">
        <v>2331</v>
      </c>
      <c r="E3757" s="185">
        <v>23652504</v>
      </c>
      <c r="F3757" s="185" t="s">
        <v>247</v>
      </c>
      <c r="G3757" s="185" t="s">
        <v>4190</v>
      </c>
      <c r="H3757" s="185" t="s">
        <v>1515</v>
      </c>
      <c r="I3757" s="258" t="str">
        <f t="shared" si="175"/>
        <v>2</v>
      </c>
      <c r="J3757" s="221">
        <f t="shared" si="176"/>
        <v>21868</v>
      </c>
      <c r="K3757" s="258">
        <f t="shared" si="177"/>
        <v>12</v>
      </c>
      <c r="L3757" s="188">
        <v>21868</v>
      </c>
      <c r="M3757" s="188">
        <v>0</v>
      </c>
      <c r="N3757" s="189">
        <v>800197268</v>
      </c>
      <c r="O3757"/>
      <c r="P3757" s="187">
        <v>45288.742962962999</v>
      </c>
      <c r="Q3757" s="186">
        <v>15187</v>
      </c>
      <c r="R3757" s="185" t="s">
        <v>983</v>
      </c>
      <c r="S3757" s="185" t="s">
        <v>1558</v>
      </c>
      <c r="T3757"/>
      <c r="U3757" t="str">
        <f>IF($L3757&gt;0,VLOOKUP($E3757,Valida!$A$1:$G$270,6,FALSE),IF($M3757&gt;=0,VLOOKUP($E3757,Valida!$A$1:$G$270,7,FALSE)))</f>
        <v>(+/-) Ajustes por el incremento (disminución) de cuentas por pagar de origen comercial</v>
      </c>
      <c r="V3757" s="190" t="str">
        <f>VLOOKUP(E3757,Valida!$A$2:$K$271,4,FALSE)</f>
        <v>Trade and other payables</v>
      </c>
      <c r="W3757" s="185" t="s">
        <v>1944</v>
      </c>
      <c r="X3757" s="185"/>
      <c r="Y3757" s="185" t="s">
        <v>1789</v>
      </c>
      <c r="Z3757"/>
    </row>
    <row r="3758" spans="1:26">
      <c r="A3758" s="185" t="s">
        <v>3932</v>
      </c>
      <c r="B3758" s="185" t="s">
        <v>4189</v>
      </c>
      <c r="C3758" s="185" t="s">
        <v>1991</v>
      </c>
      <c r="D3758" s="185" t="s">
        <v>2331</v>
      </c>
      <c r="E3758" s="185">
        <v>23653001</v>
      </c>
      <c r="F3758" s="185" t="s">
        <v>611</v>
      </c>
      <c r="G3758" s="185" t="s">
        <v>4190</v>
      </c>
      <c r="H3758" s="185" t="s">
        <v>1515</v>
      </c>
      <c r="I3758" s="258" t="str">
        <f t="shared" si="175"/>
        <v>2</v>
      </c>
      <c r="J3758" s="221">
        <f t="shared" si="176"/>
        <v>531038</v>
      </c>
      <c r="K3758" s="258">
        <f t="shared" si="177"/>
        <v>12</v>
      </c>
      <c r="L3758" s="188">
        <v>531038</v>
      </c>
      <c r="M3758" s="188">
        <v>0</v>
      </c>
      <c r="N3758" s="189">
        <v>800197268</v>
      </c>
      <c r="O3758"/>
      <c r="P3758" s="187">
        <v>45288.742962962999</v>
      </c>
      <c r="Q3758" s="186">
        <v>15188</v>
      </c>
      <c r="R3758" s="185" t="s">
        <v>983</v>
      </c>
      <c r="S3758" s="185" t="s">
        <v>1558</v>
      </c>
      <c r="T3758"/>
      <c r="U3758" t="str">
        <f>IF($L3758&gt;0,VLOOKUP($E3758,Valida!$A$1:$G$270,6,FALSE),IF($M3758&gt;=0,VLOOKUP($E3758,Valida!$A$1:$G$270,7,FALSE)))</f>
        <v>(+/-) Ajustes por el incremento (disminución) de cuentas por pagar de origen comercial</v>
      </c>
      <c r="V3758" s="190" t="str">
        <f>VLOOKUP(E3758,Valida!$A$2:$K$271,4,FALSE)</f>
        <v>Trade and other payables</v>
      </c>
      <c r="W3758" s="185" t="s">
        <v>1944</v>
      </c>
      <c r="X3758" s="185"/>
      <c r="Y3758" s="185" t="s">
        <v>1789</v>
      </c>
      <c r="Z3758"/>
    </row>
    <row r="3759" spans="1:26">
      <c r="A3759" s="185" t="s">
        <v>3932</v>
      </c>
      <c r="B3759" s="185" t="s">
        <v>4189</v>
      </c>
      <c r="C3759" s="185" t="s">
        <v>1991</v>
      </c>
      <c r="D3759" s="185" t="s">
        <v>2331</v>
      </c>
      <c r="E3759" s="185">
        <v>23653002</v>
      </c>
      <c r="F3759" s="185" t="s">
        <v>241</v>
      </c>
      <c r="G3759" s="185" t="s">
        <v>4190</v>
      </c>
      <c r="H3759" s="185" t="s">
        <v>1515</v>
      </c>
      <c r="I3759" s="258" t="str">
        <f t="shared" si="175"/>
        <v>2</v>
      </c>
      <c r="J3759" s="221">
        <f t="shared" si="176"/>
        <v>4280</v>
      </c>
      <c r="K3759" s="258">
        <f t="shared" si="177"/>
        <v>12</v>
      </c>
      <c r="L3759" s="188">
        <v>4280</v>
      </c>
      <c r="M3759" s="188">
        <v>0</v>
      </c>
      <c r="N3759" s="189">
        <v>800197268</v>
      </c>
      <c r="O3759"/>
      <c r="P3759" s="187">
        <v>45288.742962962999</v>
      </c>
      <c r="Q3759" s="186">
        <v>15189</v>
      </c>
      <c r="R3759" s="185" t="s">
        <v>983</v>
      </c>
      <c r="S3759" s="185" t="s">
        <v>1558</v>
      </c>
      <c r="T3759"/>
      <c r="U3759" t="str">
        <f>IF($L3759&gt;0,VLOOKUP($E3759,Valida!$A$1:$G$270,6,FALSE),IF($M3759&gt;=0,VLOOKUP($E3759,Valida!$A$1:$G$270,7,FALSE)))</f>
        <v>(+/-) Ajustes por el incremento (disminución) de cuentas por pagar de origen comercial</v>
      </c>
      <c r="V3759" s="190" t="str">
        <f>VLOOKUP(E3759,Valida!$A$2:$K$271,4,FALSE)</f>
        <v>Trade and other payables</v>
      </c>
      <c r="W3759" s="185" t="s">
        <v>1944</v>
      </c>
      <c r="X3759" s="185"/>
      <c r="Y3759" s="185" t="s">
        <v>1789</v>
      </c>
      <c r="Z3759"/>
    </row>
    <row r="3760" spans="1:26">
      <c r="A3760" s="185" t="s">
        <v>3932</v>
      </c>
      <c r="B3760" s="185" t="s">
        <v>4189</v>
      </c>
      <c r="C3760" s="185" t="s">
        <v>1991</v>
      </c>
      <c r="D3760" s="185" t="s">
        <v>2331</v>
      </c>
      <c r="E3760" s="185">
        <v>23654001</v>
      </c>
      <c r="F3760" s="185" t="s">
        <v>622</v>
      </c>
      <c r="G3760" s="185" t="s">
        <v>4190</v>
      </c>
      <c r="H3760" s="185" t="s">
        <v>1515</v>
      </c>
      <c r="I3760" s="258" t="str">
        <f t="shared" si="175"/>
        <v>2</v>
      </c>
      <c r="J3760" s="221">
        <f t="shared" si="176"/>
        <v>122394</v>
      </c>
      <c r="K3760" s="258">
        <f t="shared" si="177"/>
        <v>12</v>
      </c>
      <c r="L3760" s="188">
        <v>122394</v>
      </c>
      <c r="M3760" s="188">
        <v>0</v>
      </c>
      <c r="N3760" s="189">
        <v>800197268</v>
      </c>
      <c r="O3760"/>
      <c r="P3760" s="187">
        <v>45288.742962962999</v>
      </c>
      <c r="Q3760" s="186">
        <v>15190</v>
      </c>
      <c r="R3760" s="185" t="s">
        <v>983</v>
      </c>
      <c r="S3760" s="185" t="s">
        <v>1558</v>
      </c>
      <c r="T3760"/>
      <c r="U3760" t="str">
        <f>IF($L3760&gt;0,VLOOKUP($E3760,Valida!$A$1:$G$270,6,FALSE),IF($M3760&gt;=0,VLOOKUP($E3760,Valida!$A$1:$G$270,7,FALSE)))</f>
        <v>(+/-) Ajustes por el incremento (disminución) de cuentas por pagar de origen comercial</v>
      </c>
      <c r="V3760" s="190" t="str">
        <f>VLOOKUP(E3760,Valida!$A$2:$K$271,4,FALSE)</f>
        <v>Trade and other payables</v>
      </c>
      <c r="W3760" s="185" t="s">
        <v>1944</v>
      </c>
      <c r="X3760" s="185"/>
      <c r="Y3760" s="185" t="s">
        <v>1789</v>
      </c>
      <c r="Z3760"/>
    </row>
    <row r="3761" spans="1:26">
      <c r="A3761" s="185" t="s">
        <v>3932</v>
      </c>
      <c r="B3761" s="185" t="s">
        <v>4189</v>
      </c>
      <c r="C3761" s="185" t="s">
        <v>1991</v>
      </c>
      <c r="D3761" s="185" t="s">
        <v>2331</v>
      </c>
      <c r="E3761" s="185">
        <v>23657502</v>
      </c>
      <c r="F3761" s="185" t="s">
        <v>1646</v>
      </c>
      <c r="G3761" s="185" t="s">
        <v>4190</v>
      </c>
      <c r="H3761" s="185" t="s">
        <v>1628</v>
      </c>
      <c r="I3761" s="258" t="str">
        <f t="shared" si="175"/>
        <v>2</v>
      </c>
      <c r="J3761" s="221">
        <f t="shared" si="176"/>
        <v>0</v>
      </c>
      <c r="K3761" s="258">
        <f t="shared" si="177"/>
        <v>12</v>
      </c>
      <c r="L3761" s="188">
        <v>0</v>
      </c>
      <c r="M3761" s="188">
        <v>0</v>
      </c>
      <c r="N3761" s="189">
        <v>800197268</v>
      </c>
      <c r="O3761"/>
      <c r="P3761" s="187">
        <v>45288.742962962999</v>
      </c>
      <c r="Q3761" s="186">
        <v>15191</v>
      </c>
      <c r="R3761" s="185" t="s">
        <v>983</v>
      </c>
      <c r="S3761" s="185" t="s">
        <v>1558</v>
      </c>
      <c r="T3761"/>
      <c r="U3761" t="str">
        <f>IF($L3761&gt;0,VLOOKUP($E3761,Valida!$A$1:$G$270,6,FALSE),IF($M3761&gt;=0,VLOOKUP($E3761,Valida!$A$1:$G$270,7,FALSE)))</f>
        <v>(+/-) Ajustes por el incremento (disminución) de cuentas por pagar de origen comercial</v>
      </c>
      <c r="V3761" s="190" t="str">
        <f>VLOOKUP(E3761,Valida!$A$2:$K$271,4,FALSE)</f>
        <v>Trade and other payables</v>
      </c>
      <c r="W3761" s="185" t="s">
        <v>1944</v>
      </c>
      <c r="X3761" s="185"/>
      <c r="Y3761" s="185" t="s">
        <v>1789</v>
      </c>
      <c r="Z3761"/>
    </row>
    <row r="3762" spans="1:26">
      <c r="A3762" s="185" t="s">
        <v>3932</v>
      </c>
      <c r="B3762" s="185" t="s">
        <v>4189</v>
      </c>
      <c r="C3762" s="185" t="s">
        <v>1991</v>
      </c>
      <c r="D3762" s="185" t="s">
        <v>2331</v>
      </c>
      <c r="E3762" s="185">
        <v>236595</v>
      </c>
      <c r="F3762" s="185" t="s">
        <v>648</v>
      </c>
      <c r="G3762" s="185" t="s">
        <v>4190</v>
      </c>
      <c r="H3762" s="185" t="s">
        <v>1628</v>
      </c>
      <c r="I3762" s="258" t="str">
        <f t="shared" si="175"/>
        <v>2</v>
      </c>
      <c r="J3762" s="221">
        <f t="shared" si="176"/>
        <v>-679000</v>
      </c>
      <c r="K3762" s="258">
        <f t="shared" si="177"/>
        <v>12</v>
      </c>
      <c r="L3762" s="188">
        <v>0</v>
      </c>
      <c r="M3762" s="188">
        <v>679000</v>
      </c>
      <c r="N3762" s="189">
        <v>800197268</v>
      </c>
      <c r="O3762"/>
      <c r="P3762" s="187">
        <v>45288.742962962999</v>
      </c>
      <c r="Q3762" s="186">
        <v>15192</v>
      </c>
      <c r="R3762" s="185" t="s">
        <v>983</v>
      </c>
      <c r="S3762" s="185" t="s">
        <v>1558</v>
      </c>
      <c r="T3762"/>
      <c r="U3762" t="str">
        <f>IF($L3762&gt;0,VLOOKUP($E3762,Valida!$A$1:$G$270,6,FALSE),IF($M3762&gt;=0,VLOOKUP($E3762,Valida!$A$1:$G$270,7,FALSE)))</f>
        <v>(+/-) Ajustes por el incremento (disminución) de cuentas por pagar de origen comercial</v>
      </c>
      <c r="V3762" s="190" t="str">
        <f>VLOOKUP(E3762,Valida!$A$2:$K$271,4,FALSE)</f>
        <v>Trade and other payables</v>
      </c>
      <c r="W3762" s="185" t="s">
        <v>1944</v>
      </c>
      <c r="X3762" s="185"/>
      <c r="Y3762" s="185" t="s">
        <v>1789</v>
      </c>
      <c r="Z3762"/>
    </row>
    <row r="3763" spans="1:26">
      <c r="A3763" s="185" t="s">
        <v>3932</v>
      </c>
      <c r="B3763" s="185" t="s">
        <v>4189</v>
      </c>
      <c r="C3763" s="185" t="s">
        <v>1991</v>
      </c>
      <c r="D3763" s="185" t="s">
        <v>2331</v>
      </c>
      <c r="E3763" s="185">
        <v>53059510</v>
      </c>
      <c r="F3763" s="185" t="s">
        <v>1065</v>
      </c>
      <c r="G3763" s="185" t="s">
        <v>4190</v>
      </c>
      <c r="H3763" s="185" t="s">
        <v>1628</v>
      </c>
      <c r="I3763" s="258" t="str">
        <f t="shared" si="175"/>
        <v>5</v>
      </c>
      <c r="J3763" s="221">
        <f t="shared" si="176"/>
        <v>-580</v>
      </c>
      <c r="K3763" s="258">
        <f t="shared" si="177"/>
        <v>12</v>
      </c>
      <c r="L3763" s="188">
        <v>0</v>
      </c>
      <c r="M3763" s="188">
        <v>580</v>
      </c>
      <c r="N3763" s="189">
        <v>800197268</v>
      </c>
      <c r="O3763"/>
      <c r="P3763" s="187">
        <v>45288.742962962999</v>
      </c>
      <c r="Q3763" s="186">
        <v>15193</v>
      </c>
      <c r="R3763" s="185" t="s">
        <v>983</v>
      </c>
      <c r="S3763" s="185" t="s">
        <v>1558</v>
      </c>
      <c r="T3763"/>
      <c r="U3763" t="str">
        <f>IF($L3763&gt;0,VLOOKUP($E3763,Valida!$A$1:$G$270,6,FALSE),IF($M3763&gt;=0,VLOOKUP($E3763,Valida!$A$1:$G$270,7,FALSE)))</f>
        <v>(+/-) Ganancia (pérdida)</v>
      </c>
      <c r="V3763" s="190" t="str">
        <f>VLOOKUP(E3763,Valida!$A$2:$K$271,4,FALSE)</f>
        <v>P&amp;L</v>
      </c>
      <c r="W3763" s="185" t="s">
        <v>1944</v>
      </c>
      <c r="X3763" s="185"/>
      <c r="Y3763" s="185" t="s">
        <v>1789</v>
      </c>
      <c r="Z3763"/>
    </row>
    <row r="3764" spans="1:26">
      <c r="A3764" s="185" t="s">
        <v>3828</v>
      </c>
      <c r="B3764" s="185" t="s">
        <v>4104</v>
      </c>
      <c r="C3764" s="185" t="s">
        <v>1890</v>
      </c>
      <c r="D3764" s="185" t="s">
        <v>4105</v>
      </c>
      <c r="E3764" s="185">
        <v>539520</v>
      </c>
      <c r="F3764" s="185" t="s">
        <v>1758</v>
      </c>
      <c r="G3764" s="185" t="s">
        <v>4106</v>
      </c>
      <c r="H3764" s="185" t="s">
        <v>1515</v>
      </c>
      <c r="I3764" s="258" t="str">
        <f t="shared" si="175"/>
        <v>5</v>
      </c>
      <c r="J3764" s="221">
        <f t="shared" si="176"/>
        <v>424000</v>
      </c>
      <c r="K3764" s="258">
        <f t="shared" si="177"/>
        <v>12</v>
      </c>
      <c r="L3764" s="188">
        <v>424000</v>
      </c>
      <c r="M3764" s="188">
        <v>0</v>
      </c>
      <c r="N3764" s="189">
        <v>800197268</v>
      </c>
      <c r="O3764"/>
      <c r="P3764" s="187">
        <v>45288</v>
      </c>
      <c r="Q3764" s="186">
        <v>15194</v>
      </c>
      <c r="R3764" s="185" t="s">
        <v>983</v>
      </c>
      <c r="S3764" s="185" t="s">
        <v>1558</v>
      </c>
      <c r="T3764"/>
      <c r="U3764" t="str">
        <f>IF($L3764&gt;0,VLOOKUP($E3764,Valida!$A$1:$G$270,6,FALSE),IF($M3764&gt;=0,VLOOKUP($E3764,Valida!$A$1:$G$270,7,FALSE)))</f>
        <v>(+/-) Ganancia (pérdida)</v>
      </c>
      <c r="V3764" s="190" t="str">
        <f>VLOOKUP(E3764,Valida!$A$2:$K$271,4,FALSE)</f>
        <v>P&amp;L</v>
      </c>
      <c r="W3764" s="185" t="s">
        <v>1944</v>
      </c>
      <c r="X3764" s="185"/>
      <c r="Y3764" s="185" t="s">
        <v>1789</v>
      </c>
      <c r="Z3764"/>
    </row>
    <row r="3765" spans="1:26">
      <c r="A3765" s="185" t="s">
        <v>3828</v>
      </c>
      <c r="B3765" s="185" t="s">
        <v>4104</v>
      </c>
      <c r="C3765" s="185" t="s">
        <v>1890</v>
      </c>
      <c r="D3765" s="185" t="s">
        <v>4105</v>
      </c>
      <c r="E3765" s="185">
        <v>53059510</v>
      </c>
      <c r="F3765" s="185" t="s">
        <v>1065</v>
      </c>
      <c r="G3765" s="185" t="s">
        <v>4106</v>
      </c>
      <c r="H3765" s="185" t="s">
        <v>1515</v>
      </c>
      <c r="I3765" s="258" t="str">
        <f t="shared" si="175"/>
        <v>5</v>
      </c>
      <c r="J3765" s="221">
        <f t="shared" si="176"/>
        <v>1000</v>
      </c>
      <c r="K3765" s="258">
        <f t="shared" si="177"/>
        <v>12</v>
      </c>
      <c r="L3765" s="188">
        <v>1000</v>
      </c>
      <c r="M3765" s="188">
        <v>0</v>
      </c>
      <c r="N3765" s="189">
        <v>800197268</v>
      </c>
      <c r="O3765"/>
      <c r="P3765" s="187">
        <v>45288</v>
      </c>
      <c r="Q3765" s="186">
        <v>15195</v>
      </c>
      <c r="R3765" s="185" t="s">
        <v>983</v>
      </c>
      <c r="S3765" s="185" t="s">
        <v>1558</v>
      </c>
      <c r="T3765"/>
      <c r="U3765" t="str">
        <f>IF($L3765&gt;0,VLOOKUP($E3765,Valida!$A$1:$G$270,6,FALSE),IF($M3765&gt;=0,VLOOKUP($E3765,Valida!$A$1:$G$270,7,FALSE)))</f>
        <v>(+/-) Ganancia (pérdida)</v>
      </c>
      <c r="V3765" s="190" t="str">
        <f>VLOOKUP(E3765,Valida!$A$2:$K$271,4,FALSE)</f>
        <v>P&amp;L</v>
      </c>
      <c r="W3765" s="185" t="s">
        <v>1944</v>
      </c>
      <c r="X3765" s="185"/>
      <c r="Y3765" s="185" t="s">
        <v>1789</v>
      </c>
      <c r="Z3765"/>
    </row>
    <row r="3766" spans="1:26">
      <c r="A3766" s="185" t="s">
        <v>3932</v>
      </c>
      <c r="B3766" s="185" t="s">
        <v>4191</v>
      </c>
      <c r="C3766" s="185" t="s">
        <v>1991</v>
      </c>
      <c r="D3766" s="185" t="s">
        <v>4192</v>
      </c>
      <c r="E3766" s="185">
        <v>54050501</v>
      </c>
      <c r="F3766" s="185" t="s">
        <v>1760</v>
      </c>
      <c r="G3766" s="185" t="s">
        <v>3511</v>
      </c>
      <c r="H3766" s="185" t="s">
        <v>1628</v>
      </c>
      <c r="I3766" s="258" t="str">
        <f t="shared" si="175"/>
        <v>5</v>
      </c>
      <c r="J3766" s="221">
        <f t="shared" si="176"/>
        <v>-23321000</v>
      </c>
      <c r="K3766" s="258">
        <f t="shared" si="177"/>
        <v>12</v>
      </c>
      <c r="L3766" s="188">
        <v>0</v>
      </c>
      <c r="M3766" s="188">
        <v>23321000</v>
      </c>
      <c r="N3766" s="189">
        <v>800197268</v>
      </c>
      <c r="O3766"/>
      <c r="P3766" s="187">
        <v>45288.772164351903</v>
      </c>
      <c r="Q3766" s="186">
        <v>15196</v>
      </c>
      <c r="R3766" s="185" t="s">
        <v>983</v>
      </c>
      <c r="S3766" s="185" t="s">
        <v>1558</v>
      </c>
      <c r="T3766"/>
      <c r="U3766" t="str">
        <f>IF($L3766&gt;0,VLOOKUP($E3766,Valida!$A$1:$G$270,6,FALSE),IF($M3766&gt;=0,VLOOKUP($E3766,Valida!$A$1:$G$270,7,FALSE)))</f>
        <v>(+/-) Ganancia (pérdida)</v>
      </c>
      <c r="V3766" s="190" t="str">
        <f>VLOOKUP(E3766,Valida!$A$2:$K$271,4,FALSE)</f>
        <v>P&amp;L</v>
      </c>
      <c r="W3766" s="185" t="s">
        <v>1944</v>
      </c>
      <c r="X3766" s="185"/>
      <c r="Y3766" s="185" t="s">
        <v>1789</v>
      </c>
      <c r="Z3766"/>
    </row>
    <row r="3767" spans="1:26">
      <c r="A3767" s="185" t="s">
        <v>3932</v>
      </c>
      <c r="B3767" s="185" t="s">
        <v>4191</v>
      </c>
      <c r="C3767" s="185" t="s">
        <v>1991</v>
      </c>
      <c r="D3767" s="185" t="s">
        <v>4192</v>
      </c>
      <c r="E3767" s="185">
        <v>240405</v>
      </c>
      <c r="F3767" s="185" t="s">
        <v>732</v>
      </c>
      <c r="G3767" s="185" t="s">
        <v>3511</v>
      </c>
      <c r="H3767" s="185" t="s">
        <v>1515</v>
      </c>
      <c r="I3767" s="258" t="str">
        <f t="shared" si="175"/>
        <v>2</v>
      </c>
      <c r="J3767" s="221">
        <f t="shared" si="176"/>
        <v>23321000</v>
      </c>
      <c r="K3767" s="258">
        <f t="shared" si="177"/>
        <v>12</v>
      </c>
      <c r="L3767" s="188">
        <v>23321000</v>
      </c>
      <c r="M3767" s="188">
        <v>0</v>
      </c>
      <c r="N3767" s="189">
        <v>800197268</v>
      </c>
      <c r="O3767"/>
      <c r="P3767" s="187">
        <v>45288.772164351903</v>
      </c>
      <c r="Q3767" s="186">
        <v>15197</v>
      </c>
      <c r="R3767" s="185" t="s">
        <v>983</v>
      </c>
      <c r="S3767" s="185" t="s">
        <v>1558</v>
      </c>
      <c r="T3767"/>
      <c r="U3767" t="str">
        <f>IF($L3767&gt;0,VLOOKUP($E3767,Valida!$A$1:$G$270,6,FALSE),IF($M3767&gt;=0,VLOOKUP($E3767,Valida!$A$1:$G$270,7,FALSE)))</f>
        <v>(+/-) Ajustes por el incremento (disminución) de cuentas por pagar de origen comercial</v>
      </c>
      <c r="V3767" s="190" t="str">
        <f>VLOOKUP(E3767,Valida!$A$2:$K$271,4,FALSE)</f>
        <v>Trade and other payables</v>
      </c>
      <c r="W3767" s="185" t="s">
        <v>1944</v>
      </c>
      <c r="X3767" s="185"/>
      <c r="Y3767" s="185" t="s">
        <v>1789</v>
      </c>
      <c r="Z3767"/>
    </row>
    <row r="3768" spans="1:26">
      <c r="A3768" s="185" t="s">
        <v>3932</v>
      </c>
      <c r="B3768" s="185" t="s">
        <v>4193</v>
      </c>
      <c r="C3768" s="185" t="s">
        <v>1991</v>
      </c>
      <c r="D3768" s="185" t="s">
        <v>2400</v>
      </c>
      <c r="E3768" s="185">
        <v>13552002</v>
      </c>
      <c r="F3768" s="185" t="s">
        <v>5611</v>
      </c>
      <c r="G3768" s="185" t="s">
        <v>4194</v>
      </c>
      <c r="H3768" s="185" t="s">
        <v>1515</v>
      </c>
      <c r="I3768" s="258" t="str">
        <f t="shared" si="175"/>
        <v>1</v>
      </c>
      <c r="J3768" s="221">
        <f t="shared" si="176"/>
        <v>8243000</v>
      </c>
      <c r="K3768" s="258">
        <f t="shared" si="177"/>
        <v>12</v>
      </c>
      <c r="L3768" s="188">
        <v>8243000</v>
      </c>
      <c r="M3768" s="188">
        <v>0</v>
      </c>
      <c r="N3768" s="189">
        <v>800197268</v>
      </c>
      <c r="O3768"/>
      <c r="P3768" s="187">
        <v>45288.775081018503</v>
      </c>
      <c r="Q3768" s="186">
        <v>15198</v>
      </c>
      <c r="R3768" s="185" t="s">
        <v>983</v>
      </c>
      <c r="S3768" s="185" t="s">
        <v>1558</v>
      </c>
      <c r="T3768"/>
      <c r="U3768" t="str">
        <f>IF($L3768&gt;0,VLOOKUP($E3768,Valida!$A$1:$G$270,6,FALSE),IF($M3768&gt;=0,VLOOKUP($E3768,Valida!$A$1:$G$270,7,FALSE)))</f>
        <v>(+/-) Ajustes por disminuciones (incrementos) en otras cuentas por cobrar derivadas de las actividades de operación</v>
      </c>
      <c r="V3768" s="190" t="str">
        <f>VLOOKUP(E3768,Valida!$A$2:$K$271,4,FALSE)</f>
        <v>Trade and other receivables</v>
      </c>
      <c r="W3768" s="185" t="s">
        <v>1944</v>
      </c>
      <c r="X3768" s="185"/>
      <c r="Y3768" s="185" t="s">
        <v>1789</v>
      </c>
      <c r="Z3768"/>
    </row>
    <row r="3769" spans="1:26">
      <c r="A3769" s="185" t="s">
        <v>3932</v>
      </c>
      <c r="B3769" s="185" t="s">
        <v>4193</v>
      </c>
      <c r="C3769" s="185" t="s">
        <v>1991</v>
      </c>
      <c r="D3769" s="185" t="s">
        <v>2400</v>
      </c>
      <c r="E3769" s="185">
        <v>13551901</v>
      </c>
      <c r="F3769" s="185" t="s">
        <v>271</v>
      </c>
      <c r="G3769" s="185" t="s">
        <v>4194</v>
      </c>
      <c r="H3769" s="185" t="s">
        <v>1628</v>
      </c>
      <c r="I3769" s="258" t="str">
        <f t="shared" si="175"/>
        <v>1</v>
      </c>
      <c r="J3769" s="221">
        <f t="shared" si="176"/>
        <v>-3466583</v>
      </c>
      <c r="K3769" s="258">
        <f t="shared" si="177"/>
        <v>12</v>
      </c>
      <c r="L3769" s="188">
        <v>0</v>
      </c>
      <c r="M3769" s="188">
        <v>3466583</v>
      </c>
      <c r="N3769" s="189">
        <v>800197268</v>
      </c>
      <c r="O3769"/>
      <c r="P3769" s="187">
        <v>45288.775081018503</v>
      </c>
      <c r="Q3769" s="186">
        <v>15199</v>
      </c>
      <c r="R3769" s="185" t="s">
        <v>983</v>
      </c>
      <c r="S3769" s="185" t="s">
        <v>1558</v>
      </c>
      <c r="T3769"/>
      <c r="U3769" t="str">
        <f>IF($L3769&gt;0,VLOOKUP($E3769,Valida!$A$1:$G$270,6,FALSE),IF($M3769&gt;=0,VLOOKUP($E3769,Valida!$A$1:$G$270,7,FALSE)))</f>
        <v>(+/-) Ajustes por disminuciones (incrementos) en otras cuentas por cobrar derivadas de las actividades de operación</v>
      </c>
      <c r="V3769" s="190" t="str">
        <f>VLOOKUP(E3769,Valida!$A$2:$K$271,4,FALSE)</f>
        <v>Prepayments: Taxes</v>
      </c>
      <c r="W3769" s="185" t="s">
        <v>1944</v>
      </c>
      <c r="X3769" s="185"/>
      <c r="Y3769" s="185" t="s">
        <v>1789</v>
      </c>
      <c r="Z3769"/>
    </row>
    <row r="3770" spans="1:26">
      <c r="A3770" s="185" t="s">
        <v>3932</v>
      </c>
      <c r="B3770" s="185" t="s">
        <v>4193</v>
      </c>
      <c r="C3770" s="185" t="s">
        <v>1991</v>
      </c>
      <c r="D3770" s="185" t="s">
        <v>2400</v>
      </c>
      <c r="E3770" s="185">
        <v>13551902</v>
      </c>
      <c r="F3770" s="185" t="s">
        <v>1614</v>
      </c>
      <c r="G3770" s="185" t="s">
        <v>4194</v>
      </c>
      <c r="H3770" s="185" t="s">
        <v>1628</v>
      </c>
      <c r="I3770" s="258" t="str">
        <f t="shared" si="175"/>
        <v>1</v>
      </c>
      <c r="J3770" s="221">
        <f t="shared" si="176"/>
        <v>-4775999</v>
      </c>
      <c r="K3770" s="258">
        <f t="shared" si="177"/>
        <v>12</v>
      </c>
      <c r="L3770" s="188">
        <v>0</v>
      </c>
      <c r="M3770" s="188">
        <v>4775999</v>
      </c>
      <c r="N3770" s="189">
        <v>800197268</v>
      </c>
      <c r="O3770"/>
      <c r="P3770" s="187">
        <v>45288.775081018503</v>
      </c>
      <c r="Q3770" s="186">
        <v>15200</v>
      </c>
      <c r="R3770" s="185" t="s">
        <v>983</v>
      </c>
      <c r="S3770" s="185" t="s">
        <v>1558</v>
      </c>
      <c r="T3770"/>
      <c r="U3770" t="str">
        <f>IF($L3770&gt;0,VLOOKUP($E3770,Valida!$A$1:$G$270,6,FALSE),IF($M3770&gt;=0,VLOOKUP($E3770,Valida!$A$1:$G$270,7,FALSE)))</f>
        <v>(+/-) Ajustes por disminuciones (incrementos) en otras cuentas por cobrar derivadas de las actividades de operación</v>
      </c>
      <c r="V3770" s="190" t="str">
        <f>VLOOKUP(E3770,Valida!$A$2:$K$271,4,FALSE)</f>
        <v>Prepayments: Taxes</v>
      </c>
      <c r="W3770" s="185" t="s">
        <v>1944</v>
      </c>
      <c r="X3770" s="185"/>
      <c r="Y3770" s="185" t="s">
        <v>1789</v>
      </c>
      <c r="Z3770"/>
    </row>
    <row r="3771" spans="1:26">
      <c r="A3771" s="185" t="s">
        <v>3932</v>
      </c>
      <c r="B3771" s="185" t="s">
        <v>4193</v>
      </c>
      <c r="C3771" s="185" t="s">
        <v>1991</v>
      </c>
      <c r="D3771" s="185" t="s">
        <v>2400</v>
      </c>
      <c r="E3771" s="185">
        <v>53059510</v>
      </c>
      <c r="F3771" s="185" t="s">
        <v>1065</v>
      </c>
      <c r="G3771" s="185" t="s">
        <v>4194</v>
      </c>
      <c r="H3771" s="185" t="s">
        <v>1628</v>
      </c>
      <c r="I3771" s="258" t="str">
        <f t="shared" si="175"/>
        <v>5</v>
      </c>
      <c r="J3771" s="221">
        <f t="shared" si="176"/>
        <v>-418</v>
      </c>
      <c r="K3771" s="258">
        <f t="shared" si="177"/>
        <v>12</v>
      </c>
      <c r="L3771" s="188">
        <v>0</v>
      </c>
      <c r="M3771" s="188">
        <v>418</v>
      </c>
      <c r="N3771" s="189">
        <v>800197268</v>
      </c>
      <c r="O3771"/>
      <c r="P3771" s="187">
        <v>45288.775081018503</v>
      </c>
      <c r="Q3771" s="186">
        <v>15202</v>
      </c>
      <c r="R3771" s="185" t="s">
        <v>983</v>
      </c>
      <c r="S3771" s="185" t="s">
        <v>1558</v>
      </c>
      <c r="T3771"/>
      <c r="U3771" t="str">
        <f>IF($L3771&gt;0,VLOOKUP($E3771,Valida!$A$1:$G$270,6,FALSE),IF($M3771&gt;=0,VLOOKUP($E3771,Valida!$A$1:$G$270,7,FALSE)))</f>
        <v>(+/-) Ganancia (pérdida)</v>
      </c>
      <c r="V3771" s="190" t="str">
        <f>VLOOKUP(E3771,Valida!$A$2:$K$271,4,FALSE)</f>
        <v>P&amp;L</v>
      </c>
      <c r="W3771" s="185" t="s">
        <v>1944</v>
      </c>
      <c r="X3771" s="185"/>
      <c r="Y3771" s="185" t="s">
        <v>1789</v>
      </c>
      <c r="Z3771"/>
    </row>
    <row r="3772" spans="1:26">
      <c r="A3772" s="185" t="s">
        <v>3932</v>
      </c>
      <c r="B3772" s="185" t="s">
        <v>4195</v>
      </c>
      <c r="C3772" s="185" t="s">
        <v>1991</v>
      </c>
      <c r="D3772" s="185" t="s">
        <v>1963</v>
      </c>
      <c r="E3772" s="185">
        <v>240405</v>
      </c>
      <c r="F3772" s="185" t="s">
        <v>732</v>
      </c>
      <c r="G3772" s="185" t="s">
        <v>4196</v>
      </c>
      <c r="H3772" s="185" t="s">
        <v>1515</v>
      </c>
      <c r="I3772" s="258" t="str">
        <f t="shared" si="175"/>
        <v>2</v>
      </c>
      <c r="J3772" s="221">
        <f t="shared" si="176"/>
        <v>35603000</v>
      </c>
      <c r="K3772" s="258">
        <f t="shared" si="177"/>
        <v>12</v>
      </c>
      <c r="L3772" s="188">
        <v>35603000</v>
      </c>
      <c r="M3772" s="188">
        <v>0</v>
      </c>
      <c r="N3772" s="189">
        <v>800197268</v>
      </c>
      <c r="O3772"/>
      <c r="P3772" s="187">
        <v>45288.778391203698</v>
      </c>
      <c r="Q3772" s="186">
        <v>15203</v>
      </c>
      <c r="R3772" s="185" t="s">
        <v>983</v>
      </c>
      <c r="S3772" s="185" t="s">
        <v>1558</v>
      </c>
      <c r="T3772"/>
      <c r="U3772" t="str">
        <f>IF($L3772&gt;0,VLOOKUP($E3772,Valida!$A$1:$G$270,6,FALSE),IF($M3772&gt;=0,VLOOKUP($E3772,Valida!$A$1:$G$270,7,FALSE)))</f>
        <v>(+/-) Ajustes por el incremento (disminución) de cuentas por pagar de origen comercial</v>
      </c>
      <c r="V3772" s="190" t="str">
        <f>VLOOKUP(E3772,Valida!$A$2:$K$271,4,FALSE)</f>
        <v>Trade and other payables</v>
      </c>
      <c r="W3772" s="185" t="s">
        <v>1944</v>
      </c>
      <c r="X3772" s="185"/>
      <c r="Y3772" s="185" t="s">
        <v>1789</v>
      </c>
      <c r="Z3772"/>
    </row>
    <row r="3773" spans="1:26">
      <c r="A3773" s="185" t="s">
        <v>4197</v>
      </c>
      <c r="B3773" s="185" t="s">
        <v>4198</v>
      </c>
      <c r="C3773" s="185" t="s">
        <v>1890</v>
      </c>
      <c r="D3773" s="185" t="s">
        <v>4199</v>
      </c>
      <c r="E3773" s="185">
        <v>250505</v>
      </c>
      <c r="F3773" s="185" t="s">
        <v>767</v>
      </c>
      <c r="G3773" s="185" t="s">
        <v>2341</v>
      </c>
      <c r="H3773" s="185" t="s">
        <v>1515</v>
      </c>
      <c r="I3773" s="258" t="str">
        <f t="shared" si="175"/>
        <v>2</v>
      </c>
      <c r="J3773" s="221">
        <f t="shared" si="176"/>
        <v>3760568</v>
      </c>
      <c r="K3773" s="258">
        <f t="shared" si="177"/>
        <v>12</v>
      </c>
      <c r="L3773" s="188">
        <v>3760568</v>
      </c>
      <c r="M3773" s="188">
        <v>0</v>
      </c>
      <c r="N3773" s="189">
        <v>1130744136</v>
      </c>
      <c r="O3773"/>
      <c r="P3773" s="187">
        <v>45300.655011574097</v>
      </c>
      <c r="Q3773" s="186">
        <v>15205</v>
      </c>
      <c r="R3773" s="185"/>
      <c r="S3773" s="185" t="s">
        <v>1538</v>
      </c>
      <c r="T3773"/>
      <c r="U3773" t="str">
        <f>IF($L3773&gt;0,VLOOKUP($E3773,Valida!$A$1:$G$270,6,FALSE),IF($M3773&gt;=0,VLOOKUP($E3773,Valida!$A$1:$G$270,7,FALSE)))</f>
        <v>(+/-) Ajustes por el incremento (disminución) de cuentas por pagar de origen comercial</v>
      </c>
      <c r="V3773" s="190" t="str">
        <f>VLOOKUP(E3773,Valida!$A$2:$K$271,4,FALSE)</f>
        <v>Trade and other payables</v>
      </c>
      <c r="W3773" s="185" t="s">
        <v>1909</v>
      </c>
      <c r="X3773" s="185" t="s">
        <v>1910</v>
      </c>
      <c r="Y3773" s="185" t="s">
        <v>1789</v>
      </c>
      <c r="Z3773"/>
    </row>
    <row r="3774" spans="1:26">
      <c r="A3774" s="185" t="s">
        <v>4197</v>
      </c>
      <c r="B3774" s="185" t="s">
        <v>4198</v>
      </c>
      <c r="C3774" s="185" t="s">
        <v>1890</v>
      </c>
      <c r="D3774" s="185" t="s">
        <v>4199</v>
      </c>
      <c r="E3774" s="185">
        <v>112005</v>
      </c>
      <c r="F3774" s="185" t="s">
        <v>24</v>
      </c>
      <c r="G3774" s="185" t="s">
        <v>2341</v>
      </c>
      <c r="H3774" s="185" t="s">
        <v>1628</v>
      </c>
      <c r="I3774" s="258" t="str">
        <f t="shared" si="175"/>
        <v>1</v>
      </c>
      <c r="J3774" s="221">
        <f t="shared" si="176"/>
        <v>-3760568</v>
      </c>
      <c r="K3774" s="258">
        <f t="shared" si="177"/>
        <v>12</v>
      </c>
      <c r="L3774" s="188">
        <v>0</v>
      </c>
      <c r="M3774" s="188">
        <v>3760568</v>
      </c>
      <c r="N3774" s="189">
        <v>1130744136</v>
      </c>
      <c r="O3774"/>
      <c r="P3774" s="187">
        <v>45300.655011574097</v>
      </c>
      <c r="Q3774" s="186">
        <v>15206</v>
      </c>
      <c r="R3774" s="185"/>
      <c r="S3774" s="185" t="s">
        <v>1538</v>
      </c>
      <c r="T3774" t="s">
        <v>1894</v>
      </c>
      <c r="U3774" t="str">
        <f>IF($L3774&gt;0,VLOOKUP($E3774,Valida!$A$1:$G$270,6,FALSE),IF($M3774&gt;=0,VLOOKUP($E3774,Valida!$A$1:$G$270,7,FALSE)))</f>
        <v>Disponible</v>
      </c>
      <c r="V3774" s="190" t="str">
        <f>VLOOKUP(E3774,Valida!$A$2:$K$271,4,FALSE)</f>
        <v>Cash and equivalents</v>
      </c>
      <c r="W3774" s="185" t="s">
        <v>1909</v>
      </c>
      <c r="X3774" s="185" t="s">
        <v>1910</v>
      </c>
      <c r="Y3774" s="185" t="s">
        <v>1789</v>
      </c>
      <c r="Z3774"/>
    </row>
    <row r="3775" spans="1:26">
      <c r="A3775" s="185" t="s">
        <v>3932</v>
      </c>
      <c r="B3775" s="185" t="s">
        <v>4195</v>
      </c>
      <c r="C3775" s="185" t="s">
        <v>1991</v>
      </c>
      <c r="D3775" s="185" t="s">
        <v>1963</v>
      </c>
      <c r="E3775" s="185">
        <v>171076</v>
      </c>
      <c r="F3775" s="185" t="s">
        <v>1627</v>
      </c>
      <c r="G3775" s="185" t="s">
        <v>4196</v>
      </c>
      <c r="H3775" s="185" t="s">
        <v>1628</v>
      </c>
      <c r="I3775" s="258" t="str">
        <f t="shared" si="175"/>
        <v>1</v>
      </c>
      <c r="J3775" s="221">
        <f t="shared" si="176"/>
        <v>-35603000</v>
      </c>
      <c r="K3775" s="258">
        <f t="shared" si="177"/>
        <v>12</v>
      </c>
      <c r="L3775" s="188">
        <v>0</v>
      </c>
      <c r="M3775" s="188">
        <v>35603000</v>
      </c>
      <c r="N3775" s="189">
        <v>800197268</v>
      </c>
      <c r="O3775"/>
      <c r="P3775" s="187">
        <v>45288.778391203698</v>
      </c>
      <c r="Q3775" s="186">
        <v>15204</v>
      </c>
      <c r="R3775" s="185" t="s">
        <v>983</v>
      </c>
      <c r="S3775" s="185" t="s">
        <v>1558</v>
      </c>
      <c r="T3775"/>
      <c r="U3775" t="str">
        <f>IF($L3775&gt;0,VLOOKUP($E3775,Valida!$A$1:$G$270,6,FALSE),IF($M3775&gt;=0,VLOOKUP($E3775,Valida!$A$1:$G$270,7,FALSE)))</f>
        <v>(+/-) Otros ajustes para conciliar la ganancia (pérdida)</v>
      </c>
      <c r="V3775" s="190" t="str">
        <f>VLOOKUP(E3775,Valida!$A$2:$K$271,4,FALSE)</f>
        <v>Deffered Tax Income</v>
      </c>
      <c r="W3775" s="185" t="s">
        <v>1944</v>
      </c>
      <c r="X3775" s="185"/>
      <c r="Y3775" s="185" t="s">
        <v>1789</v>
      </c>
      <c r="Z3775"/>
    </row>
    <row r="3776" spans="1:26">
      <c r="A3776" s="185" t="s">
        <v>4197</v>
      </c>
      <c r="B3776" s="185" t="s">
        <v>4200</v>
      </c>
      <c r="C3776" s="185" t="s">
        <v>1890</v>
      </c>
      <c r="D3776" s="185" t="s">
        <v>4201</v>
      </c>
      <c r="E3776" s="185">
        <v>250505</v>
      </c>
      <c r="F3776" s="185" t="s">
        <v>767</v>
      </c>
      <c r="G3776" s="185" t="s">
        <v>2341</v>
      </c>
      <c r="H3776" s="185" t="s">
        <v>1515</v>
      </c>
      <c r="I3776" s="258" t="str">
        <f t="shared" si="175"/>
        <v>2</v>
      </c>
      <c r="J3776" s="221">
        <f t="shared" si="176"/>
        <v>4508516</v>
      </c>
      <c r="K3776" s="258">
        <f t="shared" si="177"/>
        <v>12</v>
      </c>
      <c r="L3776" s="188">
        <v>4508516</v>
      </c>
      <c r="M3776" s="188">
        <v>0</v>
      </c>
      <c r="N3776" s="189">
        <v>1010101811</v>
      </c>
      <c r="O3776"/>
      <c r="P3776" s="187">
        <v>45300.655370370398</v>
      </c>
      <c r="Q3776" s="186">
        <v>15207</v>
      </c>
      <c r="R3776" s="185"/>
      <c r="S3776" s="185" t="s">
        <v>1528</v>
      </c>
      <c r="T3776"/>
      <c r="U3776" t="str">
        <f>IF($L3776&gt;0,VLOOKUP($E3776,Valida!$A$1:$G$270,6,FALSE),IF($M3776&gt;=0,VLOOKUP($E3776,Valida!$A$1:$G$270,7,FALSE)))</f>
        <v>(+/-) Ajustes por el incremento (disminución) de cuentas por pagar de origen comercial</v>
      </c>
      <c r="V3776" s="190" t="str">
        <f>VLOOKUP(E3776,Valida!$A$2:$K$271,4,FALSE)</f>
        <v>Trade and other payables</v>
      </c>
      <c r="W3776" s="185" t="s">
        <v>1967</v>
      </c>
      <c r="X3776" s="185"/>
      <c r="Y3776" s="185" t="s">
        <v>1789</v>
      </c>
      <c r="Z3776"/>
    </row>
    <row r="3777" spans="1:26">
      <c r="A3777" s="185" t="s">
        <v>4197</v>
      </c>
      <c r="B3777" s="185" t="s">
        <v>4200</v>
      </c>
      <c r="C3777" s="185" t="s">
        <v>1890</v>
      </c>
      <c r="D3777" s="185" t="s">
        <v>4201</v>
      </c>
      <c r="E3777" s="185">
        <v>112005</v>
      </c>
      <c r="F3777" s="185" t="s">
        <v>24</v>
      </c>
      <c r="G3777" s="185" t="s">
        <v>2341</v>
      </c>
      <c r="H3777" s="185" t="s">
        <v>1628</v>
      </c>
      <c r="I3777" s="258" t="str">
        <f t="shared" si="175"/>
        <v>1</v>
      </c>
      <c r="J3777" s="221">
        <f t="shared" si="176"/>
        <v>-4508516</v>
      </c>
      <c r="K3777" s="258">
        <f t="shared" si="177"/>
        <v>12</v>
      </c>
      <c r="L3777" s="188">
        <v>0</v>
      </c>
      <c r="M3777" s="188">
        <v>4508516</v>
      </c>
      <c r="N3777" s="189">
        <v>1010101811</v>
      </c>
      <c r="O3777"/>
      <c r="P3777" s="187">
        <v>45300.655370370398</v>
      </c>
      <c r="Q3777" s="186">
        <v>15208</v>
      </c>
      <c r="R3777" s="185"/>
      <c r="S3777" s="185" t="s">
        <v>1528</v>
      </c>
      <c r="T3777" t="s">
        <v>1894</v>
      </c>
      <c r="U3777" t="str">
        <f>IF($L3777&gt;0,VLOOKUP($E3777,Valida!$A$1:$G$270,6,FALSE),IF($M3777&gt;=0,VLOOKUP($E3777,Valida!$A$1:$G$270,7,FALSE)))</f>
        <v>Disponible</v>
      </c>
      <c r="V3777" s="190" t="str">
        <f>VLOOKUP(E3777,Valida!$A$2:$K$271,4,FALSE)</f>
        <v>Cash and equivalents</v>
      </c>
      <c r="W3777" s="185" t="s">
        <v>1967</v>
      </c>
      <c r="X3777" s="185"/>
      <c r="Y3777" s="185" t="s">
        <v>1789</v>
      </c>
      <c r="Z3777"/>
    </row>
    <row r="3778" spans="1:26">
      <c r="A3778" s="185" t="s">
        <v>3932</v>
      </c>
      <c r="B3778" s="185" t="s">
        <v>4202</v>
      </c>
      <c r="C3778" s="185" t="s">
        <v>1785</v>
      </c>
      <c r="D3778" s="185" t="s">
        <v>4142</v>
      </c>
      <c r="E3778" s="185">
        <v>130505</v>
      </c>
      <c r="F3778" s="185" t="s">
        <v>61</v>
      </c>
      <c r="G3778" s="185" t="s">
        <v>4203</v>
      </c>
      <c r="H3778" s="185" t="s">
        <v>1515</v>
      </c>
      <c r="I3778" s="258" t="str">
        <f t="shared" si="175"/>
        <v>1</v>
      </c>
      <c r="J3778" s="221">
        <f t="shared" si="176"/>
        <v>129085600</v>
      </c>
      <c r="K3778" s="258">
        <f t="shared" si="177"/>
        <v>12</v>
      </c>
      <c r="L3778" s="188">
        <v>129085600</v>
      </c>
      <c r="M3778" s="188">
        <v>0</v>
      </c>
      <c r="N3778" s="189">
        <v>374795</v>
      </c>
      <c r="O3778"/>
      <c r="P3778" s="187">
        <v>45328.593368055597</v>
      </c>
      <c r="Q3778" s="186">
        <v>15209</v>
      </c>
      <c r="R3778" s="185"/>
      <c r="S3778" s="185" t="s">
        <v>1544</v>
      </c>
      <c r="T3778"/>
      <c r="U3778" t="str">
        <f>IF($L3778&gt;0,VLOOKUP($E3778,Valida!$A$1:$G$270,6,FALSE),IF($M3778&gt;=0,VLOOKUP($E3778,Valida!$A$1:$G$270,7,FALSE)))</f>
        <v>(+/-) Ajustes por la disminución (incremento) de cuentas por cobrar de origen comercial</v>
      </c>
      <c r="V3778" s="190" t="str">
        <f>VLOOKUP(E3778,Valida!$A$2:$K$271,4,FALSE)</f>
        <v>Trade and other receivables</v>
      </c>
      <c r="W3778" s="185" t="s">
        <v>1803</v>
      </c>
      <c r="X3778" s="185"/>
      <c r="Y3778" s="185"/>
      <c r="Z3778"/>
    </row>
    <row r="3779" spans="1:26">
      <c r="A3779" s="185" t="s">
        <v>3932</v>
      </c>
      <c r="B3779" s="185" t="s">
        <v>4202</v>
      </c>
      <c r="C3779" s="185" t="s">
        <v>1785</v>
      </c>
      <c r="D3779" s="185" t="s">
        <v>4142</v>
      </c>
      <c r="E3779" s="185">
        <v>130510</v>
      </c>
      <c r="F3779" s="185" t="s">
        <v>64</v>
      </c>
      <c r="G3779" s="185" t="s">
        <v>4203</v>
      </c>
      <c r="H3779" s="185" t="s">
        <v>1628</v>
      </c>
      <c r="I3779" s="258" t="str">
        <f t="shared" ref="I3779:I3842" si="178">LEFT(E3779,1)</f>
        <v>1</v>
      </c>
      <c r="J3779" s="221">
        <f t="shared" ref="J3779:J3842" si="179">L3779-M3779</f>
        <v>-129085600</v>
      </c>
      <c r="K3779" s="258">
        <f t="shared" ref="K3779:K3842" si="180">MONTH(A3779)</f>
        <v>12</v>
      </c>
      <c r="L3779" s="188">
        <v>0</v>
      </c>
      <c r="M3779" s="188">
        <v>129085600</v>
      </c>
      <c r="N3779" s="189">
        <v>374795</v>
      </c>
      <c r="O3779"/>
      <c r="P3779" s="187">
        <v>45328.593368055597</v>
      </c>
      <c r="Q3779" s="186">
        <v>15210</v>
      </c>
      <c r="R3779" s="185"/>
      <c r="S3779" s="185" t="s">
        <v>1544</v>
      </c>
      <c r="T3779"/>
      <c r="U3779" t="str">
        <f>IF($L3779&gt;0,VLOOKUP($E3779,Valida!$A$1:$G$270,6,FALSE),IF($M3779&gt;=0,VLOOKUP($E3779,Valida!$A$1:$G$270,7,FALSE)))</f>
        <v>(+/-) Ajustes por la disminución (incremento) de cuentas por cobrar de origen comercial</v>
      </c>
      <c r="V3779" s="190" t="str">
        <f>VLOOKUP(E3779,Valida!$A$2:$K$271,4,FALSE)</f>
        <v>Trade and other receivables</v>
      </c>
      <c r="W3779" s="185" t="s">
        <v>1803</v>
      </c>
      <c r="X3779" s="185"/>
      <c r="Y3779" s="185"/>
      <c r="Z3779"/>
    </row>
    <row r="3780" spans="1:26">
      <c r="A3780" s="185" t="s">
        <v>3932</v>
      </c>
      <c r="B3780" s="185" t="s">
        <v>4204</v>
      </c>
      <c r="C3780" s="185" t="s">
        <v>1785</v>
      </c>
      <c r="D3780" s="185" t="s">
        <v>4205</v>
      </c>
      <c r="E3780" s="185">
        <v>13300502</v>
      </c>
      <c r="F3780" s="185" t="s">
        <v>129</v>
      </c>
      <c r="G3780" s="185" t="s">
        <v>4206</v>
      </c>
      <c r="H3780" s="185" t="s">
        <v>1515</v>
      </c>
      <c r="I3780" s="258" t="str">
        <f t="shared" si="178"/>
        <v>1</v>
      </c>
      <c r="J3780" s="221">
        <f t="shared" si="179"/>
        <v>11069</v>
      </c>
      <c r="K3780" s="258">
        <f t="shared" si="180"/>
        <v>12</v>
      </c>
      <c r="L3780" s="188">
        <v>11069</v>
      </c>
      <c r="M3780" s="188">
        <v>0</v>
      </c>
      <c r="N3780" s="189">
        <v>830062853</v>
      </c>
      <c r="O3780"/>
      <c r="P3780" s="187">
        <v>45328.617372685199</v>
      </c>
      <c r="Q3780" s="186">
        <v>15211</v>
      </c>
      <c r="R3780" s="185" t="s">
        <v>433</v>
      </c>
      <c r="S3780" s="185" t="s">
        <v>1564</v>
      </c>
      <c r="T3780"/>
      <c r="U3780" t="str">
        <f>IF($L3780&gt;0,VLOOKUP($E3780,Valida!$A$1:$G$270,6,FALSE),IF($M3780&gt;=0,VLOOKUP($E3780,Valida!$A$1:$G$270,7,FALSE)))</f>
        <v>(+/-) Ajustes por disminuciones (incrementos) en otras cuentas por cobrar derivadas de las actividades de operación</v>
      </c>
      <c r="V3780" s="190" t="str">
        <f>VLOOKUP(E3780,Valida!$A$2:$K$271,4,FALSE)</f>
        <v>Trade and other receivables</v>
      </c>
      <c r="W3780" s="185" t="s">
        <v>2024</v>
      </c>
      <c r="X3780" s="185" t="s">
        <v>2025</v>
      </c>
      <c r="Y3780" s="185" t="s">
        <v>1789</v>
      </c>
      <c r="Z3780"/>
    </row>
    <row r="3781" spans="1:26">
      <c r="A3781" s="185" t="s">
        <v>3932</v>
      </c>
      <c r="B3781" s="185" t="s">
        <v>4204</v>
      </c>
      <c r="C3781" s="185" t="s">
        <v>1785</v>
      </c>
      <c r="D3781" s="185" t="s">
        <v>4205</v>
      </c>
      <c r="E3781" s="185">
        <v>23359502</v>
      </c>
      <c r="F3781" s="185" t="s">
        <v>547</v>
      </c>
      <c r="G3781" s="185" t="s">
        <v>4206</v>
      </c>
      <c r="H3781" s="185" t="s">
        <v>1628</v>
      </c>
      <c r="I3781" s="258" t="str">
        <f t="shared" si="178"/>
        <v>2</v>
      </c>
      <c r="J3781" s="221">
        <f t="shared" si="179"/>
        <v>-5461</v>
      </c>
      <c r="K3781" s="258">
        <f t="shared" si="180"/>
        <v>12</v>
      </c>
      <c r="L3781" s="188">
        <v>0</v>
      </c>
      <c r="M3781" s="188">
        <v>5461</v>
      </c>
      <c r="N3781" s="189">
        <v>830062853</v>
      </c>
      <c r="O3781"/>
      <c r="P3781" s="187">
        <v>45328.617372685199</v>
      </c>
      <c r="Q3781" s="186">
        <v>15212</v>
      </c>
      <c r="R3781" s="185" t="s">
        <v>433</v>
      </c>
      <c r="S3781" s="185" t="s">
        <v>1564</v>
      </c>
      <c r="T3781"/>
      <c r="U3781" t="str">
        <f>IF($L3781&gt;0,VLOOKUP($E3781,Valida!$A$1:$G$270,6,FALSE),IF($M3781&gt;=0,VLOOKUP($E3781,Valida!$A$1:$G$270,7,FALSE)))</f>
        <v>(+/-) Ajustes por el incremento (disminución) de cuentas por pagar de origen comercial</v>
      </c>
      <c r="V3781" s="190" t="str">
        <f>VLOOKUP(E3781,Valida!$A$2:$K$271,4,FALSE)</f>
        <v>Trade and other payables</v>
      </c>
      <c r="W3781" s="185" t="s">
        <v>2024</v>
      </c>
      <c r="X3781" s="185" t="s">
        <v>2025</v>
      </c>
      <c r="Y3781" s="185" t="s">
        <v>1789</v>
      </c>
      <c r="Z3781"/>
    </row>
    <row r="3782" spans="1:26">
      <c r="A3782" s="185" t="s">
        <v>3932</v>
      </c>
      <c r="B3782" s="185" t="s">
        <v>4204</v>
      </c>
      <c r="C3782" s="185" t="s">
        <v>1785</v>
      </c>
      <c r="D3782" s="185" t="s">
        <v>4205</v>
      </c>
      <c r="E3782" s="185">
        <v>42109502</v>
      </c>
      <c r="F3782" s="185" t="s">
        <v>1714</v>
      </c>
      <c r="G3782" s="185" t="s">
        <v>4206</v>
      </c>
      <c r="H3782" s="185" t="s">
        <v>1628</v>
      </c>
      <c r="I3782" s="258" t="str">
        <f t="shared" si="178"/>
        <v>4</v>
      </c>
      <c r="J3782" s="221">
        <f t="shared" si="179"/>
        <v>-5608</v>
      </c>
      <c r="K3782" s="258">
        <f t="shared" si="180"/>
        <v>12</v>
      </c>
      <c r="L3782" s="188">
        <v>0</v>
      </c>
      <c r="M3782" s="188">
        <v>5608</v>
      </c>
      <c r="N3782" s="189">
        <v>830062853</v>
      </c>
      <c r="O3782"/>
      <c r="P3782" s="187">
        <v>45328.617372685199</v>
      </c>
      <c r="Q3782" s="186">
        <v>15213</v>
      </c>
      <c r="R3782" s="185" t="s">
        <v>433</v>
      </c>
      <c r="S3782" s="185" t="s">
        <v>1564</v>
      </c>
      <c r="T3782"/>
      <c r="U3782" t="str">
        <f>IF($L3782&gt;0,VLOOKUP($E3782,Valida!$A$1:$G$270,6,FALSE),IF($M3782&gt;=0,VLOOKUP($E3782,Valida!$A$1:$G$270,7,FALSE)))</f>
        <v>(+/-) Ganancia (pérdida)</v>
      </c>
      <c r="V3782" s="190" t="str">
        <f>VLOOKUP(E3782,Valida!$A$2:$K$271,4,FALSE)</f>
        <v>P&amp;L</v>
      </c>
      <c r="W3782" s="185" t="s">
        <v>2024</v>
      </c>
      <c r="X3782" s="185" t="s">
        <v>2025</v>
      </c>
      <c r="Y3782" s="185" t="s">
        <v>1789</v>
      </c>
      <c r="Z3782"/>
    </row>
    <row r="3783" spans="1:26">
      <c r="A3783" s="185" t="s">
        <v>3932</v>
      </c>
      <c r="B3783" s="185" t="s">
        <v>4207</v>
      </c>
      <c r="C3783" s="185" t="s">
        <v>1785</v>
      </c>
      <c r="D3783" s="185" t="s">
        <v>4208</v>
      </c>
      <c r="E3783" s="185">
        <v>42109502</v>
      </c>
      <c r="F3783" s="185" t="s">
        <v>1714</v>
      </c>
      <c r="G3783" s="185" t="s">
        <v>4206</v>
      </c>
      <c r="H3783" s="185" t="s">
        <v>1515</v>
      </c>
      <c r="I3783" s="258" t="str">
        <f t="shared" si="178"/>
        <v>4</v>
      </c>
      <c r="J3783" s="221">
        <f t="shared" si="179"/>
        <v>38</v>
      </c>
      <c r="K3783" s="258">
        <f t="shared" si="180"/>
        <v>12</v>
      </c>
      <c r="L3783" s="188">
        <v>38</v>
      </c>
      <c r="M3783" s="188">
        <v>0</v>
      </c>
      <c r="N3783" s="189">
        <v>901513634</v>
      </c>
      <c r="O3783"/>
      <c r="P3783" s="187">
        <v>45328.637395833299</v>
      </c>
      <c r="Q3783" s="186">
        <v>15214</v>
      </c>
      <c r="R3783" s="185" t="s">
        <v>6</v>
      </c>
      <c r="S3783" s="185" t="s">
        <v>1518</v>
      </c>
      <c r="T3783"/>
      <c r="U3783" t="str">
        <f>IF($L3783&gt;0,VLOOKUP($E3783,Valida!$A$1:$G$270,6,FALSE),IF($M3783&gt;=0,VLOOKUP($E3783,Valida!$A$1:$G$270,7,FALSE)))</f>
        <v>(+/-) Ganancia (pérdida)</v>
      </c>
      <c r="V3783" s="190" t="str">
        <f>VLOOKUP(E3783,Valida!$A$2:$K$271,4,FALSE)</f>
        <v>P&amp;L</v>
      </c>
      <c r="W3783" s="185" t="s">
        <v>1787</v>
      </c>
      <c r="X3783" s="185" t="s">
        <v>1788</v>
      </c>
      <c r="Y3783" s="185" t="s">
        <v>1789</v>
      </c>
      <c r="Z3783"/>
    </row>
    <row r="3784" spans="1:26">
      <c r="A3784" s="185" t="s">
        <v>3932</v>
      </c>
      <c r="B3784" s="185" t="s">
        <v>4207</v>
      </c>
      <c r="C3784" s="185" t="s">
        <v>1785</v>
      </c>
      <c r="D3784" s="185" t="s">
        <v>4208</v>
      </c>
      <c r="E3784" s="185">
        <v>110505</v>
      </c>
      <c r="F3784" s="185" t="s">
        <v>15</v>
      </c>
      <c r="G3784" s="185" t="s">
        <v>4206</v>
      </c>
      <c r="H3784" s="185" t="s">
        <v>1628</v>
      </c>
      <c r="I3784" s="258" t="str">
        <f t="shared" si="178"/>
        <v>1</v>
      </c>
      <c r="J3784" s="221">
        <f t="shared" si="179"/>
        <v>-38</v>
      </c>
      <c r="K3784" s="258">
        <f t="shared" si="180"/>
        <v>12</v>
      </c>
      <c r="L3784" s="188">
        <v>0</v>
      </c>
      <c r="M3784" s="188">
        <v>38</v>
      </c>
      <c r="N3784" s="189">
        <v>901513634</v>
      </c>
      <c r="O3784"/>
      <c r="P3784" s="187">
        <v>45328.637395833299</v>
      </c>
      <c r="Q3784" s="186">
        <v>15215</v>
      </c>
      <c r="R3784" s="185" t="s">
        <v>6</v>
      </c>
      <c r="S3784" s="185" t="s">
        <v>1518</v>
      </c>
      <c r="T3784"/>
      <c r="U3784" t="str">
        <f>IF($L3784&gt;0,VLOOKUP($E3784,Valida!$A$1:$G$270,6,FALSE),IF($M3784&gt;=0,VLOOKUP($E3784,Valida!$A$1:$G$270,7,FALSE)))</f>
        <v>Disponible</v>
      </c>
      <c r="V3784" s="190" t="str">
        <f>VLOOKUP(E3784,Valida!$A$2:$K$271,4,FALSE)</f>
        <v>Cash and equivalents</v>
      </c>
      <c r="W3784" s="185" t="s">
        <v>1787</v>
      </c>
      <c r="X3784" s="185" t="s">
        <v>1788</v>
      </c>
      <c r="Y3784" s="185" t="s">
        <v>1789</v>
      </c>
      <c r="Z3784"/>
    </row>
    <row r="3785" spans="1:26">
      <c r="A3785" s="185" t="s">
        <v>3932</v>
      </c>
      <c r="B3785" s="185" t="s">
        <v>4209</v>
      </c>
      <c r="C3785" s="185" t="s">
        <v>1785</v>
      </c>
      <c r="D3785" s="185" t="s">
        <v>4210</v>
      </c>
      <c r="E3785" s="185">
        <v>251010</v>
      </c>
      <c r="F3785" s="185" t="s">
        <v>776</v>
      </c>
      <c r="G3785" s="185" t="s">
        <v>4206</v>
      </c>
      <c r="H3785" s="185" t="s">
        <v>1628</v>
      </c>
      <c r="I3785" s="258" t="str">
        <f t="shared" si="178"/>
        <v>2</v>
      </c>
      <c r="J3785" s="221">
        <f t="shared" si="179"/>
        <v>-374</v>
      </c>
      <c r="K3785" s="258">
        <f t="shared" si="180"/>
        <v>12</v>
      </c>
      <c r="L3785" s="188">
        <v>0</v>
      </c>
      <c r="M3785" s="188">
        <v>374</v>
      </c>
      <c r="N3785" s="189">
        <v>1000018061</v>
      </c>
      <c r="O3785"/>
      <c r="P3785" s="187">
        <v>45328.644074074102</v>
      </c>
      <c r="Q3785" s="186">
        <v>15216</v>
      </c>
      <c r="R3785" s="185"/>
      <c r="S3785" s="185" t="s">
        <v>1522</v>
      </c>
      <c r="T3785"/>
      <c r="U3785" t="str">
        <f>IF($L3785&gt;0,VLOOKUP($E3785,Valida!$A$1:$G$270,6,FALSE),IF($M3785&gt;=0,VLOOKUP($E3785,Valida!$A$1:$G$270,7,FALSE)))</f>
        <v>(+/-) Ajustes por el incremento (disminución) de cuentas por pagar de origen comercial</v>
      </c>
      <c r="V3785" s="190" t="str">
        <f>VLOOKUP(E3785,Valida!$A$2:$K$271,4,FALSE)</f>
        <v>Trade and other payables</v>
      </c>
      <c r="W3785" s="185" t="s">
        <v>1978</v>
      </c>
      <c r="X3785" s="185"/>
      <c r="Y3785" s="185" t="s">
        <v>1789</v>
      </c>
      <c r="Z3785"/>
    </row>
    <row r="3786" spans="1:26">
      <c r="A3786" s="185" t="s">
        <v>3932</v>
      </c>
      <c r="B3786" s="185" t="s">
        <v>4209</v>
      </c>
      <c r="C3786" s="185" t="s">
        <v>1785</v>
      </c>
      <c r="D3786" s="185" t="s">
        <v>4210</v>
      </c>
      <c r="E3786" s="185">
        <v>251010</v>
      </c>
      <c r="F3786" s="185" t="s">
        <v>776</v>
      </c>
      <c r="G3786" s="185" t="s">
        <v>4206</v>
      </c>
      <c r="H3786" s="185" t="s">
        <v>1628</v>
      </c>
      <c r="I3786" s="258" t="str">
        <f t="shared" si="178"/>
        <v>2</v>
      </c>
      <c r="J3786" s="221">
        <f t="shared" si="179"/>
        <v>-149312</v>
      </c>
      <c r="K3786" s="258">
        <f t="shared" si="180"/>
        <v>12</v>
      </c>
      <c r="L3786" s="188">
        <v>0</v>
      </c>
      <c r="M3786" s="188">
        <v>149312</v>
      </c>
      <c r="N3786" s="189">
        <v>1000036375</v>
      </c>
      <c r="O3786"/>
      <c r="P3786" s="187">
        <v>45328.644074074102</v>
      </c>
      <c r="Q3786" s="186">
        <v>15217</v>
      </c>
      <c r="R3786" s="185"/>
      <c r="S3786" s="185" t="s">
        <v>1524</v>
      </c>
      <c r="T3786"/>
      <c r="U3786" t="str">
        <f>IF($L3786&gt;0,VLOOKUP($E3786,Valida!$A$1:$G$270,6,FALSE),IF($M3786&gt;=0,VLOOKUP($E3786,Valida!$A$1:$G$270,7,FALSE)))</f>
        <v>(+/-) Ajustes por el incremento (disminución) de cuentas por pagar de origen comercial</v>
      </c>
      <c r="V3786" s="190" t="str">
        <f>VLOOKUP(E3786,Valida!$A$2:$K$271,4,FALSE)</f>
        <v>Trade and other payables</v>
      </c>
      <c r="W3786" s="185" t="s">
        <v>1983</v>
      </c>
      <c r="X3786" s="185"/>
      <c r="Y3786" s="185" t="s">
        <v>1789</v>
      </c>
      <c r="Z3786"/>
    </row>
    <row r="3787" spans="1:26">
      <c r="A3787" s="185" t="s">
        <v>3932</v>
      </c>
      <c r="B3787" s="185" t="s">
        <v>4209</v>
      </c>
      <c r="C3787" s="185" t="s">
        <v>1785</v>
      </c>
      <c r="D3787" s="185" t="s">
        <v>4210</v>
      </c>
      <c r="E3787" s="185">
        <v>251010</v>
      </c>
      <c r="F3787" s="185" t="s">
        <v>776</v>
      </c>
      <c r="G3787" s="185" t="s">
        <v>4206</v>
      </c>
      <c r="H3787" s="185" t="s">
        <v>1628</v>
      </c>
      <c r="I3787" s="258" t="str">
        <f t="shared" si="178"/>
        <v>2</v>
      </c>
      <c r="J3787" s="221">
        <f t="shared" si="179"/>
        <v>-2</v>
      </c>
      <c r="K3787" s="258">
        <f t="shared" si="180"/>
        <v>12</v>
      </c>
      <c r="L3787" s="188">
        <v>0</v>
      </c>
      <c r="M3787" s="188">
        <v>2</v>
      </c>
      <c r="N3787" s="189">
        <v>1000831564</v>
      </c>
      <c r="O3787"/>
      <c r="P3787" s="187">
        <v>45328.644074074102</v>
      </c>
      <c r="Q3787" s="186">
        <v>15218</v>
      </c>
      <c r="R3787" s="185"/>
      <c r="S3787" s="185" t="s">
        <v>1694</v>
      </c>
      <c r="T3787"/>
      <c r="U3787" t="str">
        <f>IF($L3787&gt;0,VLOOKUP($E3787,Valida!$A$1:$G$270,6,FALSE),IF($M3787&gt;=0,VLOOKUP($E3787,Valida!$A$1:$G$270,7,FALSE)))</f>
        <v>(+/-) Ajustes por el incremento (disminución) de cuentas por pagar de origen comercial</v>
      </c>
      <c r="V3787" s="190" t="str">
        <f>VLOOKUP(E3787,Valida!$A$2:$K$271,4,FALSE)</f>
        <v>Trade and other payables</v>
      </c>
      <c r="W3787" s="185"/>
      <c r="X3787" s="185"/>
      <c r="Y3787" s="185"/>
      <c r="Z3787"/>
    </row>
    <row r="3788" spans="1:26">
      <c r="A3788" s="185" t="s">
        <v>3932</v>
      </c>
      <c r="B3788" s="185" t="s">
        <v>4209</v>
      </c>
      <c r="C3788" s="185" t="s">
        <v>1785</v>
      </c>
      <c r="D3788" s="185" t="s">
        <v>4210</v>
      </c>
      <c r="E3788" s="185">
        <v>251010</v>
      </c>
      <c r="F3788" s="185" t="s">
        <v>776</v>
      </c>
      <c r="G3788" s="185" t="s">
        <v>4206</v>
      </c>
      <c r="H3788" s="185" t="s">
        <v>1628</v>
      </c>
      <c r="I3788" s="258" t="str">
        <f t="shared" si="178"/>
        <v>2</v>
      </c>
      <c r="J3788" s="221">
        <f t="shared" si="179"/>
        <v>-153</v>
      </c>
      <c r="K3788" s="258">
        <f t="shared" si="180"/>
        <v>12</v>
      </c>
      <c r="L3788" s="188">
        <v>0</v>
      </c>
      <c r="M3788" s="188">
        <v>153</v>
      </c>
      <c r="N3788" s="189">
        <v>1001284057</v>
      </c>
      <c r="O3788"/>
      <c r="P3788" s="187">
        <v>45328.644074074102</v>
      </c>
      <c r="Q3788" s="186">
        <v>15219</v>
      </c>
      <c r="R3788" s="185"/>
      <c r="S3788" s="185" t="s">
        <v>1526</v>
      </c>
      <c r="T3788"/>
      <c r="U3788" t="str">
        <f>IF($L3788&gt;0,VLOOKUP($E3788,Valida!$A$1:$G$270,6,FALSE),IF($M3788&gt;=0,VLOOKUP($E3788,Valida!$A$1:$G$270,7,FALSE)))</f>
        <v>(+/-) Ajustes por el incremento (disminución) de cuentas por pagar de origen comercial</v>
      </c>
      <c r="V3788" s="190" t="str">
        <f>VLOOKUP(E3788,Valida!$A$2:$K$271,4,FALSE)</f>
        <v>Trade and other payables</v>
      </c>
      <c r="W3788" s="185" t="s">
        <v>3454</v>
      </c>
      <c r="X3788" s="185" t="s">
        <v>3455</v>
      </c>
      <c r="Y3788" s="185" t="s">
        <v>1789</v>
      </c>
      <c r="Z3788"/>
    </row>
    <row r="3789" spans="1:26">
      <c r="A3789" s="185" t="s">
        <v>3932</v>
      </c>
      <c r="B3789" s="185" t="s">
        <v>4209</v>
      </c>
      <c r="C3789" s="185" t="s">
        <v>1785</v>
      </c>
      <c r="D3789" s="185" t="s">
        <v>4210</v>
      </c>
      <c r="E3789" s="185">
        <v>251010</v>
      </c>
      <c r="F3789" s="185" t="s">
        <v>776</v>
      </c>
      <c r="G3789" s="185" t="s">
        <v>4206</v>
      </c>
      <c r="H3789" s="185" t="s">
        <v>1515</v>
      </c>
      <c r="I3789" s="258" t="str">
        <f t="shared" si="178"/>
        <v>2</v>
      </c>
      <c r="J3789" s="221">
        <f t="shared" si="179"/>
        <v>3612</v>
      </c>
      <c r="K3789" s="258">
        <f t="shared" si="180"/>
        <v>12</v>
      </c>
      <c r="L3789" s="188">
        <v>3612</v>
      </c>
      <c r="M3789" s="188">
        <v>0</v>
      </c>
      <c r="N3789" s="189">
        <v>1010101811</v>
      </c>
      <c r="O3789"/>
      <c r="P3789" s="187">
        <v>45328.644074074102</v>
      </c>
      <c r="Q3789" s="186">
        <v>15220</v>
      </c>
      <c r="R3789" s="185"/>
      <c r="S3789" s="185" t="s">
        <v>1528</v>
      </c>
      <c r="T3789"/>
      <c r="U3789" t="str">
        <f>IF($L3789&gt;0,VLOOKUP($E3789,Valida!$A$1:$G$270,6,FALSE),IF($M3789&gt;=0,VLOOKUP($E3789,Valida!$A$1:$G$270,7,FALSE)))</f>
        <v>(+/-) Ajustes por el incremento (disminución) de cuentas por pagar de origen comercial</v>
      </c>
      <c r="V3789" s="190" t="str">
        <f>VLOOKUP(E3789,Valida!$A$2:$K$271,4,FALSE)</f>
        <v>Trade and other payables</v>
      </c>
      <c r="W3789" s="185" t="s">
        <v>1967</v>
      </c>
      <c r="X3789" s="185"/>
      <c r="Y3789" s="185" t="s">
        <v>1789</v>
      </c>
      <c r="Z3789"/>
    </row>
    <row r="3790" spans="1:26">
      <c r="A3790" s="185" t="s">
        <v>3932</v>
      </c>
      <c r="B3790" s="185" t="s">
        <v>4209</v>
      </c>
      <c r="C3790" s="185" t="s">
        <v>1785</v>
      </c>
      <c r="D3790" s="185" t="s">
        <v>4210</v>
      </c>
      <c r="E3790" s="185">
        <v>251010</v>
      </c>
      <c r="F3790" s="185" t="s">
        <v>776</v>
      </c>
      <c r="G3790" s="185" t="s">
        <v>4206</v>
      </c>
      <c r="H3790" s="185" t="s">
        <v>1628</v>
      </c>
      <c r="I3790" s="258" t="str">
        <f t="shared" si="178"/>
        <v>2</v>
      </c>
      <c r="J3790" s="221">
        <f t="shared" si="179"/>
        <v>-2</v>
      </c>
      <c r="K3790" s="258">
        <f t="shared" si="180"/>
        <v>12</v>
      </c>
      <c r="L3790" s="188">
        <v>0</v>
      </c>
      <c r="M3790" s="188">
        <v>2</v>
      </c>
      <c r="N3790" s="189">
        <v>1019112819</v>
      </c>
      <c r="O3790"/>
      <c r="P3790" s="187">
        <v>45328.644074074102</v>
      </c>
      <c r="Q3790" s="186">
        <v>15221</v>
      </c>
      <c r="R3790" s="185"/>
      <c r="S3790" s="185" t="s">
        <v>1698</v>
      </c>
      <c r="T3790"/>
      <c r="U3790" t="str">
        <f>IF($L3790&gt;0,VLOOKUP($E3790,Valida!$A$1:$G$270,6,FALSE),IF($M3790&gt;=0,VLOOKUP($E3790,Valida!$A$1:$G$270,7,FALSE)))</f>
        <v>(+/-) Ajustes por el incremento (disminución) de cuentas por pagar de origen comercial</v>
      </c>
      <c r="V3790" s="190" t="str">
        <f>VLOOKUP(E3790,Valida!$A$2:$K$271,4,FALSE)</f>
        <v>Trade and other payables</v>
      </c>
      <c r="W3790" s="185" t="s">
        <v>4211</v>
      </c>
      <c r="X3790" s="185"/>
      <c r="Y3790" s="185"/>
      <c r="Z3790"/>
    </row>
    <row r="3791" spans="1:26">
      <c r="A3791" s="185" t="s">
        <v>3932</v>
      </c>
      <c r="B3791" s="185" t="s">
        <v>4209</v>
      </c>
      <c r="C3791" s="185" t="s">
        <v>1785</v>
      </c>
      <c r="D3791" s="185" t="s">
        <v>4210</v>
      </c>
      <c r="E3791" s="185">
        <v>251010</v>
      </c>
      <c r="F3791" s="185" t="s">
        <v>776</v>
      </c>
      <c r="G3791" s="185" t="s">
        <v>4206</v>
      </c>
      <c r="H3791" s="185" t="s">
        <v>1628</v>
      </c>
      <c r="I3791" s="258" t="str">
        <f t="shared" si="178"/>
        <v>2</v>
      </c>
      <c r="J3791" s="221">
        <f t="shared" si="179"/>
        <v>-298160</v>
      </c>
      <c r="K3791" s="258">
        <f t="shared" si="180"/>
        <v>12</v>
      </c>
      <c r="L3791" s="188">
        <v>0</v>
      </c>
      <c r="M3791" s="188">
        <v>298160</v>
      </c>
      <c r="N3791" s="189">
        <v>1020842223</v>
      </c>
      <c r="O3791"/>
      <c r="P3791" s="187">
        <v>45328.644074074102</v>
      </c>
      <c r="Q3791" s="186">
        <v>15222</v>
      </c>
      <c r="R3791" s="185"/>
      <c r="S3791" s="185" t="s">
        <v>1532</v>
      </c>
      <c r="T3791"/>
      <c r="U3791" t="str">
        <f>IF($L3791&gt;0,VLOOKUP($E3791,Valida!$A$1:$G$270,6,FALSE),IF($M3791&gt;=0,VLOOKUP($E3791,Valida!$A$1:$G$270,7,FALSE)))</f>
        <v>(+/-) Ajustes por el incremento (disminución) de cuentas por pagar de origen comercial</v>
      </c>
      <c r="V3791" s="190" t="str">
        <f>VLOOKUP(E3791,Valida!$A$2:$K$271,4,FALSE)</f>
        <v>Trade and other payables</v>
      </c>
      <c r="W3791" s="185" t="s">
        <v>1900</v>
      </c>
      <c r="X3791" s="185"/>
      <c r="Y3791" s="185" t="s">
        <v>1789</v>
      </c>
      <c r="Z3791"/>
    </row>
    <row r="3792" spans="1:26">
      <c r="A3792" s="185" t="s">
        <v>3932</v>
      </c>
      <c r="B3792" s="185" t="s">
        <v>4209</v>
      </c>
      <c r="C3792" s="185" t="s">
        <v>1785</v>
      </c>
      <c r="D3792" s="185" t="s">
        <v>4210</v>
      </c>
      <c r="E3792" s="185">
        <v>251010</v>
      </c>
      <c r="F3792" s="185" t="s">
        <v>776</v>
      </c>
      <c r="G3792" s="185" t="s">
        <v>4206</v>
      </c>
      <c r="H3792" s="185" t="s">
        <v>1628</v>
      </c>
      <c r="I3792" s="258" t="str">
        <f t="shared" si="178"/>
        <v>2</v>
      </c>
      <c r="J3792" s="221">
        <f t="shared" si="179"/>
        <v>-1</v>
      </c>
      <c r="K3792" s="258">
        <f t="shared" si="180"/>
        <v>12</v>
      </c>
      <c r="L3792" s="188">
        <v>0</v>
      </c>
      <c r="M3792" s="188">
        <v>1</v>
      </c>
      <c r="N3792" s="189">
        <v>1022391019</v>
      </c>
      <c r="O3792"/>
      <c r="P3792" s="187">
        <v>45328.644074074102</v>
      </c>
      <c r="Q3792" s="186">
        <v>15223</v>
      </c>
      <c r="R3792" s="185"/>
      <c r="S3792" s="185" t="s">
        <v>1700</v>
      </c>
      <c r="T3792"/>
      <c r="U3792" t="str">
        <f>IF($L3792&gt;0,VLOOKUP($E3792,Valida!$A$1:$G$270,6,FALSE),IF($M3792&gt;=0,VLOOKUP($E3792,Valida!$A$1:$G$270,7,FALSE)))</f>
        <v>(+/-) Ajustes por el incremento (disminución) de cuentas por pagar de origen comercial</v>
      </c>
      <c r="V3792" s="190" t="str">
        <f>VLOOKUP(E3792,Valida!$A$2:$K$271,4,FALSE)</f>
        <v>Trade and other payables</v>
      </c>
      <c r="W3792" s="185"/>
      <c r="X3792" s="185"/>
      <c r="Y3792" s="185"/>
      <c r="Z3792"/>
    </row>
    <row r="3793" spans="1:26">
      <c r="A3793" s="185" t="s">
        <v>3932</v>
      </c>
      <c r="B3793" s="185" t="s">
        <v>4209</v>
      </c>
      <c r="C3793" s="185" t="s">
        <v>1785</v>
      </c>
      <c r="D3793" s="185" t="s">
        <v>4210</v>
      </c>
      <c r="E3793" s="185">
        <v>251010</v>
      </c>
      <c r="F3793" s="185" t="s">
        <v>776</v>
      </c>
      <c r="G3793" s="185" t="s">
        <v>4206</v>
      </c>
      <c r="H3793" s="185" t="s">
        <v>1515</v>
      </c>
      <c r="I3793" s="258" t="str">
        <f t="shared" si="178"/>
        <v>2</v>
      </c>
      <c r="J3793" s="221">
        <f t="shared" si="179"/>
        <v>9902</v>
      </c>
      <c r="K3793" s="258">
        <f t="shared" si="180"/>
        <v>12</v>
      </c>
      <c r="L3793" s="188">
        <v>9902</v>
      </c>
      <c r="M3793" s="188">
        <v>0</v>
      </c>
      <c r="N3793" s="189">
        <v>1022399199</v>
      </c>
      <c r="O3793"/>
      <c r="P3793" s="187">
        <v>45328.644074074102</v>
      </c>
      <c r="Q3793" s="186">
        <v>15224</v>
      </c>
      <c r="R3793" s="185"/>
      <c r="S3793" s="185" t="s">
        <v>1702</v>
      </c>
      <c r="T3793"/>
      <c r="U3793" t="str">
        <f>IF($L3793&gt;0,VLOOKUP($E3793,Valida!$A$1:$G$270,6,FALSE),IF($M3793&gt;=0,VLOOKUP($E3793,Valida!$A$1:$G$270,7,FALSE)))</f>
        <v>(+/-) Ajustes por el incremento (disminución) de cuentas por pagar de origen comercial</v>
      </c>
      <c r="V3793" s="190" t="str">
        <f>VLOOKUP(E3793,Valida!$A$2:$K$271,4,FALSE)</f>
        <v>Trade and other payables</v>
      </c>
      <c r="W3793" s="185"/>
      <c r="X3793" s="185"/>
      <c r="Y3793" s="185"/>
      <c r="Z3793"/>
    </row>
    <row r="3794" spans="1:26">
      <c r="A3794" s="185" t="s">
        <v>3932</v>
      </c>
      <c r="B3794" s="185" t="s">
        <v>4209</v>
      </c>
      <c r="C3794" s="185" t="s">
        <v>1785</v>
      </c>
      <c r="D3794" s="185" t="s">
        <v>4210</v>
      </c>
      <c r="E3794" s="185">
        <v>251010</v>
      </c>
      <c r="F3794" s="185" t="s">
        <v>776</v>
      </c>
      <c r="G3794" s="185" t="s">
        <v>4206</v>
      </c>
      <c r="H3794" s="185" t="s">
        <v>1515</v>
      </c>
      <c r="I3794" s="258" t="str">
        <f t="shared" si="178"/>
        <v>2</v>
      </c>
      <c r="J3794" s="221">
        <f t="shared" si="179"/>
        <v>962</v>
      </c>
      <c r="K3794" s="258">
        <f t="shared" si="180"/>
        <v>12</v>
      </c>
      <c r="L3794" s="188">
        <v>962</v>
      </c>
      <c r="M3794" s="188">
        <v>0</v>
      </c>
      <c r="N3794" s="189">
        <v>1023976635</v>
      </c>
      <c r="O3794"/>
      <c r="P3794" s="187">
        <v>45328.644074074102</v>
      </c>
      <c r="Q3794" s="186">
        <v>15225</v>
      </c>
      <c r="R3794" s="185"/>
      <c r="S3794" s="185" t="s">
        <v>1534</v>
      </c>
      <c r="T3794"/>
      <c r="U3794" t="str">
        <f>IF($L3794&gt;0,VLOOKUP($E3794,Valida!$A$1:$G$270,6,FALSE),IF($M3794&gt;=0,VLOOKUP($E3794,Valida!$A$1:$G$270,7,FALSE)))</f>
        <v>(+/-) Ajustes por el incremento (disminución) de cuentas por pagar de origen comercial</v>
      </c>
      <c r="V3794" s="190" t="str">
        <f>VLOOKUP(E3794,Valida!$A$2:$K$271,4,FALSE)</f>
        <v>Trade and other payables</v>
      </c>
      <c r="W3794" s="185" t="s">
        <v>1971</v>
      </c>
      <c r="X3794" s="185"/>
      <c r="Y3794" s="185" t="s">
        <v>1972</v>
      </c>
      <c r="Z3794"/>
    </row>
    <row r="3795" spans="1:26">
      <c r="A3795" s="185" t="s">
        <v>3932</v>
      </c>
      <c r="B3795" s="185" t="s">
        <v>4209</v>
      </c>
      <c r="C3795" s="185" t="s">
        <v>1785</v>
      </c>
      <c r="D3795" s="185" t="s">
        <v>4210</v>
      </c>
      <c r="E3795" s="185">
        <v>251010</v>
      </c>
      <c r="F3795" s="185" t="s">
        <v>776</v>
      </c>
      <c r="G3795" s="185" t="s">
        <v>4206</v>
      </c>
      <c r="H3795" s="185" t="s">
        <v>1515</v>
      </c>
      <c r="I3795" s="258" t="str">
        <f t="shared" si="178"/>
        <v>2</v>
      </c>
      <c r="J3795" s="221">
        <f t="shared" si="179"/>
        <v>8982</v>
      </c>
      <c r="K3795" s="258">
        <f t="shared" si="180"/>
        <v>12</v>
      </c>
      <c r="L3795" s="188">
        <v>8982</v>
      </c>
      <c r="M3795" s="188">
        <v>0</v>
      </c>
      <c r="N3795" s="189">
        <v>1030645216</v>
      </c>
      <c r="O3795"/>
      <c r="P3795" s="187">
        <v>45328.644074074102</v>
      </c>
      <c r="Q3795" s="186">
        <v>15226</v>
      </c>
      <c r="R3795" s="185"/>
      <c r="S3795" s="185" t="s">
        <v>1704</v>
      </c>
      <c r="T3795"/>
      <c r="U3795" t="str">
        <f>IF($L3795&gt;0,VLOOKUP($E3795,Valida!$A$1:$G$270,6,FALSE),IF($M3795&gt;=0,VLOOKUP($E3795,Valida!$A$1:$G$270,7,FALSE)))</f>
        <v>(+/-) Ajustes por el incremento (disminución) de cuentas por pagar de origen comercial</v>
      </c>
      <c r="V3795" s="190" t="str">
        <f>VLOOKUP(E3795,Valida!$A$2:$K$271,4,FALSE)</f>
        <v>Trade and other payables</v>
      </c>
      <c r="W3795" s="185" t="s">
        <v>4212</v>
      </c>
      <c r="X3795" s="185"/>
      <c r="Y3795" s="185" t="s">
        <v>1789</v>
      </c>
      <c r="Z3795"/>
    </row>
    <row r="3796" spans="1:26">
      <c r="A3796" s="185" t="s">
        <v>3932</v>
      </c>
      <c r="B3796" s="185" t="s">
        <v>4209</v>
      </c>
      <c r="C3796" s="185" t="s">
        <v>1785</v>
      </c>
      <c r="D3796" s="185" t="s">
        <v>4210</v>
      </c>
      <c r="E3796" s="185">
        <v>251010</v>
      </c>
      <c r="F3796" s="185" t="s">
        <v>776</v>
      </c>
      <c r="G3796" s="185" t="s">
        <v>4206</v>
      </c>
      <c r="H3796" s="185" t="s">
        <v>1628</v>
      </c>
      <c r="I3796" s="258" t="str">
        <f t="shared" si="178"/>
        <v>2</v>
      </c>
      <c r="J3796" s="221">
        <f t="shared" si="179"/>
        <v>-895</v>
      </c>
      <c r="K3796" s="258">
        <f t="shared" si="180"/>
        <v>12</v>
      </c>
      <c r="L3796" s="188">
        <v>0</v>
      </c>
      <c r="M3796" s="188">
        <v>895</v>
      </c>
      <c r="N3796" s="189">
        <v>80747504</v>
      </c>
      <c r="O3796"/>
      <c r="P3796" s="187">
        <v>45328.644074074102</v>
      </c>
      <c r="Q3796" s="186">
        <v>15227</v>
      </c>
      <c r="R3796" s="185"/>
      <c r="S3796" s="185" t="s">
        <v>1562</v>
      </c>
      <c r="T3796"/>
      <c r="U3796" t="str">
        <f>IF($L3796&gt;0,VLOOKUP($E3796,Valida!$A$1:$G$270,6,FALSE),IF($M3796&gt;=0,VLOOKUP($E3796,Valida!$A$1:$G$270,7,FALSE)))</f>
        <v>(+/-) Ajustes por el incremento (disminución) de cuentas por pagar de origen comercial</v>
      </c>
      <c r="V3796" s="190" t="str">
        <f>VLOOKUP(E3796,Valida!$A$2:$K$271,4,FALSE)</f>
        <v>Trade and other payables</v>
      </c>
      <c r="W3796" s="185" t="s">
        <v>1918</v>
      </c>
      <c r="X3796" s="185"/>
      <c r="Y3796" s="185" t="s">
        <v>1789</v>
      </c>
      <c r="Z3796"/>
    </row>
    <row r="3797" spans="1:26">
      <c r="A3797" s="185" t="s">
        <v>3932</v>
      </c>
      <c r="B3797" s="185" t="s">
        <v>4209</v>
      </c>
      <c r="C3797" s="185" t="s">
        <v>1785</v>
      </c>
      <c r="D3797" s="185" t="s">
        <v>4210</v>
      </c>
      <c r="E3797" s="185">
        <v>251010</v>
      </c>
      <c r="F3797" s="185" t="s">
        <v>776</v>
      </c>
      <c r="G3797" s="185" t="s">
        <v>4206</v>
      </c>
      <c r="H3797" s="185" t="s">
        <v>1628</v>
      </c>
      <c r="I3797" s="258" t="str">
        <f t="shared" si="178"/>
        <v>2</v>
      </c>
      <c r="J3797" s="221">
        <f t="shared" si="179"/>
        <v>0</v>
      </c>
      <c r="K3797" s="258">
        <f t="shared" si="180"/>
        <v>12</v>
      </c>
      <c r="L3797" s="188">
        <v>0</v>
      </c>
      <c r="M3797" s="188">
        <v>0</v>
      </c>
      <c r="N3797" s="189">
        <v>901513634</v>
      </c>
      <c r="O3797"/>
      <c r="P3797" s="187">
        <v>45328.644074074102</v>
      </c>
      <c r="Q3797" s="186">
        <v>15228</v>
      </c>
      <c r="R3797" s="185" t="s">
        <v>6</v>
      </c>
      <c r="S3797" s="185" t="s">
        <v>1518</v>
      </c>
      <c r="T3797"/>
      <c r="U3797" t="str">
        <f>IF($L3797&gt;0,VLOOKUP($E3797,Valida!$A$1:$G$270,6,FALSE),IF($M3797&gt;=0,VLOOKUP($E3797,Valida!$A$1:$G$270,7,FALSE)))</f>
        <v>(+/-) Ajustes por el incremento (disminución) de cuentas por pagar de origen comercial</v>
      </c>
      <c r="V3797" s="190" t="str">
        <f>VLOOKUP(E3797,Valida!$A$2:$K$271,4,FALSE)</f>
        <v>Trade and other payables</v>
      </c>
      <c r="W3797" s="185" t="s">
        <v>1787</v>
      </c>
      <c r="X3797" s="185" t="s">
        <v>1788</v>
      </c>
      <c r="Y3797" s="185" t="s">
        <v>1789</v>
      </c>
      <c r="Z3797"/>
    </row>
    <row r="3798" spans="1:26">
      <c r="A3798" s="185" t="s">
        <v>3932</v>
      </c>
      <c r="B3798" s="185" t="s">
        <v>4209</v>
      </c>
      <c r="C3798" s="185" t="s">
        <v>1785</v>
      </c>
      <c r="D3798" s="185" t="s">
        <v>4210</v>
      </c>
      <c r="E3798" s="185">
        <v>510530</v>
      </c>
      <c r="F3798" s="185" t="s">
        <v>813</v>
      </c>
      <c r="G3798" s="185" t="s">
        <v>4206</v>
      </c>
      <c r="H3798" s="185" t="s">
        <v>1515</v>
      </c>
      <c r="I3798" s="258" t="str">
        <f t="shared" si="178"/>
        <v>5</v>
      </c>
      <c r="J3798" s="221">
        <f t="shared" si="179"/>
        <v>425788</v>
      </c>
      <c r="K3798" s="258">
        <f t="shared" si="180"/>
        <v>12</v>
      </c>
      <c r="L3798" s="188">
        <v>425788</v>
      </c>
      <c r="M3798" s="188">
        <v>0</v>
      </c>
      <c r="N3798" s="189">
        <v>901513634</v>
      </c>
      <c r="O3798"/>
      <c r="P3798" s="187">
        <v>45328.644085648099</v>
      </c>
      <c r="Q3798" s="186">
        <v>15229</v>
      </c>
      <c r="R3798" s="185" t="s">
        <v>6</v>
      </c>
      <c r="S3798" s="185" t="s">
        <v>1518</v>
      </c>
      <c r="T3798"/>
      <c r="U3798" t="str">
        <f>IF($L3798&gt;0,VLOOKUP($E3798,Valida!$A$1:$G$270,6,FALSE),IF($M3798&gt;=0,VLOOKUP($E3798,Valida!$A$1:$G$270,7,FALSE)))</f>
        <v>(+/-) Ganancia (pérdida)</v>
      </c>
      <c r="V3798" s="190" t="str">
        <f>VLOOKUP(E3798,Valida!$A$2:$K$271,4,FALSE)</f>
        <v>P&amp;L</v>
      </c>
      <c r="W3798" s="185" t="s">
        <v>1787</v>
      </c>
      <c r="X3798" s="185" t="s">
        <v>1788</v>
      </c>
      <c r="Y3798" s="185" t="s">
        <v>1789</v>
      </c>
      <c r="Z3798"/>
    </row>
    <row r="3799" spans="1:26">
      <c r="A3799" s="185" t="s">
        <v>3932</v>
      </c>
      <c r="B3799" s="185" t="s">
        <v>4209</v>
      </c>
      <c r="C3799" s="185" t="s">
        <v>1785</v>
      </c>
      <c r="D3799" s="185" t="s">
        <v>4210</v>
      </c>
      <c r="E3799" s="185">
        <v>251010</v>
      </c>
      <c r="F3799" s="185" t="s">
        <v>776</v>
      </c>
      <c r="G3799" s="185" t="s">
        <v>4206</v>
      </c>
      <c r="H3799" s="185" t="s">
        <v>1628</v>
      </c>
      <c r="I3799" s="258" t="str">
        <f t="shared" si="178"/>
        <v>2</v>
      </c>
      <c r="J3799" s="221">
        <f t="shared" si="179"/>
        <v>-1</v>
      </c>
      <c r="K3799" s="258">
        <f t="shared" si="180"/>
        <v>12</v>
      </c>
      <c r="L3799" s="188">
        <v>0</v>
      </c>
      <c r="M3799" s="188">
        <v>1</v>
      </c>
      <c r="N3799" s="189">
        <v>1003641910</v>
      </c>
      <c r="O3799"/>
      <c r="P3799" s="187">
        <v>45328.644085648099</v>
      </c>
      <c r="Q3799" s="186">
        <v>15230</v>
      </c>
      <c r="R3799" s="185"/>
      <c r="S3799" s="185" t="s">
        <v>1696</v>
      </c>
      <c r="T3799"/>
      <c r="U3799" t="str">
        <f>IF($L3799&gt;0,VLOOKUP($E3799,Valida!$A$1:$G$270,6,FALSE),IF($M3799&gt;=0,VLOOKUP($E3799,Valida!$A$1:$G$270,7,FALSE)))</f>
        <v>(+/-) Ajustes por el incremento (disminución) de cuentas por pagar de origen comercial</v>
      </c>
      <c r="V3799" s="190" t="str">
        <f>VLOOKUP(E3799,Valida!$A$2:$K$271,4,FALSE)</f>
        <v>Trade and other payables</v>
      </c>
      <c r="W3799" s="185" t="s">
        <v>4213</v>
      </c>
      <c r="X3799" s="185"/>
      <c r="Y3799" s="185"/>
      <c r="Z3799"/>
    </row>
    <row r="3800" spans="1:26">
      <c r="A3800" s="185" t="s">
        <v>3932</v>
      </c>
      <c r="B3800" s="185" t="s">
        <v>4209</v>
      </c>
      <c r="C3800" s="185" t="s">
        <v>1785</v>
      </c>
      <c r="D3800" s="185" t="s">
        <v>4210</v>
      </c>
      <c r="E3800" s="185">
        <v>251010</v>
      </c>
      <c r="F3800" s="185" t="s">
        <v>776</v>
      </c>
      <c r="G3800" s="185" t="s">
        <v>4206</v>
      </c>
      <c r="H3800" s="185" t="s">
        <v>1628</v>
      </c>
      <c r="I3800" s="258" t="str">
        <f t="shared" si="178"/>
        <v>2</v>
      </c>
      <c r="J3800" s="221">
        <f t="shared" si="179"/>
        <v>-346</v>
      </c>
      <c r="K3800" s="258">
        <f t="shared" si="180"/>
        <v>12</v>
      </c>
      <c r="L3800" s="188">
        <v>0</v>
      </c>
      <c r="M3800" s="188">
        <v>346</v>
      </c>
      <c r="N3800" s="189">
        <v>1130744136</v>
      </c>
      <c r="O3800"/>
      <c r="P3800" s="187">
        <v>45328.644085648099</v>
      </c>
      <c r="Q3800" s="186">
        <v>15231</v>
      </c>
      <c r="R3800" s="185"/>
      <c r="S3800" s="185" t="s">
        <v>1538</v>
      </c>
      <c r="T3800"/>
      <c r="U3800" t="str">
        <f>IF($L3800&gt;0,VLOOKUP($E3800,Valida!$A$1:$G$270,6,FALSE),IF($M3800&gt;=0,VLOOKUP($E3800,Valida!$A$1:$G$270,7,FALSE)))</f>
        <v>(+/-) Ajustes por el incremento (disminución) de cuentas por pagar de origen comercial</v>
      </c>
      <c r="V3800" s="190" t="str">
        <f>VLOOKUP(E3800,Valida!$A$2:$K$271,4,FALSE)</f>
        <v>Trade and other payables</v>
      </c>
      <c r="W3800" s="185" t="s">
        <v>1909</v>
      </c>
      <c r="X3800" s="185" t="s">
        <v>1910</v>
      </c>
      <c r="Y3800" s="185" t="s">
        <v>1789</v>
      </c>
      <c r="Z3800"/>
    </row>
    <row r="3801" spans="1:26">
      <c r="A3801" s="185" t="s">
        <v>3932</v>
      </c>
      <c r="B3801" s="185" t="s">
        <v>4214</v>
      </c>
      <c r="C3801" s="185" t="s">
        <v>1785</v>
      </c>
      <c r="D3801" s="185" t="s">
        <v>4215</v>
      </c>
      <c r="E3801" s="185">
        <v>251505</v>
      </c>
      <c r="F3801" s="185" t="s">
        <v>779</v>
      </c>
      <c r="G3801" s="185" t="s">
        <v>4206</v>
      </c>
      <c r="H3801" s="185" t="s">
        <v>1628</v>
      </c>
      <c r="I3801" s="258" t="str">
        <f t="shared" si="178"/>
        <v>2</v>
      </c>
      <c r="J3801" s="221">
        <f t="shared" si="179"/>
        <v>-72911</v>
      </c>
      <c r="K3801" s="258">
        <f t="shared" si="180"/>
        <v>12</v>
      </c>
      <c r="L3801" s="188">
        <v>0</v>
      </c>
      <c r="M3801" s="188">
        <v>72911</v>
      </c>
      <c r="N3801" s="189">
        <v>1000018061</v>
      </c>
      <c r="O3801"/>
      <c r="P3801" s="187">
        <v>45328.649872685201</v>
      </c>
      <c r="Q3801" s="186">
        <v>15232</v>
      </c>
      <c r="R3801" s="185"/>
      <c r="S3801" s="185" t="s">
        <v>1522</v>
      </c>
      <c r="T3801"/>
      <c r="U3801" t="str">
        <f>IF($L3801&gt;0,VLOOKUP($E3801,Valida!$A$1:$G$270,6,FALSE),IF($M3801&gt;=0,VLOOKUP($E3801,Valida!$A$1:$G$270,7,FALSE)))</f>
        <v>(+/-) Ajustes por el incremento (disminución) de cuentas por pagar de origen comercial</v>
      </c>
      <c r="V3801" s="190" t="str">
        <f>VLOOKUP(E3801,Valida!$A$2:$K$271,4,FALSE)</f>
        <v>Trade and other payables</v>
      </c>
      <c r="W3801" s="185" t="s">
        <v>1978</v>
      </c>
      <c r="X3801" s="185"/>
      <c r="Y3801" s="185" t="s">
        <v>1789</v>
      </c>
      <c r="Z3801"/>
    </row>
    <row r="3802" spans="1:26">
      <c r="A3802" s="185" t="s">
        <v>3932</v>
      </c>
      <c r="B3802" s="185" t="s">
        <v>4214</v>
      </c>
      <c r="C3802" s="185" t="s">
        <v>1785</v>
      </c>
      <c r="D3802" s="185" t="s">
        <v>4215</v>
      </c>
      <c r="E3802" s="185">
        <v>251505</v>
      </c>
      <c r="F3802" s="185" t="s">
        <v>779</v>
      </c>
      <c r="G3802" s="185" t="s">
        <v>4206</v>
      </c>
      <c r="H3802" s="185" t="s">
        <v>1628</v>
      </c>
      <c r="I3802" s="258" t="str">
        <f t="shared" si="178"/>
        <v>2</v>
      </c>
      <c r="J3802" s="221">
        <f t="shared" si="179"/>
        <v>-119745</v>
      </c>
      <c r="K3802" s="258">
        <f t="shared" si="180"/>
        <v>12</v>
      </c>
      <c r="L3802" s="188">
        <v>0</v>
      </c>
      <c r="M3802" s="188">
        <v>119745</v>
      </c>
      <c r="N3802" s="189">
        <v>1000036375</v>
      </c>
      <c r="O3802"/>
      <c r="P3802" s="187">
        <v>45328.649872685201</v>
      </c>
      <c r="Q3802" s="186">
        <v>15233</v>
      </c>
      <c r="R3802" s="185"/>
      <c r="S3802" s="185" t="s">
        <v>1524</v>
      </c>
      <c r="T3802"/>
      <c r="U3802" t="str">
        <f>IF($L3802&gt;0,VLOOKUP($E3802,Valida!$A$1:$G$270,6,FALSE),IF($M3802&gt;=0,VLOOKUP($E3802,Valida!$A$1:$G$270,7,FALSE)))</f>
        <v>(+/-) Ajustes por el incremento (disminución) de cuentas por pagar de origen comercial</v>
      </c>
      <c r="V3802" s="190" t="str">
        <f>VLOOKUP(E3802,Valida!$A$2:$K$271,4,FALSE)</f>
        <v>Trade and other payables</v>
      </c>
      <c r="W3802" s="185" t="s">
        <v>1983</v>
      </c>
      <c r="X3802" s="185"/>
      <c r="Y3802" s="185" t="s">
        <v>1789</v>
      </c>
      <c r="Z3802"/>
    </row>
    <row r="3803" spans="1:26">
      <c r="A3803" s="185" t="s">
        <v>3932</v>
      </c>
      <c r="B3803" s="185" t="s">
        <v>4214</v>
      </c>
      <c r="C3803" s="185" t="s">
        <v>1785</v>
      </c>
      <c r="D3803" s="185" t="s">
        <v>4215</v>
      </c>
      <c r="E3803" s="185">
        <v>251505</v>
      </c>
      <c r="F3803" s="185" t="s">
        <v>779</v>
      </c>
      <c r="G3803" s="185" t="s">
        <v>4206</v>
      </c>
      <c r="H3803" s="185" t="s">
        <v>1515</v>
      </c>
      <c r="I3803" s="258" t="str">
        <f t="shared" si="178"/>
        <v>2</v>
      </c>
      <c r="J3803" s="221">
        <f t="shared" si="179"/>
        <v>39029</v>
      </c>
      <c r="K3803" s="258">
        <f t="shared" si="180"/>
        <v>12</v>
      </c>
      <c r="L3803" s="188">
        <v>39029</v>
      </c>
      <c r="M3803" s="188">
        <v>0</v>
      </c>
      <c r="N3803" s="189">
        <v>1000831564</v>
      </c>
      <c r="O3803"/>
      <c r="P3803" s="187">
        <v>45328.649872685201</v>
      </c>
      <c r="Q3803" s="186">
        <v>15234</v>
      </c>
      <c r="R3803" s="185"/>
      <c r="S3803" s="185" t="s">
        <v>1694</v>
      </c>
      <c r="T3803"/>
      <c r="U3803" t="str">
        <f>IF($L3803&gt;0,VLOOKUP($E3803,Valida!$A$1:$G$270,6,FALSE),IF($M3803&gt;=0,VLOOKUP($E3803,Valida!$A$1:$G$270,7,FALSE)))</f>
        <v>(+/-) Ajustes por el incremento (disminución) de cuentas por pagar de origen comercial</v>
      </c>
      <c r="V3803" s="190" t="str">
        <f>VLOOKUP(E3803,Valida!$A$2:$K$271,4,FALSE)</f>
        <v>Trade and other payables</v>
      </c>
      <c r="W3803" s="185"/>
      <c r="X3803" s="185"/>
      <c r="Y3803" s="185"/>
      <c r="Z3803"/>
    </row>
    <row r="3804" spans="1:26">
      <c r="A3804" s="185" t="s">
        <v>3932</v>
      </c>
      <c r="B3804" s="185" t="s">
        <v>4214</v>
      </c>
      <c r="C3804" s="185" t="s">
        <v>1785</v>
      </c>
      <c r="D3804" s="185" t="s">
        <v>4215</v>
      </c>
      <c r="E3804" s="185">
        <v>251505</v>
      </c>
      <c r="F3804" s="185" t="s">
        <v>779</v>
      </c>
      <c r="G3804" s="185" t="s">
        <v>4206</v>
      </c>
      <c r="H3804" s="185" t="s">
        <v>1628</v>
      </c>
      <c r="I3804" s="258" t="str">
        <f t="shared" si="178"/>
        <v>2</v>
      </c>
      <c r="J3804" s="221">
        <f t="shared" si="179"/>
        <v>-11447</v>
      </c>
      <c r="K3804" s="258">
        <f t="shared" si="180"/>
        <v>12</v>
      </c>
      <c r="L3804" s="188">
        <v>0</v>
      </c>
      <c r="M3804" s="188">
        <v>11447</v>
      </c>
      <c r="N3804" s="189">
        <v>1001284057</v>
      </c>
      <c r="O3804"/>
      <c r="P3804" s="187">
        <v>45328.649872685201</v>
      </c>
      <c r="Q3804" s="186">
        <v>15235</v>
      </c>
      <c r="R3804" s="185"/>
      <c r="S3804" s="185" t="s">
        <v>1526</v>
      </c>
      <c r="T3804"/>
      <c r="U3804" t="str">
        <f>IF($L3804&gt;0,VLOOKUP($E3804,Valida!$A$1:$G$270,6,FALSE),IF($M3804&gt;=0,VLOOKUP($E3804,Valida!$A$1:$G$270,7,FALSE)))</f>
        <v>(+/-) Ajustes por el incremento (disminución) de cuentas por pagar de origen comercial</v>
      </c>
      <c r="V3804" s="190" t="str">
        <f>VLOOKUP(E3804,Valida!$A$2:$K$271,4,FALSE)</f>
        <v>Trade and other payables</v>
      </c>
      <c r="W3804" s="185" t="s">
        <v>3454</v>
      </c>
      <c r="X3804" s="185" t="s">
        <v>3455</v>
      </c>
      <c r="Y3804" s="185" t="s">
        <v>1789</v>
      </c>
      <c r="Z3804"/>
    </row>
    <row r="3805" spans="1:26">
      <c r="A3805" s="185" t="s">
        <v>3932</v>
      </c>
      <c r="B3805" s="185" t="s">
        <v>4214</v>
      </c>
      <c r="C3805" s="185" t="s">
        <v>1785</v>
      </c>
      <c r="D3805" s="185" t="s">
        <v>4215</v>
      </c>
      <c r="E3805" s="185">
        <v>251505</v>
      </c>
      <c r="F3805" s="185" t="s">
        <v>779</v>
      </c>
      <c r="G3805" s="185" t="s">
        <v>4206</v>
      </c>
      <c r="H3805" s="185" t="s">
        <v>1515</v>
      </c>
      <c r="I3805" s="258" t="str">
        <f t="shared" si="178"/>
        <v>2</v>
      </c>
      <c r="J3805" s="221">
        <f t="shared" si="179"/>
        <v>5832</v>
      </c>
      <c r="K3805" s="258">
        <f t="shared" si="180"/>
        <v>12</v>
      </c>
      <c r="L3805" s="188">
        <v>5832</v>
      </c>
      <c r="M3805" s="188">
        <v>0</v>
      </c>
      <c r="N3805" s="189">
        <v>1003641910</v>
      </c>
      <c r="O3805"/>
      <c r="P3805" s="187">
        <v>45328.649872685201</v>
      </c>
      <c r="Q3805" s="186">
        <v>15236</v>
      </c>
      <c r="R3805" s="185"/>
      <c r="S3805" s="185" t="s">
        <v>1696</v>
      </c>
      <c r="T3805"/>
      <c r="U3805" t="str">
        <f>IF($L3805&gt;0,VLOOKUP($E3805,Valida!$A$1:$G$270,6,FALSE),IF($M3805&gt;=0,VLOOKUP($E3805,Valida!$A$1:$G$270,7,FALSE)))</f>
        <v>(+/-) Ajustes por el incremento (disminución) de cuentas por pagar de origen comercial</v>
      </c>
      <c r="V3805" s="190" t="str">
        <f>VLOOKUP(E3805,Valida!$A$2:$K$271,4,FALSE)</f>
        <v>Trade and other payables</v>
      </c>
      <c r="W3805" s="185" t="s">
        <v>4213</v>
      </c>
      <c r="X3805" s="185"/>
      <c r="Y3805" s="185"/>
      <c r="Z3805"/>
    </row>
    <row r="3806" spans="1:26">
      <c r="A3806" s="185" t="s">
        <v>3932</v>
      </c>
      <c r="B3806" s="185" t="s">
        <v>4214</v>
      </c>
      <c r="C3806" s="185" t="s">
        <v>1785</v>
      </c>
      <c r="D3806" s="185" t="s">
        <v>4215</v>
      </c>
      <c r="E3806" s="185">
        <v>251505</v>
      </c>
      <c r="F3806" s="185" t="s">
        <v>779</v>
      </c>
      <c r="G3806" s="185" t="s">
        <v>4206</v>
      </c>
      <c r="H3806" s="185" t="s">
        <v>1628</v>
      </c>
      <c r="I3806" s="258" t="str">
        <f t="shared" si="178"/>
        <v>2</v>
      </c>
      <c r="J3806" s="221">
        <f t="shared" si="179"/>
        <v>-94645</v>
      </c>
      <c r="K3806" s="258">
        <f t="shared" si="180"/>
        <v>12</v>
      </c>
      <c r="L3806" s="188">
        <v>0</v>
      </c>
      <c r="M3806" s="188">
        <v>94645</v>
      </c>
      <c r="N3806" s="189">
        <v>1010101811</v>
      </c>
      <c r="O3806"/>
      <c r="P3806" s="187">
        <v>45328.649872685201</v>
      </c>
      <c r="Q3806" s="186">
        <v>15237</v>
      </c>
      <c r="R3806" s="185"/>
      <c r="S3806" s="185" t="s">
        <v>1528</v>
      </c>
      <c r="T3806"/>
      <c r="U3806" t="str">
        <f>IF($L3806&gt;0,VLOOKUP($E3806,Valida!$A$1:$G$270,6,FALSE),IF($M3806&gt;=0,VLOOKUP($E3806,Valida!$A$1:$G$270,7,FALSE)))</f>
        <v>(+/-) Ajustes por el incremento (disminución) de cuentas por pagar de origen comercial</v>
      </c>
      <c r="V3806" s="190" t="str">
        <f>VLOOKUP(E3806,Valida!$A$2:$K$271,4,FALSE)</f>
        <v>Trade and other payables</v>
      </c>
      <c r="W3806" s="185" t="s">
        <v>1967</v>
      </c>
      <c r="X3806" s="185"/>
      <c r="Y3806" s="185" t="s">
        <v>1789</v>
      </c>
      <c r="Z3806"/>
    </row>
    <row r="3807" spans="1:26">
      <c r="A3807" s="185" t="s">
        <v>3932</v>
      </c>
      <c r="B3807" s="185" t="s">
        <v>4214</v>
      </c>
      <c r="C3807" s="185" t="s">
        <v>1785</v>
      </c>
      <c r="D3807" s="185" t="s">
        <v>4215</v>
      </c>
      <c r="E3807" s="185">
        <v>251505</v>
      </c>
      <c r="F3807" s="185" t="s">
        <v>779</v>
      </c>
      <c r="G3807" s="185" t="s">
        <v>4206</v>
      </c>
      <c r="H3807" s="185" t="s">
        <v>1515</v>
      </c>
      <c r="I3807" s="258" t="str">
        <f t="shared" si="178"/>
        <v>2</v>
      </c>
      <c r="J3807" s="221">
        <f t="shared" si="179"/>
        <v>47792</v>
      </c>
      <c r="K3807" s="258">
        <f t="shared" si="180"/>
        <v>12</v>
      </c>
      <c r="L3807" s="188">
        <v>47792</v>
      </c>
      <c r="M3807" s="188">
        <v>0</v>
      </c>
      <c r="N3807" s="189">
        <v>1019112819</v>
      </c>
      <c r="O3807"/>
      <c r="P3807" s="187">
        <v>45328.649872685201</v>
      </c>
      <c r="Q3807" s="186">
        <v>15238</v>
      </c>
      <c r="R3807" s="185"/>
      <c r="S3807" s="185" t="s">
        <v>1698</v>
      </c>
      <c r="T3807"/>
      <c r="U3807" t="str">
        <f>IF($L3807&gt;0,VLOOKUP($E3807,Valida!$A$1:$G$270,6,FALSE),IF($M3807&gt;=0,VLOOKUP($E3807,Valida!$A$1:$G$270,7,FALSE)))</f>
        <v>(+/-) Ajustes por el incremento (disminución) de cuentas por pagar de origen comercial</v>
      </c>
      <c r="V3807" s="190" t="str">
        <f>VLOOKUP(E3807,Valida!$A$2:$K$271,4,FALSE)</f>
        <v>Trade and other payables</v>
      </c>
      <c r="W3807" s="185" t="s">
        <v>4211</v>
      </c>
      <c r="X3807" s="185"/>
      <c r="Y3807" s="185"/>
      <c r="Z3807"/>
    </row>
    <row r="3808" spans="1:26">
      <c r="A3808" s="185" t="s">
        <v>3932</v>
      </c>
      <c r="B3808" s="185" t="s">
        <v>4214</v>
      </c>
      <c r="C3808" s="185" t="s">
        <v>1785</v>
      </c>
      <c r="D3808" s="185" t="s">
        <v>4215</v>
      </c>
      <c r="E3808" s="185">
        <v>251505</v>
      </c>
      <c r="F3808" s="185" t="s">
        <v>779</v>
      </c>
      <c r="G3808" s="185" t="s">
        <v>4206</v>
      </c>
      <c r="H3808" s="185" t="s">
        <v>1628</v>
      </c>
      <c r="I3808" s="258" t="str">
        <f t="shared" si="178"/>
        <v>2</v>
      </c>
      <c r="J3808" s="221">
        <f t="shared" si="179"/>
        <v>-90983</v>
      </c>
      <c r="K3808" s="258">
        <f t="shared" si="180"/>
        <v>12</v>
      </c>
      <c r="L3808" s="188">
        <v>0</v>
      </c>
      <c r="M3808" s="188">
        <v>90983</v>
      </c>
      <c r="N3808" s="189">
        <v>1020842223</v>
      </c>
      <c r="O3808"/>
      <c r="P3808" s="187">
        <v>45328.649872685201</v>
      </c>
      <c r="Q3808" s="186">
        <v>15239</v>
      </c>
      <c r="R3808" s="185"/>
      <c r="S3808" s="185" t="s">
        <v>1532</v>
      </c>
      <c r="T3808"/>
      <c r="U3808" t="str">
        <f>IF($L3808&gt;0,VLOOKUP($E3808,Valida!$A$1:$G$270,6,FALSE),IF($M3808&gt;=0,VLOOKUP($E3808,Valida!$A$1:$G$270,7,FALSE)))</f>
        <v>(+/-) Ajustes por el incremento (disminución) de cuentas por pagar de origen comercial</v>
      </c>
      <c r="V3808" s="190" t="str">
        <f>VLOOKUP(E3808,Valida!$A$2:$K$271,4,FALSE)</f>
        <v>Trade and other payables</v>
      </c>
      <c r="W3808" s="185" t="s">
        <v>1900</v>
      </c>
      <c r="X3808" s="185"/>
      <c r="Y3808" s="185" t="s">
        <v>1789</v>
      </c>
      <c r="Z3808"/>
    </row>
    <row r="3809" spans="1:26">
      <c r="A3809" s="185" t="s">
        <v>3932</v>
      </c>
      <c r="B3809" s="185" t="s">
        <v>4214</v>
      </c>
      <c r="C3809" s="185" t="s">
        <v>1785</v>
      </c>
      <c r="D3809" s="185" t="s">
        <v>4215</v>
      </c>
      <c r="E3809" s="185">
        <v>251505</v>
      </c>
      <c r="F3809" s="185" t="s">
        <v>779</v>
      </c>
      <c r="G3809" s="185" t="s">
        <v>4206</v>
      </c>
      <c r="H3809" s="185" t="s">
        <v>1515</v>
      </c>
      <c r="I3809" s="258" t="str">
        <f t="shared" si="178"/>
        <v>2</v>
      </c>
      <c r="J3809" s="221">
        <f t="shared" si="179"/>
        <v>35640</v>
      </c>
      <c r="K3809" s="258">
        <f t="shared" si="180"/>
        <v>12</v>
      </c>
      <c r="L3809" s="188">
        <v>35640</v>
      </c>
      <c r="M3809" s="188">
        <v>0</v>
      </c>
      <c r="N3809" s="189">
        <v>1022391019</v>
      </c>
      <c r="O3809"/>
      <c r="P3809" s="187">
        <v>45328.649872685201</v>
      </c>
      <c r="Q3809" s="186">
        <v>15240</v>
      </c>
      <c r="R3809" s="185"/>
      <c r="S3809" s="185" t="s">
        <v>1700</v>
      </c>
      <c r="T3809"/>
      <c r="U3809" t="str">
        <f>IF($L3809&gt;0,VLOOKUP($E3809,Valida!$A$1:$G$270,6,FALSE),IF($M3809&gt;=0,VLOOKUP($E3809,Valida!$A$1:$G$270,7,FALSE)))</f>
        <v>(+/-) Ajustes por el incremento (disminución) de cuentas por pagar de origen comercial</v>
      </c>
      <c r="V3809" s="190" t="str">
        <f>VLOOKUP(E3809,Valida!$A$2:$K$271,4,FALSE)</f>
        <v>Trade and other payables</v>
      </c>
      <c r="W3809" s="185"/>
      <c r="X3809" s="185"/>
      <c r="Y3809" s="185"/>
      <c r="Z3809"/>
    </row>
    <row r="3810" spans="1:26">
      <c r="A3810" s="185" t="s">
        <v>3932</v>
      </c>
      <c r="B3810" s="185" t="s">
        <v>4214</v>
      </c>
      <c r="C3810" s="185" t="s">
        <v>1785</v>
      </c>
      <c r="D3810" s="185" t="s">
        <v>4215</v>
      </c>
      <c r="E3810" s="185">
        <v>251505</v>
      </c>
      <c r="F3810" s="185" t="s">
        <v>779</v>
      </c>
      <c r="G3810" s="185" t="s">
        <v>4206</v>
      </c>
      <c r="H3810" s="185" t="s">
        <v>1515</v>
      </c>
      <c r="I3810" s="258" t="str">
        <f t="shared" si="178"/>
        <v>2</v>
      </c>
      <c r="J3810" s="221">
        <f t="shared" si="179"/>
        <v>32162</v>
      </c>
      <c r="K3810" s="258">
        <f t="shared" si="180"/>
        <v>12</v>
      </c>
      <c r="L3810" s="188">
        <v>32162</v>
      </c>
      <c r="M3810" s="188">
        <v>0</v>
      </c>
      <c r="N3810" s="189">
        <v>1022399199</v>
      </c>
      <c r="O3810"/>
      <c r="P3810" s="187">
        <v>45328.649872685201</v>
      </c>
      <c r="Q3810" s="186">
        <v>15241</v>
      </c>
      <c r="R3810" s="185"/>
      <c r="S3810" s="185" t="s">
        <v>1702</v>
      </c>
      <c r="T3810"/>
      <c r="U3810" t="str">
        <f>IF($L3810&gt;0,VLOOKUP($E3810,Valida!$A$1:$G$270,6,FALSE),IF($M3810&gt;=0,VLOOKUP($E3810,Valida!$A$1:$G$270,7,FALSE)))</f>
        <v>(+/-) Ajustes por el incremento (disminución) de cuentas por pagar de origen comercial</v>
      </c>
      <c r="V3810" s="190" t="str">
        <f>VLOOKUP(E3810,Valida!$A$2:$K$271,4,FALSE)</f>
        <v>Trade and other payables</v>
      </c>
      <c r="W3810" s="185"/>
      <c r="X3810" s="185"/>
      <c r="Y3810" s="185"/>
      <c r="Z3810"/>
    </row>
    <row r="3811" spans="1:26">
      <c r="A3811" s="185" t="s">
        <v>3932</v>
      </c>
      <c r="B3811" s="185" t="s">
        <v>4214</v>
      </c>
      <c r="C3811" s="185" t="s">
        <v>1785</v>
      </c>
      <c r="D3811" s="185" t="s">
        <v>4215</v>
      </c>
      <c r="E3811" s="185">
        <v>251505</v>
      </c>
      <c r="F3811" s="185" t="s">
        <v>779</v>
      </c>
      <c r="G3811" s="185" t="s">
        <v>4206</v>
      </c>
      <c r="H3811" s="185" t="s">
        <v>1515</v>
      </c>
      <c r="I3811" s="258" t="str">
        <f t="shared" si="178"/>
        <v>2</v>
      </c>
      <c r="J3811" s="221">
        <f t="shared" si="179"/>
        <v>60001</v>
      </c>
      <c r="K3811" s="258">
        <f t="shared" si="180"/>
        <v>12</v>
      </c>
      <c r="L3811" s="188">
        <v>60001</v>
      </c>
      <c r="M3811" s="188">
        <v>0</v>
      </c>
      <c r="N3811" s="189">
        <v>1023976635</v>
      </c>
      <c r="O3811"/>
      <c r="P3811" s="187">
        <v>45328.649872685201</v>
      </c>
      <c r="Q3811" s="186">
        <v>15242</v>
      </c>
      <c r="R3811" s="185"/>
      <c r="S3811" s="185" t="s">
        <v>1534</v>
      </c>
      <c r="T3811"/>
      <c r="U3811" t="str">
        <f>IF($L3811&gt;0,VLOOKUP($E3811,Valida!$A$1:$G$270,6,FALSE),IF($M3811&gt;=0,VLOOKUP($E3811,Valida!$A$1:$G$270,7,FALSE)))</f>
        <v>(+/-) Ajustes por el incremento (disminución) de cuentas por pagar de origen comercial</v>
      </c>
      <c r="V3811" s="190" t="str">
        <f>VLOOKUP(E3811,Valida!$A$2:$K$271,4,FALSE)</f>
        <v>Trade and other payables</v>
      </c>
      <c r="W3811" s="185" t="s">
        <v>1971</v>
      </c>
      <c r="X3811" s="185"/>
      <c r="Y3811" s="185" t="s">
        <v>1972</v>
      </c>
      <c r="Z3811"/>
    </row>
    <row r="3812" spans="1:26">
      <c r="A3812" s="185" t="s">
        <v>3932</v>
      </c>
      <c r="B3812" s="185" t="s">
        <v>4214</v>
      </c>
      <c r="C3812" s="185" t="s">
        <v>1785</v>
      </c>
      <c r="D3812" s="185" t="s">
        <v>4215</v>
      </c>
      <c r="E3812" s="185">
        <v>251505</v>
      </c>
      <c r="F3812" s="185" t="s">
        <v>779</v>
      </c>
      <c r="G3812" s="185" t="s">
        <v>4206</v>
      </c>
      <c r="H3812" s="185" t="s">
        <v>1515</v>
      </c>
      <c r="I3812" s="258" t="str">
        <f t="shared" si="178"/>
        <v>2</v>
      </c>
      <c r="J3812" s="221">
        <f t="shared" si="179"/>
        <v>43840</v>
      </c>
      <c r="K3812" s="258">
        <f t="shared" si="180"/>
        <v>12</v>
      </c>
      <c r="L3812" s="188">
        <v>43840</v>
      </c>
      <c r="M3812" s="188">
        <v>0</v>
      </c>
      <c r="N3812" s="189">
        <v>1030645216</v>
      </c>
      <c r="O3812"/>
      <c r="P3812" s="187">
        <v>45328.649872685201</v>
      </c>
      <c r="Q3812" s="186">
        <v>15243</v>
      </c>
      <c r="R3812" s="185"/>
      <c r="S3812" s="185" t="s">
        <v>1704</v>
      </c>
      <c r="T3812"/>
      <c r="U3812" t="str">
        <f>IF($L3812&gt;0,VLOOKUP($E3812,Valida!$A$1:$G$270,6,FALSE),IF($M3812&gt;=0,VLOOKUP($E3812,Valida!$A$1:$G$270,7,FALSE)))</f>
        <v>(+/-) Ajustes por el incremento (disminución) de cuentas por pagar de origen comercial</v>
      </c>
      <c r="V3812" s="190" t="str">
        <f>VLOOKUP(E3812,Valida!$A$2:$K$271,4,FALSE)</f>
        <v>Trade and other payables</v>
      </c>
      <c r="W3812" s="185" t="s">
        <v>4212</v>
      </c>
      <c r="X3812" s="185"/>
      <c r="Y3812" s="185" t="s">
        <v>1789</v>
      </c>
      <c r="Z3812"/>
    </row>
    <row r="3813" spans="1:26">
      <c r="A3813" s="185" t="s">
        <v>3932</v>
      </c>
      <c r="B3813" s="185" t="s">
        <v>4214</v>
      </c>
      <c r="C3813" s="185" t="s">
        <v>1785</v>
      </c>
      <c r="D3813" s="185" t="s">
        <v>4215</v>
      </c>
      <c r="E3813" s="185">
        <v>251505</v>
      </c>
      <c r="F3813" s="185" t="s">
        <v>779</v>
      </c>
      <c r="G3813" s="185" t="s">
        <v>4206</v>
      </c>
      <c r="H3813" s="185" t="s">
        <v>1515</v>
      </c>
      <c r="I3813" s="258" t="str">
        <f t="shared" si="178"/>
        <v>2</v>
      </c>
      <c r="J3813" s="221">
        <f t="shared" si="179"/>
        <v>6312</v>
      </c>
      <c r="K3813" s="258">
        <f t="shared" si="180"/>
        <v>12</v>
      </c>
      <c r="L3813" s="188">
        <v>6312</v>
      </c>
      <c r="M3813" s="188">
        <v>0</v>
      </c>
      <c r="N3813" s="189">
        <v>1030672608</v>
      </c>
      <c r="O3813"/>
      <c r="P3813" s="187">
        <v>45328.649872685201</v>
      </c>
      <c r="Q3813" s="186">
        <v>15244</v>
      </c>
      <c r="R3813" s="185"/>
      <c r="S3813" s="185" t="s">
        <v>1706</v>
      </c>
      <c r="T3813"/>
      <c r="U3813" t="str">
        <f>IF($L3813&gt;0,VLOOKUP($E3813,Valida!$A$1:$G$270,6,FALSE),IF($M3813&gt;=0,VLOOKUP($E3813,Valida!$A$1:$G$270,7,FALSE)))</f>
        <v>(+/-) Ajustes por el incremento (disminución) de cuentas por pagar de origen comercial</v>
      </c>
      <c r="V3813" s="190" t="str">
        <f>VLOOKUP(E3813,Valida!$A$2:$K$271,4,FALSE)</f>
        <v>Trade and other payables</v>
      </c>
      <c r="W3813" s="185" t="s">
        <v>4216</v>
      </c>
      <c r="X3813" s="185"/>
      <c r="Y3813" s="185" t="s">
        <v>1789</v>
      </c>
      <c r="Z3813"/>
    </row>
    <row r="3814" spans="1:26">
      <c r="A3814" s="185" t="s">
        <v>3932</v>
      </c>
      <c r="B3814" s="185" t="s">
        <v>4214</v>
      </c>
      <c r="C3814" s="185" t="s">
        <v>1785</v>
      </c>
      <c r="D3814" s="185" t="s">
        <v>4215</v>
      </c>
      <c r="E3814" s="185">
        <v>251505</v>
      </c>
      <c r="F3814" s="185" t="s">
        <v>779</v>
      </c>
      <c r="G3814" s="185" t="s">
        <v>4206</v>
      </c>
      <c r="H3814" s="185" t="s">
        <v>1628</v>
      </c>
      <c r="I3814" s="258" t="str">
        <f t="shared" si="178"/>
        <v>2</v>
      </c>
      <c r="J3814" s="221">
        <f t="shared" si="179"/>
        <v>-72880</v>
      </c>
      <c r="K3814" s="258">
        <f t="shared" si="180"/>
        <v>12</v>
      </c>
      <c r="L3814" s="188">
        <v>0</v>
      </c>
      <c r="M3814" s="188">
        <v>72880</v>
      </c>
      <c r="N3814" s="189">
        <v>1130744136</v>
      </c>
      <c r="O3814"/>
      <c r="P3814" s="187">
        <v>45328.649872685201</v>
      </c>
      <c r="Q3814" s="186">
        <v>15245</v>
      </c>
      <c r="R3814" s="185"/>
      <c r="S3814" s="185" t="s">
        <v>1538</v>
      </c>
      <c r="T3814"/>
      <c r="U3814" t="str">
        <f>IF($L3814&gt;0,VLOOKUP($E3814,Valida!$A$1:$G$270,6,FALSE),IF($M3814&gt;=0,VLOOKUP($E3814,Valida!$A$1:$G$270,7,FALSE)))</f>
        <v>(+/-) Ajustes por el incremento (disminución) de cuentas por pagar de origen comercial</v>
      </c>
      <c r="V3814" s="190" t="str">
        <f>VLOOKUP(E3814,Valida!$A$2:$K$271,4,FALSE)</f>
        <v>Trade and other payables</v>
      </c>
      <c r="W3814" s="185" t="s">
        <v>1909</v>
      </c>
      <c r="X3814" s="185" t="s">
        <v>1910</v>
      </c>
      <c r="Y3814" s="185" t="s">
        <v>1789</v>
      </c>
      <c r="Z3814"/>
    </row>
    <row r="3815" spans="1:26">
      <c r="A3815" s="185" t="s">
        <v>3932</v>
      </c>
      <c r="B3815" s="185" t="s">
        <v>4214</v>
      </c>
      <c r="C3815" s="185" t="s">
        <v>1785</v>
      </c>
      <c r="D3815" s="185" t="s">
        <v>4215</v>
      </c>
      <c r="E3815" s="185">
        <v>251505</v>
      </c>
      <c r="F3815" s="185" t="s">
        <v>779</v>
      </c>
      <c r="G3815" s="185" t="s">
        <v>4206</v>
      </c>
      <c r="H3815" s="185" t="s">
        <v>1515</v>
      </c>
      <c r="I3815" s="258" t="str">
        <f t="shared" si="178"/>
        <v>2</v>
      </c>
      <c r="J3815" s="221">
        <f t="shared" si="179"/>
        <v>558416</v>
      </c>
      <c r="K3815" s="258">
        <f t="shared" si="180"/>
        <v>12</v>
      </c>
      <c r="L3815" s="188">
        <v>558416</v>
      </c>
      <c r="M3815" s="188">
        <v>0</v>
      </c>
      <c r="N3815" s="189">
        <v>800224808</v>
      </c>
      <c r="O3815"/>
      <c r="P3815" s="187">
        <v>45328.649872685201</v>
      </c>
      <c r="Q3815" s="186">
        <v>15246</v>
      </c>
      <c r="R3815" s="185" t="s">
        <v>1827</v>
      </c>
      <c r="S3815" s="185" t="s">
        <v>1662</v>
      </c>
      <c r="T3815"/>
      <c r="U3815" t="str">
        <f>IF($L3815&gt;0,VLOOKUP($E3815,Valida!$A$1:$G$270,6,FALSE),IF($M3815&gt;=0,VLOOKUP($E3815,Valida!$A$1:$G$270,7,FALSE)))</f>
        <v>(+/-) Ajustes por el incremento (disminución) de cuentas por pagar de origen comercial</v>
      </c>
      <c r="V3815" s="190" t="str">
        <f>VLOOKUP(E3815,Valida!$A$2:$K$271,4,FALSE)</f>
        <v>Trade and other payables</v>
      </c>
      <c r="W3815" s="185" t="s">
        <v>1911</v>
      </c>
      <c r="X3815" s="185"/>
      <c r="Y3815" s="185" t="s">
        <v>1789</v>
      </c>
      <c r="Z3815"/>
    </row>
    <row r="3816" spans="1:26">
      <c r="A3816" s="185" t="s">
        <v>3932</v>
      </c>
      <c r="B3816" s="185" t="s">
        <v>4214</v>
      </c>
      <c r="C3816" s="185" t="s">
        <v>1785</v>
      </c>
      <c r="D3816" s="185" t="s">
        <v>4215</v>
      </c>
      <c r="E3816" s="185">
        <v>251505</v>
      </c>
      <c r="F3816" s="185" t="s">
        <v>779</v>
      </c>
      <c r="G3816" s="185" t="s">
        <v>4206</v>
      </c>
      <c r="H3816" s="185" t="s">
        <v>1515</v>
      </c>
      <c r="I3816" s="258" t="str">
        <f t="shared" si="178"/>
        <v>2</v>
      </c>
      <c r="J3816" s="221">
        <f t="shared" si="179"/>
        <v>111334</v>
      </c>
      <c r="K3816" s="258">
        <f t="shared" si="180"/>
        <v>12</v>
      </c>
      <c r="L3816" s="188">
        <v>111334</v>
      </c>
      <c r="M3816" s="188">
        <v>0</v>
      </c>
      <c r="N3816" s="189">
        <v>800227940</v>
      </c>
      <c r="O3816"/>
      <c r="P3816" s="187">
        <v>45328.649872685201</v>
      </c>
      <c r="Q3816" s="186">
        <v>15247</v>
      </c>
      <c r="R3816" s="185"/>
      <c r="S3816" s="185" t="s">
        <v>1664</v>
      </c>
      <c r="T3816"/>
      <c r="U3816" t="str">
        <f>IF($L3816&gt;0,VLOOKUP($E3816,Valida!$A$1:$G$270,6,FALSE),IF($M3816&gt;=0,VLOOKUP($E3816,Valida!$A$1:$G$270,7,FALSE)))</f>
        <v>(+/-) Ajustes por el incremento (disminución) de cuentas por pagar de origen comercial</v>
      </c>
      <c r="V3816" s="190" t="str">
        <f>VLOOKUP(E3816,Valida!$A$2:$K$271,4,FALSE)</f>
        <v>Trade and other payables</v>
      </c>
      <c r="W3816" s="185"/>
      <c r="X3816" s="185"/>
      <c r="Y3816" s="185"/>
      <c r="Z3816"/>
    </row>
    <row r="3817" spans="1:26">
      <c r="A3817" s="185" t="s">
        <v>3932</v>
      </c>
      <c r="B3817" s="185" t="s">
        <v>4214</v>
      </c>
      <c r="C3817" s="185" t="s">
        <v>1785</v>
      </c>
      <c r="D3817" s="185" t="s">
        <v>4215</v>
      </c>
      <c r="E3817" s="185">
        <v>251505</v>
      </c>
      <c r="F3817" s="185" t="s">
        <v>779</v>
      </c>
      <c r="G3817" s="185" t="s">
        <v>4206</v>
      </c>
      <c r="H3817" s="185" t="s">
        <v>1515</v>
      </c>
      <c r="I3817" s="258" t="str">
        <f t="shared" si="178"/>
        <v>2</v>
      </c>
      <c r="J3817" s="221">
        <f t="shared" si="179"/>
        <v>3632</v>
      </c>
      <c r="K3817" s="258">
        <f t="shared" si="180"/>
        <v>12</v>
      </c>
      <c r="L3817" s="188">
        <v>3632</v>
      </c>
      <c r="M3817" s="188">
        <v>0</v>
      </c>
      <c r="N3817" s="189">
        <v>80747504</v>
      </c>
      <c r="O3817"/>
      <c r="P3817" s="187">
        <v>45328.649872685201</v>
      </c>
      <c r="Q3817" s="186">
        <v>15248</v>
      </c>
      <c r="R3817" s="185"/>
      <c r="S3817" s="185" t="s">
        <v>1562</v>
      </c>
      <c r="T3817"/>
      <c r="U3817" t="str">
        <f>IF($L3817&gt;0,VLOOKUP($E3817,Valida!$A$1:$G$270,6,FALSE),IF($M3817&gt;=0,VLOOKUP($E3817,Valida!$A$1:$G$270,7,FALSE)))</f>
        <v>(+/-) Ajustes por el incremento (disminución) de cuentas por pagar de origen comercial</v>
      </c>
      <c r="V3817" s="190" t="str">
        <f>VLOOKUP(E3817,Valida!$A$2:$K$271,4,FALSE)</f>
        <v>Trade and other payables</v>
      </c>
      <c r="W3817" s="185" t="s">
        <v>1918</v>
      </c>
      <c r="X3817" s="185"/>
      <c r="Y3817" s="185" t="s">
        <v>1789</v>
      </c>
      <c r="Z3817"/>
    </row>
    <row r="3818" spans="1:26">
      <c r="A3818" s="185" t="s">
        <v>3932</v>
      </c>
      <c r="B3818" s="185" t="s">
        <v>4214</v>
      </c>
      <c r="C3818" s="185" t="s">
        <v>1785</v>
      </c>
      <c r="D3818" s="185" t="s">
        <v>4215</v>
      </c>
      <c r="E3818" s="185">
        <v>251505</v>
      </c>
      <c r="F3818" s="185" t="s">
        <v>779</v>
      </c>
      <c r="G3818" s="185" t="s">
        <v>4206</v>
      </c>
      <c r="H3818" s="185" t="s">
        <v>1628</v>
      </c>
      <c r="I3818" s="258" t="str">
        <f t="shared" si="178"/>
        <v>2</v>
      </c>
      <c r="J3818" s="221">
        <f t="shared" si="179"/>
        <v>0</v>
      </c>
      <c r="K3818" s="258">
        <f t="shared" si="180"/>
        <v>12</v>
      </c>
      <c r="L3818" s="188">
        <v>0</v>
      </c>
      <c r="M3818" s="188">
        <v>0</v>
      </c>
      <c r="N3818" s="189">
        <v>901513634</v>
      </c>
      <c r="O3818"/>
      <c r="P3818" s="187">
        <v>45328.649872685201</v>
      </c>
      <c r="Q3818" s="186">
        <v>15249</v>
      </c>
      <c r="R3818" s="185" t="s">
        <v>6</v>
      </c>
      <c r="S3818" s="185" t="s">
        <v>1518</v>
      </c>
      <c r="T3818"/>
      <c r="U3818" t="str">
        <f>IF($L3818&gt;0,VLOOKUP($E3818,Valida!$A$1:$G$270,6,FALSE),IF($M3818&gt;=0,VLOOKUP($E3818,Valida!$A$1:$G$270,7,FALSE)))</f>
        <v>(+/-) Ajustes por el incremento (disminución) de cuentas por pagar de origen comercial</v>
      </c>
      <c r="V3818" s="190" t="str">
        <f>VLOOKUP(E3818,Valida!$A$2:$K$271,4,FALSE)</f>
        <v>Trade and other payables</v>
      </c>
      <c r="W3818" s="185" t="s">
        <v>1787</v>
      </c>
      <c r="X3818" s="185" t="s">
        <v>1788</v>
      </c>
      <c r="Y3818" s="185" t="s">
        <v>1789</v>
      </c>
      <c r="Z3818"/>
    </row>
    <row r="3819" spans="1:26">
      <c r="A3819" s="185" t="s">
        <v>3932</v>
      </c>
      <c r="B3819" s="185" t="s">
        <v>4214</v>
      </c>
      <c r="C3819" s="185" t="s">
        <v>1785</v>
      </c>
      <c r="D3819" s="185" t="s">
        <v>4215</v>
      </c>
      <c r="E3819" s="185">
        <v>510533</v>
      </c>
      <c r="F3819" s="185" t="s">
        <v>779</v>
      </c>
      <c r="G3819" s="185" t="s">
        <v>4206</v>
      </c>
      <c r="H3819" s="185" t="s">
        <v>1628</v>
      </c>
      <c r="I3819" s="258" t="str">
        <f t="shared" si="178"/>
        <v>5</v>
      </c>
      <c r="J3819" s="221">
        <f t="shared" si="179"/>
        <v>-481379</v>
      </c>
      <c r="K3819" s="258">
        <f t="shared" si="180"/>
        <v>12</v>
      </c>
      <c r="L3819" s="188">
        <v>0</v>
      </c>
      <c r="M3819" s="188">
        <v>481379</v>
      </c>
      <c r="N3819" s="189">
        <v>901513634</v>
      </c>
      <c r="O3819"/>
      <c r="P3819" s="187">
        <v>45328.649884259299</v>
      </c>
      <c r="Q3819" s="186">
        <v>15250</v>
      </c>
      <c r="R3819" s="185" t="s">
        <v>6</v>
      </c>
      <c r="S3819" s="185" t="s">
        <v>1518</v>
      </c>
      <c r="T3819"/>
      <c r="U3819" t="str">
        <f>IF($L3819&gt;0,VLOOKUP($E3819,Valida!$A$1:$G$270,6,FALSE),IF($M3819&gt;=0,VLOOKUP($E3819,Valida!$A$1:$G$270,7,FALSE)))</f>
        <v>(+/-) Ganancia (pérdida)</v>
      </c>
      <c r="V3819" s="190" t="str">
        <f>VLOOKUP(E3819,Valida!$A$2:$K$271,4,FALSE)</f>
        <v>P&amp;L</v>
      </c>
      <c r="W3819" s="185" t="s">
        <v>1787</v>
      </c>
      <c r="X3819" s="185" t="s">
        <v>1788</v>
      </c>
      <c r="Y3819" s="185" t="s">
        <v>1789</v>
      </c>
      <c r="Z3819"/>
    </row>
    <row r="3820" spans="1:26">
      <c r="A3820" s="185" t="s">
        <v>3932</v>
      </c>
      <c r="B3820" s="185" t="s">
        <v>4217</v>
      </c>
      <c r="C3820" s="185" t="s">
        <v>1785</v>
      </c>
      <c r="D3820" s="185" t="s">
        <v>4218</v>
      </c>
      <c r="E3820" s="185">
        <v>252005</v>
      </c>
      <c r="F3820" s="185" t="s">
        <v>783</v>
      </c>
      <c r="G3820" s="185" t="s">
        <v>4206</v>
      </c>
      <c r="H3820" s="185" t="s">
        <v>1628</v>
      </c>
      <c r="I3820" s="258" t="str">
        <f t="shared" si="178"/>
        <v>2</v>
      </c>
      <c r="J3820" s="221">
        <f t="shared" si="179"/>
        <v>-374</v>
      </c>
      <c r="K3820" s="258">
        <f t="shared" si="180"/>
        <v>12</v>
      </c>
      <c r="L3820" s="188">
        <v>0</v>
      </c>
      <c r="M3820" s="188">
        <v>374</v>
      </c>
      <c r="N3820" s="189">
        <v>1000018061</v>
      </c>
      <c r="O3820"/>
      <c r="P3820" s="187">
        <v>45328.653912037</v>
      </c>
      <c r="Q3820" s="186">
        <v>15251</v>
      </c>
      <c r="R3820" s="185"/>
      <c r="S3820" s="185" t="s">
        <v>1522</v>
      </c>
      <c r="T3820"/>
      <c r="U3820" t="str">
        <f>IF($L3820&gt;0,VLOOKUP($E3820,Valida!$A$1:$G$270,6,FALSE),IF($M3820&gt;=0,VLOOKUP($E3820,Valida!$A$1:$G$270,7,FALSE)))</f>
        <v>(+/-) Ajustes por el incremento (disminución) de cuentas por pagar de origen comercial</v>
      </c>
      <c r="V3820" s="190" t="str">
        <f>VLOOKUP(E3820,Valida!$A$2:$K$271,4,FALSE)</f>
        <v>Trade and other payables</v>
      </c>
      <c r="W3820" s="185" t="s">
        <v>1978</v>
      </c>
      <c r="X3820" s="185"/>
      <c r="Y3820" s="185" t="s">
        <v>1789</v>
      </c>
      <c r="Z3820"/>
    </row>
    <row r="3821" spans="1:26">
      <c r="A3821" s="185" t="s">
        <v>3932</v>
      </c>
      <c r="B3821" s="185" t="s">
        <v>4217</v>
      </c>
      <c r="C3821" s="185" t="s">
        <v>1785</v>
      </c>
      <c r="D3821" s="185" t="s">
        <v>4218</v>
      </c>
      <c r="E3821" s="185">
        <v>252005</v>
      </c>
      <c r="F3821" s="185" t="s">
        <v>783</v>
      </c>
      <c r="G3821" s="185" t="s">
        <v>4206</v>
      </c>
      <c r="H3821" s="185" t="s">
        <v>1628</v>
      </c>
      <c r="I3821" s="258" t="str">
        <f t="shared" si="178"/>
        <v>2</v>
      </c>
      <c r="J3821" s="221">
        <f t="shared" si="179"/>
        <v>-50145</v>
      </c>
      <c r="K3821" s="258">
        <f t="shared" si="180"/>
        <v>12</v>
      </c>
      <c r="L3821" s="188">
        <v>0</v>
      </c>
      <c r="M3821" s="188">
        <v>50145</v>
      </c>
      <c r="N3821" s="189">
        <v>1000036375</v>
      </c>
      <c r="O3821"/>
      <c r="P3821" s="187">
        <v>45328.653912037</v>
      </c>
      <c r="Q3821" s="186">
        <v>15252</v>
      </c>
      <c r="R3821" s="185"/>
      <c r="S3821" s="185" t="s">
        <v>1524</v>
      </c>
      <c r="T3821"/>
      <c r="U3821" t="str">
        <f>IF($L3821&gt;0,VLOOKUP($E3821,Valida!$A$1:$G$270,6,FALSE),IF($M3821&gt;=0,VLOOKUP($E3821,Valida!$A$1:$G$270,7,FALSE)))</f>
        <v>(+/-) Ajustes por el incremento (disminución) de cuentas por pagar de origen comercial</v>
      </c>
      <c r="V3821" s="190" t="str">
        <f>VLOOKUP(E3821,Valida!$A$2:$K$271,4,FALSE)</f>
        <v>Trade and other payables</v>
      </c>
      <c r="W3821" s="185" t="s">
        <v>1983</v>
      </c>
      <c r="X3821" s="185"/>
      <c r="Y3821" s="185" t="s">
        <v>1789</v>
      </c>
      <c r="Z3821"/>
    </row>
    <row r="3822" spans="1:26">
      <c r="A3822" s="185" t="s">
        <v>3932</v>
      </c>
      <c r="B3822" s="185" t="s">
        <v>4217</v>
      </c>
      <c r="C3822" s="185" t="s">
        <v>1785</v>
      </c>
      <c r="D3822" s="185" t="s">
        <v>4218</v>
      </c>
      <c r="E3822" s="185">
        <v>252005</v>
      </c>
      <c r="F3822" s="185" t="s">
        <v>783</v>
      </c>
      <c r="G3822" s="185" t="s">
        <v>4206</v>
      </c>
      <c r="H3822" s="185" t="s">
        <v>1515</v>
      </c>
      <c r="I3822" s="258" t="str">
        <f t="shared" si="178"/>
        <v>2</v>
      </c>
      <c r="J3822" s="221">
        <f t="shared" si="179"/>
        <v>7014</v>
      </c>
      <c r="K3822" s="258">
        <f t="shared" si="180"/>
        <v>12</v>
      </c>
      <c r="L3822" s="188">
        <v>7014</v>
      </c>
      <c r="M3822" s="188">
        <v>0</v>
      </c>
      <c r="N3822" s="189">
        <v>1000831564</v>
      </c>
      <c r="O3822"/>
      <c r="P3822" s="187">
        <v>45328.653912037</v>
      </c>
      <c r="Q3822" s="186">
        <v>15253</v>
      </c>
      <c r="R3822" s="185"/>
      <c r="S3822" s="185" t="s">
        <v>1694</v>
      </c>
      <c r="T3822"/>
      <c r="U3822" t="str">
        <f>IF($L3822&gt;0,VLOOKUP($E3822,Valida!$A$1:$G$270,6,FALSE),IF($M3822&gt;=0,VLOOKUP($E3822,Valida!$A$1:$G$270,7,FALSE)))</f>
        <v>(+/-) Ajustes por el incremento (disminución) de cuentas por pagar de origen comercial</v>
      </c>
      <c r="V3822" s="190" t="str">
        <f>VLOOKUP(E3822,Valida!$A$2:$K$271,4,FALSE)</f>
        <v>Trade and other payables</v>
      </c>
      <c r="W3822" s="185"/>
      <c r="X3822" s="185"/>
      <c r="Y3822" s="185"/>
      <c r="Z3822"/>
    </row>
    <row r="3823" spans="1:26">
      <c r="A3823" s="185" t="s">
        <v>3932</v>
      </c>
      <c r="B3823" s="185" t="s">
        <v>4217</v>
      </c>
      <c r="C3823" s="185" t="s">
        <v>1785</v>
      </c>
      <c r="D3823" s="185" t="s">
        <v>4218</v>
      </c>
      <c r="E3823" s="185">
        <v>252005</v>
      </c>
      <c r="F3823" s="185" t="s">
        <v>783</v>
      </c>
      <c r="G3823" s="185" t="s">
        <v>4206</v>
      </c>
      <c r="H3823" s="185" t="s">
        <v>1628</v>
      </c>
      <c r="I3823" s="258" t="str">
        <f t="shared" si="178"/>
        <v>2</v>
      </c>
      <c r="J3823" s="221">
        <f t="shared" si="179"/>
        <v>-153</v>
      </c>
      <c r="K3823" s="258">
        <f t="shared" si="180"/>
        <v>12</v>
      </c>
      <c r="L3823" s="188">
        <v>0</v>
      </c>
      <c r="M3823" s="188">
        <v>153</v>
      </c>
      <c r="N3823" s="189">
        <v>1001284057</v>
      </c>
      <c r="O3823"/>
      <c r="P3823" s="187">
        <v>45328.653912037</v>
      </c>
      <c r="Q3823" s="186">
        <v>15254</v>
      </c>
      <c r="R3823" s="185"/>
      <c r="S3823" s="185" t="s">
        <v>1526</v>
      </c>
      <c r="T3823"/>
      <c r="U3823" t="str">
        <f>IF($L3823&gt;0,VLOOKUP($E3823,Valida!$A$1:$G$270,6,FALSE),IF($M3823&gt;=0,VLOOKUP($E3823,Valida!$A$1:$G$270,7,FALSE)))</f>
        <v>(+/-) Ajustes por el incremento (disminución) de cuentas por pagar de origen comercial</v>
      </c>
      <c r="V3823" s="190" t="str">
        <f>VLOOKUP(E3823,Valida!$A$2:$K$271,4,FALSE)</f>
        <v>Trade and other payables</v>
      </c>
      <c r="W3823" s="185" t="s">
        <v>3454</v>
      </c>
      <c r="X3823" s="185" t="s">
        <v>3455</v>
      </c>
      <c r="Y3823" s="185" t="s">
        <v>1789</v>
      </c>
      <c r="Z3823"/>
    </row>
    <row r="3824" spans="1:26">
      <c r="A3824" s="185" t="s">
        <v>3932</v>
      </c>
      <c r="B3824" s="185" t="s">
        <v>4217</v>
      </c>
      <c r="C3824" s="185" t="s">
        <v>1785</v>
      </c>
      <c r="D3824" s="185" t="s">
        <v>4218</v>
      </c>
      <c r="E3824" s="185">
        <v>252005</v>
      </c>
      <c r="F3824" s="185" t="s">
        <v>783</v>
      </c>
      <c r="G3824" s="185" t="s">
        <v>4206</v>
      </c>
      <c r="H3824" s="185" t="s">
        <v>1628</v>
      </c>
      <c r="I3824" s="258" t="str">
        <f t="shared" si="178"/>
        <v>2</v>
      </c>
      <c r="J3824" s="221">
        <f t="shared" si="179"/>
        <v>-1</v>
      </c>
      <c r="K3824" s="258">
        <f t="shared" si="180"/>
        <v>12</v>
      </c>
      <c r="L3824" s="188">
        <v>0</v>
      </c>
      <c r="M3824" s="188">
        <v>1</v>
      </c>
      <c r="N3824" s="189">
        <v>1003641910</v>
      </c>
      <c r="O3824"/>
      <c r="P3824" s="187">
        <v>45328.653912037</v>
      </c>
      <c r="Q3824" s="186">
        <v>15255</v>
      </c>
      <c r="R3824" s="185"/>
      <c r="S3824" s="185" t="s">
        <v>1696</v>
      </c>
      <c r="T3824"/>
      <c r="U3824" t="str">
        <f>IF($L3824&gt;0,VLOOKUP($E3824,Valida!$A$1:$G$270,6,FALSE),IF($M3824&gt;=0,VLOOKUP($E3824,Valida!$A$1:$G$270,7,FALSE)))</f>
        <v>(+/-) Ajustes por el incremento (disminución) de cuentas por pagar de origen comercial</v>
      </c>
      <c r="V3824" s="190" t="str">
        <f>VLOOKUP(E3824,Valida!$A$2:$K$271,4,FALSE)</f>
        <v>Trade and other payables</v>
      </c>
      <c r="W3824" s="185" t="s">
        <v>4213</v>
      </c>
      <c r="X3824" s="185"/>
      <c r="Y3824" s="185"/>
      <c r="Z3824"/>
    </row>
    <row r="3825" spans="1:26">
      <c r="A3825" s="185" t="s">
        <v>3932</v>
      </c>
      <c r="B3825" s="185" t="s">
        <v>4217</v>
      </c>
      <c r="C3825" s="185" t="s">
        <v>1785</v>
      </c>
      <c r="D3825" s="185" t="s">
        <v>4218</v>
      </c>
      <c r="E3825" s="185">
        <v>252005</v>
      </c>
      <c r="F3825" s="185" t="s">
        <v>783</v>
      </c>
      <c r="G3825" s="185" t="s">
        <v>4206</v>
      </c>
      <c r="H3825" s="185" t="s">
        <v>1628</v>
      </c>
      <c r="I3825" s="258" t="str">
        <f t="shared" si="178"/>
        <v>2</v>
      </c>
      <c r="J3825" s="221">
        <f t="shared" si="179"/>
        <v>-182</v>
      </c>
      <c r="K3825" s="258">
        <f t="shared" si="180"/>
        <v>12</v>
      </c>
      <c r="L3825" s="188">
        <v>0</v>
      </c>
      <c r="M3825" s="188">
        <v>182</v>
      </c>
      <c r="N3825" s="189">
        <v>1010101811</v>
      </c>
      <c r="O3825"/>
      <c r="P3825" s="187">
        <v>45328.653912037</v>
      </c>
      <c r="Q3825" s="186">
        <v>15256</v>
      </c>
      <c r="R3825" s="185"/>
      <c r="S3825" s="185" t="s">
        <v>1528</v>
      </c>
      <c r="T3825"/>
      <c r="U3825" t="str">
        <f>IF($L3825&gt;0,VLOOKUP($E3825,Valida!$A$1:$G$270,6,FALSE),IF($M3825&gt;=0,VLOOKUP($E3825,Valida!$A$1:$G$270,7,FALSE)))</f>
        <v>(+/-) Ajustes por el incremento (disminución) de cuentas por pagar de origen comercial</v>
      </c>
      <c r="V3825" s="190" t="str">
        <f>VLOOKUP(E3825,Valida!$A$2:$K$271,4,FALSE)</f>
        <v>Trade and other payables</v>
      </c>
      <c r="W3825" s="185" t="s">
        <v>1967</v>
      </c>
      <c r="X3825" s="185"/>
      <c r="Y3825" s="185" t="s">
        <v>1789</v>
      </c>
      <c r="Z3825"/>
    </row>
    <row r="3826" spans="1:26">
      <c r="A3826" s="185" t="s">
        <v>3932</v>
      </c>
      <c r="B3826" s="185" t="s">
        <v>4217</v>
      </c>
      <c r="C3826" s="185" t="s">
        <v>1785</v>
      </c>
      <c r="D3826" s="185" t="s">
        <v>4218</v>
      </c>
      <c r="E3826" s="185">
        <v>252005</v>
      </c>
      <c r="F3826" s="185" t="s">
        <v>783</v>
      </c>
      <c r="G3826" s="185" t="s">
        <v>4206</v>
      </c>
      <c r="H3826" s="185" t="s">
        <v>1515</v>
      </c>
      <c r="I3826" s="258" t="str">
        <f t="shared" si="178"/>
        <v>2</v>
      </c>
      <c r="J3826" s="221">
        <f t="shared" si="179"/>
        <v>8547</v>
      </c>
      <c r="K3826" s="258">
        <f t="shared" si="180"/>
        <v>12</v>
      </c>
      <c r="L3826" s="188">
        <v>8547</v>
      </c>
      <c r="M3826" s="188">
        <v>0</v>
      </c>
      <c r="N3826" s="189">
        <v>1019112819</v>
      </c>
      <c r="O3826"/>
      <c r="P3826" s="187">
        <v>45328.653912037</v>
      </c>
      <c r="Q3826" s="186">
        <v>15257</v>
      </c>
      <c r="R3826" s="185"/>
      <c r="S3826" s="185" t="s">
        <v>1698</v>
      </c>
      <c r="T3826"/>
      <c r="U3826" t="str">
        <f>IF($L3826&gt;0,VLOOKUP($E3826,Valida!$A$1:$G$270,6,FALSE),IF($M3826&gt;=0,VLOOKUP($E3826,Valida!$A$1:$G$270,7,FALSE)))</f>
        <v>(+/-) Ajustes por el incremento (disminución) de cuentas por pagar de origen comercial</v>
      </c>
      <c r="V3826" s="190" t="str">
        <f>VLOOKUP(E3826,Valida!$A$2:$K$271,4,FALSE)</f>
        <v>Trade and other payables</v>
      </c>
      <c r="W3826" s="185" t="s">
        <v>4211</v>
      </c>
      <c r="X3826" s="185"/>
      <c r="Y3826" s="185"/>
      <c r="Z3826"/>
    </row>
    <row r="3827" spans="1:26">
      <c r="A3827" s="185" t="s">
        <v>3932</v>
      </c>
      <c r="B3827" s="185" t="s">
        <v>4217</v>
      </c>
      <c r="C3827" s="185" t="s">
        <v>1785</v>
      </c>
      <c r="D3827" s="185" t="s">
        <v>4218</v>
      </c>
      <c r="E3827" s="185">
        <v>252005</v>
      </c>
      <c r="F3827" s="185" t="s">
        <v>783</v>
      </c>
      <c r="G3827" s="185" t="s">
        <v>4206</v>
      </c>
      <c r="H3827" s="185" t="s">
        <v>1628</v>
      </c>
      <c r="I3827" s="258" t="str">
        <f t="shared" si="178"/>
        <v>2</v>
      </c>
      <c r="J3827" s="221">
        <f t="shared" si="179"/>
        <v>0</v>
      </c>
      <c r="K3827" s="258">
        <f t="shared" si="180"/>
        <v>12</v>
      </c>
      <c r="L3827" s="188">
        <v>0</v>
      </c>
      <c r="M3827" s="188">
        <v>0</v>
      </c>
      <c r="N3827" s="189">
        <v>1020842223</v>
      </c>
      <c r="O3827"/>
      <c r="P3827" s="187">
        <v>45328.653912037</v>
      </c>
      <c r="Q3827" s="186">
        <v>15258</v>
      </c>
      <c r="R3827" s="185"/>
      <c r="S3827" s="185" t="s">
        <v>1532</v>
      </c>
      <c r="T3827"/>
      <c r="U3827" t="str">
        <f>IF($L3827&gt;0,VLOOKUP($E3827,Valida!$A$1:$G$270,6,FALSE),IF($M3827&gt;=0,VLOOKUP($E3827,Valida!$A$1:$G$270,7,FALSE)))</f>
        <v>(+/-) Ajustes por el incremento (disminución) de cuentas por pagar de origen comercial</v>
      </c>
      <c r="V3827" s="190" t="str">
        <f>VLOOKUP(E3827,Valida!$A$2:$K$271,4,FALSE)</f>
        <v>Trade and other payables</v>
      </c>
      <c r="W3827" s="185" t="s">
        <v>1900</v>
      </c>
      <c r="X3827" s="185"/>
      <c r="Y3827" s="185" t="s">
        <v>1789</v>
      </c>
      <c r="Z3827"/>
    </row>
    <row r="3828" spans="1:26">
      <c r="A3828" s="185" t="s">
        <v>3932</v>
      </c>
      <c r="B3828" s="185" t="s">
        <v>4217</v>
      </c>
      <c r="C3828" s="185" t="s">
        <v>1785</v>
      </c>
      <c r="D3828" s="185" t="s">
        <v>4218</v>
      </c>
      <c r="E3828" s="185">
        <v>252005</v>
      </c>
      <c r="F3828" s="185" t="s">
        <v>783</v>
      </c>
      <c r="G3828" s="185" t="s">
        <v>4206</v>
      </c>
      <c r="H3828" s="185" t="s">
        <v>1628</v>
      </c>
      <c r="I3828" s="258" t="str">
        <f t="shared" si="178"/>
        <v>2</v>
      </c>
      <c r="J3828" s="221">
        <f t="shared" si="179"/>
        <v>-1</v>
      </c>
      <c r="K3828" s="258">
        <f t="shared" si="180"/>
        <v>12</v>
      </c>
      <c r="L3828" s="188">
        <v>0</v>
      </c>
      <c r="M3828" s="188">
        <v>1</v>
      </c>
      <c r="N3828" s="189">
        <v>1022391019</v>
      </c>
      <c r="O3828"/>
      <c r="P3828" s="187">
        <v>45328.653912037</v>
      </c>
      <c r="Q3828" s="186">
        <v>15259</v>
      </c>
      <c r="R3828" s="185"/>
      <c r="S3828" s="185" t="s">
        <v>1700</v>
      </c>
      <c r="T3828"/>
      <c r="U3828" t="str">
        <f>IF($L3828&gt;0,VLOOKUP($E3828,Valida!$A$1:$G$270,6,FALSE),IF($M3828&gt;=0,VLOOKUP($E3828,Valida!$A$1:$G$270,7,FALSE)))</f>
        <v>(+/-) Ajustes por el incremento (disminución) de cuentas por pagar de origen comercial</v>
      </c>
      <c r="V3828" s="190" t="str">
        <f>VLOOKUP(E3828,Valida!$A$2:$K$271,4,FALSE)</f>
        <v>Trade and other payables</v>
      </c>
      <c r="W3828" s="185"/>
      <c r="X3828" s="185"/>
      <c r="Y3828" s="185"/>
      <c r="Z3828"/>
    </row>
    <row r="3829" spans="1:26">
      <c r="A3829" s="185" t="s">
        <v>3932</v>
      </c>
      <c r="B3829" s="185" t="s">
        <v>4217</v>
      </c>
      <c r="C3829" s="185" t="s">
        <v>1785</v>
      </c>
      <c r="D3829" s="185" t="s">
        <v>4218</v>
      </c>
      <c r="E3829" s="185">
        <v>252005</v>
      </c>
      <c r="F3829" s="185" t="s">
        <v>783</v>
      </c>
      <c r="G3829" s="185" t="s">
        <v>4206</v>
      </c>
      <c r="H3829" s="185" t="s">
        <v>1515</v>
      </c>
      <c r="I3829" s="258" t="str">
        <f t="shared" si="178"/>
        <v>2</v>
      </c>
      <c r="J3829" s="221">
        <f t="shared" si="179"/>
        <v>16998</v>
      </c>
      <c r="K3829" s="258">
        <f t="shared" si="180"/>
        <v>12</v>
      </c>
      <c r="L3829" s="188">
        <v>16998</v>
      </c>
      <c r="M3829" s="188">
        <v>0</v>
      </c>
      <c r="N3829" s="189">
        <v>1022399199</v>
      </c>
      <c r="O3829"/>
      <c r="P3829" s="187">
        <v>45328.653912037</v>
      </c>
      <c r="Q3829" s="186">
        <v>15260</v>
      </c>
      <c r="R3829" s="185"/>
      <c r="S3829" s="185" t="s">
        <v>1702</v>
      </c>
      <c r="T3829"/>
      <c r="U3829" t="str">
        <f>IF($L3829&gt;0,VLOOKUP($E3829,Valida!$A$1:$G$270,6,FALSE),IF($M3829&gt;=0,VLOOKUP($E3829,Valida!$A$1:$G$270,7,FALSE)))</f>
        <v>(+/-) Ajustes por el incremento (disminución) de cuentas por pagar de origen comercial</v>
      </c>
      <c r="V3829" s="190" t="str">
        <f>VLOOKUP(E3829,Valida!$A$2:$K$271,4,FALSE)</f>
        <v>Trade and other payables</v>
      </c>
      <c r="W3829" s="185"/>
      <c r="X3829" s="185"/>
      <c r="Y3829" s="185"/>
      <c r="Z3829"/>
    </row>
    <row r="3830" spans="1:26">
      <c r="A3830" s="185" t="s">
        <v>3932</v>
      </c>
      <c r="B3830" s="185" t="s">
        <v>4217</v>
      </c>
      <c r="C3830" s="185" t="s">
        <v>1785</v>
      </c>
      <c r="D3830" s="185" t="s">
        <v>4218</v>
      </c>
      <c r="E3830" s="185">
        <v>252005</v>
      </c>
      <c r="F3830" s="185" t="s">
        <v>783</v>
      </c>
      <c r="G3830" s="185" t="s">
        <v>4206</v>
      </c>
      <c r="H3830" s="185" t="s">
        <v>1515</v>
      </c>
      <c r="I3830" s="258" t="str">
        <f t="shared" si="178"/>
        <v>2</v>
      </c>
      <c r="J3830" s="221">
        <f t="shared" si="179"/>
        <v>19755</v>
      </c>
      <c r="K3830" s="258">
        <f t="shared" si="180"/>
        <v>12</v>
      </c>
      <c r="L3830" s="188">
        <v>19755</v>
      </c>
      <c r="M3830" s="188">
        <v>0</v>
      </c>
      <c r="N3830" s="189">
        <v>1023976635</v>
      </c>
      <c r="O3830"/>
      <c r="P3830" s="187">
        <v>45328.653912037</v>
      </c>
      <c r="Q3830" s="186">
        <v>15261</v>
      </c>
      <c r="R3830" s="185"/>
      <c r="S3830" s="185" t="s">
        <v>1534</v>
      </c>
      <c r="T3830"/>
      <c r="U3830" t="str">
        <f>IF($L3830&gt;0,VLOOKUP($E3830,Valida!$A$1:$G$270,6,FALSE),IF($M3830&gt;=0,VLOOKUP($E3830,Valida!$A$1:$G$270,7,FALSE)))</f>
        <v>(+/-) Ajustes por el incremento (disminución) de cuentas por pagar de origen comercial</v>
      </c>
      <c r="V3830" s="190" t="str">
        <f>VLOOKUP(E3830,Valida!$A$2:$K$271,4,FALSE)</f>
        <v>Trade and other payables</v>
      </c>
      <c r="W3830" s="185" t="s">
        <v>1971</v>
      </c>
      <c r="X3830" s="185"/>
      <c r="Y3830" s="185" t="s">
        <v>1972</v>
      </c>
      <c r="Z3830"/>
    </row>
    <row r="3831" spans="1:26">
      <c r="A3831" s="185" t="s">
        <v>3932</v>
      </c>
      <c r="B3831" s="185" t="s">
        <v>4217</v>
      </c>
      <c r="C3831" s="185" t="s">
        <v>1785</v>
      </c>
      <c r="D3831" s="185" t="s">
        <v>4218</v>
      </c>
      <c r="E3831" s="185">
        <v>252005</v>
      </c>
      <c r="F3831" s="185" t="s">
        <v>783</v>
      </c>
      <c r="G3831" s="185" t="s">
        <v>4206</v>
      </c>
      <c r="H3831" s="185" t="s">
        <v>1515</v>
      </c>
      <c r="I3831" s="258" t="str">
        <f t="shared" si="178"/>
        <v>2</v>
      </c>
      <c r="J3831" s="221">
        <f t="shared" si="179"/>
        <v>22841</v>
      </c>
      <c r="K3831" s="258">
        <f t="shared" si="180"/>
        <v>12</v>
      </c>
      <c r="L3831" s="188">
        <v>22841</v>
      </c>
      <c r="M3831" s="188">
        <v>0</v>
      </c>
      <c r="N3831" s="189">
        <v>1030645216</v>
      </c>
      <c r="O3831"/>
      <c r="P3831" s="187">
        <v>45328.653912037</v>
      </c>
      <c r="Q3831" s="186">
        <v>15262</v>
      </c>
      <c r="R3831" s="185"/>
      <c r="S3831" s="185" t="s">
        <v>1704</v>
      </c>
      <c r="T3831"/>
      <c r="U3831" t="str">
        <f>IF($L3831&gt;0,VLOOKUP($E3831,Valida!$A$1:$G$270,6,FALSE),IF($M3831&gt;=0,VLOOKUP($E3831,Valida!$A$1:$G$270,7,FALSE)))</f>
        <v>(+/-) Ajustes por el incremento (disminución) de cuentas por pagar de origen comercial</v>
      </c>
      <c r="V3831" s="190" t="str">
        <f>VLOOKUP(E3831,Valida!$A$2:$K$271,4,FALSE)</f>
        <v>Trade and other payables</v>
      </c>
      <c r="W3831" s="185" t="s">
        <v>4212</v>
      </c>
      <c r="X3831" s="185"/>
      <c r="Y3831" s="185" t="s">
        <v>1789</v>
      </c>
      <c r="Z3831"/>
    </row>
    <row r="3832" spans="1:26">
      <c r="A3832" s="185" t="s">
        <v>3932</v>
      </c>
      <c r="B3832" s="185" t="s">
        <v>4217</v>
      </c>
      <c r="C3832" s="185" t="s">
        <v>1785</v>
      </c>
      <c r="D3832" s="185" t="s">
        <v>4218</v>
      </c>
      <c r="E3832" s="185">
        <v>252005</v>
      </c>
      <c r="F3832" s="185" t="s">
        <v>783</v>
      </c>
      <c r="G3832" s="185" t="s">
        <v>4206</v>
      </c>
      <c r="H3832" s="185" t="s">
        <v>1515</v>
      </c>
      <c r="I3832" s="258" t="str">
        <f t="shared" si="178"/>
        <v>2</v>
      </c>
      <c r="J3832" s="221">
        <f t="shared" si="179"/>
        <v>1</v>
      </c>
      <c r="K3832" s="258">
        <f t="shared" si="180"/>
        <v>12</v>
      </c>
      <c r="L3832" s="188">
        <v>1</v>
      </c>
      <c r="M3832" s="188">
        <v>0</v>
      </c>
      <c r="N3832" s="189">
        <v>1100623759</v>
      </c>
      <c r="O3832"/>
      <c r="P3832" s="187">
        <v>45328.653912037</v>
      </c>
      <c r="Q3832" s="186">
        <v>15263</v>
      </c>
      <c r="R3832" s="185"/>
      <c r="S3832" s="185" t="s">
        <v>1536</v>
      </c>
      <c r="T3832"/>
      <c r="U3832" t="str">
        <f>IF($L3832&gt;0,VLOOKUP($E3832,Valida!$A$1:$G$270,6,FALSE),IF($M3832&gt;=0,VLOOKUP($E3832,Valida!$A$1:$G$270,7,FALSE)))</f>
        <v>(+/-) Ajustes por el incremento (disminución) de cuentas por pagar de origen comercial</v>
      </c>
      <c r="V3832" s="190" t="str">
        <f>VLOOKUP(E3832,Valida!$A$2:$K$271,4,FALSE)</f>
        <v>Trade and other payables</v>
      </c>
      <c r="W3832" s="185" t="s">
        <v>2730</v>
      </c>
      <c r="X3832" s="185"/>
      <c r="Y3832" s="185" t="s">
        <v>1789</v>
      </c>
      <c r="Z3832"/>
    </row>
    <row r="3833" spans="1:26">
      <c r="A3833" s="185" t="s">
        <v>3932</v>
      </c>
      <c r="B3833" s="185" t="s">
        <v>4217</v>
      </c>
      <c r="C3833" s="185" t="s">
        <v>1785</v>
      </c>
      <c r="D3833" s="185" t="s">
        <v>4218</v>
      </c>
      <c r="E3833" s="185">
        <v>252005</v>
      </c>
      <c r="F3833" s="185" t="s">
        <v>783</v>
      </c>
      <c r="G3833" s="185" t="s">
        <v>4206</v>
      </c>
      <c r="H3833" s="185" t="s">
        <v>1628</v>
      </c>
      <c r="I3833" s="258" t="str">
        <f t="shared" si="178"/>
        <v>2</v>
      </c>
      <c r="J3833" s="221">
        <f t="shared" si="179"/>
        <v>-346</v>
      </c>
      <c r="K3833" s="258">
        <f t="shared" si="180"/>
        <v>12</v>
      </c>
      <c r="L3833" s="188">
        <v>0</v>
      </c>
      <c r="M3833" s="188">
        <v>346</v>
      </c>
      <c r="N3833" s="189">
        <v>1130744136</v>
      </c>
      <c r="O3833"/>
      <c r="P3833" s="187">
        <v>45328.653912037</v>
      </c>
      <c r="Q3833" s="186">
        <v>15264</v>
      </c>
      <c r="R3833" s="185"/>
      <c r="S3833" s="185" t="s">
        <v>1538</v>
      </c>
      <c r="T3833"/>
      <c r="U3833" t="str">
        <f>IF($L3833&gt;0,VLOOKUP($E3833,Valida!$A$1:$G$270,6,FALSE),IF($M3833&gt;=0,VLOOKUP($E3833,Valida!$A$1:$G$270,7,FALSE)))</f>
        <v>(+/-) Ajustes por el incremento (disminución) de cuentas por pagar de origen comercial</v>
      </c>
      <c r="V3833" s="190" t="str">
        <f>VLOOKUP(E3833,Valida!$A$2:$K$271,4,FALSE)</f>
        <v>Trade and other payables</v>
      </c>
      <c r="W3833" s="185" t="s">
        <v>1909</v>
      </c>
      <c r="X3833" s="185" t="s">
        <v>1910</v>
      </c>
      <c r="Y3833" s="185" t="s">
        <v>1789</v>
      </c>
      <c r="Z3833"/>
    </row>
    <row r="3834" spans="1:26">
      <c r="A3834" s="185" t="s">
        <v>3932</v>
      </c>
      <c r="B3834" s="185" t="s">
        <v>4217</v>
      </c>
      <c r="C3834" s="185" t="s">
        <v>1785</v>
      </c>
      <c r="D3834" s="185" t="s">
        <v>4218</v>
      </c>
      <c r="E3834" s="185">
        <v>252005</v>
      </c>
      <c r="F3834" s="185" t="s">
        <v>783</v>
      </c>
      <c r="G3834" s="185" t="s">
        <v>4206</v>
      </c>
      <c r="H3834" s="185" t="s">
        <v>1628</v>
      </c>
      <c r="I3834" s="258" t="str">
        <f t="shared" si="178"/>
        <v>2</v>
      </c>
      <c r="J3834" s="221">
        <f t="shared" si="179"/>
        <v>-895</v>
      </c>
      <c r="K3834" s="258">
        <f t="shared" si="180"/>
        <v>12</v>
      </c>
      <c r="L3834" s="188">
        <v>0</v>
      </c>
      <c r="M3834" s="188">
        <v>895</v>
      </c>
      <c r="N3834" s="189">
        <v>80747504</v>
      </c>
      <c r="O3834"/>
      <c r="P3834" s="187">
        <v>45328.653912037</v>
      </c>
      <c r="Q3834" s="186">
        <v>15265</v>
      </c>
      <c r="R3834" s="185"/>
      <c r="S3834" s="185" t="s">
        <v>1562</v>
      </c>
      <c r="T3834"/>
      <c r="U3834" t="str">
        <f>IF($L3834&gt;0,VLOOKUP($E3834,Valida!$A$1:$G$270,6,FALSE),IF($M3834&gt;=0,VLOOKUP($E3834,Valida!$A$1:$G$270,7,FALSE)))</f>
        <v>(+/-) Ajustes por el incremento (disminución) de cuentas por pagar de origen comercial</v>
      </c>
      <c r="V3834" s="190" t="str">
        <f>VLOOKUP(E3834,Valida!$A$2:$K$271,4,FALSE)</f>
        <v>Trade and other payables</v>
      </c>
      <c r="W3834" s="185" t="s">
        <v>1918</v>
      </c>
      <c r="X3834" s="185"/>
      <c r="Y3834" s="185" t="s">
        <v>1789</v>
      </c>
      <c r="Z3834"/>
    </row>
    <row r="3835" spans="1:26">
      <c r="A3835" s="185" t="s">
        <v>3932</v>
      </c>
      <c r="B3835" s="185" t="s">
        <v>4217</v>
      </c>
      <c r="C3835" s="185" t="s">
        <v>1785</v>
      </c>
      <c r="D3835" s="185" t="s">
        <v>4218</v>
      </c>
      <c r="E3835" s="185">
        <v>252005</v>
      </c>
      <c r="F3835" s="185" t="s">
        <v>783</v>
      </c>
      <c r="G3835" s="185" t="s">
        <v>4206</v>
      </c>
      <c r="H3835" s="185" t="s">
        <v>1628</v>
      </c>
      <c r="I3835" s="258" t="str">
        <f t="shared" si="178"/>
        <v>2</v>
      </c>
      <c r="J3835" s="221">
        <f t="shared" si="179"/>
        <v>0</v>
      </c>
      <c r="K3835" s="258">
        <f t="shared" si="180"/>
        <v>12</v>
      </c>
      <c r="L3835" s="188">
        <v>0</v>
      </c>
      <c r="M3835" s="188">
        <v>0</v>
      </c>
      <c r="N3835" s="189">
        <v>901513634</v>
      </c>
      <c r="O3835"/>
      <c r="P3835" s="187">
        <v>45328.653912037</v>
      </c>
      <c r="Q3835" s="186">
        <v>15266</v>
      </c>
      <c r="R3835" s="185" t="s">
        <v>6</v>
      </c>
      <c r="S3835" s="185" t="s">
        <v>1518</v>
      </c>
      <c r="T3835"/>
      <c r="U3835" t="str">
        <f>IF($L3835&gt;0,VLOOKUP($E3835,Valida!$A$1:$G$270,6,FALSE),IF($M3835&gt;=0,VLOOKUP($E3835,Valida!$A$1:$G$270,7,FALSE)))</f>
        <v>(+/-) Ajustes por el incremento (disminución) de cuentas por pagar de origen comercial</v>
      </c>
      <c r="V3835" s="190" t="str">
        <f>VLOOKUP(E3835,Valida!$A$2:$K$271,4,FALSE)</f>
        <v>Trade and other payables</v>
      </c>
      <c r="W3835" s="185" t="s">
        <v>1787</v>
      </c>
      <c r="X3835" s="185" t="s">
        <v>1788</v>
      </c>
      <c r="Y3835" s="185" t="s">
        <v>1789</v>
      </c>
      <c r="Z3835"/>
    </row>
    <row r="3836" spans="1:26">
      <c r="A3836" s="185" t="s">
        <v>3932</v>
      </c>
      <c r="B3836" s="185" t="s">
        <v>4217</v>
      </c>
      <c r="C3836" s="185" t="s">
        <v>1785</v>
      </c>
      <c r="D3836" s="185" t="s">
        <v>4218</v>
      </c>
      <c r="E3836" s="185">
        <v>510533</v>
      </c>
      <c r="F3836" s="185" t="s">
        <v>779</v>
      </c>
      <c r="G3836" s="185" t="s">
        <v>4206</v>
      </c>
      <c r="H3836" s="185" t="s">
        <v>1628</v>
      </c>
      <c r="I3836" s="258" t="str">
        <f t="shared" si="178"/>
        <v>5</v>
      </c>
      <c r="J3836" s="221">
        <f t="shared" si="179"/>
        <v>-23059</v>
      </c>
      <c r="K3836" s="258">
        <f t="shared" si="180"/>
        <v>12</v>
      </c>
      <c r="L3836" s="188">
        <v>0</v>
      </c>
      <c r="M3836" s="188">
        <v>23059</v>
      </c>
      <c r="N3836" s="189">
        <v>901513634</v>
      </c>
      <c r="O3836"/>
      <c r="P3836" s="187">
        <v>45328.653912037</v>
      </c>
      <c r="Q3836" s="186">
        <v>15267</v>
      </c>
      <c r="R3836" s="185" t="s">
        <v>6</v>
      </c>
      <c r="S3836" s="185" t="s">
        <v>1518</v>
      </c>
      <c r="T3836"/>
      <c r="U3836" t="str">
        <f>IF($L3836&gt;0,VLOOKUP($E3836,Valida!$A$1:$G$270,6,FALSE),IF($M3836&gt;=0,VLOOKUP($E3836,Valida!$A$1:$G$270,7,FALSE)))</f>
        <v>(+/-) Ganancia (pérdida)</v>
      </c>
      <c r="V3836" s="190" t="str">
        <f>VLOOKUP(E3836,Valida!$A$2:$K$271,4,FALSE)</f>
        <v>P&amp;L</v>
      </c>
      <c r="W3836" s="185" t="s">
        <v>1787</v>
      </c>
      <c r="X3836" s="185" t="s">
        <v>1788</v>
      </c>
      <c r="Y3836" s="185" t="s">
        <v>1789</v>
      </c>
      <c r="Z3836"/>
    </row>
    <row r="3837" spans="1:26">
      <c r="A3837" s="185" t="s">
        <v>3810</v>
      </c>
      <c r="B3837" s="185" t="s">
        <v>3814</v>
      </c>
      <c r="C3837" s="185" t="s">
        <v>1897</v>
      </c>
      <c r="D3837" s="185" t="s">
        <v>3815</v>
      </c>
      <c r="E3837" s="185">
        <v>510536</v>
      </c>
      <c r="F3837" s="185" t="s">
        <v>783</v>
      </c>
      <c r="G3837" s="185" t="s">
        <v>2580</v>
      </c>
      <c r="H3837" s="185" t="s">
        <v>1515</v>
      </c>
      <c r="I3837" s="258" t="str">
        <f t="shared" si="178"/>
        <v>5</v>
      </c>
      <c r="J3837" s="221">
        <f t="shared" si="179"/>
        <v>866603</v>
      </c>
      <c r="K3837" s="258">
        <f t="shared" si="180"/>
        <v>11</v>
      </c>
      <c r="L3837" s="188">
        <v>866603</v>
      </c>
      <c r="M3837" s="188">
        <v>0</v>
      </c>
      <c r="N3837" s="189">
        <v>1020842223</v>
      </c>
      <c r="O3837"/>
      <c r="P3837" s="187">
        <v>45328</v>
      </c>
      <c r="Q3837" s="186">
        <v>15268</v>
      </c>
      <c r="R3837" s="185"/>
      <c r="S3837" s="185" t="s">
        <v>1532</v>
      </c>
      <c r="T3837"/>
      <c r="U3837" t="str">
        <f>IF($L3837&gt;0,VLOOKUP($E3837,Valida!$A$1:$G$270,6,FALSE),IF($M3837&gt;=0,VLOOKUP($E3837,Valida!$A$1:$G$270,7,FALSE)))</f>
        <v>(+/-) Ganancia (pérdida)</v>
      </c>
      <c r="V3837" s="190" t="str">
        <f>VLOOKUP(E3837,Valida!$A$2:$K$271,4,FALSE)</f>
        <v>P&amp;L</v>
      </c>
      <c r="W3837" s="185" t="s">
        <v>1900</v>
      </c>
      <c r="X3837" s="185"/>
      <c r="Y3837" s="185" t="s">
        <v>1789</v>
      </c>
      <c r="Z3837"/>
    </row>
    <row r="3838" spans="1:26">
      <c r="A3838" s="185" t="s">
        <v>3932</v>
      </c>
      <c r="B3838" s="185" t="s">
        <v>4219</v>
      </c>
      <c r="C3838" s="185" t="s">
        <v>1785</v>
      </c>
      <c r="D3838" s="185" t="s">
        <v>4220</v>
      </c>
      <c r="E3838" s="185">
        <v>252505</v>
      </c>
      <c r="F3838" s="185" t="s">
        <v>787</v>
      </c>
      <c r="G3838" s="185" t="s">
        <v>4206</v>
      </c>
      <c r="H3838" s="185" t="s">
        <v>1628</v>
      </c>
      <c r="I3838" s="258" t="str">
        <f t="shared" si="178"/>
        <v>2</v>
      </c>
      <c r="J3838" s="221">
        <f t="shared" si="179"/>
        <v>-1441</v>
      </c>
      <c r="K3838" s="258">
        <f t="shared" si="180"/>
        <v>12</v>
      </c>
      <c r="L3838" s="188">
        <v>0</v>
      </c>
      <c r="M3838" s="188">
        <v>1441</v>
      </c>
      <c r="N3838" s="189">
        <v>1000018061</v>
      </c>
      <c r="O3838"/>
      <c r="P3838" s="187">
        <v>45328.702615740702</v>
      </c>
      <c r="Q3838" s="186">
        <v>15269</v>
      </c>
      <c r="R3838" s="185"/>
      <c r="S3838" s="185" t="s">
        <v>1522</v>
      </c>
      <c r="T3838"/>
      <c r="U3838" t="str">
        <f>IF($L3838&gt;0,VLOOKUP($E3838,Valida!$A$1:$G$270,6,FALSE),IF($M3838&gt;=0,VLOOKUP($E3838,Valida!$A$1:$G$270,7,FALSE)))</f>
        <v>(+/-) Ajustes por el incremento (disminución) de cuentas por pagar de origen comercial</v>
      </c>
      <c r="V3838" s="190" t="str">
        <f>VLOOKUP(E3838,Valida!$A$2:$K$271,4,FALSE)</f>
        <v>Trade and other payables</v>
      </c>
      <c r="W3838" s="185" t="s">
        <v>1978</v>
      </c>
      <c r="X3838" s="185"/>
      <c r="Y3838" s="185" t="s">
        <v>1789</v>
      </c>
      <c r="Z3838"/>
    </row>
    <row r="3839" spans="1:26">
      <c r="A3839" s="185" t="s">
        <v>3932</v>
      </c>
      <c r="B3839" s="185" t="s">
        <v>4219</v>
      </c>
      <c r="C3839" s="185" t="s">
        <v>1785</v>
      </c>
      <c r="D3839" s="185" t="s">
        <v>4220</v>
      </c>
      <c r="E3839" s="185">
        <v>252505</v>
      </c>
      <c r="F3839" s="185" t="s">
        <v>787</v>
      </c>
      <c r="G3839" s="185" t="s">
        <v>4206</v>
      </c>
      <c r="H3839" s="185" t="s">
        <v>1628</v>
      </c>
      <c r="I3839" s="258" t="str">
        <f t="shared" si="178"/>
        <v>2</v>
      </c>
      <c r="J3839" s="221">
        <f t="shared" si="179"/>
        <v>-225333</v>
      </c>
      <c r="K3839" s="258">
        <f t="shared" si="180"/>
        <v>12</v>
      </c>
      <c r="L3839" s="188">
        <v>0</v>
      </c>
      <c r="M3839" s="188">
        <v>225333</v>
      </c>
      <c r="N3839" s="189">
        <v>1000036375</v>
      </c>
      <c r="O3839"/>
      <c r="P3839" s="187">
        <v>45328.702615740702</v>
      </c>
      <c r="Q3839" s="186">
        <v>15270</v>
      </c>
      <c r="R3839" s="185"/>
      <c r="S3839" s="185" t="s">
        <v>1524</v>
      </c>
      <c r="T3839"/>
      <c r="U3839" t="str">
        <f>IF($L3839&gt;0,VLOOKUP($E3839,Valida!$A$1:$G$270,6,FALSE),IF($M3839&gt;=0,VLOOKUP($E3839,Valida!$A$1:$G$270,7,FALSE)))</f>
        <v>(+/-) Ajustes por el incremento (disminución) de cuentas por pagar de origen comercial</v>
      </c>
      <c r="V3839" s="190" t="str">
        <f>VLOOKUP(E3839,Valida!$A$2:$K$271,4,FALSE)</f>
        <v>Trade and other payables</v>
      </c>
      <c r="W3839" s="185" t="s">
        <v>1983</v>
      </c>
      <c r="X3839" s="185"/>
      <c r="Y3839" s="185" t="s">
        <v>1789</v>
      </c>
      <c r="Z3839"/>
    </row>
    <row r="3840" spans="1:26">
      <c r="A3840" s="185" t="s">
        <v>3932</v>
      </c>
      <c r="B3840" s="185" t="s">
        <v>4219</v>
      </c>
      <c r="C3840" s="185" t="s">
        <v>1785</v>
      </c>
      <c r="D3840" s="185" t="s">
        <v>4220</v>
      </c>
      <c r="E3840" s="185">
        <v>510539</v>
      </c>
      <c r="F3840" s="185" t="s">
        <v>818</v>
      </c>
      <c r="G3840" s="185" t="s">
        <v>4206</v>
      </c>
      <c r="H3840" s="185" t="s">
        <v>1515</v>
      </c>
      <c r="I3840" s="258" t="str">
        <f t="shared" si="178"/>
        <v>5</v>
      </c>
      <c r="J3840" s="221">
        <f t="shared" si="179"/>
        <v>225333</v>
      </c>
      <c r="K3840" s="258">
        <f t="shared" si="180"/>
        <v>12</v>
      </c>
      <c r="L3840" s="188">
        <v>225333</v>
      </c>
      <c r="M3840" s="188">
        <v>0</v>
      </c>
      <c r="N3840" s="189">
        <v>1000036375</v>
      </c>
      <c r="O3840"/>
      <c r="P3840" s="187">
        <v>45328.702615740702</v>
      </c>
      <c r="Q3840" s="186">
        <v>15271</v>
      </c>
      <c r="R3840" s="185"/>
      <c r="S3840" s="185" t="s">
        <v>1524</v>
      </c>
      <c r="T3840"/>
      <c r="U3840" t="str">
        <f>IF($L3840&gt;0,VLOOKUP($E3840,Valida!$A$1:$G$270,6,FALSE),IF($M3840&gt;=0,VLOOKUP($E3840,Valida!$A$1:$G$270,7,FALSE)))</f>
        <v>(+/-) Ganancia (pérdida)</v>
      </c>
      <c r="V3840" s="190" t="str">
        <f>VLOOKUP(E3840,Valida!$A$2:$K$271,4,FALSE)</f>
        <v>P&amp;L</v>
      </c>
      <c r="W3840" s="185" t="s">
        <v>1983</v>
      </c>
      <c r="X3840" s="185"/>
      <c r="Y3840" s="185" t="s">
        <v>1789</v>
      </c>
      <c r="Z3840"/>
    </row>
    <row r="3841" spans="1:26">
      <c r="A3841" s="185" t="s">
        <v>3932</v>
      </c>
      <c r="B3841" s="185" t="s">
        <v>4219</v>
      </c>
      <c r="C3841" s="185" t="s">
        <v>1785</v>
      </c>
      <c r="D3841" s="185" t="s">
        <v>4220</v>
      </c>
      <c r="E3841" s="185">
        <v>252505</v>
      </c>
      <c r="F3841" s="185" t="s">
        <v>787</v>
      </c>
      <c r="G3841" s="185" t="s">
        <v>4206</v>
      </c>
      <c r="H3841" s="185" t="s">
        <v>1515</v>
      </c>
      <c r="I3841" s="258" t="str">
        <f t="shared" si="178"/>
        <v>2</v>
      </c>
      <c r="J3841" s="221">
        <f t="shared" si="179"/>
        <v>260</v>
      </c>
      <c r="K3841" s="258">
        <f t="shared" si="180"/>
        <v>12</v>
      </c>
      <c r="L3841" s="188">
        <v>260</v>
      </c>
      <c r="M3841" s="188">
        <v>0</v>
      </c>
      <c r="N3841" s="189">
        <v>1000831564</v>
      </c>
      <c r="O3841"/>
      <c r="P3841" s="187">
        <v>45328.702615740702</v>
      </c>
      <c r="Q3841" s="186">
        <v>15272</v>
      </c>
      <c r="R3841" s="185"/>
      <c r="S3841" s="185" t="s">
        <v>1694</v>
      </c>
      <c r="T3841"/>
      <c r="U3841" t="str">
        <f>IF($L3841&gt;0,VLOOKUP($E3841,Valida!$A$1:$G$270,6,FALSE),IF($M3841&gt;=0,VLOOKUP($E3841,Valida!$A$1:$G$270,7,FALSE)))</f>
        <v>(+/-) Ajustes por el incremento (disminución) de cuentas por pagar de origen comercial</v>
      </c>
      <c r="V3841" s="190" t="str">
        <f>VLOOKUP(E3841,Valida!$A$2:$K$271,4,FALSE)</f>
        <v>Trade and other payables</v>
      </c>
      <c r="W3841" s="185"/>
      <c r="X3841" s="185"/>
      <c r="Y3841" s="185"/>
      <c r="Z3841"/>
    </row>
    <row r="3842" spans="1:26">
      <c r="A3842" s="185" t="s">
        <v>3932</v>
      </c>
      <c r="B3842" s="185" t="s">
        <v>4219</v>
      </c>
      <c r="C3842" s="185" t="s">
        <v>1785</v>
      </c>
      <c r="D3842" s="185" t="s">
        <v>4220</v>
      </c>
      <c r="E3842" s="185">
        <v>252505</v>
      </c>
      <c r="F3842" s="185" t="s">
        <v>787</v>
      </c>
      <c r="G3842" s="185" t="s">
        <v>4206</v>
      </c>
      <c r="H3842" s="185" t="s">
        <v>1628</v>
      </c>
      <c r="I3842" s="258" t="str">
        <f t="shared" si="178"/>
        <v>2</v>
      </c>
      <c r="J3842" s="221">
        <f t="shared" si="179"/>
        <v>-10104</v>
      </c>
      <c r="K3842" s="258">
        <f t="shared" si="180"/>
        <v>12</v>
      </c>
      <c r="L3842" s="188">
        <v>0</v>
      </c>
      <c r="M3842" s="188">
        <v>10104</v>
      </c>
      <c r="N3842" s="189">
        <v>1001284057</v>
      </c>
      <c r="O3842"/>
      <c r="P3842" s="187">
        <v>45328.702615740702</v>
      </c>
      <c r="Q3842" s="186">
        <v>15273</v>
      </c>
      <c r="R3842" s="185"/>
      <c r="S3842" s="185" t="s">
        <v>1526</v>
      </c>
      <c r="T3842"/>
      <c r="U3842" t="str">
        <f>IF($L3842&gt;0,VLOOKUP($E3842,Valida!$A$1:$G$270,6,FALSE),IF($M3842&gt;=0,VLOOKUP($E3842,Valida!$A$1:$G$270,7,FALSE)))</f>
        <v>(+/-) Ajustes por el incremento (disminución) de cuentas por pagar de origen comercial</v>
      </c>
      <c r="V3842" s="190" t="str">
        <f>VLOOKUP(E3842,Valida!$A$2:$K$271,4,FALSE)</f>
        <v>Trade and other payables</v>
      </c>
      <c r="W3842" s="185" t="s">
        <v>3454</v>
      </c>
      <c r="X3842" s="185" t="s">
        <v>3455</v>
      </c>
      <c r="Y3842" s="185" t="s">
        <v>1789</v>
      </c>
      <c r="Z3842"/>
    </row>
    <row r="3843" spans="1:26">
      <c r="A3843" s="185" t="s">
        <v>3932</v>
      </c>
      <c r="B3843" s="185" t="s">
        <v>4219</v>
      </c>
      <c r="C3843" s="185" t="s">
        <v>1785</v>
      </c>
      <c r="D3843" s="185" t="s">
        <v>4220</v>
      </c>
      <c r="E3843" s="185">
        <v>252505</v>
      </c>
      <c r="F3843" s="185" t="s">
        <v>787</v>
      </c>
      <c r="G3843" s="185" t="s">
        <v>4206</v>
      </c>
      <c r="H3843" s="185" t="s">
        <v>1515</v>
      </c>
      <c r="I3843" s="258" t="str">
        <f t="shared" ref="I3843:I3870" si="181">LEFT(E3843,1)</f>
        <v>2</v>
      </c>
      <c r="J3843" s="221">
        <f t="shared" ref="J3843:J3870" si="182">L3843-M3843</f>
        <v>1795</v>
      </c>
      <c r="K3843" s="258">
        <f t="shared" ref="K3843:K3870" si="183">MONTH(A3843)</f>
        <v>12</v>
      </c>
      <c r="L3843" s="188">
        <v>1795</v>
      </c>
      <c r="M3843" s="188">
        <v>0</v>
      </c>
      <c r="N3843" s="189">
        <v>1003641910</v>
      </c>
      <c r="O3843"/>
      <c r="P3843" s="187">
        <v>45328.702615740702</v>
      </c>
      <c r="Q3843" s="186">
        <v>15274</v>
      </c>
      <c r="R3843" s="185"/>
      <c r="S3843" s="185" t="s">
        <v>1696</v>
      </c>
      <c r="T3843"/>
      <c r="U3843" t="str">
        <f>IF($L3843&gt;0,VLOOKUP($E3843,Valida!$A$1:$G$270,6,FALSE),IF($M3843&gt;=0,VLOOKUP($E3843,Valida!$A$1:$G$270,7,FALSE)))</f>
        <v>(+/-) Ajustes por el incremento (disminución) de cuentas por pagar de origen comercial</v>
      </c>
      <c r="V3843" s="190" t="str">
        <f>VLOOKUP(E3843,Valida!$A$2:$K$271,4,FALSE)</f>
        <v>Trade and other payables</v>
      </c>
      <c r="W3843" s="185" t="s">
        <v>4213</v>
      </c>
      <c r="X3843" s="185"/>
      <c r="Y3843" s="185"/>
      <c r="Z3843"/>
    </row>
    <row r="3844" spans="1:26">
      <c r="A3844" s="185" t="s">
        <v>3932</v>
      </c>
      <c r="B3844" s="185" t="s">
        <v>4219</v>
      </c>
      <c r="C3844" s="185" t="s">
        <v>1785</v>
      </c>
      <c r="D3844" s="185" t="s">
        <v>4220</v>
      </c>
      <c r="E3844" s="185">
        <v>252505</v>
      </c>
      <c r="F3844" s="185" t="s">
        <v>787</v>
      </c>
      <c r="G3844" s="185" t="s">
        <v>4206</v>
      </c>
      <c r="H3844" s="185" t="s">
        <v>1628</v>
      </c>
      <c r="I3844" s="258" t="str">
        <f t="shared" si="181"/>
        <v>2</v>
      </c>
      <c r="J3844" s="221">
        <f t="shared" si="182"/>
        <v>-293233</v>
      </c>
      <c r="K3844" s="258">
        <f t="shared" si="183"/>
        <v>12</v>
      </c>
      <c r="L3844" s="188">
        <v>0</v>
      </c>
      <c r="M3844" s="188">
        <v>293233</v>
      </c>
      <c r="N3844" s="189">
        <v>1010101811</v>
      </c>
      <c r="O3844"/>
      <c r="P3844" s="187">
        <v>45328.702615740702</v>
      </c>
      <c r="Q3844" s="186">
        <v>15275</v>
      </c>
      <c r="R3844" s="185"/>
      <c r="S3844" s="185" t="s">
        <v>1528</v>
      </c>
      <c r="T3844"/>
      <c r="U3844" t="str">
        <f>IF($L3844&gt;0,VLOOKUP($E3844,Valida!$A$1:$G$270,6,FALSE),IF($M3844&gt;=0,VLOOKUP($E3844,Valida!$A$1:$G$270,7,FALSE)))</f>
        <v>(+/-) Ajustes por el incremento (disminución) de cuentas por pagar de origen comercial</v>
      </c>
      <c r="V3844" s="190" t="str">
        <f>VLOOKUP(E3844,Valida!$A$2:$K$271,4,FALSE)</f>
        <v>Trade and other payables</v>
      </c>
      <c r="W3844" s="185" t="s">
        <v>1967</v>
      </c>
      <c r="X3844" s="185"/>
      <c r="Y3844" s="185" t="s">
        <v>1789</v>
      </c>
      <c r="Z3844"/>
    </row>
    <row r="3845" spans="1:26">
      <c r="A3845" s="185" t="s">
        <v>3932</v>
      </c>
      <c r="B3845" s="185" t="s">
        <v>4219</v>
      </c>
      <c r="C3845" s="185" t="s">
        <v>1785</v>
      </c>
      <c r="D3845" s="185" t="s">
        <v>4220</v>
      </c>
      <c r="E3845" s="185">
        <v>510539</v>
      </c>
      <c r="F3845" s="185" t="s">
        <v>818</v>
      </c>
      <c r="G3845" s="185" t="s">
        <v>4206</v>
      </c>
      <c r="H3845" s="185" t="s">
        <v>1515</v>
      </c>
      <c r="I3845" s="258" t="str">
        <f t="shared" si="181"/>
        <v>5</v>
      </c>
      <c r="J3845" s="221">
        <f t="shared" si="182"/>
        <v>293233</v>
      </c>
      <c r="K3845" s="258">
        <f t="shared" si="183"/>
        <v>12</v>
      </c>
      <c r="L3845" s="188">
        <v>293233</v>
      </c>
      <c r="M3845" s="188">
        <v>0</v>
      </c>
      <c r="N3845" s="189">
        <v>1010101811</v>
      </c>
      <c r="O3845"/>
      <c r="P3845" s="187">
        <v>45328.702615740702</v>
      </c>
      <c r="Q3845" s="186">
        <v>15276</v>
      </c>
      <c r="R3845" s="185"/>
      <c r="S3845" s="185" t="s">
        <v>1528</v>
      </c>
      <c r="T3845"/>
      <c r="U3845" t="str">
        <f>IF($L3845&gt;0,VLOOKUP($E3845,Valida!$A$1:$G$270,6,FALSE),IF($M3845&gt;=0,VLOOKUP($E3845,Valida!$A$1:$G$270,7,FALSE)))</f>
        <v>(+/-) Ganancia (pérdida)</v>
      </c>
      <c r="V3845" s="190" t="str">
        <f>VLOOKUP(E3845,Valida!$A$2:$K$271,4,FALSE)</f>
        <v>P&amp;L</v>
      </c>
      <c r="W3845" s="185" t="s">
        <v>1967</v>
      </c>
      <c r="X3845" s="185"/>
      <c r="Y3845" s="185" t="s">
        <v>1789</v>
      </c>
      <c r="Z3845"/>
    </row>
    <row r="3846" spans="1:26">
      <c r="A3846" s="185" t="s">
        <v>3932</v>
      </c>
      <c r="B3846" s="185" t="s">
        <v>4219</v>
      </c>
      <c r="C3846" s="185" t="s">
        <v>1785</v>
      </c>
      <c r="D3846" s="185" t="s">
        <v>4220</v>
      </c>
      <c r="E3846" s="185">
        <v>252505</v>
      </c>
      <c r="F3846" s="185" t="s">
        <v>787</v>
      </c>
      <c r="G3846" s="185" t="s">
        <v>4206</v>
      </c>
      <c r="H3846" s="185" t="s">
        <v>1515</v>
      </c>
      <c r="I3846" s="258" t="str">
        <f t="shared" si="181"/>
        <v>2</v>
      </c>
      <c r="J3846" s="221">
        <f t="shared" si="182"/>
        <v>408</v>
      </c>
      <c r="K3846" s="258">
        <f t="shared" si="183"/>
        <v>12</v>
      </c>
      <c r="L3846" s="188">
        <v>408</v>
      </c>
      <c r="M3846" s="188">
        <v>0</v>
      </c>
      <c r="N3846" s="189">
        <v>1019112819</v>
      </c>
      <c r="O3846"/>
      <c r="P3846" s="187">
        <v>45328.702615740702</v>
      </c>
      <c r="Q3846" s="186">
        <v>15277</v>
      </c>
      <c r="R3846" s="185"/>
      <c r="S3846" s="185" t="s">
        <v>1698</v>
      </c>
      <c r="T3846"/>
      <c r="U3846" t="str">
        <f>IF($L3846&gt;0,VLOOKUP($E3846,Valida!$A$1:$G$270,6,FALSE),IF($M3846&gt;=0,VLOOKUP($E3846,Valida!$A$1:$G$270,7,FALSE)))</f>
        <v>(+/-) Ajustes por el incremento (disminución) de cuentas por pagar de origen comercial</v>
      </c>
      <c r="V3846" s="190" t="str">
        <f>VLOOKUP(E3846,Valida!$A$2:$K$271,4,FALSE)</f>
        <v>Trade and other payables</v>
      </c>
      <c r="W3846" s="185" t="s">
        <v>4211</v>
      </c>
      <c r="X3846" s="185"/>
      <c r="Y3846" s="185"/>
      <c r="Z3846"/>
    </row>
    <row r="3847" spans="1:26">
      <c r="A3847" s="185" t="s">
        <v>3932</v>
      </c>
      <c r="B3847" s="185" t="s">
        <v>4219</v>
      </c>
      <c r="C3847" s="185" t="s">
        <v>1785</v>
      </c>
      <c r="D3847" s="185" t="s">
        <v>4220</v>
      </c>
      <c r="E3847" s="185">
        <v>252505</v>
      </c>
      <c r="F3847" s="185" t="s">
        <v>787</v>
      </c>
      <c r="G3847" s="185" t="s">
        <v>4206</v>
      </c>
      <c r="H3847" s="185" t="s">
        <v>1628</v>
      </c>
      <c r="I3847" s="258" t="str">
        <f t="shared" si="181"/>
        <v>2</v>
      </c>
      <c r="J3847" s="221">
        <f t="shared" si="182"/>
        <v>-109929</v>
      </c>
      <c r="K3847" s="258">
        <f t="shared" si="183"/>
        <v>12</v>
      </c>
      <c r="L3847" s="188">
        <v>0</v>
      </c>
      <c r="M3847" s="188">
        <v>109929</v>
      </c>
      <c r="N3847" s="189">
        <v>1020842223</v>
      </c>
      <c r="O3847"/>
      <c r="P3847" s="187">
        <v>45328.702615740702</v>
      </c>
      <c r="Q3847" s="186">
        <v>15278</v>
      </c>
      <c r="R3847" s="185"/>
      <c r="S3847" s="185" t="s">
        <v>1532</v>
      </c>
      <c r="T3847"/>
      <c r="U3847" t="str">
        <f>IF($L3847&gt;0,VLOOKUP($E3847,Valida!$A$1:$G$270,6,FALSE),IF($M3847&gt;=0,VLOOKUP($E3847,Valida!$A$1:$G$270,7,FALSE)))</f>
        <v>(+/-) Ajustes por el incremento (disminución) de cuentas por pagar de origen comercial</v>
      </c>
      <c r="V3847" s="190" t="str">
        <f>VLOOKUP(E3847,Valida!$A$2:$K$271,4,FALSE)</f>
        <v>Trade and other payables</v>
      </c>
      <c r="W3847" s="185" t="s">
        <v>1900</v>
      </c>
      <c r="X3847" s="185"/>
      <c r="Y3847" s="185" t="s">
        <v>1789</v>
      </c>
      <c r="Z3847"/>
    </row>
    <row r="3848" spans="1:26">
      <c r="A3848" s="185" t="s">
        <v>3932</v>
      </c>
      <c r="B3848" s="185" t="s">
        <v>4219</v>
      </c>
      <c r="C3848" s="185" t="s">
        <v>1785</v>
      </c>
      <c r="D3848" s="185" t="s">
        <v>4220</v>
      </c>
      <c r="E3848" s="185">
        <v>510539</v>
      </c>
      <c r="F3848" s="185" t="s">
        <v>818</v>
      </c>
      <c r="G3848" s="185" t="s">
        <v>4206</v>
      </c>
      <c r="H3848" s="185" t="s">
        <v>1515</v>
      </c>
      <c r="I3848" s="258" t="str">
        <f t="shared" si="181"/>
        <v>5</v>
      </c>
      <c r="J3848" s="221">
        <f t="shared" si="182"/>
        <v>109929</v>
      </c>
      <c r="K3848" s="258">
        <f t="shared" si="183"/>
        <v>12</v>
      </c>
      <c r="L3848" s="188">
        <v>109929</v>
      </c>
      <c r="M3848" s="188">
        <v>0</v>
      </c>
      <c r="N3848" s="189">
        <v>1020842223</v>
      </c>
      <c r="O3848"/>
      <c r="P3848" s="187">
        <v>45328.702615740702</v>
      </c>
      <c r="Q3848" s="186">
        <v>15279</v>
      </c>
      <c r="R3848" s="185"/>
      <c r="S3848" s="185" t="s">
        <v>1532</v>
      </c>
      <c r="T3848"/>
      <c r="U3848" t="str">
        <f>IF($L3848&gt;0,VLOOKUP($E3848,Valida!$A$1:$G$270,6,FALSE),IF($M3848&gt;=0,VLOOKUP($E3848,Valida!$A$1:$G$270,7,FALSE)))</f>
        <v>(+/-) Ganancia (pérdida)</v>
      </c>
      <c r="V3848" s="190" t="str">
        <f>VLOOKUP(E3848,Valida!$A$2:$K$271,4,FALSE)</f>
        <v>P&amp;L</v>
      </c>
      <c r="W3848" s="185" t="s">
        <v>1900</v>
      </c>
      <c r="X3848" s="185"/>
      <c r="Y3848" s="185" t="s">
        <v>1789</v>
      </c>
      <c r="Z3848"/>
    </row>
    <row r="3849" spans="1:26">
      <c r="A3849" s="185" t="s">
        <v>3932</v>
      </c>
      <c r="B3849" s="185" t="s">
        <v>4219</v>
      </c>
      <c r="C3849" s="185" t="s">
        <v>1785</v>
      </c>
      <c r="D3849" s="185" t="s">
        <v>4220</v>
      </c>
      <c r="E3849" s="185">
        <v>252505</v>
      </c>
      <c r="F3849" s="185" t="s">
        <v>787</v>
      </c>
      <c r="G3849" s="185" t="s">
        <v>4206</v>
      </c>
      <c r="H3849" s="185" t="s">
        <v>1515</v>
      </c>
      <c r="I3849" s="258" t="str">
        <f t="shared" si="181"/>
        <v>2</v>
      </c>
      <c r="J3849" s="221">
        <f t="shared" si="182"/>
        <v>4027</v>
      </c>
      <c r="K3849" s="258">
        <f t="shared" si="183"/>
        <v>12</v>
      </c>
      <c r="L3849" s="188">
        <v>4027</v>
      </c>
      <c r="M3849" s="188">
        <v>0</v>
      </c>
      <c r="N3849" s="189">
        <v>1022391019</v>
      </c>
      <c r="O3849"/>
      <c r="P3849" s="187">
        <v>45328.7026273148</v>
      </c>
      <c r="Q3849" s="186">
        <v>15280</v>
      </c>
      <c r="R3849" s="185"/>
      <c r="S3849" s="185" t="s">
        <v>1700</v>
      </c>
      <c r="T3849"/>
      <c r="U3849" t="str">
        <f>IF($L3849&gt;0,VLOOKUP($E3849,Valida!$A$1:$G$270,6,FALSE),IF($M3849&gt;=0,VLOOKUP($E3849,Valida!$A$1:$G$270,7,FALSE)))</f>
        <v>(+/-) Ajustes por el incremento (disminución) de cuentas por pagar de origen comercial</v>
      </c>
      <c r="V3849" s="190" t="str">
        <f>VLOOKUP(E3849,Valida!$A$2:$K$271,4,FALSE)</f>
        <v>Trade and other payables</v>
      </c>
      <c r="W3849" s="185"/>
      <c r="X3849" s="185"/>
      <c r="Y3849" s="185"/>
      <c r="Z3849"/>
    </row>
    <row r="3850" spans="1:26">
      <c r="A3850" s="185" t="s">
        <v>3932</v>
      </c>
      <c r="B3850" s="185" t="s">
        <v>4219</v>
      </c>
      <c r="C3850" s="185" t="s">
        <v>1785</v>
      </c>
      <c r="D3850" s="185" t="s">
        <v>4220</v>
      </c>
      <c r="E3850" s="185">
        <v>252505</v>
      </c>
      <c r="F3850" s="185" t="s">
        <v>787</v>
      </c>
      <c r="G3850" s="185" t="s">
        <v>4206</v>
      </c>
      <c r="H3850" s="185" t="s">
        <v>1515</v>
      </c>
      <c r="I3850" s="258" t="str">
        <f t="shared" si="181"/>
        <v>2</v>
      </c>
      <c r="J3850" s="221">
        <f t="shared" si="182"/>
        <v>6402</v>
      </c>
      <c r="K3850" s="258">
        <f t="shared" si="183"/>
        <v>12</v>
      </c>
      <c r="L3850" s="188">
        <v>6402</v>
      </c>
      <c r="M3850" s="188">
        <v>0</v>
      </c>
      <c r="N3850" s="189">
        <v>1022399199</v>
      </c>
      <c r="O3850"/>
      <c r="P3850" s="187">
        <v>45328.7026273148</v>
      </c>
      <c r="Q3850" s="186">
        <v>15281</v>
      </c>
      <c r="R3850" s="185"/>
      <c r="S3850" s="185" t="s">
        <v>1702</v>
      </c>
      <c r="T3850"/>
      <c r="U3850" t="str">
        <f>IF($L3850&gt;0,VLOOKUP($E3850,Valida!$A$1:$G$270,6,FALSE),IF($M3850&gt;=0,VLOOKUP($E3850,Valida!$A$1:$G$270,7,FALSE)))</f>
        <v>(+/-) Ajustes por el incremento (disminución) de cuentas por pagar de origen comercial</v>
      </c>
      <c r="V3850" s="190" t="str">
        <f>VLOOKUP(E3850,Valida!$A$2:$K$271,4,FALSE)</f>
        <v>Trade and other payables</v>
      </c>
      <c r="W3850" s="185"/>
      <c r="X3850" s="185"/>
      <c r="Y3850" s="185"/>
      <c r="Z3850"/>
    </row>
    <row r="3851" spans="1:26">
      <c r="A3851" s="185" t="s">
        <v>3932</v>
      </c>
      <c r="B3851" s="185" t="s">
        <v>4219</v>
      </c>
      <c r="C3851" s="185" t="s">
        <v>1785</v>
      </c>
      <c r="D3851" s="185" t="s">
        <v>4220</v>
      </c>
      <c r="E3851" s="185">
        <v>252505</v>
      </c>
      <c r="F3851" s="185" t="s">
        <v>787</v>
      </c>
      <c r="G3851" s="185" t="s">
        <v>4206</v>
      </c>
      <c r="H3851" s="185" t="s">
        <v>1515</v>
      </c>
      <c r="I3851" s="258" t="str">
        <f t="shared" si="181"/>
        <v>2</v>
      </c>
      <c r="J3851" s="221">
        <f t="shared" si="182"/>
        <v>19013</v>
      </c>
      <c r="K3851" s="258">
        <f t="shared" si="183"/>
        <v>12</v>
      </c>
      <c r="L3851" s="188">
        <v>19013</v>
      </c>
      <c r="M3851" s="188">
        <v>0</v>
      </c>
      <c r="N3851" s="189">
        <v>1023976635</v>
      </c>
      <c r="O3851"/>
      <c r="P3851" s="187">
        <v>45328.7026273148</v>
      </c>
      <c r="Q3851" s="186">
        <v>15282</v>
      </c>
      <c r="R3851" s="185"/>
      <c r="S3851" s="185" t="s">
        <v>1534</v>
      </c>
      <c r="T3851"/>
      <c r="U3851" t="str">
        <f>IF($L3851&gt;0,VLOOKUP($E3851,Valida!$A$1:$G$270,6,FALSE),IF($M3851&gt;=0,VLOOKUP($E3851,Valida!$A$1:$G$270,7,FALSE)))</f>
        <v>(+/-) Ajustes por el incremento (disminución) de cuentas por pagar de origen comercial</v>
      </c>
      <c r="V3851" s="190" t="str">
        <f>VLOOKUP(E3851,Valida!$A$2:$K$271,4,FALSE)</f>
        <v>Trade and other payables</v>
      </c>
      <c r="W3851" s="185" t="s">
        <v>1971</v>
      </c>
      <c r="X3851" s="185"/>
      <c r="Y3851" s="185" t="s">
        <v>1972</v>
      </c>
      <c r="Z3851"/>
    </row>
    <row r="3852" spans="1:26">
      <c r="A3852" s="185" t="s">
        <v>3932</v>
      </c>
      <c r="B3852" s="185" t="s">
        <v>4219</v>
      </c>
      <c r="C3852" s="185" t="s">
        <v>1785</v>
      </c>
      <c r="D3852" s="185" t="s">
        <v>4220</v>
      </c>
      <c r="E3852" s="185">
        <v>252505</v>
      </c>
      <c r="F3852" s="185" t="s">
        <v>787</v>
      </c>
      <c r="G3852" s="185" t="s">
        <v>4206</v>
      </c>
      <c r="H3852" s="185" t="s">
        <v>1628</v>
      </c>
      <c r="I3852" s="258" t="str">
        <f t="shared" si="181"/>
        <v>2</v>
      </c>
      <c r="J3852" s="221">
        <f t="shared" si="182"/>
        <v>-3833</v>
      </c>
      <c r="K3852" s="258">
        <f t="shared" si="183"/>
        <v>12</v>
      </c>
      <c r="L3852" s="188">
        <v>0</v>
      </c>
      <c r="M3852" s="188">
        <v>3833</v>
      </c>
      <c r="N3852" s="189">
        <v>1030645216</v>
      </c>
      <c r="O3852"/>
      <c r="P3852" s="187">
        <v>45328.7026273148</v>
      </c>
      <c r="Q3852" s="186">
        <v>15283</v>
      </c>
      <c r="R3852" s="185"/>
      <c r="S3852" s="185" t="s">
        <v>1704</v>
      </c>
      <c r="T3852"/>
      <c r="U3852" t="str">
        <f>IF($L3852&gt;0,VLOOKUP($E3852,Valida!$A$1:$G$270,6,FALSE),IF($M3852&gt;=0,VLOOKUP($E3852,Valida!$A$1:$G$270,7,FALSE)))</f>
        <v>(+/-) Ajustes por el incremento (disminución) de cuentas por pagar de origen comercial</v>
      </c>
      <c r="V3852" s="190" t="str">
        <f>VLOOKUP(E3852,Valida!$A$2:$K$271,4,FALSE)</f>
        <v>Trade and other payables</v>
      </c>
      <c r="W3852" s="185" t="s">
        <v>4212</v>
      </c>
      <c r="X3852" s="185"/>
      <c r="Y3852" s="185" t="s">
        <v>1789</v>
      </c>
      <c r="Z3852"/>
    </row>
    <row r="3853" spans="1:26">
      <c r="A3853" s="185" t="s">
        <v>3932</v>
      </c>
      <c r="B3853" s="185" t="s">
        <v>4219</v>
      </c>
      <c r="C3853" s="185" t="s">
        <v>1785</v>
      </c>
      <c r="D3853" s="185" t="s">
        <v>4220</v>
      </c>
      <c r="E3853" s="185">
        <v>252505</v>
      </c>
      <c r="F3853" s="185" t="s">
        <v>787</v>
      </c>
      <c r="G3853" s="185" t="s">
        <v>4206</v>
      </c>
      <c r="H3853" s="185" t="s">
        <v>1515</v>
      </c>
      <c r="I3853" s="258" t="str">
        <f t="shared" si="181"/>
        <v>2</v>
      </c>
      <c r="J3853" s="221">
        <f t="shared" si="182"/>
        <v>504</v>
      </c>
      <c r="K3853" s="258">
        <f t="shared" si="183"/>
        <v>12</v>
      </c>
      <c r="L3853" s="188">
        <v>504</v>
      </c>
      <c r="M3853" s="188">
        <v>0</v>
      </c>
      <c r="N3853" s="189">
        <v>1030672608</v>
      </c>
      <c r="O3853"/>
      <c r="P3853" s="187">
        <v>45328.7026273148</v>
      </c>
      <c r="Q3853" s="186">
        <v>15284</v>
      </c>
      <c r="R3853" s="185"/>
      <c r="S3853" s="185" t="s">
        <v>1706</v>
      </c>
      <c r="T3853"/>
      <c r="U3853" t="str">
        <f>IF($L3853&gt;0,VLOOKUP($E3853,Valida!$A$1:$G$270,6,FALSE),IF($M3853&gt;=0,VLOOKUP($E3853,Valida!$A$1:$G$270,7,FALSE)))</f>
        <v>(+/-) Ajustes por el incremento (disminución) de cuentas por pagar de origen comercial</v>
      </c>
      <c r="V3853" s="190" t="str">
        <f>VLOOKUP(E3853,Valida!$A$2:$K$271,4,FALSE)</f>
        <v>Trade and other payables</v>
      </c>
      <c r="W3853" s="185" t="s">
        <v>4216</v>
      </c>
      <c r="X3853" s="185"/>
      <c r="Y3853" s="185" t="s">
        <v>1789</v>
      </c>
      <c r="Z3853"/>
    </row>
    <row r="3854" spans="1:26">
      <c r="A3854" s="185" t="s">
        <v>3932</v>
      </c>
      <c r="B3854" s="185" t="s">
        <v>4219</v>
      </c>
      <c r="C3854" s="185" t="s">
        <v>1785</v>
      </c>
      <c r="D3854" s="185" t="s">
        <v>4220</v>
      </c>
      <c r="E3854" s="185">
        <v>252505</v>
      </c>
      <c r="F3854" s="185" t="s">
        <v>787</v>
      </c>
      <c r="G3854" s="185" t="s">
        <v>4206</v>
      </c>
      <c r="H3854" s="185" t="s">
        <v>1628</v>
      </c>
      <c r="I3854" s="258" t="str">
        <f t="shared" si="181"/>
        <v>2</v>
      </c>
      <c r="J3854" s="221">
        <f t="shared" si="182"/>
        <v>-32897</v>
      </c>
      <c r="K3854" s="258">
        <f t="shared" si="183"/>
        <v>12</v>
      </c>
      <c r="L3854" s="188">
        <v>0</v>
      </c>
      <c r="M3854" s="188">
        <v>32897</v>
      </c>
      <c r="N3854" s="189">
        <v>1130744136</v>
      </c>
      <c r="O3854"/>
      <c r="P3854" s="187">
        <v>45328.7026273148</v>
      </c>
      <c r="Q3854" s="186">
        <v>15285</v>
      </c>
      <c r="R3854" s="185"/>
      <c r="S3854" s="185" t="s">
        <v>1538</v>
      </c>
      <c r="T3854"/>
      <c r="U3854" t="str">
        <f>IF($L3854&gt;0,VLOOKUP($E3854,Valida!$A$1:$G$270,6,FALSE),IF($M3854&gt;=0,VLOOKUP($E3854,Valida!$A$1:$G$270,7,FALSE)))</f>
        <v>(+/-) Ajustes por el incremento (disminución) de cuentas por pagar de origen comercial</v>
      </c>
      <c r="V3854" s="190" t="str">
        <f>VLOOKUP(E3854,Valida!$A$2:$K$271,4,FALSE)</f>
        <v>Trade and other payables</v>
      </c>
      <c r="W3854" s="185" t="s">
        <v>1909</v>
      </c>
      <c r="X3854" s="185" t="s">
        <v>1910</v>
      </c>
      <c r="Y3854" s="185" t="s">
        <v>1789</v>
      </c>
      <c r="Z3854"/>
    </row>
    <row r="3855" spans="1:26">
      <c r="A3855" s="185" t="s">
        <v>3932</v>
      </c>
      <c r="B3855" s="185" t="s">
        <v>4219</v>
      </c>
      <c r="C3855" s="185" t="s">
        <v>1785</v>
      </c>
      <c r="D3855" s="185" t="s">
        <v>4220</v>
      </c>
      <c r="E3855" s="185">
        <v>252505</v>
      </c>
      <c r="F3855" s="185" t="s">
        <v>787</v>
      </c>
      <c r="G3855" s="185" t="s">
        <v>4206</v>
      </c>
      <c r="H3855" s="185" t="s">
        <v>1515</v>
      </c>
      <c r="I3855" s="258" t="str">
        <f t="shared" si="181"/>
        <v>2</v>
      </c>
      <c r="J3855" s="221">
        <f t="shared" si="182"/>
        <v>177330</v>
      </c>
      <c r="K3855" s="258">
        <f t="shared" si="183"/>
        <v>12</v>
      </c>
      <c r="L3855" s="188">
        <v>177330</v>
      </c>
      <c r="M3855" s="188">
        <v>0</v>
      </c>
      <c r="N3855" s="189">
        <v>80747504</v>
      </c>
      <c r="O3855"/>
      <c r="P3855" s="187">
        <v>45328.7026273148</v>
      </c>
      <c r="Q3855" s="186">
        <v>15286</v>
      </c>
      <c r="R3855" s="185"/>
      <c r="S3855" s="185" t="s">
        <v>1562</v>
      </c>
      <c r="T3855"/>
      <c r="U3855" t="str">
        <f>IF($L3855&gt;0,VLOOKUP($E3855,Valida!$A$1:$G$270,6,FALSE),IF($M3855&gt;=0,VLOOKUP($E3855,Valida!$A$1:$G$270,7,FALSE)))</f>
        <v>(+/-) Ajustes por el incremento (disminución) de cuentas por pagar de origen comercial</v>
      </c>
      <c r="V3855" s="190" t="str">
        <f>VLOOKUP(E3855,Valida!$A$2:$K$271,4,FALSE)</f>
        <v>Trade and other payables</v>
      </c>
      <c r="W3855" s="185" t="s">
        <v>1918</v>
      </c>
      <c r="X3855" s="185"/>
      <c r="Y3855" s="185" t="s">
        <v>1789</v>
      </c>
      <c r="Z3855"/>
    </row>
    <row r="3856" spans="1:26">
      <c r="A3856" s="185" t="s">
        <v>3932</v>
      </c>
      <c r="B3856" s="185" t="s">
        <v>4219</v>
      </c>
      <c r="C3856" s="185" t="s">
        <v>1785</v>
      </c>
      <c r="D3856" s="185" t="s">
        <v>4220</v>
      </c>
      <c r="E3856" s="185">
        <v>252505</v>
      </c>
      <c r="F3856" s="185" t="s">
        <v>787</v>
      </c>
      <c r="G3856" s="185" t="s">
        <v>4206</v>
      </c>
      <c r="H3856" s="185" t="s">
        <v>1628</v>
      </c>
      <c r="I3856" s="258" t="str">
        <f t="shared" si="181"/>
        <v>2</v>
      </c>
      <c r="J3856" s="221">
        <f t="shared" si="182"/>
        <v>-177222</v>
      </c>
      <c r="K3856" s="258">
        <f t="shared" si="183"/>
        <v>12</v>
      </c>
      <c r="L3856" s="188">
        <v>0</v>
      </c>
      <c r="M3856" s="188">
        <v>177222</v>
      </c>
      <c r="N3856" s="189">
        <v>901513634</v>
      </c>
      <c r="O3856"/>
      <c r="P3856" s="187">
        <v>45328.7026273148</v>
      </c>
      <c r="Q3856" s="186">
        <v>15287</v>
      </c>
      <c r="R3856" s="185" t="s">
        <v>6</v>
      </c>
      <c r="S3856" s="185" t="s">
        <v>1518</v>
      </c>
      <c r="T3856"/>
      <c r="U3856" t="str">
        <f>IF($L3856&gt;0,VLOOKUP($E3856,Valida!$A$1:$G$270,6,FALSE),IF($M3856&gt;=0,VLOOKUP($E3856,Valida!$A$1:$G$270,7,FALSE)))</f>
        <v>(+/-) Ajustes por el incremento (disminución) de cuentas por pagar de origen comercial</v>
      </c>
      <c r="V3856" s="190" t="str">
        <f>VLOOKUP(E3856,Valida!$A$2:$K$271,4,FALSE)</f>
        <v>Trade and other payables</v>
      </c>
      <c r="W3856" s="185" t="s">
        <v>1787</v>
      </c>
      <c r="X3856" s="185" t="s">
        <v>1788</v>
      </c>
      <c r="Y3856" s="185" t="s">
        <v>1789</v>
      </c>
      <c r="Z3856"/>
    </row>
    <row r="3857" spans="1:26">
      <c r="A3857" s="185" t="s">
        <v>3932</v>
      </c>
      <c r="B3857" s="185" t="s">
        <v>4219</v>
      </c>
      <c r="C3857" s="185" t="s">
        <v>1785</v>
      </c>
      <c r="D3857" s="185" t="s">
        <v>4220</v>
      </c>
      <c r="E3857" s="185">
        <v>510539</v>
      </c>
      <c r="F3857" s="185" t="s">
        <v>818</v>
      </c>
      <c r="G3857" s="185" t="s">
        <v>4206</v>
      </c>
      <c r="H3857" s="185" t="s">
        <v>1515</v>
      </c>
      <c r="I3857" s="258" t="str">
        <f t="shared" si="181"/>
        <v>5</v>
      </c>
      <c r="J3857" s="221">
        <f t="shared" si="182"/>
        <v>15758</v>
      </c>
      <c r="K3857" s="258">
        <f t="shared" si="183"/>
        <v>12</v>
      </c>
      <c r="L3857" s="188">
        <v>15758</v>
      </c>
      <c r="M3857" s="188">
        <v>0</v>
      </c>
      <c r="N3857" s="189">
        <v>901513634</v>
      </c>
      <c r="O3857"/>
      <c r="P3857" s="187">
        <v>45328.7026273148</v>
      </c>
      <c r="Q3857" s="186">
        <v>15288</v>
      </c>
      <c r="R3857" s="185" t="s">
        <v>6</v>
      </c>
      <c r="S3857" s="185" t="s">
        <v>1518</v>
      </c>
      <c r="T3857"/>
      <c r="U3857" t="str">
        <f>IF($L3857&gt;0,VLOOKUP($E3857,Valida!$A$1:$G$270,6,FALSE),IF($M3857&gt;=0,VLOOKUP($E3857,Valida!$A$1:$G$270,7,FALSE)))</f>
        <v>(+/-) Ganancia (pérdida)</v>
      </c>
      <c r="V3857" s="190" t="str">
        <f>VLOOKUP(E3857,Valida!$A$2:$K$271,4,FALSE)</f>
        <v>P&amp;L</v>
      </c>
      <c r="W3857" s="185" t="s">
        <v>1787</v>
      </c>
      <c r="X3857" s="185" t="s">
        <v>1788</v>
      </c>
      <c r="Y3857" s="185" t="s">
        <v>1789</v>
      </c>
      <c r="Z3857"/>
    </row>
    <row r="3858" spans="1:26">
      <c r="A3858" s="185" t="s">
        <v>5612</v>
      </c>
      <c r="B3858" s="185" t="s">
        <v>5613</v>
      </c>
      <c r="C3858" s="185" t="s">
        <v>2045</v>
      </c>
      <c r="D3858" s="185" t="s">
        <v>5614</v>
      </c>
      <c r="E3858" s="185">
        <v>23355002</v>
      </c>
      <c r="F3858" s="185" t="s">
        <v>506</v>
      </c>
      <c r="G3858" s="185" t="s">
        <v>5615</v>
      </c>
      <c r="H3858" s="185" t="s">
        <v>1628</v>
      </c>
      <c r="I3858" s="258" t="str">
        <f t="shared" si="181"/>
        <v>2</v>
      </c>
      <c r="J3858" s="221">
        <f t="shared" si="182"/>
        <v>-92149.62</v>
      </c>
      <c r="K3858" s="258">
        <f t="shared" si="183"/>
        <v>12</v>
      </c>
      <c r="L3858" s="188">
        <v>0</v>
      </c>
      <c r="M3858" s="188">
        <v>92149.62</v>
      </c>
      <c r="N3858" s="189">
        <v>440493581</v>
      </c>
      <c r="O3858" t="s">
        <v>5616</v>
      </c>
      <c r="P3858" s="187">
        <v>45356.367476851898</v>
      </c>
      <c r="Q3858" s="186">
        <v>15386</v>
      </c>
      <c r="R3858" s="185"/>
      <c r="S3858" s="185" t="s">
        <v>1546</v>
      </c>
      <c r="T3858"/>
      <c r="U3858" t="str">
        <f>IF($L3858&gt;0,VLOOKUP($E3858,Valida!$A$1:$G$270,6,FALSE),IF($M3858&gt;=0,VLOOKUP($E3858,Valida!$A$1:$G$270,7,FALSE)))</f>
        <v>(+/-) Ajustes por el incremento (disminución) de cuentas por pagar de origen comercial</v>
      </c>
      <c r="V3858" s="190" t="str">
        <f>VLOOKUP(E3858,Valida!$A$2:$K$271,4,FALSE)</f>
        <v>Trade and other payables</v>
      </c>
      <c r="W3858" s="185" t="s">
        <v>1808</v>
      </c>
      <c r="X3858" s="185"/>
      <c r="Y3858" s="185"/>
      <c r="Z3858"/>
    </row>
    <row r="3859" spans="1:26">
      <c r="A3859" s="185" t="s">
        <v>5612</v>
      </c>
      <c r="B3859" s="185" t="s">
        <v>5613</v>
      </c>
      <c r="C3859" s="185" t="s">
        <v>2045</v>
      </c>
      <c r="D3859" s="185" t="s">
        <v>5614</v>
      </c>
      <c r="E3859" s="185">
        <v>51352001</v>
      </c>
      <c r="F3859" s="185" t="s">
        <v>1267</v>
      </c>
      <c r="G3859" s="185" t="s">
        <v>5617</v>
      </c>
      <c r="H3859" s="185" t="s">
        <v>1515</v>
      </c>
      <c r="I3859" s="258" t="str">
        <f t="shared" si="181"/>
        <v>5</v>
      </c>
      <c r="J3859" s="221">
        <f t="shared" si="182"/>
        <v>92149.62</v>
      </c>
      <c r="K3859" s="258">
        <f t="shared" si="183"/>
        <v>12</v>
      </c>
      <c r="L3859" s="188">
        <v>92149.62</v>
      </c>
      <c r="M3859" s="188">
        <v>0</v>
      </c>
      <c r="N3859" s="189">
        <v>440493581</v>
      </c>
      <c r="O3859" t="s">
        <v>5616</v>
      </c>
      <c r="P3859" s="187">
        <v>45356.367476851898</v>
      </c>
      <c r="Q3859" s="186">
        <v>15387</v>
      </c>
      <c r="R3859" s="185"/>
      <c r="S3859" s="185" t="s">
        <v>1546</v>
      </c>
      <c r="T3859"/>
      <c r="U3859" t="str">
        <f>IF($L3859&gt;0,VLOOKUP($E3859,Valida!$A$1:$G$270,6,FALSE),IF($M3859&gt;=0,VLOOKUP($E3859,Valida!$A$1:$G$270,7,FALSE)))</f>
        <v>(+/-) Ganancia (pérdida)</v>
      </c>
      <c r="V3859" s="190" t="str">
        <f>VLOOKUP(E3859,Valida!$A$2:$K$271,4,FALSE)</f>
        <v>P&amp;L</v>
      </c>
      <c r="W3859" s="185" t="s">
        <v>1808</v>
      </c>
      <c r="X3859" s="185"/>
      <c r="Y3859" s="185"/>
      <c r="Z3859"/>
    </row>
    <row r="3860" spans="1:26">
      <c r="A3860" s="185" t="s">
        <v>5618</v>
      </c>
      <c r="B3860" s="185" t="s">
        <v>5619</v>
      </c>
      <c r="C3860" s="185" t="s">
        <v>2045</v>
      </c>
      <c r="D3860" s="185" t="s">
        <v>5620</v>
      </c>
      <c r="E3860" s="185">
        <v>23355007</v>
      </c>
      <c r="F3860" s="185" t="s">
        <v>1638</v>
      </c>
      <c r="G3860" s="185" t="s">
        <v>5621</v>
      </c>
      <c r="H3860" s="185" t="s">
        <v>1628</v>
      </c>
      <c r="I3860" s="258" t="str">
        <f t="shared" si="181"/>
        <v>2</v>
      </c>
      <c r="J3860" s="221">
        <f t="shared" si="182"/>
        <v>-140862.35999999999</v>
      </c>
      <c r="K3860" s="258">
        <f t="shared" si="183"/>
        <v>1</v>
      </c>
      <c r="L3860" s="188">
        <v>0</v>
      </c>
      <c r="M3860" s="188">
        <v>140862.35999999999</v>
      </c>
      <c r="N3860" s="189">
        <v>444444001</v>
      </c>
      <c r="O3860" t="s">
        <v>5616</v>
      </c>
      <c r="P3860" s="187">
        <v>45356.370196759301</v>
      </c>
      <c r="Q3860" s="186">
        <v>15388</v>
      </c>
      <c r="R3860" s="185"/>
      <c r="S3860" s="185" t="s">
        <v>1548</v>
      </c>
      <c r="T3860"/>
      <c r="U3860" t="str">
        <f>IF($L3860&gt;0,VLOOKUP($E3860,Valida!$A$1:$G$270,6,FALSE),IF($M3860&gt;=0,VLOOKUP($E3860,Valida!$A$1:$G$270,7,FALSE)))</f>
        <v>(+/-) Ajustes por el incremento (disminución) de cuentas por pagar de origen comercial</v>
      </c>
      <c r="V3860" s="190" t="str">
        <f>VLOOKUP(E3860,Valida!$A$2:$K$271,4,FALSE)</f>
        <v>Trade and other payables</v>
      </c>
      <c r="W3860" s="185"/>
      <c r="X3860" s="185"/>
      <c r="Y3860" s="185"/>
      <c r="Z3860"/>
    </row>
    <row r="3861" spans="1:26">
      <c r="A3861" s="185" t="s">
        <v>5618</v>
      </c>
      <c r="B3861" s="185" t="s">
        <v>5619</v>
      </c>
      <c r="C3861" s="185" t="s">
        <v>2045</v>
      </c>
      <c r="D3861" s="185" t="s">
        <v>5620</v>
      </c>
      <c r="E3861" s="185">
        <v>51350504</v>
      </c>
      <c r="F3861" s="185" t="s">
        <v>1638</v>
      </c>
      <c r="G3861" s="185" t="s">
        <v>5622</v>
      </c>
      <c r="H3861" s="185" t="s">
        <v>1515</v>
      </c>
      <c r="I3861" s="258" t="str">
        <f t="shared" si="181"/>
        <v>5</v>
      </c>
      <c r="J3861" s="221">
        <f t="shared" si="182"/>
        <v>140862.35999999999</v>
      </c>
      <c r="K3861" s="258">
        <f t="shared" si="183"/>
        <v>1</v>
      </c>
      <c r="L3861" s="188">
        <v>140862.35999999999</v>
      </c>
      <c r="M3861" s="188">
        <v>0</v>
      </c>
      <c r="N3861" s="189">
        <v>444444001</v>
      </c>
      <c r="O3861" t="s">
        <v>5616</v>
      </c>
      <c r="P3861" s="187">
        <v>45356.370196759301</v>
      </c>
      <c r="Q3861" s="186">
        <v>15389</v>
      </c>
      <c r="R3861" s="185"/>
      <c r="S3861" s="185" t="s">
        <v>1548</v>
      </c>
      <c r="T3861"/>
      <c r="U3861" t="str">
        <f>IF($L3861&gt;0,VLOOKUP($E3861,Valida!$A$1:$G$270,6,FALSE),IF($M3861&gt;=0,VLOOKUP($E3861,Valida!$A$1:$G$270,7,FALSE)))</f>
        <v>(+/-) Ganancia (pérdida)</v>
      </c>
      <c r="V3861" s="190" t="str">
        <f>VLOOKUP(E3861,Valida!$A$2:$K$271,4,FALSE)</f>
        <v>P&amp;L</v>
      </c>
      <c r="W3861" s="185"/>
      <c r="X3861" s="185"/>
      <c r="Y3861" s="185"/>
      <c r="Z3861"/>
    </row>
    <row r="3862" spans="1:26">
      <c r="A3862" s="185" t="s">
        <v>5623</v>
      </c>
      <c r="B3862" s="185" t="s">
        <v>5624</v>
      </c>
      <c r="C3862" s="185" t="s">
        <v>1792</v>
      </c>
      <c r="D3862" s="185" t="s">
        <v>2846</v>
      </c>
      <c r="E3862" s="185">
        <v>51401002</v>
      </c>
      <c r="F3862" s="185" t="s">
        <v>1303</v>
      </c>
      <c r="G3862" s="185" t="s">
        <v>2487</v>
      </c>
      <c r="H3862" s="185" t="s">
        <v>1515</v>
      </c>
      <c r="I3862" s="258" t="str">
        <f t="shared" si="181"/>
        <v>5</v>
      </c>
      <c r="J3862" s="221">
        <f t="shared" si="182"/>
        <v>7900</v>
      </c>
      <c r="K3862" s="258">
        <f t="shared" si="183"/>
        <v>1</v>
      </c>
      <c r="L3862" s="188">
        <v>7900</v>
      </c>
      <c r="M3862" s="188">
        <v>0</v>
      </c>
      <c r="N3862" s="189">
        <v>860007322</v>
      </c>
      <c r="O3862" t="s">
        <v>5616</v>
      </c>
      <c r="P3862" s="187">
        <v>45356.371874999997</v>
      </c>
      <c r="Q3862" s="186">
        <v>15390</v>
      </c>
      <c r="R3862" s="185" t="s">
        <v>1841</v>
      </c>
      <c r="S3862" s="185" t="s">
        <v>1566</v>
      </c>
      <c r="T3862"/>
      <c r="U3862" t="str">
        <f>IF($L3862&gt;0,VLOOKUP($E3862,Valida!$A$1:$G$270,6,FALSE),IF($M3862&gt;=0,VLOOKUP($E3862,Valida!$A$1:$G$270,7,FALSE)))</f>
        <v>(+/-) Ganancia (pérdida)</v>
      </c>
      <c r="V3862" s="190" t="str">
        <f>VLOOKUP(E3862,Valida!$A$2:$K$271,4,FALSE)</f>
        <v>P&amp;L</v>
      </c>
      <c r="W3862" s="185" t="s">
        <v>2306</v>
      </c>
      <c r="X3862" s="185"/>
      <c r="Y3862" s="185" t="s">
        <v>1789</v>
      </c>
      <c r="Z3862"/>
    </row>
    <row r="3863" spans="1:26">
      <c r="A3863" s="185" t="s">
        <v>5623</v>
      </c>
      <c r="B3863" s="185" t="s">
        <v>5624</v>
      </c>
      <c r="C3863" s="185" t="s">
        <v>1792</v>
      </c>
      <c r="D3863" s="185" t="s">
        <v>2846</v>
      </c>
      <c r="E3863" s="185">
        <v>23351001</v>
      </c>
      <c r="F3863" s="185" t="s">
        <v>453</v>
      </c>
      <c r="G3863" s="185" t="s">
        <v>2487</v>
      </c>
      <c r="H3863" s="185" t="s">
        <v>1628</v>
      </c>
      <c r="I3863" s="258" t="str">
        <f t="shared" si="181"/>
        <v>2</v>
      </c>
      <c r="J3863" s="221">
        <f t="shared" si="182"/>
        <v>-7900</v>
      </c>
      <c r="K3863" s="258">
        <f t="shared" si="183"/>
        <v>1</v>
      </c>
      <c r="L3863" s="188">
        <v>0</v>
      </c>
      <c r="M3863" s="188">
        <v>7900</v>
      </c>
      <c r="N3863" s="189">
        <v>860007322</v>
      </c>
      <c r="O3863" t="s">
        <v>5616</v>
      </c>
      <c r="P3863" s="187">
        <v>45356.371874999997</v>
      </c>
      <c r="Q3863" s="186">
        <v>15391</v>
      </c>
      <c r="R3863" s="185" t="s">
        <v>1841</v>
      </c>
      <c r="S3863" s="185" t="s">
        <v>1566</v>
      </c>
      <c r="T3863"/>
      <c r="U3863" t="str">
        <f>IF($L3863&gt;0,VLOOKUP($E3863,Valida!$A$1:$G$270,6,FALSE),IF($M3863&gt;=0,VLOOKUP($E3863,Valida!$A$1:$G$270,7,FALSE)))</f>
        <v>(+/-) Ajustes por el incremento (disminución) de cuentas por pagar de origen comercial</v>
      </c>
      <c r="V3863" s="190" t="str">
        <f>VLOOKUP(E3863,Valida!$A$2:$K$271,4,FALSE)</f>
        <v>Trade and other payables</v>
      </c>
      <c r="W3863" s="185" t="s">
        <v>2306</v>
      </c>
      <c r="X3863" s="185"/>
      <c r="Y3863" s="185" t="s">
        <v>1789</v>
      </c>
      <c r="Z3863"/>
    </row>
    <row r="3864" spans="1:26">
      <c r="A3864" s="185" t="s">
        <v>4133</v>
      </c>
      <c r="B3864" s="185" t="s">
        <v>4155</v>
      </c>
      <c r="C3864" s="185" t="s">
        <v>1949</v>
      </c>
      <c r="D3864" s="185" t="s">
        <v>2931</v>
      </c>
      <c r="E3864" s="185">
        <v>539520</v>
      </c>
      <c r="F3864" s="185" t="s">
        <v>1758</v>
      </c>
      <c r="G3864" s="185" t="s">
        <v>4154</v>
      </c>
      <c r="H3864" s="185" t="s">
        <v>1515</v>
      </c>
      <c r="I3864" s="258" t="str">
        <f t="shared" si="181"/>
        <v>5</v>
      </c>
      <c r="J3864" s="221">
        <f t="shared" si="182"/>
        <v>454000</v>
      </c>
      <c r="K3864" s="258">
        <f t="shared" si="183"/>
        <v>12</v>
      </c>
      <c r="L3864" s="188">
        <v>454000</v>
      </c>
      <c r="M3864" s="188">
        <v>0</v>
      </c>
      <c r="N3864" s="189">
        <v>800197268</v>
      </c>
      <c r="O3864"/>
      <c r="P3864" s="187">
        <v>45357</v>
      </c>
      <c r="Q3864" s="186">
        <v>15432</v>
      </c>
      <c r="R3864" s="185" t="s">
        <v>983</v>
      </c>
      <c r="S3864" s="185" t="s">
        <v>1558</v>
      </c>
      <c r="T3864"/>
      <c r="U3864" t="str">
        <f>IF($L3864&gt;0,VLOOKUP($E3864,Valida!$A$1:$G$270,6,FALSE),IF($M3864&gt;=0,VLOOKUP($E3864,Valida!$A$1:$G$270,7,FALSE)))</f>
        <v>(+/-) Ganancia (pérdida)</v>
      </c>
      <c r="V3864" s="190" t="str">
        <f>VLOOKUP(E3864,Valida!$A$2:$K$271,4,FALSE)</f>
        <v>P&amp;L</v>
      </c>
      <c r="W3864" s="185" t="s">
        <v>1944</v>
      </c>
      <c r="X3864" s="185"/>
      <c r="Y3864" s="185" t="s">
        <v>1789</v>
      </c>
      <c r="Z3864"/>
    </row>
    <row r="3865" spans="1:26">
      <c r="A3865" s="185" t="s">
        <v>3932</v>
      </c>
      <c r="B3865" s="185" t="s">
        <v>4195</v>
      </c>
      <c r="C3865" s="185" t="s">
        <v>1991</v>
      </c>
      <c r="D3865" s="185" t="s">
        <v>1963</v>
      </c>
      <c r="E3865" s="185">
        <v>171076</v>
      </c>
      <c r="F3865" s="185" t="s">
        <v>1627</v>
      </c>
      <c r="G3865" s="185" t="s">
        <v>5626</v>
      </c>
      <c r="H3865" s="185" t="s">
        <v>1628</v>
      </c>
      <c r="I3865" s="258" t="str">
        <f t="shared" si="181"/>
        <v>1</v>
      </c>
      <c r="J3865" s="221">
        <f t="shared" si="182"/>
        <v>-2790938</v>
      </c>
      <c r="K3865" s="258">
        <f t="shared" si="183"/>
        <v>12</v>
      </c>
      <c r="L3865" s="188">
        <v>0</v>
      </c>
      <c r="M3865" s="188">
        <v>2790938</v>
      </c>
      <c r="N3865" s="189">
        <v>800197268</v>
      </c>
      <c r="O3865"/>
      <c r="P3865" s="187">
        <v>45357</v>
      </c>
      <c r="Q3865" s="186">
        <v>15441</v>
      </c>
      <c r="R3865" s="185" t="s">
        <v>983</v>
      </c>
      <c r="S3865" s="185" t="s">
        <v>1558</v>
      </c>
      <c r="T3865"/>
      <c r="U3865" t="str">
        <f>IF($L3865&gt;0,VLOOKUP($E3865,Valida!$A$1:$G$270,6,FALSE),IF($M3865&gt;=0,VLOOKUP($E3865,Valida!$A$1:$G$270,7,FALSE)))</f>
        <v>(+/-) Otros ajustes para conciliar la ganancia (pérdida)</v>
      </c>
      <c r="V3865" s="190" t="str">
        <f>VLOOKUP(E3865,Valida!$A$2:$K$271,4,FALSE)</f>
        <v>Deffered Tax Income</v>
      </c>
      <c r="W3865" s="185" t="s">
        <v>1944</v>
      </c>
      <c r="X3865" s="185"/>
      <c r="Y3865" s="185" t="s">
        <v>1789</v>
      </c>
      <c r="Z3865"/>
    </row>
    <row r="3866" spans="1:26">
      <c r="A3866" s="185" t="s">
        <v>3932</v>
      </c>
      <c r="B3866" s="185" t="s">
        <v>4195</v>
      </c>
      <c r="C3866" s="185" t="s">
        <v>1991</v>
      </c>
      <c r="D3866" s="185" t="s">
        <v>1963</v>
      </c>
      <c r="E3866" s="185">
        <v>54050502</v>
      </c>
      <c r="F3866" s="185" t="s">
        <v>4238</v>
      </c>
      <c r="G3866" s="185" t="s">
        <v>5626</v>
      </c>
      <c r="H3866" s="185" t="s">
        <v>1515</v>
      </c>
      <c r="I3866" s="258" t="str">
        <f t="shared" si="181"/>
        <v>5</v>
      </c>
      <c r="J3866" s="221">
        <f t="shared" si="182"/>
        <v>2790938</v>
      </c>
      <c r="K3866" s="258">
        <f t="shared" si="183"/>
        <v>12</v>
      </c>
      <c r="L3866" s="188">
        <v>2790938</v>
      </c>
      <c r="M3866" s="188">
        <v>0</v>
      </c>
      <c r="N3866" s="189">
        <v>800197268</v>
      </c>
      <c r="O3866"/>
      <c r="P3866" s="187">
        <v>45357</v>
      </c>
      <c r="Q3866" s="186">
        <v>15442</v>
      </c>
      <c r="R3866" s="185" t="s">
        <v>983</v>
      </c>
      <c r="S3866" s="185" t="s">
        <v>1558</v>
      </c>
      <c r="T3866"/>
      <c r="U3866" t="str">
        <f>IF($L3866&gt;0,VLOOKUP($E3866,Valida!$A$1:$G$270,6,FALSE),IF($M3866&gt;=0,VLOOKUP($E3866,Valida!$A$1:$G$270,7,FALSE)))</f>
        <v>(+/-) Ganancia (pérdida)</v>
      </c>
      <c r="V3866" s="190" t="str">
        <f>VLOOKUP(E3866,Valida!$A$2:$K$271,4,FALSE)</f>
        <v>P&amp;L</v>
      </c>
      <c r="W3866" s="185" t="s">
        <v>1944</v>
      </c>
      <c r="X3866" s="185"/>
      <c r="Y3866" s="185" t="s">
        <v>1789</v>
      </c>
      <c r="Z3866"/>
    </row>
    <row r="3867" spans="1:26">
      <c r="A3867" s="185" t="s">
        <v>1799</v>
      </c>
      <c r="B3867" s="185" t="s">
        <v>1987</v>
      </c>
      <c r="C3867" s="185" t="s">
        <v>1785</v>
      </c>
      <c r="D3867" s="185" t="s">
        <v>1988</v>
      </c>
      <c r="E3867" s="185">
        <v>23355007</v>
      </c>
      <c r="F3867" s="185" t="s">
        <v>1638</v>
      </c>
      <c r="G3867" s="185" t="s">
        <v>5625</v>
      </c>
      <c r="H3867" s="185" t="s">
        <v>1515</v>
      </c>
      <c r="I3867" s="258" t="str">
        <f t="shared" si="181"/>
        <v>2</v>
      </c>
      <c r="J3867" s="221">
        <f t="shared" si="182"/>
        <v>140862.35999999999</v>
      </c>
      <c r="K3867" s="258">
        <f t="shared" si="183"/>
        <v>1</v>
      </c>
      <c r="L3867" s="188">
        <v>140862.35999999999</v>
      </c>
      <c r="M3867" s="188">
        <v>0</v>
      </c>
      <c r="N3867" s="189">
        <v>444444001</v>
      </c>
      <c r="O3867" t="s">
        <v>1987</v>
      </c>
      <c r="P3867" s="187">
        <v>45356</v>
      </c>
      <c r="Q3867" s="186">
        <v>15408</v>
      </c>
      <c r="R3867" s="185"/>
      <c r="S3867" s="185" t="s">
        <v>1548</v>
      </c>
      <c r="T3867"/>
      <c r="U3867" t="str">
        <f>IF($L3867&gt;0,VLOOKUP($E3867,Valida!$A$1:$G$270,6,FALSE),IF($M3867&gt;=0,VLOOKUP($E3867,Valida!$A$1:$G$270,7,FALSE)))</f>
        <v>(+/-) Ajustes por el incremento (disminución) de cuentas por pagar de origen comercial</v>
      </c>
      <c r="V3867" s="190" t="str">
        <f>VLOOKUP(E3867,Valida!$A$2:$K$271,4,FALSE)</f>
        <v>Trade and other payables</v>
      </c>
      <c r="W3867" s="185"/>
      <c r="X3867" s="185"/>
      <c r="Y3867" s="185"/>
      <c r="Z3867"/>
    </row>
    <row r="3868" spans="1:26">
      <c r="A3868" s="185" t="s">
        <v>1799</v>
      </c>
      <c r="B3868" s="185" t="s">
        <v>1987</v>
      </c>
      <c r="C3868" s="185" t="s">
        <v>1785</v>
      </c>
      <c r="D3868" s="185" t="s">
        <v>1988</v>
      </c>
      <c r="E3868" s="185">
        <v>51350504</v>
      </c>
      <c r="F3868" s="185" t="s">
        <v>1638</v>
      </c>
      <c r="G3868" s="185" t="s">
        <v>5625</v>
      </c>
      <c r="H3868" s="185" t="s">
        <v>1628</v>
      </c>
      <c r="I3868" s="258" t="str">
        <f t="shared" si="181"/>
        <v>5</v>
      </c>
      <c r="J3868" s="221">
        <f t="shared" si="182"/>
        <v>-140862.35999999999</v>
      </c>
      <c r="K3868" s="258">
        <f t="shared" si="183"/>
        <v>1</v>
      </c>
      <c r="L3868" s="188">
        <v>0</v>
      </c>
      <c r="M3868" s="188">
        <v>140862.35999999999</v>
      </c>
      <c r="N3868" s="189">
        <v>444444001</v>
      </c>
      <c r="O3868" t="s">
        <v>1987</v>
      </c>
      <c r="P3868" s="187">
        <v>45356</v>
      </c>
      <c r="Q3868" s="186">
        <v>15409</v>
      </c>
      <c r="R3868" s="185"/>
      <c r="S3868" s="185" t="s">
        <v>1548</v>
      </c>
      <c r="T3868"/>
      <c r="U3868" t="str">
        <f>IF($L3868&gt;0,VLOOKUP($E3868,Valida!$A$1:$G$270,6,FALSE),IF($M3868&gt;=0,VLOOKUP($E3868,Valida!$A$1:$G$270,7,FALSE)))</f>
        <v>(+/-) Ganancia (pérdida)</v>
      </c>
      <c r="V3868" s="190" t="str">
        <f>VLOOKUP(E3868,Valida!$A$2:$K$271,4,FALSE)</f>
        <v>P&amp;L</v>
      </c>
      <c r="W3868" s="185"/>
      <c r="X3868" s="185"/>
      <c r="Y3868" s="185"/>
      <c r="Z3868"/>
    </row>
    <row r="3869" spans="1:26">
      <c r="A3869" s="185" t="s">
        <v>1799</v>
      </c>
      <c r="B3869" s="185" t="s">
        <v>1990</v>
      </c>
      <c r="C3869" s="185" t="s">
        <v>1991</v>
      </c>
      <c r="D3869" s="185" t="s">
        <v>1992</v>
      </c>
      <c r="E3869" s="185">
        <v>53059510</v>
      </c>
      <c r="F3869" s="185" t="s">
        <v>1065</v>
      </c>
      <c r="G3869" s="185" t="s">
        <v>5628</v>
      </c>
      <c r="H3869" s="185" t="s">
        <v>1515</v>
      </c>
      <c r="I3869" s="258" t="str">
        <f t="shared" si="181"/>
        <v>5</v>
      </c>
      <c r="J3869" s="221">
        <f t="shared" si="182"/>
        <v>61829</v>
      </c>
      <c r="K3869" s="258">
        <f t="shared" si="183"/>
        <v>1</v>
      </c>
      <c r="L3869" s="188">
        <v>61829</v>
      </c>
      <c r="M3869" s="188">
        <v>0</v>
      </c>
      <c r="N3869" s="189">
        <v>800197268</v>
      </c>
      <c r="O3869" t="s">
        <v>1990</v>
      </c>
      <c r="P3869" s="187">
        <v>45357</v>
      </c>
      <c r="Q3869" s="186">
        <v>15443</v>
      </c>
      <c r="R3869" s="185" t="s">
        <v>983</v>
      </c>
      <c r="S3869" s="185" t="s">
        <v>1558</v>
      </c>
      <c r="T3869"/>
      <c r="U3869" t="str">
        <f>IF($L3869&gt;0,VLOOKUP($E3869,Valida!$A$1:$G$270,6,FALSE),IF($M3869&gt;=0,VLOOKUP($E3869,Valida!$A$1:$G$270,7,FALSE)))</f>
        <v>(+/-) Ganancia (pérdida)</v>
      </c>
      <c r="V3869" s="190" t="str">
        <f>VLOOKUP(E3869,Valida!$A$2:$K$271,4,FALSE)</f>
        <v>P&amp;L</v>
      </c>
      <c r="W3869" s="185" t="s">
        <v>1944</v>
      </c>
      <c r="X3869" s="185"/>
      <c r="Y3869" s="185" t="s">
        <v>1789</v>
      </c>
      <c r="Z3869"/>
    </row>
    <row r="3870" spans="1:26">
      <c r="A3870" s="185" t="s">
        <v>1799</v>
      </c>
      <c r="B3870" s="185" t="s">
        <v>1990</v>
      </c>
      <c r="C3870" s="185" t="s">
        <v>1991</v>
      </c>
      <c r="D3870" s="185" t="s">
        <v>1992</v>
      </c>
      <c r="E3870" s="185">
        <v>138095</v>
      </c>
      <c r="F3870" s="185" t="s">
        <v>150</v>
      </c>
      <c r="G3870" s="185" t="s">
        <v>5628</v>
      </c>
      <c r="H3870" s="185" t="s">
        <v>1628</v>
      </c>
      <c r="I3870" s="258" t="str">
        <f t="shared" si="181"/>
        <v>1</v>
      </c>
      <c r="J3870" s="221">
        <f t="shared" si="182"/>
        <v>-61829</v>
      </c>
      <c r="K3870" s="258">
        <f t="shared" si="183"/>
        <v>1</v>
      </c>
      <c r="L3870" s="188">
        <v>0</v>
      </c>
      <c r="M3870" s="188">
        <v>61829</v>
      </c>
      <c r="N3870" s="189">
        <v>800197268</v>
      </c>
      <c r="O3870" t="s">
        <v>1990</v>
      </c>
      <c r="P3870" s="187">
        <v>45357</v>
      </c>
      <c r="Q3870" s="186">
        <v>15444</v>
      </c>
      <c r="R3870" s="185" t="s">
        <v>983</v>
      </c>
      <c r="S3870" s="185" t="s">
        <v>1558</v>
      </c>
      <c r="T3870"/>
      <c r="U3870" t="str">
        <f>IF($L3870&gt;0,VLOOKUP($E3870,Valida!$A$1:$G$270,6,FALSE),IF($M3870&gt;=0,VLOOKUP($E3870,Valida!$A$1:$G$270,7,FALSE)))</f>
        <v>(+/-) Ajustes por disminuciones (incrementos) en otras cuentas por cobrar derivadas de las actividades de operación</v>
      </c>
      <c r="V3870" s="190" t="str">
        <f>VLOOKUP(E3870,Valida!$A$2:$K$271,4,FALSE)</f>
        <v>Trade and other receivables</v>
      </c>
      <c r="W3870" s="185" t="s">
        <v>1944</v>
      </c>
      <c r="X3870" s="185"/>
      <c r="Y3870" s="185" t="s">
        <v>1789</v>
      </c>
      <c r="Z3870"/>
    </row>
    <row r="3871" spans="1:26">
      <c r="A3871" s="185"/>
      <c r="B3871" s="185"/>
      <c r="C3871" s="185"/>
      <c r="D3871" s="185"/>
      <c r="E3871" s="185"/>
      <c r="F3871" s="185"/>
      <c r="G3871" s="185"/>
      <c r="H3871" s="185"/>
      <c r="I3871" s="258"/>
      <c r="J3871" s="221"/>
      <c r="K3871" s="258"/>
      <c r="L3871" s="188"/>
      <c r="M3871" s="188"/>
      <c r="N3871" s="189"/>
      <c r="O3871"/>
      <c r="P3871" s="187"/>
      <c r="Q3871" s="186"/>
      <c r="R3871" s="185"/>
      <c r="S3871" s="185"/>
      <c r="T3871"/>
      <c r="U3871"/>
      <c r="V3871" s="190"/>
      <c r="W3871" s="185"/>
      <c r="X3871" s="185"/>
      <c r="Y3871" s="185"/>
      <c r="Z3871"/>
    </row>
    <row r="3872" spans="1:26">
      <c r="J3872" s="265"/>
      <c r="K3872" s="259"/>
      <c r="L3872" s="188"/>
      <c r="M3872" s="188"/>
      <c r="N3872" s="261"/>
    </row>
    <row r="3873" spans="1:26" ht="15.75" thickBot="1">
      <c r="J3873" s="262">
        <f>SUM(J1:J3872)</f>
        <v>2.9802322387695313E-8</v>
      </c>
      <c r="K3873" s="263"/>
      <c r="L3873" s="264">
        <f>SUM(L1:L3872)</f>
        <v>4279028807.0100012</v>
      </c>
      <c r="M3873" s="264">
        <f>SUM(M1:M3872)</f>
        <v>4279028807.0100012</v>
      </c>
      <c r="N3873" s="261"/>
    </row>
    <row r="3874" spans="1:26" ht="15.75" thickTop="1">
      <c r="J3874" s="188"/>
      <c r="K3874" s="259"/>
      <c r="N3874" s="261"/>
    </row>
    <row r="3875" spans="1:26">
      <c r="J3875" s="188">
        <f>SUBTOTAL(9,J1:J3872)</f>
        <v>2.9802322387695313E-8</v>
      </c>
      <c r="K3875" s="259"/>
      <c r="N3875" s="261"/>
    </row>
    <row r="3876" spans="1:26">
      <c r="J3876" s="188"/>
      <c r="K3876" s="259"/>
      <c r="N3876" s="261"/>
    </row>
    <row r="3877" spans="1:26">
      <c r="K3877" s="259"/>
      <c r="N3877" s="261"/>
    </row>
    <row r="3878" spans="1:26">
      <c r="A3878" s="185" t="s">
        <v>2210</v>
      </c>
      <c r="B3878" s="185" t="s">
        <v>2211</v>
      </c>
      <c r="C3878" s="185" t="s">
        <v>1801</v>
      </c>
      <c r="D3878" s="185" t="s">
        <v>2212</v>
      </c>
      <c r="E3878" s="185">
        <v>41559505</v>
      </c>
      <c r="F3878" s="185" t="s">
        <v>1708</v>
      </c>
      <c r="G3878" s="185" t="s">
        <v>2214</v>
      </c>
      <c r="H3878" s="185" t="s">
        <v>1628</v>
      </c>
      <c r="I3878" s="258" t="str">
        <f t="shared" ref="I3878:I3880" si="184">LEFT(E3878,1)</f>
        <v>4</v>
      </c>
      <c r="J3878" s="221">
        <f t="shared" ref="J3878" si="185">L3878-M3878</f>
        <v>56702164.479999997</v>
      </c>
      <c r="K3878" s="258">
        <f t="shared" ref="K3878" si="186">MONTH(A3878)</f>
        <v>3</v>
      </c>
      <c r="L3878" s="234">
        <v>56702164.479999997</v>
      </c>
      <c r="M3878" s="234">
        <v>0</v>
      </c>
      <c r="N3878" s="189">
        <v>374795</v>
      </c>
      <c r="O3878"/>
      <c r="P3878" s="187">
        <v>44991.416342592602</v>
      </c>
      <c r="Q3878" s="186">
        <v>8174</v>
      </c>
      <c r="R3878"/>
      <c r="S3878" s="185" t="s">
        <v>1544</v>
      </c>
      <c r="T3878"/>
      <c r="U3878"/>
      <c r="V3878" s="190" t="str">
        <f>VLOOKUP(E3878,Valida!$A$2:$K$271,4,FALSE)</f>
        <v>P&amp;L</v>
      </c>
      <c r="W3878" t="s">
        <v>1803</v>
      </c>
      <c r="X3878"/>
      <c r="Y3878"/>
      <c r="Z3878"/>
    </row>
    <row r="3879" spans="1:26">
      <c r="A3879" s="256">
        <v>44985</v>
      </c>
      <c r="B3879" s="185" t="s">
        <v>2211</v>
      </c>
      <c r="C3879" s="185" t="s">
        <v>1801</v>
      </c>
      <c r="D3879" s="185" t="s">
        <v>2212</v>
      </c>
      <c r="E3879" s="185">
        <v>41559505</v>
      </c>
      <c r="F3879" s="185" t="s">
        <v>1708</v>
      </c>
      <c r="G3879" s="185" t="s">
        <v>2214</v>
      </c>
      <c r="H3879" s="185" t="s">
        <v>1628</v>
      </c>
      <c r="I3879" s="258" t="str">
        <f t="shared" si="184"/>
        <v>4</v>
      </c>
      <c r="J3879" s="221">
        <f t="shared" ref="J3879:J3880" si="187">L3879-M3879</f>
        <v>-56702164.479999997</v>
      </c>
      <c r="K3879" s="258">
        <f t="shared" ref="K3879:K3880" si="188">MONTH(A3879)</f>
        <v>2</v>
      </c>
      <c r="L3879" s="234">
        <v>0</v>
      </c>
      <c r="M3879" s="234">
        <v>56702164.479999997</v>
      </c>
      <c r="N3879" s="189">
        <v>374795</v>
      </c>
      <c r="O3879"/>
      <c r="P3879" s="187">
        <v>44991.416342592602</v>
      </c>
      <c r="Q3879" s="186">
        <v>8174</v>
      </c>
      <c r="R3879"/>
      <c r="S3879" s="185" t="s">
        <v>1544</v>
      </c>
      <c r="T3879"/>
      <c r="U3879"/>
      <c r="V3879" s="190" t="str">
        <f>VLOOKUP(E3879,Valida!$A$2:$K$271,4,FALSE)</f>
        <v>P&amp;L</v>
      </c>
      <c r="W3879" t="s">
        <v>1803</v>
      </c>
      <c r="X3879"/>
      <c r="Y3879"/>
      <c r="Z3879"/>
    </row>
    <row r="3880" spans="1:26">
      <c r="A3880" s="185" t="s">
        <v>2840</v>
      </c>
      <c r="B3880" s="185" t="s">
        <v>2854</v>
      </c>
      <c r="C3880" s="185" t="s">
        <v>1801</v>
      </c>
      <c r="D3880" s="185" t="s">
        <v>423</v>
      </c>
      <c r="E3880" s="185">
        <v>41559505</v>
      </c>
      <c r="F3880" s="185" t="s">
        <v>1708</v>
      </c>
      <c r="G3880" s="185" t="s">
        <v>2856</v>
      </c>
      <c r="H3880" s="185" t="s">
        <v>1628</v>
      </c>
      <c r="I3880" s="258" t="str">
        <f t="shared" si="184"/>
        <v>4</v>
      </c>
      <c r="J3880" s="221">
        <f t="shared" si="187"/>
        <v>53703180</v>
      </c>
      <c r="K3880" s="258">
        <f t="shared" si="188"/>
        <v>6</v>
      </c>
      <c r="L3880" s="188">
        <v>53703180</v>
      </c>
      <c r="M3880" s="188">
        <v>0</v>
      </c>
      <c r="N3880" s="189">
        <v>374795</v>
      </c>
      <c r="O3880" t="s">
        <v>2854</v>
      </c>
      <c r="P3880" s="187">
        <v>45094.426539351902</v>
      </c>
      <c r="Q3880" s="186">
        <v>12088</v>
      </c>
      <c r="R3880" s="185"/>
      <c r="S3880" s="185" t="s">
        <v>1544</v>
      </c>
      <c r="T3880"/>
      <c r="U3880"/>
      <c r="V3880" s="190" t="str">
        <f>VLOOKUP(E3880,Valida!$A$2:$K$271,4,FALSE)</f>
        <v>P&amp;L</v>
      </c>
      <c r="W3880" s="185" t="s">
        <v>1803</v>
      </c>
      <c r="X3880" s="185"/>
      <c r="Y3880" s="185"/>
      <c r="Z3880"/>
    </row>
    <row r="3881" spans="1:26">
      <c r="A3881" s="256">
        <v>45077</v>
      </c>
      <c r="B3881" s="185" t="s">
        <v>2854</v>
      </c>
      <c r="C3881" s="185" t="s">
        <v>1801</v>
      </c>
      <c r="D3881" s="185" t="s">
        <v>423</v>
      </c>
      <c r="E3881" s="185">
        <v>41559505</v>
      </c>
      <c r="F3881" s="185" t="s">
        <v>1708</v>
      </c>
      <c r="G3881" s="185" t="s">
        <v>2856</v>
      </c>
      <c r="H3881" s="185" t="s">
        <v>1628</v>
      </c>
      <c r="I3881" s="258" t="str">
        <f t="shared" ref="I3881" si="189">LEFT(E3881,1)</f>
        <v>4</v>
      </c>
      <c r="J3881" s="221">
        <f t="shared" ref="J3881" si="190">L3881-M3881</f>
        <v>-53703180</v>
      </c>
      <c r="K3881" s="258">
        <f t="shared" ref="K3881" si="191">MONTH(A3881)</f>
        <v>5</v>
      </c>
      <c r="L3881" s="188">
        <v>0</v>
      </c>
      <c r="M3881" s="188">
        <v>53703180</v>
      </c>
      <c r="N3881" s="189">
        <v>374795</v>
      </c>
      <c r="O3881" t="s">
        <v>2854</v>
      </c>
      <c r="P3881" s="187">
        <v>45094.426539351902</v>
      </c>
      <c r="Q3881" s="186">
        <v>12088</v>
      </c>
      <c r="R3881" s="185"/>
      <c r="S3881" s="185" t="s">
        <v>1544</v>
      </c>
      <c r="T3881"/>
      <c r="U3881"/>
      <c r="V3881" s="190" t="str">
        <f>VLOOKUP(E3881,Valida!$A$2:$K$271,4,FALSE)</f>
        <v>P&amp;L</v>
      </c>
      <c r="W3881" s="185" t="s">
        <v>1803</v>
      </c>
      <c r="X3881" s="185"/>
      <c r="Y3881" s="185"/>
      <c r="Z3881"/>
    </row>
    <row r="3882" spans="1:26">
      <c r="K3882" s="259"/>
      <c r="N3882" s="261"/>
    </row>
    <row r="3883" spans="1:26">
      <c r="A3883" s="185" t="s">
        <v>3471</v>
      </c>
      <c r="B3883" s="185" t="s">
        <v>3506</v>
      </c>
      <c r="C3883" s="185" t="s">
        <v>1949</v>
      </c>
      <c r="D3883" s="185" t="s">
        <v>2607</v>
      </c>
      <c r="E3883" s="185">
        <v>510507</v>
      </c>
      <c r="F3883" s="185" t="s">
        <v>1076</v>
      </c>
      <c r="G3883" s="185" t="s">
        <v>3507</v>
      </c>
      <c r="H3883" s="185" t="s">
        <v>1628</v>
      </c>
      <c r="I3883" s="258" t="str">
        <f t="shared" ref="I3883:I3884" si="192">LEFT(E3883,1)</f>
        <v>5</v>
      </c>
      <c r="J3883" s="221">
        <f t="shared" ref="J3883:J3884" si="193">L3883-M3883</f>
        <v>-1817333</v>
      </c>
      <c r="K3883" s="258">
        <f t="shared" ref="K3883:K3884" si="194">MONTH(A3883)</f>
        <v>9</v>
      </c>
      <c r="L3883" s="188">
        <v>0</v>
      </c>
      <c r="M3883" s="188">
        <v>1817333</v>
      </c>
      <c r="N3883" s="189">
        <v>800251440</v>
      </c>
      <c r="O3883"/>
      <c r="P3883" s="187">
        <v>45202.427766203698</v>
      </c>
      <c r="Q3883" s="186">
        <v>13823</v>
      </c>
      <c r="R3883" s="185" t="s">
        <v>1901</v>
      </c>
      <c r="S3883" s="185" t="s">
        <v>1560</v>
      </c>
      <c r="T3883"/>
      <c r="U3883"/>
      <c r="V3883" s="190" t="str">
        <f>VLOOKUP(E3883,Valida!$A$2:$K$271,4,FALSE)</f>
        <v>P&amp;L</v>
      </c>
      <c r="W3883" s="185" t="s">
        <v>1902</v>
      </c>
      <c r="X3883" s="185" t="s">
        <v>1903</v>
      </c>
      <c r="Y3883" s="185" t="s">
        <v>1789</v>
      </c>
      <c r="Z3883"/>
    </row>
    <row r="3884" spans="1:26">
      <c r="A3884" s="185" t="s">
        <v>3471</v>
      </c>
      <c r="B3884" s="185" t="s">
        <v>3506</v>
      </c>
      <c r="C3884" s="185" t="s">
        <v>1949</v>
      </c>
      <c r="D3884" s="185" t="s">
        <v>2607</v>
      </c>
      <c r="E3884" s="185">
        <v>510506</v>
      </c>
      <c r="F3884" s="185" t="s">
        <v>1076</v>
      </c>
      <c r="G3884" s="185" t="s">
        <v>3507</v>
      </c>
      <c r="H3884" s="185" t="s">
        <v>1628</v>
      </c>
      <c r="I3884" s="258" t="str">
        <f t="shared" si="192"/>
        <v>5</v>
      </c>
      <c r="J3884" s="221">
        <f t="shared" si="193"/>
        <v>1817333</v>
      </c>
      <c r="K3884" s="258">
        <f t="shared" si="194"/>
        <v>9</v>
      </c>
      <c r="L3884" s="188">
        <v>1817333</v>
      </c>
      <c r="M3884" s="188">
        <v>0</v>
      </c>
      <c r="N3884" s="189">
        <v>800251440</v>
      </c>
      <c r="O3884"/>
      <c r="P3884" s="187">
        <v>45202.427766203698</v>
      </c>
      <c r="Q3884" s="186">
        <v>13823</v>
      </c>
      <c r="R3884" s="185" t="s">
        <v>1901</v>
      </c>
      <c r="S3884" s="185" t="s">
        <v>1560</v>
      </c>
      <c r="T3884"/>
      <c r="U3884"/>
      <c r="V3884" s="190" t="str">
        <f>VLOOKUP(E3884,Valida!$A$2:$K$271,4,FALSE)</f>
        <v>P&amp;L</v>
      </c>
      <c r="W3884" s="185" t="s">
        <v>1902</v>
      </c>
      <c r="X3884" s="185" t="s">
        <v>1903</v>
      </c>
      <c r="Y3884" s="185" t="s">
        <v>1789</v>
      </c>
      <c r="Z3884"/>
    </row>
    <row r="3885" spans="1:26">
      <c r="K3885" s="259"/>
      <c r="N3885" s="261"/>
    </row>
    <row r="3886" spans="1:26">
      <c r="A3886" s="185" t="s">
        <v>3695</v>
      </c>
      <c r="B3886" s="185" t="s">
        <v>3710</v>
      </c>
      <c r="C3886" s="185" t="s">
        <v>1949</v>
      </c>
      <c r="D3886" s="185" t="s">
        <v>2622</v>
      </c>
      <c r="E3886" s="185">
        <v>510506</v>
      </c>
      <c r="F3886" s="185" t="s">
        <v>1076</v>
      </c>
      <c r="G3886" s="185" t="s">
        <v>3711</v>
      </c>
      <c r="H3886" s="185" t="s">
        <v>1628</v>
      </c>
      <c r="I3886" s="258" t="str">
        <f t="shared" ref="I3886:I3887" si="195">LEFT(E3886,1)</f>
        <v>5</v>
      </c>
      <c r="J3886" s="221">
        <f t="shared" ref="J3886:J3887" si="196">L3886-M3886</f>
        <v>4562666</v>
      </c>
      <c r="K3886" s="258">
        <f t="shared" ref="K3886:K3887" si="197">MONTH(A3886)</f>
        <v>11</v>
      </c>
      <c r="L3886" s="188">
        <v>4562666</v>
      </c>
      <c r="M3886" s="188">
        <v>0</v>
      </c>
      <c r="N3886" s="189">
        <v>800251440</v>
      </c>
      <c r="O3886"/>
      <c r="P3886" s="187">
        <v>45258.501250000001</v>
      </c>
      <c r="Q3886" s="186">
        <v>14639</v>
      </c>
      <c r="R3886" s="185" t="s">
        <v>1901</v>
      </c>
      <c r="S3886" s="185" t="s">
        <v>1560</v>
      </c>
      <c r="T3886"/>
      <c r="U3886"/>
      <c r="V3886" s="190"/>
      <c r="W3886" s="185" t="s">
        <v>1902</v>
      </c>
      <c r="X3886" s="185" t="s">
        <v>1903</v>
      </c>
      <c r="Y3886" s="185" t="s">
        <v>1789</v>
      </c>
      <c r="Z3886"/>
    </row>
    <row r="3887" spans="1:26">
      <c r="A3887" s="185" t="s">
        <v>3695</v>
      </c>
      <c r="B3887" s="185" t="s">
        <v>3710</v>
      </c>
      <c r="C3887" s="185" t="s">
        <v>1949</v>
      </c>
      <c r="D3887" s="185" t="s">
        <v>2622</v>
      </c>
      <c r="E3887" s="185">
        <v>510507</v>
      </c>
      <c r="F3887" s="185" t="s">
        <v>1076</v>
      </c>
      <c r="G3887" s="185" t="s">
        <v>3711</v>
      </c>
      <c r="H3887" s="185" t="s">
        <v>1628</v>
      </c>
      <c r="I3887" s="258" t="str">
        <f t="shared" si="195"/>
        <v>5</v>
      </c>
      <c r="J3887" s="221">
        <f t="shared" si="196"/>
        <v>-4562666</v>
      </c>
      <c r="K3887" s="258">
        <f t="shared" si="197"/>
        <v>11</v>
      </c>
      <c r="L3887" s="188">
        <v>0</v>
      </c>
      <c r="M3887" s="188">
        <v>4562666</v>
      </c>
      <c r="N3887" s="189">
        <v>800251440</v>
      </c>
      <c r="O3887"/>
      <c r="P3887" s="187">
        <v>45258.501250000001</v>
      </c>
      <c r="Q3887" s="186">
        <v>14639</v>
      </c>
      <c r="R3887" s="185" t="s">
        <v>1901</v>
      </c>
      <c r="S3887" s="185" t="s">
        <v>1560</v>
      </c>
      <c r="T3887"/>
      <c r="U3887"/>
      <c r="V3887" s="190"/>
      <c r="W3887" s="185" t="s">
        <v>1902</v>
      </c>
      <c r="X3887" s="185" t="s">
        <v>1903</v>
      </c>
      <c r="Y3887" s="185" t="s">
        <v>1789</v>
      </c>
      <c r="Z3887"/>
    </row>
    <row r="3888" spans="1:26">
      <c r="K3888" s="259"/>
      <c r="N3888" s="261"/>
    </row>
    <row r="3889" spans="1:26">
      <c r="A3889" s="185" t="s">
        <v>4022</v>
      </c>
      <c r="B3889" s="185" t="s">
        <v>4146</v>
      </c>
      <c r="C3889" s="185" t="s">
        <v>1949</v>
      </c>
      <c r="D3889" s="185" t="s">
        <v>2768</v>
      </c>
      <c r="E3889" s="185">
        <v>510507</v>
      </c>
      <c r="F3889" s="185" t="s">
        <v>1076</v>
      </c>
      <c r="G3889" s="185" t="s">
        <v>4147</v>
      </c>
      <c r="H3889" s="185" t="s">
        <v>1515</v>
      </c>
      <c r="I3889" s="258" t="str">
        <f>LEFT(E3889,1)</f>
        <v>5</v>
      </c>
      <c r="J3889" s="221">
        <f>L3889-M3889</f>
        <v>-502667</v>
      </c>
      <c r="K3889" s="258">
        <f>MONTH(A3889)</f>
        <v>12</v>
      </c>
      <c r="L3889" s="188">
        <v>0</v>
      </c>
      <c r="M3889" s="188">
        <v>502667</v>
      </c>
      <c r="N3889" s="189">
        <v>800251440</v>
      </c>
      <c r="O3889"/>
      <c r="P3889" s="187">
        <v>45282.709340277797</v>
      </c>
      <c r="Q3889" s="186">
        <v>15115</v>
      </c>
      <c r="R3889" s="185" t="s">
        <v>1901</v>
      </c>
      <c r="S3889" s="185" t="s">
        <v>1560</v>
      </c>
      <c r="T3889" t="s">
        <v>1894</v>
      </c>
      <c r="U3889"/>
      <c r="V3889" s="190" t="str">
        <f>VLOOKUP(E3889,Valida!$A$2:$K$271,4,FALSE)</f>
        <v>P&amp;L</v>
      </c>
      <c r="W3889" s="185" t="s">
        <v>1902</v>
      </c>
      <c r="X3889" s="185" t="s">
        <v>1903</v>
      </c>
      <c r="Y3889" s="185" t="s">
        <v>1789</v>
      </c>
      <c r="Z3889"/>
    </row>
    <row r="3890" spans="1:26">
      <c r="A3890" s="185" t="s">
        <v>4022</v>
      </c>
      <c r="B3890" s="185" t="s">
        <v>4146</v>
      </c>
      <c r="C3890" s="185" t="s">
        <v>1949</v>
      </c>
      <c r="D3890" s="185" t="s">
        <v>2768</v>
      </c>
      <c r="E3890" s="185">
        <v>510506</v>
      </c>
      <c r="F3890" s="185" t="s">
        <v>1076</v>
      </c>
      <c r="G3890" s="185" t="s">
        <v>4147</v>
      </c>
      <c r="H3890" s="185" t="s">
        <v>1628</v>
      </c>
      <c r="I3890" s="258" t="str">
        <f>LEFT(E3890,1)</f>
        <v>5</v>
      </c>
      <c r="J3890" s="221">
        <f>L3890-M3890</f>
        <v>502667</v>
      </c>
      <c r="K3890" s="258">
        <f>MONTH(A3890)</f>
        <v>12</v>
      </c>
      <c r="L3890" s="188">
        <v>502667</v>
      </c>
      <c r="M3890" s="188">
        <v>0</v>
      </c>
      <c r="N3890" s="189">
        <v>800251440</v>
      </c>
      <c r="O3890"/>
      <c r="P3890" s="187">
        <v>45282.709340277797</v>
      </c>
      <c r="Q3890" s="186">
        <v>15114</v>
      </c>
      <c r="R3890" s="185" t="s">
        <v>1901</v>
      </c>
      <c r="S3890" s="185" t="s">
        <v>1560</v>
      </c>
      <c r="T3890"/>
      <c r="U3890"/>
      <c r="V3890" s="190" t="str">
        <f>VLOOKUP(E3890,Valida!$A$2:$K$271,4,FALSE)</f>
        <v>P&amp;L</v>
      </c>
      <c r="W3890" s="185" t="s">
        <v>1902</v>
      </c>
      <c r="X3890" s="185" t="s">
        <v>1903</v>
      </c>
      <c r="Y3890" s="185" t="s">
        <v>1789</v>
      </c>
      <c r="Z3890"/>
    </row>
    <row r="3892" spans="1:26">
      <c r="J3892" s="188">
        <v>35603000</v>
      </c>
      <c r="K3892" s="188"/>
      <c r="L3892" s="188"/>
      <c r="M3892" s="188"/>
      <c r="N3892" s="261"/>
    </row>
    <row r="3893" spans="1:26">
      <c r="J3893" s="188">
        <v>-2790938</v>
      </c>
      <c r="K3893" s="188"/>
      <c r="L3893" s="188"/>
      <c r="M3893" s="188"/>
      <c r="N3893" s="261"/>
    </row>
    <row r="3894" spans="1:26">
      <c r="J3894" s="188">
        <f>+J3892+J3893</f>
        <v>32812062</v>
      </c>
      <c r="K3894" s="188"/>
      <c r="L3894" s="188"/>
      <c r="M3894" s="188"/>
      <c r="N3894" s="261"/>
    </row>
    <row r="3895" spans="1:26">
      <c r="J3895" s="188"/>
      <c r="K3895" s="188"/>
      <c r="L3895" s="188"/>
      <c r="M3895" s="188"/>
      <c r="N3895" s="261"/>
    </row>
    <row r="3896" spans="1:26">
      <c r="J3896" s="188"/>
      <c r="K3896" s="188"/>
      <c r="L3896" s="188"/>
      <c r="M3896" s="188"/>
      <c r="N3896" s="261"/>
    </row>
    <row r="3897" spans="1:26">
      <c r="J3897" s="188"/>
      <c r="K3897" s="188"/>
      <c r="L3897" s="188"/>
      <c r="M3897" s="188"/>
      <c r="N3897" s="261"/>
    </row>
    <row r="3898" spans="1:26">
      <c r="J3898" s="188"/>
      <c r="K3898" s="188"/>
      <c r="L3898" s="188"/>
      <c r="M3898" s="188"/>
      <c r="N3898" s="261"/>
    </row>
    <row r="3899" spans="1:26">
      <c r="K3899" s="259"/>
      <c r="N3899" s="261"/>
    </row>
    <row r="3900" spans="1:26">
      <c r="K3900" s="259"/>
      <c r="N3900" s="261"/>
    </row>
    <row r="3901" spans="1:26">
      <c r="K3901" s="259"/>
      <c r="N3901" s="261"/>
    </row>
    <row r="3902" spans="1:26">
      <c r="K3902" s="259"/>
      <c r="N3902" s="261"/>
    </row>
    <row r="3903" spans="1:26">
      <c r="K3903" s="259"/>
      <c r="N3903" s="261"/>
    </row>
    <row r="3904" spans="1:26">
      <c r="K3904" s="259"/>
      <c r="N3904" s="261"/>
    </row>
    <row r="3905" spans="11:14">
      <c r="K3905" s="259"/>
      <c r="N3905" s="261"/>
    </row>
    <row r="3906" spans="11:14">
      <c r="K3906" s="259"/>
      <c r="N3906" s="261"/>
    </row>
    <row r="3907" spans="11:14">
      <c r="N3907" s="261"/>
    </row>
    <row r="3908" spans="11:14">
      <c r="N3908" s="261"/>
    </row>
    <row r="3909" spans="11:14">
      <c r="N3909" s="261"/>
    </row>
    <row r="3910" spans="11:14">
      <c r="N3910" s="261"/>
    </row>
    <row r="3911" spans="11:14">
      <c r="N3911" s="261"/>
    </row>
    <row r="3912" spans="11:14">
      <c r="N3912" s="261"/>
    </row>
    <row r="3913" spans="11:14">
      <c r="N3913" s="261"/>
    </row>
    <row r="3914" spans="11:14">
      <c r="N3914" s="261"/>
    </row>
    <row r="3915" spans="11:14">
      <c r="N3915" s="261"/>
    </row>
  </sheetData>
  <autoFilter ref="A1:Z3870" xr:uid="{95FD9AF5-623B-414F-8D92-B15BA2291631}"/>
  <sortState ref="A3606:AA3768">
    <sortCondition ref="A2:A3768"/>
    <sortCondition ref="C2:C3768"/>
    <sortCondition ref="D2:D3768"/>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8D142-EF1C-4DB6-88B0-1225A65D4E0F}">
  <dimension ref="A1:M292"/>
  <sheetViews>
    <sheetView showGridLines="0" workbookViewId="0">
      <pane ySplit="1" topLeftCell="A2" activePane="bottomLeft" state="frozen"/>
      <selection activeCell="J160" sqref="J160:J265"/>
      <selection pane="bottomLeft" activeCell="J3" sqref="J3"/>
    </sheetView>
  </sheetViews>
  <sheetFormatPr baseColWidth="10" defaultColWidth="11.42578125" defaultRowHeight="12.75"/>
  <cols>
    <col min="1" max="1" width="18.42578125" style="304" customWidth="1"/>
    <col min="2" max="3" width="8.7109375" style="304" customWidth="1"/>
    <col min="4" max="4" width="40.7109375" style="304" customWidth="1"/>
    <col min="5" max="5" width="7.140625" style="304" customWidth="1"/>
    <col min="6" max="6" width="14.28515625" style="304" customWidth="1"/>
    <col min="7" max="10" width="18.5703125" style="304" customWidth="1"/>
    <col min="11" max="11" width="15.85546875" style="304" bestFit="1" customWidth="1"/>
    <col min="12" max="12" width="14.85546875" style="304" bestFit="1" customWidth="1"/>
    <col min="13" max="13" width="13.85546875" style="304" customWidth="1"/>
    <col min="14" max="25" width="1.7109375" style="304" customWidth="1"/>
    <col min="26" max="258" width="11.5703125" style="304"/>
    <col min="259" max="259" width="18.42578125" style="304" customWidth="1"/>
    <col min="260" max="260" width="16.5703125" style="304" customWidth="1"/>
    <col min="261" max="261" width="24.85546875" style="304" customWidth="1"/>
    <col min="262" max="262" width="37.28515625" style="304" customWidth="1"/>
    <col min="263" max="263" width="7.140625" style="304" customWidth="1"/>
    <col min="264" max="264" width="14.28515625" style="304" customWidth="1"/>
    <col min="265" max="268" width="18.5703125" style="304" customWidth="1"/>
    <col min="269" max="514" width="11.5703125" style="304"/>
    <col min="515" max="515" width="18.42578125" style="304" customWidth="1"/>
    <col min="516" max="516" width="16.5703125" style="304" customWidth="1"/>
    <col min="517" max="517" width="24.85546875" style="304" customWidth="1"/>
    <col min="518" max="518" width="37.28515625" style="304" customWidth="1"/>
    <col min="519" max="519" width="7.140625" style="304" customWidth="1"/>
    <col min="520" max="520" width="14.28515625" style="304" customWidth="1"/>
    <col min="521" max="524" width="18.5703125" style="304" customWidth="1"/>
    <col min="525" max="770" width="11.5703125" style="304"/>
    <col min="771" max="771" width="18.42578125" style="304" customWidth="1"/>
    <col min="772" max="772" width="16.5703125" style="304" customWidth="1"/>
    <col min="773" max="773" width="24.85546875" style="304" customWidth="1"/>
    <col min="774" max="774" width="37.28515625" style="304" customWidth="1"/>
    <col min="775" max="775" width="7.140625" style="304" customWidth="1"/>
    <col min="776" max="776" width="14.28515625" style="304" customWidth="1"/>
    <col min="777" max="780" width="18.5703125" style="304" customWidth="1"/>
    <col min="781" max="1026" width="11.5703125" style="304"/>
    <col min="1027" max="1027" width="18.42578125" style="304" customWidth="1"/>
    <col min="1028" max="1028" width="16.5703125" style="304" customWidth="1"/>
    <col min="1029" max="1029" width="24.85546875" style="304" customWidth="1"/>
    <col min="1030" max="1030" width="37.28515625" style="304" customWidth="1"/>
    <col min="1031" max="1031" width="7.140625" style="304" customWidth="1"/>
    <col min="1032" max="1032" width="14.28515625" style="304" customWidth="1"/>
    <col min="1033" max="1036" width="18.5703125" style="304" customWidth="1"/>
    <col min="1037" max="1282" width="11.5703125" style="304"/>
    <col min="1283" max="1283" width="18.42578125" style="304" customWidth="1"/>
    <col min="1284" max="1284" width="16.5703125" style="304" customWidth="1"/>
    <col min="1285" max="1285" width="24.85546875" style="304" customWidth="1"/>
    <col min="1286" max="1286" width="37.28515625" style="304" customWidth="1"/>
    <col min="1287" max="1287" width="7.140625" style="304" customWidth="1"/>
    <col min="1288" max="1288" width="14.28515625" style="304" customWidth="1"/>
    <col min="1289" max="1292" width="18.5703125" style="304" customWidth="1"/>
    <col min="1293" max="1538" width="11.5703125" style="304"/>
    <col min="1539" max="1539" width="18.42578125" style="304" customWidth="1"/>
    <col min="1540" max="1540" width="16.5703125" style="304" customWidth="1"/>
    <col min="1541" max="1541" width="24.85546875" style="304" customWidth="1"/>
    <col min="1542" max="1542" width="37.28515625" style="304" customWidth="1"/>
    <col min="1543" max="1543" width="7.140625" style="304" customWidth="1"/>
    <col min="1544" max="1544" width="14.28515625" style="304" customWidth="1"/>
    <col min="1545" max="1548" width="18.5703125" style="304" customWidth="1"/>
    <col min="1549" max="1794" width="11.5703125" style="304"/>
    <col min="1795" max="1795" width="18.42578125" style="304" customWidth="1"/>
    <col min="1796" max="1796" width="16.5703125" style="304" customWidth="1"/>
    <col min="1797" max="1797" width="24.85546875" style="304" customWidth="1"/>
    <col min="1798" max="1798" width="37.28515625" style="304" customWidth="1"/>
    <col min="1799" max="1799" width="7.140625" style="304" customWidth="1"/>
    <col min="1800" max="1800" width="14.28515625" style="304" customWidth="1"/>
    <col min="1801" max="1804" width="18.5703125" style="304" customWidth="1"/>
    <col min="1805" max="2050" width="11.5703125" style="304"/>
    <col min="2051" max="2051" width="18.42578125" style="304" customWidth="1"/>
    <col min="2052" max="2052" width="16.5703125" style="304" customWidth="1"/>
    <col min="2053" max="2053" width="24.85546875" style="304" customWidth="1"/>
    <col min="2054" max="2054" width="37.28515625" style="304" customWidth="1"/>
    <col min="2055" max="2055" width="7.140625" style="304" customWidth="1"/>
    <col min="2056" max="2056" width="14.28515625" style="304" customWidth="1"/>
    <col min="2057" max="2060" width="18.5703125" style="304" customWidth="1"/>
    <col min="2061" max="2306" width="11.5703125" style="304"/>
    <col min="2307" max="2307" width="18.42578125" style="304" customWidth="1"/>
    <col min="2308" max="2308" width="16.5703125" style="304" customWidth="1"/>
    <col min="2309" max="2309" width="24.85546875" style="304" customWidth="1"/>
    <col min="2310" max="2310" width="37.28515625" style="304" customWidth="1"/>
    <col min="2311" max="2311" width="7.140625" style="304" customWidth="1"/>
    <col min="2312" max="2312" width="14.28515625" style="304" customWidth="1"/>
    <col min="2313" max="2316" width="18.5703125" style="304" customWidth="1"/>
    <col min="2317" max="2562" width="11.5703125" style="304"/>
    <col min="2563" max="2563" width="18.42578125" style="304" customWidth="1"/>
    <col min="2564" max="2564" width="16.5703125" style="304" customWidth="1"/>
    <col min="2565" max="2565" width="24.85546875" style="304" customWidth="1"/>
    <col min="2566" max="2566" width="37.28515625" style="304" customWidth="1"/>
    <col min="2567" max="2567" width="7.140625" style="304" customWidth="1"/>
    <col min="2568" max="2568" width="14.28515625" style="304" customWidth="1"/>
    <col min="2569" max="2572" width="18.5703125" style="304" customWidth="1"/>
    <col min="2573" max="2818" width="11.5703125" style="304"/>
    <col min="2819" max="2819" width="18.42578125" style="304" customWidth="1"/>
    <col min="2820" max="2820" width="16.5703125" style="304" customWidth="1"/>
    <col min="2821" max="2821" width="24.85546875" style="304" customWidth="1"/>
    <col min="2822" max="2822" width="37.28515625" style="304" customWidth="1"/>
    <col min="2823" max="2823" width="7.140625" style="304" customWidth="1"/>
    <col min="2824" max="2824" width="14.28515625" style="304" customWidth="1"/>
    <col min="2825" max="2828" width="18.5703125" style="304" customWidth="1"/>
    <col min="2829" max="3074" width="11.5703125" style="304"/>
    <col min="3075" max="3075" width="18.42578125" style="304" customWidth="1"/>
    <col min="3076" max="3076" width="16.5703125" style="304" customWidth="1"/>
    <col min="3077" max="3077" width="24.85546875" style="304" customWidth="1"/>
    <col min="3078" max="3078" width="37.28515625" style="304" customWidth="1"/>
    <col min="3079" max="3079" width="7.140625" style="304" customWidth="1"/>
    <col min="3080" max="3080" width="14.28515625" style="304" customWidth="1"/>
    <col min="3081" max="3084" width="18.5703125" style="304" customWidth="1"/>
    <col min="3085" max="3330" width="11.5703125" style="304"/>
    <col min="3331" max="3331" width="18.42578125" style="304" customWidth="1"/>
    <col min="3332" max="3332" width="16.5703125" style="304" customWidth="1"/>
    <col min="3333" max="3333" width="24.85546875" style="304" customWidth="1"/>
    <col min="3334" max="3334" width="37.28515625" style="304" customWidth="1"/>
    <col min="3335" max="3335" width="7.140625" style="304" customWidth="1"/>
    <col min="3336" max="3336" width="14.28515625" style="304" customWidth="1"/>
    <col min="3337" max="3340" width="18.5703125" style="304" customWidth="1"/>
    <col min="3341" max="3586" width="11.5703125" style="304"/>
    <col min="3587" max="3587" width="18.42578125" style="304" customWidth="1"/>
    <col min="3588" max="3588" width="16.5703125" style="304" customWidth="1"/>
    <col min="3589" max="3589" width="24.85546875" style="304" customWidth="1"/>
    <col min="3590" max="3590" width="37.28515625" style="304" customWidth="1"/>
    <col min="3591" max="3591" width="7.140625" style="304" customWidth="1"/>
    <col min="3592" max="3592" width="14.28515625" style="304" customWidth="1"/>
    <col min="3593" max="3596" width="18.5703125" style="304" customWidth="1"/>
    <col min="3597" max="3842" width="11.5703125" style="304"/>
    <col min="3843" max="3843" width="18.42578125" style="304" customWidth="1"/>
    <col min="3844" max="3844" width="16.5703125" style="304" customWidth="1"/>
    <col min="3845" max="3845" width="24.85546875" style="304" customWidth="1"/>
    <col min="3846" max="3846" width="37.28515625" style="304" customWidth="1"/>
    <col min="3847" max="3847" width="7.140625" style="304" customWidth="1"/>
    <col min="3848" max="3848" width="14.28515625" style="304" customWidth="1"/>
    <col min="3849" max="3852" width="18.5703125" style="304" customWidth="1"/>
    <col min="3853" max="4098" width="11.5703125" style="304"/>
    <col min="4099" max="4099" width="18.42578125" style="304" customWidth="1"/>
    <col min="4100" max="4100" width="16.5703125" style="304" customWidth="1"/>
    <col min="4101" max="4101" width="24.85546875" style="304" customWidth="1"/>
    <col min="4102" max="4102" width="37.28515625" style="304" customWidth="1"/>
    <col min="4103" max="4103" width="7.140625" style="304" customWidth="1"/>
    <col min="4104" max="4104" width="14.28515625" style="304" customWidth="1"/>
    <col min="4105" max="4108" width="18.5703125" style="304" customWidth="1"/>
    <col min="4109" max="4354" width="11.5703125" style="304"/>
    <col min="4355" max="4355" width="18.42578125" style="304" customWidth="1"/>
    <col min="4356" max="4356" width="16.5703125" style="304" customWidth="1"/>
    <col min="4357" max="4357" width="24.85546875" style="304" customWidth="1"/>
    <col min="4358" max="4358" width="37.28515625" style="304" customWidth="1"/>
    <col min="4359" max="4359" width="7.140625" style="304" customWidth="1"/>
    <col min="4360" max="4360" width="14.28515625" style="304" customWidth="1"/>
    <col min="4361" max="4364" width="18.5703125" style="304" customWidth="1"/>
    <col min="4365" max="4610" width="11.5703125" style="304"/>
    <col min="4611" max="4611" width="18.42578125" style="304" customWidth="1"/>
    <col min="4612" max="4612" width="16.5703125" style="304" customWidth="1"/>
    <col min="4613" max="4613" width="24.85546875" style="304" customWidth="1"/>
    <col min="4614" max="4614" width="37.28515625" style="304" customWidth="1"/>
    <col min="4615" max="4615" width="7.140625" style="304" customWidth="1"/>
    <col min="4616" max="4616" width="14.28515625" style="304" customWidth="1"/>
    <col min="4617" max="4620" width="18.5703125" style="304" customWidth="1"/>
    <col min="4621" max="4866" width="11.5703125" style="304"/>
    <col min="4867" max="4867" width="18.42578125" style="304" customWidth="1"/>
    <col min="4868" max="4868" width="16.5703125" style="304" customWidth="1"/>
    <col min="4869" max="4869" width="24.85546875" style="304" customWidth="1"/>
    <col min="4870" max="4870" width="37.28515625" style="304" customWidth="1"/>
    <col min="4871" max="4871" width="7.140625" style="304" customWidth="1"/>
    <col min="4872" max="4872" width="14.28515625" style="304" customWidth="1"/>
    <col min="4873" max="4876" width="18.5703125" style="304" customWidth="1"/>
    <col min="4877" max="5122" width="11.5703125" style="304"/>
    <col min="5123" max="5123" width="18.42578125" style="304" customWidth="1"/>
    <col min="5124" max="5124" width="16.5703125" style="304" customWidth="1"/>
    <col min="5125" max="5125" width="24.85546875" style="304" customWidth="1"/>
    <col min="5126" max="5126" width="37.28515625" style="304" customWidth="1"/>
    <col min="5127" max="5127" width="7.140625" style="304" customWidth="1"/>
    <col min="5128" max="5128" width="14.28515625" style="304" customWidth="1"/>
    <col min="5129" max="5132" width="18.5703125" style="304" customWidth="1"/>
    <col min="5133" max="5378" width="11.5703125" style="304"/>
    <col min="5379" max="5379" width="18.42578125" style="304" customWidth="1"/>
    <col min="5380" max="5380" width="16.5703125" style="304" customWidth="1"/>
    <col min="5381" max="5381" width="24.85546875" style="304" customWidth="1"/>
    <col min="5382" max="5382" width="37.28515625" style="304" customWidth="1"/>
    <col min="5383" max="5383" width="7.140625" style="304" customWidth="1"/>
    <col min="5384" max="5384" width="14.28515625" style="304" customWidth="1"/>
    <col min="5385" max="5388" width="18.5703125" style="304" customWidth="1"/>
    <col min="5389" max="5634" width="11.5703125" style="304"/>
    <col min="5635" max="5635" width="18.42578125" style="304" customWidth="1"/>
    <col min="5636" max="5636" width="16.5703125" style="304" customWidth="1"/>
    <col min="5637" max="5637" width="24.85546875" style="304" customWidth="1"/>
    <col min="5638" max="5638" width="37.28515625" style="304" customWidth="1"/>
    <col min="5639" max="5639" width="7.140625" style="304" customWidth="1"/>
    <col min="5640" max="5640" width="14.28515625" style="304" customWidth="1"/>
    <col min="5641" max="5644" width="18.5703125" style="304" customWidth="1"/>
    <col min="5645" max="5890" width="11.5703125" style="304"/>
    <col min="5891" max="5891" width="18.42578125" style="304" customWidth="1"/>
    <col min="5892" max="5892" width="16.5703125" style="304" customWidth="1"/>
    <col min="5893" max="5893" width="24.85546875" style="304" customWidth="1"/>
    <col min="5894" max="5894" width="37.28515625" style="304" customWidth="1"/>
    <col min="5895" max="5895" width="7.140625" style="304" customWidth="1"/>
    <col min="5896" max="5896" width="14.28515625" style="304" customWidth="1"/>
    <col min="5897" max="5900" width="18.5703125" style="304" customWidth="1"/>
    <col min="5901" max="6146" width="11.5703125" style="304"/>
    <col min="6147" max="6147" width="18.42578125" style="304" customWidth="1"/>
    <col min="6148" max="6148" width="16.5703125" style="304" customWidth="1"/>
    <col min="6149" max="6149" width="24.85546875" style="304" customWidth="1"/>
    <col min="6150" max="6150" width="37.28515625" style="304" customWidth="1"/>
    <col min="6151" max="6151" width="7.140625" style="304" customWidth="1"/>
    <col min="6152" max="6152" width="14.28515625" style="304" customWidth="1"/>
    <col min="6153" max="6156" width="18.5703125" style="304" customWidth="1"/>
    <col min="6157" max="6402" width="11.5703125" style="304"/>
    <col min="6403" max="6403" width="18.42578125" style="304" customWidth="1"/>
    <col min="6404" max="6404" width="16.5703125" style="304" customWidth="1"/>
    <col min="6405" max="6405" width="24.85546875" style="304" customWidth="1"/>
    <col min="6406" max="6406" width="37.28515625" style="304" customWidth="1"/>
    <col min="6407" max="6407" width="7.140625" style="304" customWidth="1"/>
    <col min="6408" max="6408" width="14.28515625" style="304" customWidth="1"/>
    <col min="6409" max="6412" width="18.5703125" style="304" customWidth="1"/>
    <col min="6413" max="6658" width="11.5703125" style="304"/>
    <col min="6659" max="6659" width="18.42578125" style="304" customWidth="1"/>
    <col min="6660" max="6660" width="16.5703125" style="304" customWidth="1"/>
    <col min="6661" max="6661" width="24.85546875" style="304" customWidth="1"/>
    <col min="6662" max="6662" width="37.28515625" style="304" customWidth="1"/>
    <col min="6663" max="6663" width="7.140625" style="304" customWidth="1"/>
    <col min="6664" max="6664" width="14.28515625" style="304" customWidth="1"/>
    <col min="6665" max="6668" width="18.5703125" style="304" customWidth="1"/>
    <col min="6669" max="6914" width="11.5703125" style="304"/>
    <col min="6915" max="6915" width="18.42578125" style="304" customWidth="1"/>
    <col min="6916" max="6916" width="16.5703125" style="304" customWidth="1"/>
    <col min="6917" max="6917" width="24.85546875" style="304" customWidth="1"/>
    <col min="6918" max="6918" width="37.28515625" style="304" customWidth="1"/>
    <col min="6919" max="6919" width="7.140625" style="304" customWidth="1"/>
    <col min="6920" max="6920" width="14.28515625" style="304" customWidth="1"/>
    <col min="6921" max="6924" width="18.5703125" style="304" customWidth="1"/>
    <col min="6925" max="7170" width="11.5703125" style="304"/>
    <col min="7171" max="7171" width="18.42578125" style="304" customWidth="1"/>
    <col min="7172" max="7172" width="16.5703125" style="304" customWidth="1"/>
    <col min="7173" max="7173" width="24.85546875" style="304" customWidth="1"/>
    <col min="7174" max="7174" width="37.28515625" style="304" customWidth="1"/>
    <col min="7175" max="7175" width="7.140625" style="304" customWidth="1"/>
    <col min="7176" max="7176" width="14.28515625" style="304" customWidth="1"/>
    <col min="7177" max="7180" width="18.5703125" style="304" customWidth="1"/>
    <col min="7181" max="7426" width="11.5703125" style="304"/>
    <col min="7427" max="7427" width="18.42578125" style="304" customWidth="1"/>
    <col min="7428" max="7428" width="16.5703125" style="304" customWidth="1"/>
    <col min="7429" max="7429" width="24.85546875" style="304" customWidth="1"/>
    <col min="7430" max="7430" width="37.28515625" style="304" customWidth="1"/>
    <col min="7431" max="7431" width="7.140625" style="304" customWidth="1"/>
    <col min="7432" max="7432" width="14.28515625" style="304" customWidth="1"/>
    <col min="7433" max="7436" width="18.5703125" style="304" customWidth="1"/>
    <col min="7437" max="7682" width="11.5703125" style="304"/>
    <col min="7683" max="7683" width="18.42578125" style="304" customWidth="1"/>
    <col min="7684" max="7684" width="16.5703125" style="304" customWidth="1"/>
    <col min="7685" max="7685" width="24.85546875" style="304" customWidth="1"/>
    <col min="7686" max="7686" width="37.28515625" style="304" customWidth="1"/>
    <col min="7687" max="7687" width="7.140625" style="304" customWidth="1"/>
    <col min="7688" max="7688" width="14.28515625" style="304" customWidth="1"/>
    <col min="7689" max="7692" width="18.5703125" style="304" customWidth="1"/>
    <col min="7693" max="7938" width="11.5703125" style="304"/>
    <col min="7939" max="7939" width="18.42578125" style="304" customWidth="1"/>
    <col min="7940" max="7940" width="16.5703125" style="304" customWidth="1"/>
    <col min="7941" max="7941" width="24.85546875" style="304" customWidth="1"/>
    <col min="7942" max="7942" width="37.28515625" style="304" customWidth="1"/>
    <col min="7943" max="7943" width="7.140625" style="304" customWidth="1"/>
    <col min="7944" max="7944" width="14.28515625" style="304" customWidth="1"/>
    <col min="7945" max="7948" width="18.5703125" style="304" customWidth="1"/>
    <col min="7949" max="8194" width="11.5703125" style="304"/>
    <col min="8195" max="8195" width="18.42578125" style="304" customWidth="1"/>
    <col min="8196" max="8196" width="16.5703125" style="304" customWidth="1"/>
    <col min="8197" max="8197" width="24.85546875" style="304" customWidth="1"/>
    <col min="8198" max="8198" width="37.28515625" style="304" customWidth="1"/>
    <col min="8199" max="8199" width="7.140625" style="304" customWidth="1"/>
    <col min="8200" max="8200" width="14.28515625" style="304" customWidth="1"/>
    <col min="8201" max="8204" width="18.5703125" style="304" customWidth="1"/>
    <col min="8205" max="8450" width="11.5703125" style="304"/>
    <col min="8451" max="8451" width="18.42578125" style="304" customWidth="1"/>
    <col min="8452" max="8452" width="16.5703125" style="304" customWidth="1"/>
    <col min="8453" max="8453" width="24.85546875" style="304" customWidth="1"/>
    <col min="8454" max="8454" width="37.28515625" style="304" customWidth="1"/>
    <col min="8455" max="8455" width="7.140625" style="304" customWidth="1"/>
    <col min="8456" max="8456" width="14.28515625" style="304" customWidth="1"/>
    <col min="8457" max="8460" width="18.5703125" style="304" customWidth="1"/>
    <col min="8461" max="8706" width="11.5703125" style="304"/>
    <col min="8707" max="8707" width="18.42578125" style="304" customWidth="1"/>
    <col min="8708" max="8708" width="16.5703125" style="304" customWidth="1"/>
    <col min="8709" max="8709" width="24.85546875" style="304" customWidth="1"/>
    <col min="8710" max="8710" width="37.28515625" style="304" customWidth="1"/>
    <col min="8711" max="8711" width="7.140625" style="304" customWidth="1"/>
    <col min="8712" max="8712" width="14.28515625" style="304" customWidth="1"/>
    <col min="8713" max="8716" width="18.5703125" style="304" customWidth="1"/>
    <col min="8717" max="8962" width="11.5703125" style="304"/>
    <col min="8963" max="8963" width="18.42578125" style="304" customWidth="1"/>
    <col min="8964" max="8964" width="16.5703125" style="304" customWidth="1"/>
    <col min="8965" max="8965" width="24.85546875" style="304" customWidth="1"/>
    <col min="8966" max="8966" width="37.28515625" style="304" customWidth="1"/>
    <col min="8967" max="8967" width="7.140625" style="304" customWidth="1"/>
    <col min="8968" max="8968" width="14.28515625" style="304" customWidth="1"/>
    <col min="8969" max="8972" width="18.5703125" style="304" customWidth="1"/>
    <col min="8973" max="9218" width="11.5703125" style="304"/>
    <col min="9219" max="9219" width="18.42578125" style="304" customWidth="1"/>
    <col min="9220" max="9220" width="16.5703125" style="304" customWidth="1"/>
    <col min="9221" max="9221" width="24.85546875" style="304" customWidth="1"/>
    <col min="9222" max="9222" width="37.28515625" style="304" customWidth="1"/>
    <col min="9223" max="9223" width="7.140625" style="304" customWidth="1"/>
    <col min="9224" max="9224" width="14.28515625" style="304" customWidth="1"/>
    <col min="9225" max="9228" width="18.5703125" style="304" customWidth="1"/>
    <col min="9229" max="9474" width="11.5703125" style="304"/>
    <col min="9475" max="9475" width="18.42578125" style="304" customWidth="1"/>
    <col min="9476" max="9476" width="16.5703125" style="304" customWidth="1"/>
    <col min="9477" max="9477" width="24.85546875" style="304" customWidth="1"/>
    <col min="9478" max="9478" width="37.28515625" style="304" customWidth="1"/>
    <col min="9479" max="9479" width="7.140625" style="304" customWidth="1"/>
    <col min="9480" max="9480" width="14.28515625" style="304" customWidth="1"/>
    <col min="9481" max="9484" width="18.5703125" style="304" customWidth="1"/>
    <col min="9485" max="9730" width="11.5703125" style="304"/>
    <col min="9731" max="9731" width="18.42578125" style="304" customWidth="1"/>
    <col min="9732" max="9732" width="16.5703125" style="304" customWidth="1"/>
    <col min="9733" max="9733" width="24.85546875" style="304" customWidth="1"/>
    <col min="9734" max="9734" width="37.28515625" style="304" customWidth="1"/>
    <col min="9735" max="9735" width="7.140625" style="304" customWidth="1"/>
    <col min="9736" max="9736" width="14.28515625" style="304" customWidth="1"/>
    <col min="9737" max="9740" width="18.5703125" style="304" customWidth="1"/>
    <col min="9741" max="9986" width="11.5703125" style="304"/>
    <col min="9987" max="9987" width="18.42578125" style="304" customWidth="1"/>
    <col min="9988" max="9988" width="16.5703125" style="304" customWidth="1"/>
    <col min="9989" max="9989" width="24.85546875" style="304" customWidth="1"/>
    <col min="9990" max="9990" width="37.28515625" style="304" customWidth="1"/>
    <col min="9991" max="9991" width="7.140625" style="304" customWidth="1"/>
    <col min="9992" max="9992" width="14.28515625" style="304" customWidth="1"/>
    <col min="9993" max="9996" width="18.5703125" style="304" customWidth="1"/>
    <col min="9997" max="10242" width="11.5703125" style="304"/>
    <col min="10243" max="10243" width="18.42578125" style="304" customWidth="1"/>
    <col min="10244" max="10244" width="16.5703125" style="304" customWidth="1"/>
    <col min="10245" max="10245" width="24.85546875" style="304" customWidth="1"/>
    <col min="10246" max="10246" width="37.28515625" style="304" customWidth="1"/>
    <col min="10247" max="10247" width="7.140625" style="304" customWidth="1"/>
    <col min="10248" max="10248" width="14.28515625" style="304" customWidth="1"/>
    <col min="10249" max="10252" width="18.5703125" style="304" customWidth="1"/>
    <col min="10253" max="10498" width="11.5703125" style="304"/>
    <col min="10499" max="10499" width="18.42578125" style="304" customWidth="1"/>
    <col min="10500" max="10500" width="16.5703125" style="304" customWidth="1"/>
    <col min="10501" max="10501" width="24.85546875" style="304" customWidth="1"/>
    <col min="10502" max="10502" width="37.28515625" style="304" customWidth="1"/>
    <col min="10503" max="10503" width="7.140625" style="304" customWidth="1"/>
    <col min="10504" max="10504" width="14.28515625" style="304" customWidth="1"/>
    <col min="10505" max="10508" width="18.5703125" style="304" customWidth="1"/>
    <col min="10509" max="10754" width="11.5703125" style="304"/>
    <col min="10755" max="10755" width="18.42578125" style="304" customWidth="1"/>
    <col min="10756" max="10756" width="16.5703125" style="304" customWidth="1"/>
    <col min="10757" max="10757" width="24.85546875" style="304" customWidth="1"/>
    <col min="10758" max="10758" width="37.28515625" style="304" customWidth="1"/>
    <col min="10759" max="10759" width="7.140625" style="304" customWidth="1"/>
    <col min="10760" max="10760" width="14.28515625" style="304" customWidth="1"/>
    <col min="10761" max="10764" width="18.5703125" style="304" customWidth="1"/>
    <col min="10765" max="11010" width="11.5703125" style="304"/>
    <col min="11011" max="11011" width="18.42578125" style="304" customWidth="1"/>
    <col min="11012" max="11012" width="16.5703125" style="304" customWidth="1"/>
    <col min="11013" max="11013" width="24.85546875" style="304" customWidth="1"/>
    <col min="11014" max="11014" width="37.28515625" style="304" customWidth="1"/>
    <col min="11015" max="11015" width="7.140625" style="304" customWidth="1"/>
    <col min="11016" max="11016" width="14.28515625" style="304" customWidth="1"/>
    <col min="11017" max="11020" width="18.5703125" style="304" customWidth="1"/>
    <col min="11021" max="11266" width="11.5703125" style="304"/>
    <col min="11267" max="11267" width="18.42578125" style="304" customWidth="1"/>
    <col min="11268" max="11268" width="16.5703125" style="304" customWidth="1"/>
    <col min="11269" max="11269" width="24.85546875" style="304" customWidth="1"/>
    <col min="11270" max="11270" width="37.28515625" style="304" customWidth="1"/>
    <col min="11271" max="11271" width="7.140625" style="304" customWidth="1"/>
    <col min="11272" max="11272" width="14.28515625" style="304" customWidth="1"/>
    <col min="11273" max="11276" width="18.5703125" style="304" customWidth="1"/>
    <col min="11277" max="11522" width="11.5703125" style="304"/>
    <col min="11523" max="11523" width="18.42578125" style="304" customWidth="1"/>
    <col min="11524" max="11524" width="16.5703125" style="304" customWidth="1"/>
    <col min="11525" max="11525" width="24.85546875" style="304" customWidth="1"/>
    <col min="11526" max="11526" width="37.28515625" style="304" customWidth="1"/>
    <col min="11527" max="11527" width="7.140625" style="304" customWidth="1"/>
    <col min="11528" max="11528" width="14.28515625" style="304" customWidth="1"/>
    <col min="11529" max="11532" width="18.5703125" style="304" customWidth="1"/>
    <col min="11533" max="11778" width="11.5703125" style="304"/>
    <col min="11779" max="11779" width="18.42578125" style="304" customWidth="1"/>
    <col min="11780" max="11780" width="16.5703125" style="304" customWidth="1"/>
    <col min="11781" max="11781" width="24.85546875" style="304" customWidth="1"/>
    <col min="11782" max="11782" width="37.28515625" style="304" customWidth="1"/>
    <col min="11783" max="11783" width="7.140625" style="304" customWidth="1"/>
    <col min="11784" max="11784" width="14.28515625" style="304" customWidth="1"/>
    <col min="11785" max="11788" width="18.5703125" style="304" customWidth="1"/>
    <col min="11789" max="12034" width="11.5703125" style="304"/>
    <col min="12035" max="12035" width="18.42578125" style="304" customWidth="1"/>
    <col min="12036" max="12036" width="16.5703125" style="304" customWidth="1"/>
    <col min="12037" max="12037" width="24.85546875" style="304" customWidth="1"/>
    <col min="12038" max="12038" width="37.28515625" style="304" customWidth="1"/>
    <col min="12039" max="12039" width="7.140625" style="304" customWidth="1"/>
    <col min="12040" max="12040" width="14.28515625" style="304" customWidth="1"/>
    <col min="12041" max="12044" width="18.5703125" style="304" customWidth="1"/>
    <col min="12045" max="12290" width="11.5703125" style="304"/>
    <col min="12291" max="12291" width="18.42578125" style="304" customWidth="1"/>
    <col min="12292" max="12292" width="16.5703125" style="304" customWidth="1"/>
    <col min="12293" max="12293" width="24.85546875" style="304" customWidth="1"/>
    <col min="12294" max="12294" width="37.28515625" style="304" customWidth="1"/>
    <col min="12295" max="12295" width="7.140625" style="304" customWidth="1"/>
    <col min="12296" max="12296" width="14.28515625" style="304" customWidth="1"/>
    <col min="12297" max="12300" width="18.5703125" style="304" customWidth="1"/>
    <col min="12301" max="12546" width="11.5703125" style="304"/>
    <col min="12547" max="12547" width="18.42578125" style="304" customWidth="1"/>
    <col min="12548" max="12548" width="16.5703125" style="304" customWidth="1"/>
    <col min="12549" max="12549" width="24.85546875" style="304" customWidth="1"/>
    <col min="12550" max="12550" width="37.28515625" style="304" customWidth="1"/>
    <col min="12551" max="12551" width="7.140625" style="304" customWidth="1"/>
    <col min="12552" max="12552" width="14.28515625" style="304" customWidth="1"/>
    <col min="12553" max="12556" width="18.5703125" style="304" customWidth="1"/>
    <col min="12557" max="12802" width="11.5703125" style="304"/>
    <col min="12803" max="12803" width="18.42578125" style="304" customWidth="1"/>
    <col min="12804" max="12804" width="16.5703125" style="304" customWidth="1"/>
    <col min="12805" max="12805" width="24.85546875" style="304" customWidth="1"/>
    <col min="12806" max="12806" width="37.28515625" style="304" customWidth="1"/>
    <col min="12807" max="12807" width="7.140625" style="304" customWidth="1"/>
    <col min="12808" max="12808" width="14.28515625" style="304" customWidth="1"/>
    <col min="12809" max="12812" width="18.5703125" style="304" customWidth="1"/>
    <col min="12813" max="13058" width="11.5703125" style="304"/>
    <col min="13059" max="13059" width="18.42578125" style="304" customWidth="1"/>
    <col min="13060" max="13060" width="16.5703125" style="304" customWidth="1"/>
    <col min="13061" max="13061" width="24.85546875" style="304" customWidth="1"/>
    <col min="13062" max="13062" width="37.28515625" style="304" customWidth="1"/>
    <col min="13063" max="13063" width="7.140625" style="304" customWidth="1"/>
    <col min="13064" max="13064" width="14.28515625" style="304" customWidth="1"/>
    <col min="13065" max="13068" width="18.5703125" style="304" customWidth="1"/>
    <col min="13069" max="13314" width="11.5703125" style="304"/>
    <col min="13315" max="13315" width="18.42578125" style="304" customWidth="1"/>
    <col min="13316" max="13316" width="16.5703125" style="304" customWidth="1"/>
    <col min="13317" max="13317" width="24.85546875" style="304" customWidth="1"/>
    <col min="13318" max="13318" width="37.28515625" style="304" customWidth="1"/>
    <col min="13319" max="13319" width="7.140625" style="304" customWidth="1"/>
    <col min="13320" max="13320" width="14.28515625" style="304" customWidth="1"/>
    <col min="13321" max="13324" width="18.5703125" style="304" customWidth="1"/>
    <col min="13325" max="13570" width="11.5703125" style="304"/>
    <col min="13571" max="13571" width="18.42578125" style="304" customWidth="1"/>
    <col min="13572" max="13572" width="16.5703125" style="304" customWidth="1"/>
    <col min="13573" max="13573" width="24.85546875" style="304" customWidth="1"/>
    <col min="13574" max="13574" width="37.28515625" style="304" customWidth="1"/>
    <col min="13575" max="13575" width="7.140625" style="304" customWidth="1"/>
    <col min="13576" max="13576" width="14.28515625" style="304" customWidth="1"/>
    <col min="13577" max="13580" width="18.5703125" style="304" customWidth="1"/>
    <col min="13581" max="13826" width="11.5703125" style="304"/>
    <col min="13827" max="13827" width="18.42578125" style="304" customWidth="1"/>
    <col min="13828" max="13828" width="16.5703125" style="304" customWidth="1"/>
    <col min="13829" max="13829" width="24.85546875" style="304" customWidth="1"/>
    <col min="13830" max="13830" width="37.28515625" style="304" customWidth="1"/>
    <col min="13831" max="13831" width="7.140625" style="304" customWidth="1"/>
    <col min="13832" max="13832" width="14.28515625" style="304" customWidth="1"/>
    <col min="13833" max="13836" width="18.5703125" style="304" customWidth="1"/>
    <col min="13837" max="14082" width="11.5703125" style="304"/>
    <col min="14083" max="14083" width="18.42578125" style="304" customWidth="1"/>
    <col min="14084" max="14084" width="16.5703125" style="304" customWidth="1"/>
    <col min="14085" max="14085" width="24.85546875" style="304" customWidth="1"/>
    <col min="14086" max="14086" width="37.28515625" style="304" customWidth="1"/>
    <col min="14087" max="14087" width="7.140625" style="304" customWidth="1"/>
    <col min="14088" max="14088" width="14.28515625" style="304" customWidth="1"/>
    <col min="14089" max="14092" width="18.5703125" style="304" customWidth="1"/>
    <col min="14093" max="14338" width="11.5703125" style="304"/>
    <col min="14339" max="14339" width="18.42578125" style="304" customWidth="1"/>
    <col min="14340" max="14340" width="16.5703125" style="304" customWidth="1"/>
    <col min="14341" max="14341" width="24.85546875" style="304" customWidth="1"/>
    <col min="14342" max="14342" width="37.28515625" style="304" customWidth="1"/>
    <col min="14343" max="14343" width="7.140625" style="304" customWidth="1"/>
    <col min="14344" max="14344" width="14.28515625" style="304" customWidth="1"/>
    <col min="14345" max="14348" width="18.5703125" style="304" customWidth="1"/>
    <col min="14349" max="14594" width="11.5703125" style="304"/>
    <col min="14595" max="14595" width="18.42578125" style="304" customWidth="1"/>
    <col min="14596" max="14596" width="16.5703125" style="304" customWidth="1"/>
    <col min="14597" max="14597" width="24.85546875" style="304" customWidth="1"/>
    <col min="14598" max="14598" width="37.28515625" style="304" customWidth="1"/>
    <col min="14599" max="14599" width="7.140625" style="304" customWidth="1"/>
    <col min="14600" max="14600" width="14.28515625" style="304" customWidth="1"/>
    <col min="14601" max="14604" width="18.5703125" style="304" customWidth="1"/>
    <col min="14605" max="14850" width="11.5703125" style="304"/>
    <col min="14851" max="14851" width="18.42578125" style="304" customWidth="1"/>
    <col min="14852" max="14852" width="16.5703125" style="304" customWidth="1"/>
    <col min="14853" max="14853" width="24.85546875" style="304" customWidth="1"/>
    <col min="14854" max="14854" width="37.28515625" style="304" customWidth="1"/>
    <col min="14855" max="14855" width="7.140625" style="304" customWidth="1"/>
    <col min="14856" max="14856" width="14.28515625" style="304" customWidth="1"/>
    <col min="14857" max="14860" width="18.5703125" style="304" customWidth="1"/>
    <col min="14861" max="15106" width="11.5703125" style="304"/>
    <col min="15107" max="15107" width="18.42578125" style="304" customWidth="1"/>
    <col min="15108" max="15108" width="16.5703125" style="304" customWidth="1"/>
    <col min="15109" max="15109" width="24.85546875" style="304" customWidth="1"/>
    <col min="15110" max="15110" width="37.28515625" style="304" customWidth="1"/>
    <col min="15111" max="15111" width="7.140625" style="304" customWidth="1"/>
    <col min="15112" max="15112" width="14.28515625" style="304" customWidth="1"/>
    <col min="15113" max="15116" width="18.5703125" style="304" customWidth="1"/>
    <col min="15117" max="15362" width="11.5703125" style="304"/>
    <col min="15363" max="15363" width="18.42578125" style="304" customWidth="1"/>
    <col min="15364" max="15364" width="16.5703125" style="304" customWidth="1"/>
    <col min="15365" max="15365" width="24.85546875" style="304" customWidth="1"/>
    <col min="15366" max="15366" width="37.28515625" style="304" customWidth="1"/>
    <col min="15367" max="15367" width="7.140625" style="304" customWidth="1"/>
    <col min="15368" max="15368" width="14.28515625" style="304" customWidth="1"/>
    <col min="15369" max="15372" width="18.5703125" style="304" customWidth="1"/>
    <col min="15373" max="15618" width="11.5703125" style="304"/>
    <col min="15619" max="15619" width="18.42578125" style="304" customWidth="1"/>
    <col min="15620" max="15620" width="16.5703125" style="304" customWidth="1"/>
    <col min="15621" max="15621" width="24.85546875" style="304" customWidth="1"/>
    <col min="15622" max="15622" width="37.28515625" style="304" customWidth="1"/>
    <col min="15623" max="15623" width="7.140625" style="304" customWidth="1"/>
    <col min="15624" max="15624" width="14.28515625" style="304" customWidth="1"/>
    <col min="15625" max="15628" width="18.5703125" style="304" customWidth="1"/>
    <col min="15629" max="15874" width="11.5703125" style="304"/>
    <col min="15875" max="15875" width="18.42578125" style="304" customWidth="1"/>
    <col min="15876" max="15876" width="16.5703125" style="304" customWidth="1"/>
    <col min="15877" max="15877" width="24.85546875" style="304" customWidth="1"/>
    <col min="15878" max="15878" width="37.28515625" style="304" customWidth="1"/>
    <col min="15879" max="15879" width="7.140625" style="304" customWidth="1"/>
    <col min="15880" max="15880" width="14.28515625" style="304" customWidth="1"/>
    <col min="15881" max="15884" width="18.5703125" style="304" customWidth="1"/>
    <col min="15885" max="16130" width="11.5703125" style="304"/>
    <col min="16131" max="16131" width="18.42578125" style="304" customWidth="1"/>
    <col min="16132" max="16132" width="16.5703125" style="304" customWidth="1"/>
    <col min="16133" max="16133" width="24.85546875" style="304" customWidth="1"/>
    <col min="16134" max="16134" width="37.28515625" style="304" customWidth="1"/>
    <col min="16135" max="16135" width="7.140625" style="304" customWidth="1"/>
    <col min="16136" max="16136" width="14.28515625" style="304" customWidth="1"/>
    <col min="16137" max="16140" width="18.5703125" style="304" customWidth="1"/>
    <col min="16141" max="16384" width="11.5703125" style="304"/>
  </cols>
  <sheetData>
    <row r="1" spans="1:12" ht="25.5">
      <c r="A1" s="303" t="s">
        <v>0</v>
      </c>
      <c r="B1" s="303" t="s">
        <v>1507</v>
      </c>
      <c r="C1" s="303" t="s">
        <v>1508</v>
      </c>
      <c r="D1" s="303" t="s">
        <v>1</v>
      </c>
      <c r="E1" s="303" t="s">
        <v>1509</v>
      </c>
      <c r="F1" s="303" t="s">
        <v>1510</v>
      </c>
      <c r="G1" s="303" t="s">
        <v>1511</v>
      </c>
      <c r="H1" s="303" t="s">
        <v>1512</v>
      </c>
      <c r="I1" s="303" t="s">
        <v>1513</v>
      </c>
      <c r="J1" s="303" t="s">
        <v>1514</v>
      </c>
    </row>
    <row r="2" spans="1:12">
      <c r="A2" s="305" t="s">
        <v>6</v>
      </c>
      <c r="B2" s="305"/>
      <c r="C2" s="305"/>
      <c r="D2" s="305" t="s">
        <v>7</v>
      </c>
      <c r="E2" s="306">
        <v>1</v>
      </c>
      <c r="F2" s="305" t="s">
        <v>1515</v>
      </c>
      <c r="G2" s="307">
        <v>177162323.86000001</v>
      </c>
      <c r="H2" s="307">
        <v>1466259921.5599999</v>
      </c>
      <c r="I2" s="307">
        <v>1362681145.03</v>
      </c>
      <c r="J2" s="307">
        <v>280741100.38999999</v>
      </c>
    </row>
    <row r="3" spans="1:12">
      <c r="A3" s="305" t="s">
        <v>10</v>
      </c>
      <c r="B3" s="305"/>
      <c r="C3" s="305"/>
      <c r="D3" s="305" t="s">
        <v>11</v>
      </c>
      <c r="E3" s="306">
        <v>2</v>
      </c>
      <c r="F3" s="305" t="s">
        <v>1515</v>
      </c>
      <c r="G3" s="307">
        <v>38233955.859999999</v>
      </c>
      <c r="H3" s="307">
        <v>599272381.46000004</v>
      </c>
      <c r="I3" s="307">
        <v>597859102.80999994</v>
      </c>
      <c r="J3" s="307">
        <v>39647234.509999998</v>
      </c>
    </row>
    <row r="4" spans="1:12">
      <c r="A4" s="305" t="s">
        <v>12</v>
      </c>
      <c r="B4" s="305"/>
      <c r="C4" s="305"/>
      <c r="D4" s="305" t="s">
        <v>13</v>
      </c>
      <c r="E4" s="306">
        <v>3</v>
      </c>
      <c r="F4" s="305" t="s">
        <v>1515</v>
      </c>
      <c r="G4" s="307">
        <v>4632849</v>
      </c>
      <c r="H4" s="307">
        <v>200000</v>
      </c>
      <c r="I4" s="307">
        <v>4832811</v>
      </c>
      <c r="J4" s="307">
        <v>38</v>
      </c>
    </row>
    <row r="5" spans="1:12" ht="15" customHeight="1">
      <c r="A5" s="305" t="s">
        <v>14</v>
      </c>
      <c r="B5" s="305"/>
      <c r="C5" s="305"/>
      <c r="D5" s="305" t="s">
        <v>15</v>
      </c>
      <c r="E5" s="306">
        <v>4</v>
      </c>
      <c r="F5" s="305" t="s">
        <v>1515</v>
      </c>
      <c r="G5" s="307">
        <v>4632849</v>
      </c>
      <c r="H5" s="307">
        <v>200000</v>
      </c>
      <c r="I5" s="307">
        <v>4832811</v>
      </c>
      <c r="J5" s="307">
        <v>38</v>
      </c>
    </row>
    <row r="6" spans="1:12" ht="15" customHeight="1">
      <c r="A6" s="305" t="s">
        <v>34</v>
      </c>
      <c r="B6" s="305"/>
      <c r="C6" s="305"/>
      <c r="D6" s="305" t="s">
        <v>35</v>
      </c>
      <c r="E6" s="306">
        <v>3</v>
      </c>
      <c r="F6" s="305" t="s">
        <v>1515</v>
      </c>
      <c r="G6" s="307">
        <v>33601106.859999999</v>
      </c>
      <c r="H6" s="307">
        <v>599072381.46000004</v>
      </c>
      <c r="I6" s="307">
        <v>593026291.80999994</v>
      </c>
      <c r="J6" s="307">
        <v>39647196.509999998</v>
      </c>
    </row>
    <row r="7" spans="1:12" ht="15" customHeight="1">
      <c r="A7" s="305" t="s">
        <v>36</v>
      </c>
      <c r="B7" s="305"/>
      <c r="C7" s="305"/>
      <c r="D7" s="305" t="s">
        <v>24</v>
      </c>
      <c r="E7" s="306">
        <v>4</v>
      </c>
      <c r="F7" s="305" t="s">
        <v>1515</v>
      </c>
      <c r="G7" s="307">
        <v>33601106.859999999</v>
      </c>
      <c r="H7" s="307">
        <v>599072381.46000004</v>
      </c>
      <c r="I7" s="307">
        <v>593026291.80999994</v>
      </c>
      <c r="J7" s="307">
        <v>39647196.509999998</v>
      </c>
      <c r="K7" s="308"/>
      <c r="L7" s="309"/>
    </row>
    <row r="8" spans="1:12" ht="15" customHeight="1">
      <c r="A8" s="305" t="s">
        <v>56</v>
      </c>
      <c r="B8" s="305"/>
      <c r="C8" s="305"/>
      <c r="D8" s="305" t="s">
        <v>57</v>
      </c>
      <c r="E8" s="306">
        <v>2</v>
      </c>
      <c r="F8" s="305" t="s">
        <v>1515</v>
      </c>
      <c r="G8" s="307">
        <v>38717000</v>
      </c>
      <c r="H8" s="307">
        <v>669342104.10000002</v>
      </c>
      <c r="I8" s="307">
        <v>603968606.22000003</v>
      </c>
      <c r="J8" s="307">
        <v>104090497.88</v>
      </c>
    </row>
    <row r="9" spans="1:12" ht="15" customHeight="1">
      <c r="A9" s="305" t="s">
        <v>58</v>
      </c>
      <c r="B9" s="305"/>
      <c r="C9" s="305"/>
      <c r="D9" s="305" t="s">
        <v>59</v>
      </c>
      <c r="E9" s="306">
        <v>3</v>
      </c>
      <c r="F9" s="305" t="s">
        <v>1515</v>
      </c>
      <c r="G9" s="307">
        <v>0</v>
      </c>
      <c r="H9" s="307">
        <v>489860600.10000002</v>
      </c>
      <c r="I9" s="307">
        <v>454609973.22000003</v>
      </c>
      <c r="J9" s="307">
        <v>35250626.880000003</v>
      </c>
    </row>
    <row r="10" spans="1:12" ht="15" customHeight="1">
      <c r="A10" s="305" t="s">
        <v>63</v>
      </c>
      <c r="B10" s="305"/>
      <c r="C10" s="305"/>
      <c r="D10" s="305" t="s">
        <v>64</v>
      </c>
      <c r="E10" s="306">
        <v>4</v>
      </c>
      <c r="F10" s="305" t="s">
        <v>1515</v>
      </c>
      <c r="G10" s="307">
        <v>0</v>
      </c>
      <c r="H10" s="307">
        <v>489860600.10000002</v>
      </c>
      <c r="I10" s="307">
        <v>454609973.22000003</v>
      </c>
      <c r="J10" s="307">
        <v>35250626.880000003</v>
      </c>
    </row>
    <row r="11" spans="1:12" ht="15" customHeight="1">
      <c r="A11" s="305" t="s">
        <v>110</v>
      </c>
      <c r="B11" s="305"/>
      <c r="C11" s="305"/>
      <c r="D11" s="305" t="s">
        <v>111</v>
      </c>
      <c r="E11" s="306">
        <v>3</v>
      </c>
      <c r="F11" s="305" t="s">
        <v>1515</v>
      </c>
      <c r="G11" s="307">
        <v>400000</v>
      </c>
      <c r="H11" s="307">
        <v>0</v>
      </c>
      <c r="I11" s="307">
        <v>0</v>
      </c>
      <c r="J11" s="307">
        <v>400000</v>
      </c>
    </row>
    <row r="12" spans="1:12" ht="15" customHeight="1">
      <c r="A12" s="305" t="s">
        <v>115</v>
      </c>
      <c r="B12" s="305"/>
      <c r="C12" s="305"/>
      <c r="D12" s="305" t="s">
        <v>116</v>
      </c>
      <c r="E12" s="306">
        <v>4</v>
      </c>
      <c r="F12" s="305" t="s">
        <v>1515</v>
      </c>
      <c r="G12" s="307">
        <v>400000</v>
      </c>
      <c r="H12" s="307">
        <v>0</v>
      </c>
      <c r="I12" s="307">
        <v>0</v>
      </c>
      <c r="J12" s="307">
        <v>400000</v>
      </c>
      <c r="K12" s="304" t="s">
        <v>4221</v>
      </c>
    </row>
    <row r="13" spans="1:12" ht="15" customHeight="1">
      <c r="A13" s="305" t="s">
        <v>120</v>
      </c>
      <c r="B13" s="305"/>
      <c r="C13" s="305"/>
      <c r="D13" s="305" t="s">
        <v>121</v>
      </c>
      <c r="E13" s="306">
        <v>3</v>
      </c>
      <c r="F13" s="305" t="s">
        <v>1515</v>
      </c>
      <c r="G13" s="307">
        <v>0</v>
      </c>
      <c r="H13" s="307">
        <v>3052543</v>
      </c>
      <c r="I13" s="307">
        <v>3025501</v>
      </c>
      <c r="J13" s="307">
        <v>27042</v>
      </c>
      <c r="K13" s="304" t="s">
        <v>4222</v>
      </c>
    </row>
    <row r="14" spans="1:12" ht="15" customHeight="1">
      <c r="A14" s="305" t="s">
        <v>122</v>
      </c>
      <c r="B14" s="305"/>
      <c r="C14" s="305"/>
      <c r="D14" s="305" t="s">
        <v>123</v>
      </c>
      <c r="E14" s="306">
        <v>4</v>
      </c>
      <c r="F14" s="305" t="s">
        <v>1515</v>
      </c>
      <c r="G14" s="307">
        <v>0</v>
      </c>
      <c r="H14" s="307">
        <v>3052543</v>
      </c>
      <c r="I14" s="307">
        <v>3025501</v>
      </c>
      <c r="J14" s="307">
        <v>27042</v>
      </c>
      <c r="K14" s="304">
        <v>71627108.209999993</v>
      </c>
    </row>
    <row r="15" spans="1:12" ht="15" customHeight="1">
      <c r="A15" s="305" t="s">
        <v>128</v>
      </c>
      <c r="B15" s="305"/>
      <c r="C15" s="305"/>
      <c r="D15" s="305" t="s">
        <v>129</v>
      </c>
      <c r="E15" s="306">
        <v>5</v>
      </c>
      <c r="F15" s="305" t="s">
        <v>1515</v>
      </c>
      <c r="G15" s="307">
        <v>0</v>
      </c>
      <c r="H15" s="307">
        <v>2755043</v>
      </c>
      <c r="I15" s="307">
        <v>2728001</v>
      </c>
      <c r="J15" s="307">
        <v>27042</v>
      </c>
    </row>
    <row r="16" spans="1:12" ht="15" customHeight="1">
      <c r="A16" s="305" t="s">
        <v>131</v>
      </c>
      <c r="B16" s="305"/>
      <c r="C16" s="305"/>
      <c r="D16" s="305" t="s">
        <v>132</v>
      </c>
      <c r="E16" s="306">
        <v>5</v>
      </c>
      <c r="F16" s="305" t="s">
        <v>1515</v>
      </c>
      <c r="G16" s="307">
        <v>0</v>
      </c>
      <c r="H16" s="307">
        <v>297500</v>
      </c>
      <c r="I16" s="307">
        <v>297500</v>
      </c>
      <c r="J16" s="307">
        <v>0</v>
      </c>
    </row>
    <row r="17" spans="1:12" ht="15" customHeight="1">
      <c r="A17" s="305" t="s">
        <v>205</v>
      </c>
      <c r="B17" s="305"/>
      <c r="C17" s="305"/>
      <c r="D17" s="305" t="s">
        <v>206</v>
      </c>
      <c r="E17" s="306">
        <v>3</v>
      </c>
      <c r="F17" s="305" t="s">
        <v>1515</v>
      </c>
      <c r="G17" s="307">
        <v>0</v>
      </c>
      <c r="H17" s="307">
        <v>121394559</v>
      </c>
      <c r="I17" s="307">
        <v>121394559</v>
      </c>
      <c r="J17" s="307">
        <v>0</v>
      </c>
    </row>
    <row r="18" spans="1:12" ht="15" customHeight="1">
      <c r="A18" s="305" t="s">
        <v>227</v>
      </c>
      <c r="B18" s="305"/>
      <c r="C18" s="305"/>
      <c r="D18" s="305" t="s">
        <v>150</v>
      </c>
      <c r="E18" s="306">
        <v>4</v>
      </c>
      <c r="F18" s="305" t="s">
        <v>1515</v>
      </c>
      <c r="G18" s="307">
        <v>0</v>
      </c>
      <c r="H18" s="307">
        <v>121394559</v>
      </c>
      <c r="I18" s="307">
        <v>121394559</v>
      </c>
      <c r="J18" s="307">
        <v>0</v>
      </c>
    </row>
    <row r="19" spans="1:12" ht="15" customHeight="1">
      <c r="A19" s="305" t="s">
        <v>229</v>
      </c>
      <c r="B19" s="305"/>
      <c r="C19" s="305"/>
      <c r="D19" s="305" t="s">
        <v>230</v>
      </c>
      <c r="E19" s="306">
        <v>3</v>
      </c>
      <c r="F19" s="305" t="s">
        <v>1515</v>
      </c>
      <c r="G19" s="307">
        <v>10820000</v>
      </c>
      <c r="H19" s="307">
        <v>51900829</v>
      </c>
      <c r="I19" s="307">
        <v>14369829</v>
      </c>
      <c r="J19" s="307">
        <v>48351000</v>
      </c>
    </row>
    <row r="20" spans="1:12" ht="15" customHeight="1">
      <c r="A20" s="305" t="s">
        <v>268</v>
      </c>
      <c r="B20" s="305"/>
      <c r="C20" s="305"/>
      <c r="D20" s="305" t="s">
        <v>269</v>
      </c>
      <c r="E20" s="306">
        <v>4</v>
      </c>
      <c r="F20" s="305" t="s">
        <v>1515</v>
      </c>
      <c r="G20" s="307">
        <v>0</v>
      </c>
      <c r="H20" s="307">
        <v>3549829</v>
      </c>
      <c r="I20" s="307">
        <v>3549829</v>
      </c>
      <c r="J20" s="307">
        <v>0</v>
      </c>
    </row>
    <row r="21" spans="1:12" ht="15" customHeight="1">
      <c r="A21" s="305" t="s">
        <v>270</v>
      </c>
      <c r="B21" s="305"/>
      <c r="C21" s="305"/>
      <c r="D21" s="305" t="s">
        <v>271</v>
      </c>
      <c r="E21" s="306">
        <v>5</v>
      </c>
      <c r="F21" s="305" t="s">
        <v>1515</v>
      </c>
      <c r="G21" s="307">
        <v>0</v>
      </c>
      <c r="H21" s="307">
        <v>3549829</v>
      </c>
      <c r="I21" s="307">
        <v>3549829</v>
      </c>
      <c r="J21" s="307">
        <v>0</v>
      </c>
      <c r="K21" s="308"/>
      <c r="L21" s="309"/>
    </row>
    <row r="22" spans="1:12" ht="15" customHeight="1">
      <c r="A22" s="305" t="s">
        <v>273</v>
      </c>
      <c r="B22" s="305"/>
      <c r="C22" s="305"/>
      <c r="D22" s="305" t="s">
        <v>274</v>
      </c>
      <c r="E22" s="306">
        <v>4</v>
      </c>
      <c r="F22" s="305" t="s">
        <v>1515</v>
      </c>
      <c r="G22" s="307">
        <v>10820000</v>
      </c>
      <c r="H22" s="307">
        <v>48351000</v>
      </c>
      <c r="I22" s="307">
        <v>10820000</v>
      </c>
      <c r="J22" s="307">
        <v>48351000</v>
      </c>
    </row>
    <row r="23" spans="1:12" ht="15" customHeight="1">
      <c r="A23" s="305" t="s">
        <v>275</v>
      </c>
      <c r="B23" s="305"/>
      <c r="C23" s="305"/>
      <c r="D23" s="305" t="s">
        <v>276</v>
      </c>
      <c r="E23" s="306">
        <v>5</v>
      </c>
      <c r="F23" s="305" t="s">
        <v>1515</v>
      </c>
      <c r="G23" s="307">
        <v>10820000</v>
      </c>
      <c r="H23" s="307">
        <v>44863000</v>
      </c>
      <c r="I23" s="307">
        <v>10820000</v>
      </c>
      <c r="J23" s="307">
        <v>44863000</v>
      </c>
      <c r="K23" s="310">
        <f>J23</f>
        <v>44863000</v>
      </c>
      <c r="L23" s="309"/>
    </row>
    <row r="24" spans="1:12" ht="15" customHeight="1">
      <c r="A24" s="305" t="s">
        <v>5610</v>
      </c>
      <c r="B24" s="305"/>
      <c r="C24" s="305"/>
      <c r="D24" s="305" t="s">
        <v>5611</v>
      </c>
      <c r="E24" s="306">
        <v>5</v>
      </c>
      <c r="F24" s="305" t="s">
        <v>1515</v>
      </c>
      <c r="G24" s="307">
        <v>0</v>
      </c>
      <c r="H24" s="307">
        <v>3488000</v>
      </c>
      <c r="I24" s="307">
        <v>0</v>
      </c>
      <c r="J24" s="307">
        <v>3488000</v>
      </c>
      <c r="L24" s="309"/>
    </row>
    <row r="25" spans="1:12" ht="15" customHeight="1">
      <c r="A25" s="305" t="s">
        <v>318</v>
      </c>
      <c r="B25" s="305"/>
      <c r="C25" s="305"/>
      <c r="D25" s="305" t="s">
        <v>319</v>
      </c>
      <c r="E25" s="306">
        <v>3</v>
      </c>
      <c r="F25" s="305" t="s">
        <v>1515</v>
      </c>
      <c r="G25" s="307">
        <v>20000000</v>
      </c>
      <c r="H25" s="307">
        <v>0</v>
      </c>
      <c r="I25" s="307">
        <v>0</v>
      </c>
      <c r="J25" s="307">
        <v>20000000</v>
      </c>
      <c r="L25" s="309"/>
    </row>
    <row r="26" spans="1:12" ht="15" customHeight="1">
      <c r="A26" s="305" t="s">
        <v>323</v>
      </c>
      <c r="B26" s="305"/>
      <c r="C26" s="305"/>
      <c r="D26" s="305" t="s">
        <v>324</v>
      </c>
      <c r="E26" s="306">
        <v>4</v>
      </c>
      <c r="F26" s="305" t="s">
        <v>1515</v>
      </c>
      <c r="G26" s="307">
        <v>20000000</v>
      </c>
      <c r="H26" s="307">
        <v>0</v>
      </c>
      <c r="I26" s="307">
        <v>0</v>
      </c>
      <c r="J26" s="307">
        <v>20000000</v>
      </c>
      <c r="L26" s="309"/>
    </row>
    <row r="27" spans="1:12" ht="15" customHeight="1">
      <c r="A27" s="305" t="s">
        <v>326</v>
      </c>
      <c r="B27" s="305"/>
      <c r="C27" s="305"/>
      <c r="D27" s="305" t="s">
        <v>327</v>
      </c>
      <c r="E27" s="306">
        <v>3</v>
      </c>
      <c r="F27" s="305" t="s">
        <v>1515</v>
      </c>
      <c r="G27" s="307">
        <v>7497000</v>
      </c>
      <c r="H27" s="307">
        <v>3133573</v>
      </c>
      <c r="I27" s="307">
        <v>10568744</v>
      </c>
      <c r="J27" s="307">
        <v>61829</v>
      </c>
      <c r="L27" s="309"/>
    </row>
    <row r="28" spans="1:12" ht="15" customHeight="1">
      <c r="A28" s="305" t="s">
        <v>340</v>
      </c>
      <c r="B28" s="305"/>
      <c r="C28" s="305"/>
      <c r="D28" s="305" t="s">
        <v>341</v>
      </c>
      <c r="E28" s="306">
        <v>4</v>
      </c>
      <c r="F28" s="305" t="s">
        <v>1515</v>
      </c>
      <c r="G28" s="307">
        <v>7497000</v>
      </c>
      <c r="H28" s="307">
        <v>0</v>
      </c>
      <c r="I28" s="307">
        <v>7497000</v>
      </c>
      <c r="J28" s="307">
        <v>0</v>
      </c>
    </row>
    <row r="29" spans="1:12" ht="15" customHeight="1">
      <c r="A29" s="305" t="s">
        <v>343</v>
      </c>
      <c r="B29" s="305"/>
      <c r="C29" s="305"/>
      <c r="D29" s="305" t="s">
        <v>344</v>
      </c>
      <c r="E29" s="306">
        <v>5</v>
      </c>
      <c r="F29" s="305" t="s">
        <v>1515</v>
      </c>
      <c r="G29" s="307">
        <v>7497000</v>
      </c>
      <c r="H29" s="307">
        <v>0</v>
      </c>
      <c r="I29" s="307">
        <v>7497000</v>
      </c>
      <c r="J29" s="307">
        <v>0</v>
      </c>
    </row>
    <row r="30" spans="1:12" ht="15" customHeight="1">
      <c r="A30" s="305" t="s">
        <v>349</v>
      </c>
      <c r="B30" s="305"/>
      <c r="C30" s="305"/>
      <c r="D30" s="305" t="s">
        <v>150</v>
      </c>
      <c r="E30" s="306">
        <v>4</v>
      </c>
      <c r="F30" s="305" t="s">
        <v>1515</v>
      </c>
      <c r="G30" s="307">
        <v>0</v>
      </c>
      <c r="H30" s="307">
        <v>3133573</v>
      </c>
      <c r="I30" s="307">
        <v>3071744</v>
      </c>
      <c r="J30" s="307">
        <v>61829</v>
      </c>
    </row>
    <row r="31" spans="1:12" ht="15" customHeight="1">
      <c r="A31" s="305" t="s">
        <v>389</v>
      </c>
      <c r="B31" s="305"/>
      <c r="C31" s="305"/>
      <c r="D31" s="305" t="s">
        <v>390</v>
      </c>
      <c r="E31" s="306">
        <v>2</v>
      </c>
      <c r="F31" s="305" t="s">
        <v>1515</v>
      </c>
      <c r="G31" s="307">
        <v>46765430</v>
      </c>
      <c r="H31" s="307">
        <v>56917676</v>
      </c>
      <c r="I31" s="307">
        <v>19354676</v>
      </c>
      <c r="J31" s="307">
        <v>84328430</v>
      </c>
    </row>
    <row r="32" spans="1:12" ht="15" customHeight="1">
      <c r="A32" s="305" t="s">
        <v>391</v>
      </c>
      <c r="B32" s="305"/>
      <c r="C32" s="305"/>
      <c r="D32" s="305" t="s">
        <v>392</v>
      </c>
      <c r="E32" s="306">
        <v>3</v>
      </c>
      <c r="F32" s="305" t="s">
        <v>1515</v>
      </c>
      <c r="G32" s="307">
        <v>48715600</v>
      </c>
      <c r="H32" s="307">
        <v>56917676</v>
      </c>
      <c r="I32" s="307">
        <v>0</v>
      </c>
      <c r="J32" s="307">
        <v>105633276</v>
      </c>
    </row>
    <row r="33" spans="1:12" ht="15" customHeight="1">
      <c r="A33" s="305" t="s">
        <v>393</v>
      </c>
      <c r="B33" s="305"/>
      <c r="C33" s="305"/>
      <c r="D33" s="305" t="s">
        <v>394</v>
      </c>
      <c r="E33" s="306">
        <v>4</v>
      </c>
      <c r="F33" s="305" t="s">
        <v>1515</v>
      </c>
      <c r="G33" s="307">
        <v>48715600</v>
      </c>
      <c r="H33" s="307">
        <v>56917676</v>
      </c>
      <c r="I33" s="307">
        <v>0</v>
      </c>
      <c r="J33" s="307">
        <v>105633276</v>
      </c>
    </row>
    <row r="34" spans="1:12" ht="15" customHeight="1">
      <c r="A34" s="305" t="s">
        <v>395</v>
      </c>
      <c r="B34" s="305"/>
      <c r="C34" s="305"/>
      <c r="D34" s="305" t="s">
        <v>396</v>
      </c>
      <c r="E34" s="306">
        <v>5</v>
      </c>
      <c r="F34" s="305" t="s">
        <v>1515</v>
      </c>
      <c r="G34" s="307">
        <v>46150000</v>
      </c>
      <c r="H34" s="307">
        <v>49655676</v>
      </c>
      <c r="I34" s="307">
        <v>0</v>
      </c>
      <c r="J34" s="307">
        <v>95805676</v>
      </c>
    </row>
    <row r="35" spans="1:12" ht="15" customHeight="1">
      <c r="A35" s="305" t="s">
        <v>403</v>
      </c>
      <c r="B35" s="305"/>
      <c r="C35" s="305"/>
      <c r="D35" s="305" t="s">
        <v>404</v>
      </c>
      <c r="E35" s="306">
        <v>5</v>
      </c>
      <c r="F35" s="305" t="s">
        <v>1515</v>
      </c>
      <c r="G35" s="307">
        <v>2565600</v>
      </c>
      <c r="H35" s="307">
        <v>7262000</v>
      </c>
      <c r="I35" s="307">
        <v>0</v>
      </c>
      <c r="J35" s="307">
        <v>9827600</v>
      </c>
    </row>
    <row r="36" spans="1:12" ht="15" customHeight="1">
      <c r="A36" s="305" t="s">
        <v>411</v>
      </c>
      <c r="B36" s="305"/>
      <c r="C36" s="305"/>
      <c r="D36" s="305" t="s">
        <v>412</v>
      </c>
      <c r="E36" s="306">
        <v>3</v>
      </c>
      <c r="F36" s="305" t="s">
        <v>1515</v>
      </c>
      <c r="G36" s="307">
        <v>-1950170</v>
      </c>
      <c r="H36" s="307">
        <v>0</v>
      </c>
      <c r="I36" s="307">
        <v>19354676</v>
      </c>
      <c r="J36" s="307">
        <v>-21304846</v>
      </c>
    </row>
    <row r="37" spans="1:12" ht="15" customHeight="1">
      <c r="A37" s="305" t="s">
        <v>413</v>
      </c>
      <c r="B37" s="305"/>
      <c r="C37" s="305"/>
      <c r="D37" s="305" t="s">
        <v>414</v>
      </c>
      <c r="E37" s="306">
        <v>4</v>
      </c>
      <c r="F37" s="305" t="s">
        <v>1515</v>
      </c>
      <c r="G37" s="307">
        <v>-1950170</v>
      </c>
      <c r="H37" s="307">
        <v>0</v>
      </c>
      <c r="I37" s="307">
        <v>19354676</v>
      </c>
      <c r="J37" s="307">
        <v>-21304846</v>
      </c>
    </row>
    <row r="38" spans="1:12" ht="15" customHeight="1">
      <c r="A38" s="305" t="s">
        <v>415</v>
      </c>
      <c r="B38" s="305"/>
      <c r="C38" s="305"/>
      <c r="D38" s="305" t="s">
        <v>416</v>
      </c>
      <c r="E38" s="306">
        <v>5</v>
      </c>
      <c r="F38" s="305" t="s">
        <v>1515</v>
      </c>
      <c r="G38" s="307">
        <v>-1807636</v>
      </c>
      <c r="H38" s="307">
        <v>0</v>
      </c>
      <c r="I38" s="307">
        <v>17752259</v>
      </c>
      <c r="J38" s="307">
        <v>-19559895</v>
      </c>
    </row>
    <row r="39" spans="1:12" ht="15" customHeight="1">
      <c r="A39" s="305" t="s">
        <v>421</v>
      </c>
      <c r="B39" s="305"/>
      <c r="C39" s="305"/>
      <c r="D39" s="305" t="s">
        <v>404</v>
      </c>
      <c r="E39" s="306">
        <v>5</v>
      </c>
      <c r="F39" s="305" t="s">
        <v>1515</v>
      </c>
      <c r="G39" s="307">
        <v>-142534</v>
      </c>
      <c r="H39" s="307">
        <v>0</v>
      </c>
      <c r="I39" s="307">
        <v>1602417</v>
      </c>
      <c r="J39" s="307">
        <v>-1744951</v>
      </c>
    </row>
    <row r="40" spans="1:12" ht="15" customHeight="1">
      <c r="A40" s="305" t="s">
        <v>423</v>
      </c>
      <c r="B40" s="305"/>
      <c r="C40" s="305"/>
      <c r="D40" s="305" t="s">
        <v>424</v>
      </c>
      <c r="E40" s="306">
        <v>2</v>
      </c>
      <c r="F40" s="305" t="s">
        <v>1515</v>
      </c>
      <c r="G40" s="307">
        <v>53445938</v>
      </c>
      <c r="H40" s="307">
        <v>140727760</v>
      </c>
      <c r="I40" s="307">
        <v>141498760</v>
      </c>
      <c r="J40" s="307">
        <v>52674938</v>
      </c>
    </row>
    <row r="41" spans="1:12" ht="15" customHeight="1">
      <c r="A41" s="305" t="s">
        <v>425</v>
      </c>
      <c r="B41" s="305"/>
      <c r="C41" s="305"/>
      <c r="D41" s="305" t="s">
        <v>426</v>
      </c>
      <c r="E41" s="306">
        <v>3</v>
      </c>
      <c r="F41" s="305" t="s">
        <v>1515</v>
      </c>
      <c r="G41" s="307">
        <v>27200000</v>
      </c>
      <c r="H41" s="307">
        <v>103478760</v>
      </c>
      <c r="I41" s="307">
        <v>130678760</v>
      </c>
      <c r="J41" s="307">
        <v>0</v>
      </c>
    </row>
    <row r="42" spans="1:12" ht="15" customHeight="1">
      <c r="A42" s="305" t="s">
        <v>427</v>
      </c>
      <c r="B42" s="305"/>
      <c r="C42" s="305"/>
      <c r="D42" s="305" t="s">
        <v>428</v>
      </c>
      <c r="E42" s="306">
        <v>4</v>
      </c>
      <c r="F42" s="305" t="s">
        <v>1515</v>
      </c>
      <c r="G42" s="307">
        <v>27200000</v>
      </c>
      <c r="H42" s="307">
        <v>103478760</v>
      </c>
      <c r="I42" s="307">
        <v>130678760</v>
      </c>
      <c r="J42" s="307">
        <v>0</v>
      </c>
      <c r="K42" s="308"/>
    </row>
    <row r="43" spans="1:12" ht="15" customHeight="1">
      <c r="A43" s="305" t="s">
        <v>429</v>
      </c>
      <c r="B43" s="305"/>
      <c r="C43" s="305"/>
      <c r="D43" s="305" t="s">
        <v>430</v>
      </c>
      <c r="E43" s="306">
        <v>5</v>
      </c>
      <c r="F43" s="305" t="s">
        <v>1515</v>
      </c>
      <c r="G43" s="307">
        <v>27200000</v>
      </c>
      <c r="H43" s="307">
        <v>103478760</v>
      </c>
      <c r="I43" s="307">
        <v>130678760</v>
      </c>
      <c r="J43" s="307">
        <v>0</v>
      </c>
      <c r="K43" s="308"/>
    </row>
    <row r="44" spans="1:12" ht="15" customHeight="1">
      <c r="A44" s="305" t="s">
        <v>1625</v>
      </c>
      <c r="B44" s="305"/>
      <c r="C44" s="305"/>
      <c r="D44" s="305" t="s">
        <v>1385</v>
      </c>
      <c r="E44" s="306">
        <v>3</v>
      </c>
      <c r="F44" s="305" t="s">
        <v>1515</v>
      </c>
      <c r="G44" s="307">
        <v>26245938</v>
      </c>
      <c r="H44" s="307">
        <v>37249000</v>
      </c>
      <c r="I44" s="307">
        <v>10820000</v>
      </c>
      <c r="J44" s="307">
        <v>52674938</v>
      </c>
      <c r="K44" s="308"/>
    </row>
    <row r="45" spans="1:12" ht="15" customHeight="1">
      <c r="A45" s="305" t="s">
        <v>1626</v>
      </c>
      <c r="B45" s="305"/>
      <c r="C45" s="305"/>
      <c r="D45" s="305" t="s">
        <v>1627</v>
      </c>
      <c r="E45" s="306">
        <v>4</v>
      </c>
      <c r="F45" s="305" t="s">
        <v>1515</v>
      </c>
      <c r="G45" s="307">
        <v>26245938</v>
      </c>
      <c r="H45" s="307">
        <v>26429000</v>
      </c>
      <c r="I45" s="307">
        <v>0</v>
      </c>
      <c r="J45" s="307">
        <v>52674938</v>
      </c>
      <c r="K45" s="308"/>
    </row>
    <row r="46" spans="1:12" ht="15" customHeight="1">
      <c r="A46" s="305" t="s">
        <v>4223</v>
      </c>
      <c r="B46" s="305"/>
      <c r="C46" s="305"/>
      <c r="D46" s="305" t="s">
        <v>4224</v>
      </c>
      <c r="E46" s="306">
        <v>4</v>
      </c>
      <c r="F46" s="305" t="s">
        <v>1515</v>
      </c>
      <c r="G46" s="307">
        <v>0</v>
      </c>
      <c r="H46" s="307">
        <v>10820000</v>
      </c>
      <c r="I46" s="307">
        <v>10820000</v>
      </c>
      <c r="J46" s="307">
        <v>0</v>
      </c>
      <c r="K46" s="308"/>
      <c r="L46" s="308"/>
    </row>
    <row r="47" spans="1:12" ht="15" customHeight="1">
      <c r="A47" s="305" t="s">
        <v>433</v>
      </c>
      <c r="B47" s="305"/>
      <c r="C47" s="305"/>
      <c r="D47" s="305" t="s">
        <v>434</v>
      </c>
      <c r="E47" s="306">
        <v>1</v>
      </c>
      <c r="F47" s="305" t="s">
        <v>1628</v>
      </c>
      <c r="G47" s="307">
        <v>225785723</v>
      </c>
      <c r="H47" s="307">
        <v>739530700.48000002</v>
      </c>
      <c r="I47" s="307">
        <v>914736985.55999994</v>
      </c>
      <c r="J47" s="307">
        <v>400992008.07999998</v>
      </c>
    </row>
    <row r="48" spans="1:12" ht="15" customHeight="1">
      <c r="A48" s="305" t="s">
        <v>435</v>
      </c>
      <c r="B48" s="305"/>
      <c r="C48" s="305"/>
      <c r="D48" s="305" t="s">
        <v>436</v>
      </c>
      <c r="E48" s="306">
        <v>2</v>
      </c>
      <c r="F48" s="305" t="s">
        <v>1628</v>
      </c>
      <c r="G48" s="307">
        <v>215420000</v>
      </c>
      <c r="H48" s="307">
        <v>7497000</v>
      </c>
      <c r="I48" s="307">
        <v>184782400</v>
      </c>
      <c r="J48" s="307">
        <v>392705400</v>
      </c>
    </row>
    <row r="49" spans="1:10" ht="15" customHeight="1">
      <c r="A49" s="305" t="s">
        <v>437</v>
      </c>
      <c r="B49" s="305"/>
      <c r="C49" s="305"/>
      <c r="D49" s="305" t="s">
        <v>438</v>
      </c>
      <c r="E49" s="306">
        <v>3</v>
      </c>
      <c r="F49" s="305" t="s">
        <v>1628</v>
      </c>
      <c r="G49" s="307">
        <v>215420000</v>
      </c>
      <c r="H49" s="307">
        <v>7497000</v>
      </c>
      <c r="I49" s="307">
        <v>184782400</v>
      </c>
      <c r="J49" s="307">
        <v>392705400</v>
      </c>
    </row>
    <row r="50" spans="1:10" ht="15" customHeight="1">
      <c r="A50" s="305" t="s">
        <v>1629</v>
      </c>
      <c r="B50" s="305"/>
      <c r="C50" s="305"/>
      <c r="D50" s="305" t="s">
        <v>1630</v>
      </c>
      <c r="E50" s="306">
        <v>4</v>
      </c>
      <c r="F50" s="305" t="s">
        <v>1628</v>
      </c>
      <c r="G50" s="307">
        <v>137300000</v>
      </c>
      <c r="H50" s="307">
        <v>7497000</v>
      </c>
      <c r="I50" s="307">
        <v>156900000</v>
      </c>
      <c r="J50" s="307">
        <v>286703000</v>
      </c>
    </row>
    <row r="51" spans="1:10" ht="15" customHeight="1">
      <c r="A51" s="305" t="s">
        <v>1631</v>
      </c>
      <c r="B51" s="305"/>
      <c r="C51" s="305"/>
      <c r="D51" s="305" t="s">
        <v>1632</v>
      </c>
      <c r="E51" s="306">
        <v>4</v>
      </c>
      <c r="F51" s="305" t="s">
        <v>1628</v>
      </c>
      <c r="G51" s="307">
        <v>78120000</v>
      </c>
      <c r="H51" s="307">
        <v>0</v>
      </c>
      <c r="I51" s="307">
        <v>27882400</v>
      </c>
      <c r="J51" s="307">
        <v>106002400</v>
      </c>
    </row>
    <row r="52" spans="1:10" ht="15" customHeight="1">
      <c r="A52" s="305" t="s">
        <v>442</v>
      </c>
      <c r="B52" s="305"/>
      <c r="C52" s="305"/>
      <c r="D52" s="305" t="s">
        <v>443</v>
      </c>
      <c r="E52" s="306">
        <v>2</v>
      </c>
      <c r="F52" s="305" t="s">
        <v>1628</v>
      </c>
      <c r="G52" s="307">
        <v>9299798</v>
      </c>
      <c r="H52" s="307">
        <v>497615631.47000003</v>
      </c>
      <c r="I52" s="307">
        <v>493876010.55000001</v>
      </c>
      <c r="J52" s="307">
        <v>5560177.0800000001</v>
      </c>
    </row>
    <row r="53" spans="1:10" ht="15" customHeight="1">
      <c r="A53" s="305" t="s">
        <v>444</v>
      </c>
      <c r="B53" s="305"/>
      <c r="C53" s="305"/>
      <c r="D53" s="305" t="s">
        <v>445</v>
      </c>
      <c r="E53" s="306">
        <v>3</v>
      </c>
      <c r="F53" s="305" t="s">
        <v>1628</v>
      </c>
      <c r="G53" s="307">
        <v>6184484</v>
      </c>
      <c r="H53" s="307">
        <v>427013087.47000003</v>
      </c>
      <c r="I53" s="307">
        <v>422334610.55000001</v>
      </c>
      <c r="J53" s="307">
        <v>1506007.08</v>
      </c>
    </row>
    <row r="54" spans="1:10" ht="15" customHeight="1">
      <c r="A54" s="305" t="s">
        <v>449</v>
      </c>
      <c r="B54" s="305"/>
      <c r="C54" s="305"/>
      <c r="D54" s="305" t="s">
        <v>450</v>
      </c>
      <c r="E54" s="306">
        <v>4</v>
      </c>
      <c r="F54" s="305" t="s">
        <v>1628</v>
      </c>
      <c r="G54" s="307">
        <v>0</v>
      </c>
      <c r="H54" s="307">
        <v>1474400</v>
      </c>
      <c r="I54" s="307">
        <v>1474400</v>
      </c>
      <c r="J54" s="307">
        <v>0</v>
      </c>
    </row>
    <row r="55" spans="1:10" ht="15" customHeight="1">
      <c r="A55" s="305" t="s">
        <v>452</v>
      </c>
      <c r="B55" s="305"/>
      <c r="C55" s="305"/>
      <c r="D55" s="305" t="s">
        <v>453</v>
      </c>
      <c r="E55" s="306">
        <v>5</v>
      </c>
      <c r="F55" s="305" t="s">
        <v>1628</v>
      </c>
      <c r="G55" s="307">
        <v>0</v>
      </c>
      <c r="H55" s="307">
        <v>232900</v>
      </c>
      <c r="I55" s="307">
        <v>232900</v>
      </c>
      <c r="J55" s="307">
        <v>0</v>
      </c>
    </row>
    <row r="56" spans="1:10" ht="15" customHeight="1">
      <c r="A56" s="305" t="s">
        <v>4225</v>
      </c>
      <c r="B56" s="305"/>
      <c r="C56" s="305"/>
      <c r="D56" s="305" t="s">
        <v>1296</v>
      </c>
      <c r="E56" s="306">
        <v>5</v>
      </c>
      <c r="F56" s="305" t="s">
        <v>1628</v>
      </c>
      <c r="G56" s="307">
        <v>0</v>
      </c>
      <c r="H56" s="307">
        <v>5000</v>
      </c>
      <c r="I56" s="307">
        <v>5000</v>
      </c>
      <c r="J56" s="307">
        <v>0</v>
      </c>
    </row>
    <row r="57" spans="1:10" ht="15" customHeight="1">
      <c r="A57" s="305" t="s">
        <v>4226</v>
      </c>
      <c r="B57" s="305"/>
      <c r="C57" s="305"/>
      <c r="D57" s="305" t="s">
        <v>4227</v>
      </c>
      <c r="E57" s="306">
        <v>5</v>
      </c>
      <c r="F57" s="305" t="s">
        <v>1628</v>
      </c>
      <c r="G57" s="307">
        <v>0</v>
      </c>
      <c r="H57" s="307">
        <v>1236500</v>
      </c>
      <c r="I57" s="307">
        <v>1236500</v>
      </c>
      <c r="J57" s="307">
        <v>0</v>
      </c>
    </row>
    <row r="58" spans="1:10" ht="15" customHeight="1">
      <c r="A58" s="305" t="s">
        <v>459</v>
      </c>
      <c r="B58" s="305"/>
      <c r="C58" s="305"/>
      <c r="D58" s="305" t="s">
        <v>217</v>
      </c>
      <c r="E58" s="306">
        <v>4</v>
      </c>
      <c r="F58" s="305" t="s">
        <v>1628</v>
      </c>
      <c r="G58" s="307">
        <v>0</v>
      </c>
      <c r="H58" s="307">
        <v>1535700</v>
      </c>
      <c r="I58" s="307">
        <v>1535700</v>
      </c>
      <c r="J58" s="307">
        <v>0</v>
      </c>
    </row>
    <row r="59" spans="1:10" ht="15" customHeight="1">
      <c r="A59" s="305" t="s">
        <v>461</v>
      </c>
      <c r="B59" s="305"/>
      <c r="C59" s="305"/>
      <c r="D59" s="305" t="s">
        <v>462</v>
      </c>
      <c r="E59" s="306">
        <v>5</v>
      </c>
      <c r="F59" s="305" t="s">
        <v>1628</v>
      </c>
      <c r="G59" s="307">
        <v>0</v>
      </c>
      <c r="H59" s="307">
        <v>114444</v>
      </c>
      <c r="I59" s="307">
        <v>114444</v>
      </c>
      <c r="J59" s="307">
        <v>0</v>
      </c>
    </row>
    <row r="60" spans="1:10" ht="15" customHeight="1">
      <c r="A60" s="305" t="s">
        <v>465</v>
      </c>
      <c r="B60" s="305"/>
      <c r="C60" s="305"/>
      <c r="D60" s="305" t="s">
        <v>466</v>
      </c>
      <c r="E60" s="306">
        <v>5</v>
      </c>
      <c r="F60" s="305" t="s">
        <v>1628</v>
      </c>
      <c r="G60" s="307">
        <v>0</v>
      </c>
      <c r="H60" s="307">
        <v>1040456</v>
      </c>
      <c r="I60" s="307">
        <v>1040456</v>
      </c>
      <c r="J60" s="307">
        <v>0</v>
      </c>
    </row>
    <row r="61" spans="1:10" ht="15" customHeight="1">
      <c r="A61" s="305" t="s">
        <v>1633</v>
      </c>
      <c r="B61" s="305"/>
      <c r="C61" s="305"/>
      <c r="D61" s="305" t="s">
        <v>1634</v>
      </c>
      <c r="E61" s="306">
        <v>5</v>
      </c>
      <c r="F61" s="305" t="s">
        <v>1628</v>
      </c>
      <c r="G61" s="307">
        <v>0</v>
      </c>
      <c r="H61" s="307">
        <v>380800</v>
      </c>
      <c r="I61" s="307">
        <v>380800</v>
      </c>
      <c r="J61" s="307">
        <v>0</v>
      </c>
    </row>
    <row r="62" spans="1:10" ht="15" customHeight="1">
      <c r="A62" s="305" t="s">
        <v>472</v>
      </c>
      <c r="B62" s="305"/>
      <c r="C62" s="305"/>
      <c r="D62" s="305" t="s">
        <v>473</v>
      </c>
      <c r="E62" s="306">
        <v>4</v>
      </c>
      <c r="F62" s="305" t="s">
        <v>1628</v>
      </c>
      <c r="G62" s="307">
        <v>2324124</v>
      </c>
      <c r="H62" s="307">
        <v>3267124</v>
      </c>
      <c r="I62" s="307">
        <v>943000</v>
      </c>
      <c r="J62" s="307">
        <v>0</v>
      </c>
    </row>
    <row r="63" spans="1:10" ht="15" customHeight="1">
      <c r="A63" s="305" t="s">
        <v>475</v>
      </c>
      <c r="B63" s="305"/>
      <c r="C63" s="305"/>
      <c r="D63" s="305" t="s">
        <v>476</v>
      </c>
      <c r="E63" s="306">
        <v>5</v>
      </c>
      <c r="F63" s="305" t="s">
        <v>1628</v>
      </c>
      <c r="G63" s="307">
        <v>2324124</v>
      </c>
      <c r="H63" s="307">
        <v>3267124</v>
      </c>
      <c r="I63" s="307">
        <v>943000</v>
      </c>
      <c r="J63" s="307">
        <v>0</v>
      </c>
    </row>
    <row r="64" spans="1:10" ht="15" customHeight="1">
      <c r="A64" s="305" t="s">
        <v>481</v>
      </c>
      <c r="B64" s="305"/>
      <c r="C64" s="305"/>
      <c r="D64" s="305" t="s">
        <v>222</v>
      </c>
      <c r="E64" s="306">
        <v>4</v>
      </c>
      <c r="F64" s="305" t="s">
        <v>1628</v>
      </c>
      <c r="G64" s="307">
        <v>0</v>
      </c>
      <c r="H64" s="307">
        <v>230636992</v>
      </c>
      <c r="I64" s="307">
        <v>230636992</v>
      </c>
      <c r="J64" s="307">
        <v>0</v>
      </c>
    </row>
    <row r="65" spans="1:10" ht="15" customHeight="1">
      <c r="A65" s="305" t="s">
        <v>483</v>
      </c>
      <c r="B65" s="305"/>
      <c r="C65" s="305"/>
      <c r="D65" s="305" t="s">
        <v>484</v>
      </c>
      <c r="E65" s="306">
        <v>5</v>
      </c>
      <c r="F65" s="305" t="s">
        <v>1628</v>
      </c>
      <c r="G65" s="307">
        <v>0</v>
      </c>
      <c r="H65" s="307">
        <v>229877333</v>
      </c>
      <c r="I65" s="307">
        <v>229877333</v>
      </c>
      <c r="J65" s="307">
        <v>0</v>
      </c>
    </row>
    <row r="66" spans="1:10" ht="15" customHeight="1">
      <c r="A66" s="305" t="s">
        <v>4228</v>
      </c>
      <c r="B66" s="305"/>
      <c r="C66" s="305"/>
      <c r="D66" s="305" t="s">
        <v>4229</v>
      </c>
      <c r="E66" s="306">
        <v>5</v>
      </c>
      <c r="F66" s="305" t="s">
        <v>1628</v>
      </c>
      <c r="G66" s="307">
        <v>0</v>
      </c>
      <c r="H66" s="307">
        <v>759659</v>
      </c>
      <c r="I66" s="307">
        <v>759659</v>
      </c>
      <c r="J66" s="307">
        <v>0</v>
      </c>
    </row>
    <row r="67" spans="1:10" ht="15" customHeight="1">
      <c r="A67" s="305" t="s">
        <v>487</v>
      </c>
      <c r="B67" s="305"/>
      <c r="C67" s="305"/>
      <c r="D67" s="305" t="s">
        <v>488</v>
      </c>
      <c r="E67" s="306">
        <v>4</v>
      </c>
      <c r="F67" s="305" t="s">
        <v>1628</v>
      </c>
      <c r="G67" s="307">
        <v>0</v>
      </c>
      <c r="H67" s="307">
        <v>51600</v>
      </c>
      <c r="I67" s="307">
        <v>51600</v>
      </c>
      <c r="J67" s="307">
        <v>0</v>
      </c>
    </row>
    <row r="68" spans="1:10" ht="15" customHeight="1">
      <c r="A68" s="305" t="s">
        <v>490</v>
      </c>
      <c r="B68" s="305"/>
      <c r="C68" s="305"/>
      <c r="D68" s="305" t="s">
        <v>491</v>
      </c>
      <c r="E68" s="306">
        <v>5</v>
      </c>
      <c r="F68" s="305" t="s">
        <v>1628</v>
      </c>
      <c r="G68" s="307">
        <v>0</v>
      </c>
      <c r="H68" s="307">
        <v>51600</v>
      </c>
      <c r="I68" s="307">
        <v>51600</v>
      </c>
      <c r="J68" s="307">
        <v>0</v>
      </c>
    </row>
    <row r="69" spans="1:10" ht="15" customHeight="1">
      <c r="A69" s="305" t="s">
        <v>498</v>
      </c>
      <c r="B69" s="305"/>
      <c r="C69" s="305"/>
      <c r="D69" s="305" t="s">
        <v>499</v>
      </c>
      <c r="E69" s="306">
        <v>4</v>
      </c>
      <c r="F69" s="305" t="s">
        <v>1628</v>
      </c>
      <c r="G69" s="307">
        <v>3848460</v>
      </c>
      <c r="H69" s="307">
        <v>99324386.329999998</v>
      </c>
      <c r="I69" s="307">
        <v>96867899.409999996</v>
      </c>
      <c r="J69" s="307">
        <v>1391973.08</v>
      </c>
    </row>
    <row r="70" spans="1:10" ht="15" customHeight="1">
      <c r="A70" s="305" t="s">
        <v>501</v>
      </c>
      <c r="B70" s="305"/>
      <c r="C70" s="305"/>
      <c r="D70" s="305" t="s">
        <v>502</v>
      </c>
      <c r="E70" s="306">
        <v>5</v>
      </c>
      <c r="F70" s="305" t="s">
        <v>1628</v>
      </c>
      <c r="G70" s="307">
        <v>0</v>
      </c>
      <c r="H70" s="307">
        <v>1916745.51</v>
      </c>
      <c r="I70" s="307">
        <v>1916745.51</v>
      </c>
      <c r="J70" s="307">
        <v>0</v>
      </c>
    </row>
    <row r="71" spans="1:10" ht="15" customHeight="1">
      <c r="A71" s="305" t="s">
        <v>505</v>
      </c>
      <c r="B71" s="305"/>
      <c r="C71" s="305"/>
      <c r="D71" s="305" t="s">
        <v>506</v>
      </c>
      <c r="E71" s="306">
        <v>5</v>
      </c>
      <c r="F71" s="305" t="s">
        <v>1628</v>
      </c>
      <c r="G71" s="307">
        <v>0</v>
      </c>
      <c r="H71" s="307">
        <v>1221849.29</v>
      </c>
      <c r="I71" s="307">
        <v>1221849.29</v>
      </c>
      <c r="J71" s="307">
        <v>0</v>
      </c>
    </row>
    <row r="72" spans="1:10" ht="15" customHeight="1">
      <c r="A72" s="305" t="s">
        <v>509</v>
      </c>
      <c r="B72" s="305"/>
      <c r="C72" s="305"/>
      <c r="D72" s="305" t="s">
        <v>510</v>
      </c>
      <c r="E72" s="306">
        <v>5</v>
      </c>
      <c r="F72" s="305" t="s">
        <v>1628</v>
      </c>
      <c r="G72" s="307">
        <v>0</v>
      </c>
      <c r="H72" s="307">
        <v>447600</v>
      </c>
      <c r="I72" s="307">
        <v>447600</v>
      </c>
      <c r="J72" s="307">
        <v>0</v>
      </c>
    </row>
    <row r="73" spans="1:10" ht="15" customHeight="1">
      <c r="A73" s="305" t="s">
        <v>512</v>
      </c>
      <c r="B73" s="305"/>
      <c r="C73" s="305"/>
      <c r="D73" s="305" t="s">
        <v>513</v>
      </c>
      <c r="E73" s="306">
        <v>5</v>
      </c>
      <c r="F73" s="305" t="s">
        <v>1628</v>
      </c>
      <c r="G73" s="307">
        <v>0</v>
      </c>
      <c r="H73" s="307">
        <v>21728355.719999999</v>
      </c>
      <c r="I73" s="307">
        <v>23120328.800000001</v>
      </c>
      <c r="J73" s="307">
        <v>1391973.08</v>
      </c>
    </row>
    <row r="74" spans="1:10" ht="15" customHeight="1">
      <c r="A74" s="305" t="s">
        <v>515</v>
      </c>
      <c r="B74" s="305"/>
      <c r="C74" s="305"/>
      <c r="D74" s="305" t="s">
        <v>516</v>
      </c>
      <c r="E74" s="306">
        <v>5</v>
      </c>
      <c r="F74" s="305" t="s">
        <v>1628</v>
      </c>
      <c r="G74" s="307">
        <v>0</v>
      </c>
      <c r="H74" s="307">
        <v>25861210</v>
      </c>
      <c r="I74" s="307">
        <v>25861210</v>
      </c>
      <c r="J74" s="307">
        <v>0</v>
      </c>
    </row>
    <row r="75" spans="1:10" ht="15" customHeight="1">
      <c r="A75" s="305" t="s">
        <v>518</v>
      </c>
      <c r="B75" s="305"/>
      <c r="C75" s="305"/>
      <c r="D75" s="305" t="s">
        <v>519</v>
      </c>
      <c r="E75" s="306">
        <v>5</v>
      </c>
      <c r="F75" s="305" t="s">
        <v>1628</v>
      </c>
      <c r="G75" s="307">
        <v>3848460</v>
      </c>
      <c r="H75" s="307">
        <v>45144003</v>
      </c>
      <c r="I75" s="307">
        <v>41295543</v>
      </c>
      <c r="J75" s="307">
        <v>0</v>
      </c>
    </row>
    <row r="76" spans="1:10" ht="15" customHeight="1">
      <c r="A76" s="305" t="s">
        <v>1637</v>
      </c>
      <c r="B76" s="305"/>
      <c r="C76" s="305"/>
      <c r="D76" s="305" t="s">
        <v>1638</v>
      </c>
      <c r="E76" s="306">
        <v>5</v>
      </c>
      <c r="F76" s="305" t="s">
        <v>1628</v>
      </c>
      <c r="G76" s="307">
        <v>0</v>
      </c>
      <c r="H76" s="307">
        <v>3004622.81</v>
      </c>
      <c r="I76" s="307">
        <v>3004622.81</v>
      </c>
      <c r="J76" s="307">
        <v>0</v>
      </c>
    </row>
    <row r="77" spans="1:10" ht="15" customHeight="1">
      <c r="A77" s="305" t="s">
        <v>521</v>
      </c>
      <c r="B77" s="305"/>
      <c r="C77" s="305"/>
      <c r="D77" s="305" t="s">
        <v>522</v>
      </c>
      <c r="E77" s="306">
        <v>4</v>
      </c>
      <c r="F77" s="305" t="s">
        <v>1628</v>
      </c>
      <c r="G77" s="307">
        <v>0</v>
      </c>
      <c r="H77" s="307">
        <v>667241</v>
      </c>
      <c r="I77" s="307">
        <v>667241</v>
      </c>
      <c r="J77" s="307">
        <v>0</v>
      </c>
    </row>
    <row r="78" spans="1:10" ht="15" customHeight="1">
      <c r="A78" s="305" t="s">
        <v>541</v>
      </c>
      <c r="B78" s="305"/>
      <c r="C78" s="305"/>
      <c r="D78" s="305" t="s">
        <v>150</v>
      </c>
      <c r="E78" s="306">
        <v>4</v>
      </c>
      <c r="F78" s="305" t="s">
        <v>1628</v>
      </c>
      <c r="G78" s="307">
        <v>11900</v>
      </c>
      <c r="H78" s="307">
        <v>90055644.140000001</v>
      </c>
      <c r="I78" s="307">
        <v>90157778.140000001</v>
      </c>
      <c r="J78" s="307">
        <v>114034</v>
      </c>
    </row>
    <row r="79" spans="1:10" ht="15" customHeight="1">
      <c r="A79" s="305" t="s">
        <v>543</v>
      </c>
      <c r="B79" s="305"/>
      <c r="C79" s="305"/>
      <c r="D79" s="305" t="s">
        <v>544</v>
      </c>
      <c r="E79" s="306">
        <v>5</v>
      </c>
      <c r="F79" s="305" t="s">
        <v>1628</v>
      </c>
      <c r="G79" s="307">
        <v>0</v>
      </c>
      <c r="H79" s="307">
        <v>60179742.729999997</v>
      </c>
      <c r="I79" s="307">
        <v>60179742.729999997</v>
      </c>
      <c r="J79" s="307">
        <v>0</v>
      </c>
    </row>
    <row r="80" spans="1:10" ht="15" customHeight="1">
      <c r="A80" s="305" t="s">
        <v>546</v>
      </c>
      <c r="B80" s="305"/>
      <c r="C80" s="305"/>
      <c r="D80" s="305" t="s">
        <v>547</v>
      </c>
      <c r="E80" s="306">
        <v>5</v>
      </c>
      <c r="F80" s="305" t="s">
        <v>1628</v>
      </c>
      <c r="G80" s="307">
        <v>11900</v>
      </c>
      <c r="H80" s="307">
        <v>17951212</v>
      </c>
      <c r="I80" s="307">
        <v>18053346</v>
      </c>
      <c r="J80" s="307">
        <v>114034</v>
      </c>
    </row>
    <row r="81" spans="1:11" ht="15" customHeight="1">
      <c r="A81" s="305" t="s">
        <v>552</v>
      </c>
      <c r="B81" s="305"/>
      <c r="C81" s="305"/>
      <c r="D81" s="305" t="s">
        <v>553</v>
      </c>
      <c r="E81" s="306">
        <v>5</v>
      </c>
      <c r="F81" s="305" t="s">
        <v>1628</v>
      </c>
      <c r="G81" s="307">
        <v>0</v>
      </c>
      <c r="H81" s="307">
        <v>5092341.41</v>
      </c>
      <c r="I81" s="307">
        <v>5092341.41</v>
      </c>
      <c r="J81" s="307">
        <v>0</v>
      </c>
    </row>
    <row r="82" spans="1:11" ht="15" customHeight="1">
      <c r="A82" s="305" t="s">
        <v>556</v>
      </c>
      <c r="B82" s="305"/>
      <c r="C82" s="305"/>
      <c r="D82" s="305" t="s">
        <v>557</v>
      </c>
      <c r="E82" s="306">
        <v>5</v>
      </c>
      <c r="F82" s="305" t="s">
        <v>1628</v>
      </c>
      <c r="G82" s="307">
        <v>0</v>
      </c>
      <c r="H82" s="307">
        <v>4562428</v>
      </c>
      <c r="I82" s="307">
        <v>4562428</v>
      </c>
      <c r="J82" s="307">
        <v>0</v>
      </c>
    </row>
    <row r="83" spans="1:11" ht="15" customHeight="1">
      <c r="A83" s="305" t="s">
        <v>1641</v>
      </c>
      <c r="B83" s="305"/>
      <c r="C83" s="305"/>
      <c r="D83" s="305" t="s">
        <v>1642</v>
      </c>
      <c r="E83" s="306">
        <v>5</v>
      </c>
      <c r="F83" s="305" t="s">
        <v>1628</v>
      </c>
      <c r="G83" s="307">
        <v>0</v>
      </c>
      <c r="H83" s="307">
        <v>2269920</v>
      </c>
      <c r="I83" s="307">
        <v>2269920</v>
      </c>
      <c r="J83" s="307">
        <v>0</v>
      </c>
    </row>
    <row r="84" spans="1:11" ht="15" customHeight="1">
      <c r="A84" s="305" t="s">
        <v>576</v>
      </c>
      <c r="B84" s="305"/>
      <c r="C84" s="305"/>
      <c r="D84" s="305" t="s">
        <v>236</v>
      </c>
      <c r="E84" s="306">
        <v>3</v>
      </c>
      <c r="F84" s="305" t="s">
        <v>1628</v>
      </c>
      <c r="G84" s="307">
        <v>828256</v>
      </c>
      <c r="H84" s="307">
        <v>22354428</v>
      </c>
      <c r="I84" s="307">
        <v>22689172</v>
      </c>
      <c r="J84" s="307">
        <v>1163000</v>
      </c>
    </row>
    <row r="85" spans="1:11" ht="15" customHeight="1">
      <c r="A85" s="305" t="s">
        <v>577</v>
      </c>
      <c r="B85" s="305"/>
      <c r="C85" s="305"/>
      <c r="D85" s="305" t="s">
        <v>578</v>
      </c>
      <c r="E85" s="306">
        <v>4</v>
      </c>
      <c r="F85" s="305" t="s">
        <v>1628</v>
      </c>
      <c r="G85" s="307">
        <v>0</v>
      </c>
      <c r="H85" s="307">
        <v>19800</v>
      </c>
      <c r="I85" s="307">
        <v>19800</v>
      </c>
      <c r="J85" s="307">
        <v>0</v>
      </c>
    </row>
    <row r="86" spans="1:11" ht="15" customHeight="1">
      <c r="A86" s="305" t="s">
        <v>579</v>
      </c>
      <c r="B86" s="305"/>
      <c r="C86" s="305"/>
      <c r="D86" s="305" t="s">
        <v>578</v>
      </c>
      <c r="E86" s="306">
        <v>5</v>
      </c>
      <c r="F86" s="305" t="s">
        <v>1628</v>
      </c>
      <c r="G86" s="307">
        <v>0</v>
      </c>
      <c r="H86" s="307">
        <v>19800</v>
      </c>
      <c r="I86" s="307">
        <v>19800</v>
      </c>
      <c r="J86" s="307">
        <v>0</v>
      </c>
      <c r="K86" s="311"/>
    </row>
    <row r="87" spans="1:11" ht="15" customHeight="1">
      <c r="A87" s="305" t="s">
        <v>581</v>
      </c>
      <c r="B87" s="305"/>
      <c r="C87" s="305"/>
      <c r="D87" s="305" t="s">
        <v>217</v>
      </c>
      <c r="E87" s="306">
        <v>4</v>
      </c>
      <c r="F87" s="305" t="s">
        <v>1628</v>
      </c>
      <c r="G87" s="307">
        <v>0</v>
      </c>
      <c r="H87" s="307">
        <v>144307</v>
      </c>
      <c r="I87" s="307">
        <v>144307</v>
      </c>
      <c r="J87" s="307">
        <v>0</v>
      </c>
    </row>
    <row r="88" spans="1:11" ht="15" customHeight="1">
      <c r="A88" s="305" t="s">
        <v>585</v>
      </c>
      <c r="B88" s="305"/>
      <c r="C88" s="305"/>
      <c r="D88" s="305" t="s">
        <v>244</v>
      </c>
      <c r="E88" s="306">
        <v>5</v>
      </c>
      <c r="F88" s="305" t="s">
        <v>1628</v>
      </c>
      <c r="G88" s="307">
        <v>0</v>
      </c>
      <c r="H88" s="307">
        <v>144307</v>
      </c>
      <c r="I88" s="307">
        <v>144307</v>
      </c>
      <c r="J88" s="307">
        <v>0</v>
      </c>
    </row>
    <row r="89" spans="1:11" ht="15" customHeight="1">
      <c r="A89" s="305" t="s">
        <v>594</v>
      </c>
      <c r="B89" s="305"/>
      <c r="C89" s="305"/>
      <c r="D89" s="305" t="s">
        <v>132</v>
      </c>
      <c r="E89" s="306">
        <v>4</v>
      </c>
      <c r="F89" s="305" t="s">
        <v>1628</v>
      </c>
      <c r="G89" s="307">
        <v>0</v>
      </c>
      <c r="H89" s="307">
        <v>160656</v>
      </c>
      <c r="I89" s="307">
        <v>160656</v>
      </c>
      <c r="J89" s="307">
        <v>0</v>
      </c>
    </row>
    <row r="90" spans="1:11" ht="15" customHeight="1">
      <c r="A90" s="305" t="s">
        <v>595</v>
      </c>
      <c r="B90" s="305"/>
      <c r="C90" s="305"/>
      <c r="D90" s="305" t="s">
        <v>596</v>
      </c>
      <c r="E90" s="306">
        <v>5</v>
      </c>
      <c r="F90" s="305" t="s">
        <v>1628</v>
      </c>
      <c r="G90" s="307">
        <v>0</v>
      </c>
      <c r="H90" s="307">
        <v>14920</v>
      </c>
      <c r="I90" s="307">
        <v>14920</v>
      </c>
      <c r="J90" s="307">
        <v>0</v>
      </c>
      <c r="K90" s="311"/>
    </row>
    <row r="91" spans="1:11" ht="15" customHeight="1">
      <c r="A91" s="305" t="s">
        <v>598</v>
      </c>
      <c r="B91" s="305"/>
      <c r="C91" s="305"/>
      <c r="D91" s="305" t="s">
        <v>599</v>
      </c>
      <c r="E91" s="306">
        <v>5</v>
      </c>
      <c r="F91" s="305" t="s">
        <v>1628</v>
      </c>
      <c r="G91" s="307">
        <v>0</v>
      </c>
      <c r="H91" s="307">
        <v>119304</v>
      </c>
      <c r="I91" s="307">
        <v>119304</v>
      </c>
      <c r="J91" s="307">
        <v>0</v>
      </c>
    </row>
    <row r="92" spans="1:11" ht="15" customHeight="1">
      <c r="A92" s="305" t="s">
        <v>601</v>
      </c>
      <c r="B92" s="305"/>
      <c r="C92" s="305"/>
      <c r="D92" s="305" t="s">
        <v>602</v>
      </c>
      <c r="E92" s="306">
        <v>5</v>
      </c>
      <c r="F92" s="305" t="s">
        <v>1628</v>
      </c>
      <c r="G92" s="307">
        <v>0</v>
      </c>
      <c r="H92" s="307">
        <v>16212</v>
      </c>
      <c r="I92" s="307">
        <v>16212</v>
      </c>
      <c r="J92" s="307">
        <v>0</v>
      </c>
    </row>
    <row r="93" spans="1:11" ht="15" customHeight="1">
      <c r="A93" s="305" t="s">
        <v>604</v>
      </c>
      <c r="B93" s="305"/>
      <c r="C93" s="305"/>
      <c r="D93" s="305" t="s">
        <v>247</v>
      </c>
      <c r="E93" s="306">
        <v>5</v>
      </c>
      <c r="F93" s="305" t="s">
        <v>1628</v>
      </c>
      <c r="G93" s="307">
        <v>0</v>
      </c>
      <c r="H93" s="307">
        <v>10220</v>
      </c>
      <c r="I93" s="307">
        <v>10220</v>
      </c>
      <c r="J93" s="307">
        <v>0</v>
      </c>
    </row>
    <row r="94" spans="1:11" ht="15" customHeight="1">
      <c r="A94" s="305" t="s">
        <v>609</v>
      </c>
      <c r="B94" s="305"/>
      <c r="C94" s="305"/>
      <c r="D94" s="305" t="s">
        <v>222</v>
      </c>
      <c r="E94" s="306">
        <v>4</v>
      </c>
      <c r="F94" s="305" t="s">
        <v>1628</v>
      </c>
      <c r="G94" s="307">
        <v>0</v>
      </c>
      <c r="H94" s="307">
        <v>6438759</v>
      </c>
      <c r="I94" s="307">
        <v>6438759</v>
      </c>
      <c r="J94" s="307">
        <v>0</v>
      </c>
    </row>
    <row r="95" spans="1:11" ht="15" customHeight="1">
      <c r="A95" s="305" t="s">
        <v>610</v>
      </c>
      <c r="B95" s="305"/>
      <c r="C95" s="305"/>
      <c r="D95" s="305" t="s">
        <v>611</v>
      </c>
      <c r="E95" s="306">
        <v>5</v>
      </c>
      <c r="F95" s="305" t="s">
        <v>1628</v>
      </c>
      <c r="G95" s="307">
        <v>0</v>
      </c>
      <c r="H95" s="307">
        <v>6387559</v>
      </c>
      <c r="I95" s="307">
        <v>6387559</v>
      </c>
      <c r="J95" s="307">
        <v>0</v>
      </c>
      <c r="K95" s="311"/>
    </row>
    <row r="96" spans="1:11" ht="15" customHeight="1">
      <c r="A96" s="305" t="s">
        <v>613</v>
      </c>
      <c r="B96" s="305"/>
      <c r="C96" s="305"/>
      <c r="D96" s="305" t="s">
        <v>241</v>
      </c>
      <c r="E96" s="306">
        <v>5</v>
      </c>
      <c r="F96" s="305" t="s">
        <v>1628</v>
      </c>
      <c r="G96" s="307">
        <v>0</v>
      </c>
      <c r="H96" s="307">
        <v>51200</v>
      </c>
      <c r="I96" s="307">
        <v>51200</v>
      </c>
      <c r="J96" s="307">
        <v>0</v>
      </c>
    </row>
    <row r="97" spans="1:12" ht="15" customHeight="1">
      <c r="A97" s="305" t="s">
        <v>620</v>
      </c>
      <c r="B97" s="305"/>
      <c r="C97" s="305"/>
      <c r="D97" s="305" t="s">
        <v>129</v>
      </c>
      <c r="E97" s="306">
        <v>4</v>
      </c>
      <c r="F97" s="305" t="s">
        <v>1628</v>
      </c>
      <c r="G97" s="307">
        <v>0</v>
      </c>
      <c r="H97" s="307">
        <v>1946971</v>
      </c>
      <c r="I97" s="307">
        <v>1946971</v>
      </c>
      <c r="J97" s="307">
        <v>0</v>
      </c>
      <c r="K97" s="311"/>
    </row>
    <row r="98" spans="1:12" ht="15" customHeight="1">
      <c r="A98" s="305" t="s">
        <v>621</v>
      </c>
      <c r="B98" s="305"/>
      <c r="C98" s="305"/>
      <c r="D98" s="305" t="s">
        <v>622</v>
      </c>
      <c r="E98" s="306">
        <v>5</v>
      </c>
      <c r="F98" s="305" t="s">
        <v>1628</v>
      </c>
      <c r="G98" s="307">
        <v>0</v>
      </c>
      <c r="H98" s="307">
        <v>1946971</v>
      </c>
      <c r="I98" s="307">
        <v>1946971</v>
      </c>
      <c r="J98" s="307">
        <v>0</v>
      </c>
    </row>
    <row r="99" spans="1:12" ht="15" customHeight="1">
      <c r="A99" s="305" t="s">
        <v>643</v>
      </c>
      <c r="B99" s="305"/>
      <c r="C99" s="305"/>
      <c r="D99" s="305" t="s">
        <v>644</v>
      </c>
      <c r="E99" s="306">
        <v>4</v>
      </c>
      <c r="F99" s="305" t="s">
        <v>1628</v>
      </c>
      <c r="G99" s="307">
        <v>0</v>
      </c>
      <c r="H99" s="307">
        <v>1715328</v>
      </c>
      <c r="I99" s="307">
        <v>1715328</v>
      </c>
      <c r="J99" s="307">
        <v>0</v>
      </c>
    </row>
    <row r="100" spans="1:12" ht="15" customHeight="1">
      <c r="A100" s="305" t="s">
        <v>645</v>
      </c>
      <c r="B100" s="305"/>
      <c r="C100" s="305"/>
      <c r="D100" s="305" t="s">
        <v>646</v>
      </c>
      <c r="E100" s="306">
        <v>5</v>
      </c>
      <c r="F100" s="305" t="s">
        <v>1628</v>
      </c>
      <c r="G100" s="307">
        <v>0</v>
      </c>
      <c r="H100" s="307">
        <v>1715328</v>
      </c>
      <c r="I100" s="307">
        <v>1715328</v>
      </c>
      <c r="J100" s="307">
        <v>0</v>
      </c>
    </row>
    <row r="101" spans="1:12" ht="15" customHeight="1">
      <c r="A101" s="305" t="s">
        <v>647</v>
      </c>
      <c r="B101" s="305"/>
      <c r="C101" s="305"/>
      <c r="D101" s="305" t="s">
        <v>648</v>
      </c>
      <c r="E101" s="306">
        <v>4</v>
      </c>
      <c r="F101" s="305" t="s">
        <v>1628</v>
      </c>
      <c r="G101" s="307">
        <v>828256</v>
      </c>
      <c r="H101" s="307">
        <v>11928607</v>
      </c>
      <c r="I101" s="307">
        <v>12263351</v>
      </c>
      <c r="J101" s="307">
        <v>1163000</v>
      </c>
    </row>
    <row r="102" spans="1:12" ht="15" customHeight="1">
      <c r="A102" s="305" t="s">
        <v>650</v>
      </c>
      <c r="B102" s="305"/>
      <c r="C102" s="305"/>
      <c r="D102" s="305" t="s">
        <v>253</v>
      </c>
      <c r="E102" s="306">
        <v>3</v>
      </c>
      <c r="F102" s="305" t="s">
        <v>1628</v>
      </c>
      <c r="G102" s="307">
        <v>108300</v>
      </c>
      <c r="H102" s="307">
        <v>108300</v>
      </c>
      <c r="I102" s="307">
        <v>179170</v>
      </c>
      <c r="J102" s="307">
        <v>179170</v>
      </c>
    </row>
    <row r="103" spans="1:12" ht="15" customHeight="1">
      <c r="A103" s="305" t="s">
        <v>651</v>
      </c>
      <c r="B103" s="305"/>
      <c r="C103" s="305"/>
      <c r="D103" s="305" t="s">
        <v>652</v>
      </c>
      <c r="E103" s="306">
        <v>4</v>
      </c>
      <c r="F103" s="305" t="s">
        <v>1628</v>
      </c>
      <c r="G103" s="307">
        <v>108300</v>
      </c>
      <c r="H103" s="307">
        <v>108300</v>
      </c>
      <c r="I103" s="307">
        <v>179170</v>
      </c>
      <c r="J103" s="307">
        <v>179170</v>
      </c>
    </row>
    <row r="104" spans="1:12" ht="15" customHeight="1">
      <c r="A104" s="305" t="s">
        <v>653</v>
      </c>
      <c r="B104" s="305"/>
      <c r="C104" s="305"/>
      <c r="D104" s="305" t="s">
        <v>654</v>
      </c>
      <c r="E104" s="306">
        <v>5</v>
      </c>
      <c r="F104" s="305" t="s">
        <v>1628</v>
      </c>
      <c r="G104" s="307">
        <v>108300</v>
      </c>
      <c r="H104" s="307">
        <v>108300</v>
      </c>
      <c r="I104" s="307">
        <v>179170</v>
      </c>
      <c r="J104" s="307">
        <v>179170</v>
      </c>
    </row>
    <row r="105" spans="1:12" ht="15" customHeight="1">
      <c r="A105" s="305" t="s">
        <v>656</v>
      </c>
      <c r="B105" s="305"/>
      <c r="C105" s="305"/>
      <c r="D105" s="305" t="s">
        <v>258</v>
      </c>
      <c r="E105" s="306">
        <v>3</v>
      </c>
      <c r="F105" s="305" t="s">
        <v>1628</v>
      </c>
      <c r="G105" s="307">
        <v>1107338</v>
      </c>
      <c r="H105" s="307">
        <v>3819578</v>
      </c>
      <c r="I105" s="307">
        <v>5424240</v>
      </c>
      <c r="J105" s="307">
        <v>2712000</v>
      </c>
    </row>
    <row r="106" spans="1:12" ht="15" customHeight="1">
      <c r="A106" s="305" t="s">
        <v>657</v>
      </c>
      <c r="B106" s="305"/>
      <c r="C106" s="305"/>
      <c r="D106" s="305" t="s">
        <v>258</v>
      </c>
      <c r="E106" s="306">
        <v>4</v>
      </c>
      <c r="F106" s="305" t="s">
        <v>1628</v>
      </c>
      <c r="G106" s="307">
        <v>1107338</v>
      </c>
      <c r="H106" s="307">
        <v>3819578</v>
      </c>
      <c r="I106" s="307">
        <v>2712240</v>
      </c>
      <c r="J106" s="307">
        <v>0</v>
      </c>
    </row>
    <row r="107" spans="1:12" ht="15" customHeight="1">
      <c r="A107" s="305" t="s">
        <v>661</v>
      </c>
      <c r="B107" s="305"/>
      <c r="C107" s="305"/>
      <c r="D107" s="305" t="s">
        <v>662</v>
      </c>
      <c r="E107" s="306">
        <v>5</v>
      </c>
      <c r="F107" s="305" t="s">
        <v>1628</v>
      </c>
      <c r="G107" s="307">
        <v>2070</v>
      </c>
      <c r="H107" s="307">
        <v>3312</v>
      </c>
      <c r="I107" s="307">
        <v>1242</v>
      </c>
      <c r="J107" s="307">
        <v>0</v>
      </c>
    </row>
    <row r="108" spans="1:12" ht="15" customHeight="1">
      <c r="A108" s="305" t="s">
        <v>664</v>
      </c>
      <c r="B108" s="305"/>
      <c r="C108" s="305"/>
      <c r="D108" s="305" t="s">
        <v>665</v>
      </c>
      <c r="E108" s="306">
        <v>5</v>
      </c>
      <c r="F108" s="305" t="s">
        <v>1628</v>
      </c>
      <c r="G108" s="307">
        <v>96269</v>
      </c>
      <c r="H108" s="307">
        <v>1933589</v>
      </c>
      <c r="I108" s="307">
        <v>1837320</v>
      </c>
      <c r="J108" s="307">
        <v>0</v>
      </c>
    </row>
    <row r="109" spans="1:12" ht="15" customHeight="1">
      <c r="A109" s="305" t="s">
        <v>667</v>
      </c>
      <c r="B109" s="305"/>
      <c r="C109" s="305"/>
      <c r="D109" s="305" t="s">
        <v>668</v>
      </c>
      <c r="E109" s="306">
        <v>5</v>
      </c>
      <c r="F109" s="305" t="s">
        <v>1628</v>
      </c>
      <c r="G109" s="307">
        <v>1008999</v>
      </c>
      <c r="H109" s="307">
        <v>1879151</v>
      </c>
      <c r="I109" s="307">
        <v>870152</v>
      </c>
      <c r="J109" s="307">
        <v>0</v>
      </c>
    </row>
    <row r="110" spans="1:12" ht="15" customHeight="1">
      <c r="A110" s="305" t="s">
        <v>670</v>
      </c>
      <c r="B110" s="305"/>
      <c r="C110" s="305"/>
      <c r="D110" s="305" t="s">
        <v>671</v>
      </c>
      <c r="E110" s="306">
        <v>5</v>
      </c>
      <c r="F110" s="305" t="s">
        <v>1628</v>
      </c>
      <c r="G110" s="307">
        <v>0</v>
      </c>
      <c r="H110" s="307">
        <v>3526</v>
      </c>
      <c r="I110" s="307">
        <v>3526</v>
      </c>
      <c r="J110" s="307">
        <v>0</v>
      </c>
    </row>
    <row r="111" spans="1:12" ht="15" customHeight="1">
      <c r="A111" s="305" t="s">
        <v>1647</v>
      </c>
      <c r="B111" s="305"/>
      <c r="C111" s="305"/>
      <c r="D111" s="305" t="s">
        <v>1648</v>
      </c>
      <c r="E111" s="306">
        <v>4</v>
      </c>
      <c r="F111" s="305" t="s">
        <v>1628</v>
      </c>
      <c r="G111" s="307">
        <v>0</v>
      </c>
      <c r="H111" s="307">
        <v>0</v>
      </c>
      <c r="I111" s="307">
        <v>2712000</v>
      </c>
      <c r="J111" s="307">
        <v>2712000</v>
      </c>
      <c r="K111" s="309"/>
      <c r="L111" s="309"/>
    </row>
    <row r="112" spans="1:12" ht="15" customHeight="1">
      <c r="A112" s="305" t="s">
        <v>673</v>
      </c>
      <c r="B112" s="305"/>
      <c r="C112" s="305"/>
      <c r="D112" s="305" t="s">
        <v>674</v>
      </c>
      <c r="E112" s="306">
        <v>3</v>
      </c>
      <c r="F112" s="305" t="s">
        <v>1628</v>
      </c>
      <c r="G112" s="307">
        <v>274900</v>
      </c>
      <c r="H112" s="307">
        <v>28016485</v>
      </c>
      <c r="I112" s="307">
        <v>27741585</v>
      </c>
      <c r="J112" s="307">
        <v>0</v>
      </c>
      <c r="K112" s="309"/>
      <c r="L112" s="309"/>
    </row>
    <row r="113" spans="1:12" ht="15" customHeight="1">
      <c r="A113" s="305" t="s">
        <v>675</v>
      </c>
      <c r="B113" s="305"/>
      <c r="C113" s="305"/>
      <c r="D113" s="305" t="s">
        <v>676</v>
      </c>
      <c r="E113" s="306">
        <v>4</v>
      </c>
      <c r="F113" s="305" t="s">
        <v>1628</v>
      </c>
      <c r="G113" s="307">
        <v>199120</v>
      </c>
      <c r="H113" s="307">
        <v>4072706</v>
      </c>
      <c r="I113" s="307">
        <v>3873586</v>
      </c>
      <c r="J113" s="307">
        <v>0</v>
      </c>
      <c r="K113" s="309"/>
      <c r="L113" s="309"/>
    </row>
    <row r="114" spans="1:12" ht="15" customHeight="1">
      <c r="A114" s="305" t="s">
        <v>679</v>
      </c>
      <c r="B114" s="305"/>
      <c r="C114" s="305"/>
      <c r="D114" s="305" t="s">
        <v>680</v>
      </c>
      <c r="E114" s="306">
        <v>4</v>
      </c>
      <c r="F114" s="305" t="s">
        <v>1628</v>
      </c>
      <c r="G114" s="307">
        <v>26000</v>
      </c>
      <c r="H114" s="307">
        <v>532249</v>
      </c>
      <c r="I114" s="307">
        <v>506249</v>
      </c>
      <c r="J114" s="307">
        <v>0</v>
      </c>
      <c r="K114" s="309"/>
      <c r="L114" s="309"/>
    </row>
    <row r="115" spans="1:12" ht="15" customHeight="1">
      <c r="A115" s="305" t="s">
        <v>682</v>
      </c>
      <c r="B115" s="305"/>
      <c r="C115" s="305"/>
      <c r="D115" s="305" t="s">
        <v>683</v>
      </c>
      <c r="E115" s="306">
        <v>4</v>
      </c>
      <c r="F115" s="305" t="s">
        <v>1628</v>
      </c>
      <c r="G115" s="307">
        <v>49780</v>
      </c>
      <c r="H115" s="307">
        <v>1460810</v>
      </c>
      <c r="I115" s="307">
        <v>1411030</v>
      </c>
      <c r="J115" s="307">
        <v>0</v>
      </c>
      <c r="K115" s="309"/>
      <c r="L115" s="309"/>
    </row>
    <row r="116" spans="1:12" ht="15" customHeight="1">
      <c r="A116" s="305" t="s">
        <v>703</v>
      </c>
      <c r="B116" s="305"/>
      <c r="C116" s="305"/>
      <c r="D116" s="305" t="s">
        <v>150</v>
      </c>
      <c r="E116" s="306">
        <v>4</v>
      </c>
      <c r="F116" s="305" t="s">
        <v>1628</v>
      </c>
      <c r="G116" s="307">
        <v>0</v>
      </c>
      <c r="H116" s="307">
        <v>21950720</v>
      </c>
      <c r="I116" s="307">
        <v>21950720</v>
      </c>
      <c r="J116" s="307">
        <v>0</v>
      </c>
      <c r="K116" s="309"/>
      <c r="L116" s="309"/>
    </row>
    <row r="117" spans="1:12" ht="15" customHeight="1">
      <c r="A117" s="305" t="s">
        <v>705</v>
      </c>
      <c r="B117" s="305"/>
      <c r="C117" s="305"/>
      <c r="D117" s="305" t="s">
        <v>706</v>
      </c>
      <c r="E117" s="306">
        <v>3</v>
      </c>
      <c r="F117" s="305" t="s">
        <v>1628</v>
      </c>
      <c r="G117" s="307">
        <v>796520</v>
      </c>
      <c r="H117" s="307">
        <v>16303753</v>
      </c>
      <c r="I117" s="307">
        <v>15507233</v>
      </c>
      <c r="J117" s="307">
        <v>0</v>
      </c>
      <c r="K117" s="309"/>
      <c r="L117" s="309"/>
    </row>
    <row r="118" spans="1:12" ht="15" customHeight="1">
      <c r="A118" s="305" t="s">
        <v>720</v>
      </c>
      <c r="B118" s="305"/>
      <c r="C118" s="305"/>
      <c r="D118" s="305" t="s">
        <v>721</v>
      </c>
      <c r="E118" s="306">
        <v>4</v>
      </c>
      <c r="F118" s="305" t="s">
        <v>1628</v>
      </c>
      <c r="G118" s="307">
        <v>796520</v>
      </c>
      <c r="H118" s="307">
        <v>16303753</v>
      </c>
      <c r="I118" s="307">
        <v>15507233</v>
      </c>
      <c r="J118" s="307">
        <v>0</v>
      </c>
      <c r="K118" s="309"/>
      <c r="L118" s="309"/>
    </row>
    <row r="119" spans="1:12" ht="15" customHeight="1">
      <c r="A119" s="305" t="s">
        <v>727</v>
      </c>
      <c r="B119" s="305"/>
      <c r="C119" s="305"/>
      <c r="D119" s="305" t="s">
        <v>728</v>
      </c>
      <c r="E119" s="306">
        <v>2</v>
      </c>
      <c r="F119" s="305" t="s">
        <v>1628</v>
      </c>
      <c r="G119" s="307">
        <v>0</v>
      </c>
      <c r="H119" s="307">
        <v>95022896.010000005</v>
      </c>
      <c r="I119" s="307">
        <v>95120896.010000005</v>
      </c>
      <c r="J119" s="307">
        <v>98000</v>
      </c>
      <c r="K119" s="309"/>
      <c r="L119" s="309"/>
    </row>
    <row r="120" spans="1:12" ht="15" customHeight="1">
      <c r="A120" s="312" t="s">
        <v>737</v>
      </c>
      <c r="B120" s="312"/>
      <c r="C120" s="312"/>
      <c r="D120" s="312" t="s">
        <v>738</v>
      </c>
      <c r="E120" s="313">
        <v>3</v>
      </c>
      <c r="F120" s="312" t="s">
        <v>1628</v>
      </c>
      <c r="G120" s="314">
        <v>0</v>
      </c>
      <c r="H120" s="314">
        <v>91150070.010000005</v>
      </c>
      <c r="I120" s="314">
        <v>91150070.010000005</v>
      </c>
      <c r="J120" s="314">
        <v>0</v>
      </c>
      <c r="K120" s="309"/>
      <c r="L120" s="309"/>
    </row>
    <row r="121" spans="1:12" ht="15" customHeight="1">
      <c r="A121" s="312" t="s">
        <v>744</v>
      </c>
      <c r="B121" s="312"/>
      <c r="C121" s="312"/>
      <c r="D121" s="312" t="s">
        <v>1669</v>
      </c>
      <c r="E121" s="313">
        <v>4</v>
      </c>
      <c r="F121" s="312" t="s">
        <v>1628</v>
      </c>
      <c r="G121" s="314">
        <v>0</v>
      </c>
      <c r="H121" s="314">
        <v>46276151.700000003</v>
      </c>
      <c r="I121" s="314">
        <v>46276151.700000003</v>
      </c>
      <c r="J121" s="314">
        <v>0</v>
      </c>
      <c r="K121" s="309"/>
      <c r="L121" s="309"/>
    </row>
    <row r="122" spans="1:12" ht="15" customHeight="1">
      <c r="A122" s="312" t="s">
        <v>746</v>
      </c>
      <c r="B122" s="312"/>
      <c r="C122" s="312"/>
      <c r="D122" s="312" t="s">
        <v>1670</v>
      </c>
      <c r="E122" s="313">
        <v>5</v>
      </c>
      <c r="F122" s="312" t="s">
        <v>1628</v>
      </c>
      <c r="G122" s="314">
        <v>0</v>
      </c>
      <c r="H122" s="314">
        <v>2544283</v>
      </c>
      <c r="I122" s="314">
        <v>2544283</v>
      </c>
      <c r="J122" s="314">
        <v>0</v>
      </c>
      <c r="K122" s="309"/>
      <c r="L122" s="309"/>
    </row>
    <row r="123" spans="1:12" ht="15" customHeight="1">
      <c r="A123" s="312" t="s">
        <v>749</v>
      </c>
      <c r="B123" s="312"/>
      <c r="C123" s="312"/>
      <c r="D123" s="312" t="s">
        <v>1687</v>
      </c>
      <c r="E123" s="313">
        <v>5</v>
      </c>
      <c r="F123" s="312" t="s">
        <v>1628</v>
      </c>
      <c r="G123" s="314">
        <v>0</v>
      </c>
      <c r="H123" s="314">
        <v>43376700.700000003</v>
      </c>
      <c r="I123" s="314">
        <v>43376700.700000003</v>
      </c>
      <c r="J123" s="314">
        <v>0</v>
      </c>
      <c r="K123" s="309">
        <v>-10858512.35</v>
      </c>
      <c r="L123" s="309">
        <f>+J123+K123</f>
        <v>-10858512.35</v>
      </c>
    </row>
    <row r="124" spans="1:12" ht="15" customHeight="1">
      <c r="A124" s="312" t="s">
        <v>755</v>
      </c>
      <c r="B124" s="312"/>
      <c r="C124" s="312"/>
      <c r="D124" s="312" t="s">
        <v>1688</v>
      </c>
      <c r="E124" s="313">
        <v>5</v>
      </c>
      <c r="F124" s="312" t="s">
        <v>1628</v>
      </c>
      <c r="G124" s="314">
        <v>0</v>
      </c>
      <c r="H124" s="314">
        <v>355168</v>
      </c>
      <c r="I124" s="314">
        <v>355168</v>
      </c>
      <c r="J124" s="314">
        <v>0</v>
      </c>
      <c r="K124" s="309"/>
      <c r="L124" s="309"/>
    </row>
    <row r="125" spans="1:12" ht="15" customHeight="1">
      <c r="A125" s="312" t="s">
        <v>1689</v>
      </c>
      <c r="B125" s="312"/>
      <c r="C125" s="312"/>
      <c r="D125" s="312" t="s">
        <v>745</v>
      </c>
      <c r="E125" s="313">
        <v>4</v>
      </c>
      <c r="F125" s="312" t="s">
        <v>1628</v>
      </c>
      <c r="G125" s="314">
        <v>0</v>
      </c>
      <c r="H125" s="314">
        <v>44873918.310000002</v>
      </c>
      <c r="I125" s="314">
        <v>44873918.310000002</v>
      </c>
      <c r="J125" s="314">
        <v>0</v>
      </c>
      <c r="K125" s="309"/>
      <c r="L125" s="309"/>
    </row>
    <row r="126" spans="1:12" ht="15" customHeight="1">
      <c r="A126" s="312" t="s">
        <v>1690</v>
      </c>
      <c r="B126" s="312"/>
      <c r="C126" s="312"/>
      <c r="D126" s="312" t="s">
        <v>747</v>
      </c>
      <c r="E126" s="313">
        <v>5</v>
      </c>
      <c r="F126" s="312" t="s">
        <v>1628</v>
      </c>
      <c r="G126" s="314">
        <v>0</v>
      </c>
      <c r="H126" s="314">
        <v>2248424</v>
      </c>
      <c r="I126" s="314">
        <v>2248424</v>
      </c>
      <c r="J126" s="314">
        <v>0</v>
      </c>
      <c r="K126" s="309">
        <v>11391000</v>
      </c>
      <c r="L126" s="309">
        <v>45.35</v>
      </c>
    </row>
    <row r="127" spans="1:12" ht="15" customHeight="1">
      <c r="A127" s="312" t="s">
        <v>1691</v>
      </c>
      <c r="B127" s="312"/>
      <c r="C127" s="312"/>
      <c r="D127" s="312" t="s">
        <v>750</v>
      </c>
      <c r="E127" s="313">
        <v>5</v>
      </c>
      <c r="F127" s="312" t="s">
        <v>1628</v>
      </c>
      <c r="G127" s="314">
        <v>0</v>
      </c>
      <c r="H127" s="314">
        <v>42287373.310000002</v>
      </c>
      <c r="I127" s="314">
        <v>42287373.310000002</v>
      </c>
      <c r="J127" s="314">
        <v>0</v>
      </c>
      <c r="K127" s="309">
        <v>25000</v>
      </c>
      <c r="L127" s="309">
        <v>111.86</v>
      </c>
    </row>
    <row r="128" spans="1:12" ht="15" customHeight="1">
      <c r="A128" s="312" t="s">
        <v>1692</v>
      </c>
      <c r="B128" s="312"/>
      <c r="C128" s="312"/>
      <c r="D128" s="312" t="s">
        <v>756</v>
      </c>
      <c r="E128" s="313">
        <v>5</v>
      </c>
      <c r="F128" s="312" t="s">
        <v>1628</v>
      </c>
      <c r="G128" s="314">
        <v>0</v>
      </c>
      <c r="H128" s="314">
        <v>338121</v>
      </c>
      <c r="I128" s="314">
        <v>338121</v>
      </c>
      <c r="J128" s="314">
        <v>0</v>
      </c>
      <c r="K128" s="309">
        <f>+K127+K126</f>
        <v>11416000</v>
      </c>
      <c r="L128" s="309">
        <f>+L127+L126</f>
        <v>157.21</v>
      </c>
    </row>
    <row r="129" spans="1:12" ht="15" customHeight="1">
      <c r="A129" s="305" t="s">
        <v>758</v>
      </c>
      <c r="B129" s="305"/>
      <c r="C129" s="305"/>
      <c r="D129" s="305" t="s">
        <v>759</v>
      </c>
      <c r="E129" s="306">
        <v>3</v>
      </c>
      <c r="F129" s="305" t="s">
        <v>1628</v>
      </c>
      <c r="G129" s="307">
        <v>0</v>
      </c>
      <c r="H129" s="307">
        <v>3872826</v>
      </c>
      <c r="I129" s="307">
        <v>3970826</v>
      </c>
      <c r="J129" s="307">
        <v>98000</v>
      </c>
      <c r="K129" s="309"/>
      <c r="L129" s="309"/>
    </row>
    <row r="130" spans="1:12" ht="15" customHeight="1">
      <c r="A130" s="305" t="s">
        <v>760</v>
      </c>
      <c r="B130" s="305"/>
      <c r="C130" s="305"/>
      <c r="D130" s="305" t="s">
        <v>732</v>
      </c>
      <c r="E130" s="306">
        <v>4</v>
      </c>
      <c r="F130" s="305" t="s">
        <v>1628</v>
      </c>
      <c r="G130" s="307">
        <v>0</v>
      </c>
      <c r="H130" s="307">
        <v>3872826</v>
      </c>
      <c r="I130" s="307">
        <v>3970826</v>
      </c>
      <c r="J130" s="307">
        <v>98000</v>
      </c>
      <c r="K130" s="309"/>
      <c r="L130" s="309"/>
    </row>
    <row r="131" spans="1:12" ht="15" customHeight="1">
      <c r="A131" s="305" t="s">
        <v>764</v>
      </c>
      <c r="B131" s="305"/>
      <c r="C131" s="305"/>
      <c r="D131" s="305" t="s">
        <v>765</v>
      </c>
      <c r="E131" s="306">
        <v>2</v>
      </c>
      <c r="F131" s="305" t="s">
        <v>1628</v>
      </c>
      <c r="G131" s="307">
        <v>1065925</v>
      </c>
      <c r="H131" s="307">
        <v>139395173</v>
      </c>
      <c r="I131" s="307">
        <v>140957679</v>
      </c>
      <c r="J131" s="307">
        <v>2628431</v>
      </c>
      <c r="K131" s="309"/>
      <c r="L131" s="309"/>
    </row>
    <row r="132" spans="1:12" ht="15" customHeight="1">
      <c r="A132" s="305" t="s">
        <v>766</v>
      </c>
      <c r="B132" s="305"/>
      <c r="C132" s="305"/>
      <c r="D132" s="305" t="s">
        <v>767</v>
      </c>
      <c r="E132" s="306">
        <v>3</v>
      </c>
      <c r="F132" s="305" t="s">
        <v>1628</v>
      </c>
      <c r="G132" s="307">
        <v>0</v>
      </c>
      <c r="H132" s="307">
        <v>125743530</v>
      </c>
      <c r="I132" s="307">
        <v>125743530</v>
      </c>
      <c r="J132" s="307">
        <v>0</v>
      </c>
      <c r="K132" s="309"/>
      <c r="L132" s="309"/>
    </row>
    <row r="133" spans="1:12" ht="15" customHeight="1">
      <c r="A133" s="305" t="s">
        <v>768</v>
      </c>
      <c r="B133" s="305"/>
      <c r="C133" s="305"/>
      <c r="D133" s="305" t="s">
        <v>767</v>
      </c>
      <c r="E133" s="306">
        <v>4</v>
      </c>
      <c r="F133" s="305" t="s">
        <v>1628</v>
      </c>
      <c r="G133" s="307">
        <v>0</v>
      </c>
      <c r="H133" s="307">
        <v>125743530</v>
      </c>
      <c r="I133" s="307">
        <v>125743530</v>
      </c>
      <c r="J133" s="307">
        <v>0</v>
      </c>
      <c r="K133" s="309"/>
      <c r="L133" s="309"/>
    </row>
    <row r="134" spans="1:12" ht="15" customHeight="1">
      <c r="A134" s="305" t="s">
        <v>770</v>
      </c>
      <c r="B134" s="305"/>
      <c r="C134" s="305"/>
      <c r="D134" s="305" t="s">
        <v>771</v>
      </c>
      <c r="E134" s="306">
        <v>3</v>
      </c>
      <c r="F134" s="305" t="s">
        <v>1628</v>
      </c>
      <c r="G134" s="307">
        <v>650070</v>
      </c>
      <c r="H134" s="307">
        <v>5082178</v>
      </c>
      <c r="I134" s="307">
        <v>5900071</v>
      </c>
      <c r="J134" s="307">
        <v>1467963</v>
      </c>
      <c r="K134" s="309"/>
      <c r="L134" s="309"/>
    </row>
    <row r="135" spans="1:12" ht="15" customHeight="1">
      <c r="A135" s="305" t="s">
        <v>775</v>
      </c>
      <c r="B135" s="305"/>
      <c r="C135" s="305"/>
      <c r="D135" s="305" t="s">
        <v>776</v>
      </c>
      <c r="E135" s="306">
        <v>4</v>
      </c>
      <c r="F135" s="305" t="s">
        <v>1628</v>
      </c>
      <c r="G135" s="307">
        <v>650070</v>
      </c>
      <c r="H135" s="307">
        <v>5082178</v>
      </c>
      <c r="I135" s="307">
        <v>5900071</v>
      </c>
      <c r="J135" s="307">
        <v>1467963</v>
      </c>
      <c r="K135" s="309"/>
      <c r="L135" s="309"/>
    </row>
    <row r="136" spans="1:12" ht="15" customHeight="1">
      <c r="A136" s="305" t="s">
        <v>778</v>
      </c>
      <c r="B136" s="305"/>
      <c r="C136" s="305"/>
      <c r="D136" s="305" t="s">
        <v>779</v>
      </c>
      <c r="E136" s="306">
        <v>3</v>
      </c>
      <c r="F136" s="305" t="s">
        <v>1628</v>
      </c>
      <c r="G136" s="307">
        <v>78010</v>
      </c>
      <c r="H136" s="307">
        <v>363911</v>
      </c>
      <c r="I136" s="307">
        <v>708029</v>
      </c>
      <c r="J136" s="307">
        <v>422128</v>
      </c>
      <c r="K136" s="309"/>
      <c r="L136" s="309"/>
    </row>
    <row r="137" spans="1:12" ht="15" customHeight="1">
      <c r="A137" s="305" t="s">
        <v>780</v>
      </c>
      <c r="B137" s="305"/>
      <c r="C137" s="305"/>
      <c r="D137" s="305" t="s">
        <v>779</v>
      </c>
      <c r="E137" s="306">
        <v>4</v>
      </c>
      <c r="F137" s="305" t="s">
        <v>1628</v>
      </c>
      <c r="G137" s="307">
        <v>78010</v>
      </c>
      <c r="H137" s="307">
        <v>363911</v>
      </c>
      <c r="I137" s="307">
        <v>708029</v>
      </c>
      <c r="J137" s="307">
        <v>422128</v>
      </c>
      <c r="K137" s="309"/>
      <c r="L137" s="309"/>
    </row>
    <row r="138" spans="1:12" ht="15" customHeight="1">
      <c r="A138" s="305" t="s">
        <v>782</v>
      </c>
      <c r="B138" s="305"/>
      <c r="C138" s="305"/>
      <c r="D138" s="305" t="s">
        <v>783</v>
      </c>
      <c r="E138" s="306">
        <v>3</v>
      </c>
      <c r="F138" s="305" t="s">
        <v>1628</v>
      </c>
      <c r="G138" s="307">
        <v>36520</v>
      </c>
      <c r="H138" s="307">
        <v>5877675</v>
      </c>
      <c r="I138" s="307">
        <v>5900071</v>
      </c>
      <c r="J138" s="307">
        <v>58916</v>
      </c>
      <c r="K138" s="309"/>
      <c r="L138" s="309"/>
    </row>
    <row r="139" spans="1:12" ht="15" customHeight="1">
      <c r="A139" s="305" t="s">
        <v>784</v>
      </c>
      <c r="B139" s="305"/>
      <c r="C139" s="305"/>
      <c r="D139" s="305" t="s">
        <v>783</v>
      </c>
      <c r="E139" s="306">
        <v>4</v>
      </c>
      <c r="F139" s="305" t="s">
        <v>1628</v>
      </c>
      <c r="G139" s="307">
        <v>36520</v>
      </c>
      <c r="H139" s="307">
        <v>5877675</v>
      </c>
      <c r="I139" s="307">
        <v>5900071</v>
      </c>
      <c r="J139" s="307">
        <v>58916</v>
      </c>
    </row>
    <row r="140" spans="1:12" ht="15" customHeight="1">
      <c r="A140" s="305" t="s">
        <v>786</v>
      </c>
      <c r="B140" s="305"/>
      <c r="C140" s="305"/>
      <c r="D140" s="305" t="s">
        <v>787</v>
      </c>
      <c r="E140" s="306">
        <v>3</v>
      </c>
      <c r="F140" s="305" t="s">
        <v>1628</v>
      </c>
      <c r="G140" s="307">
        <v>301325</v>
      </c>
      <c r="H140" s="307">
        <v>2327879</v>
      </c>
      <c r="I140" s="307">
        <v>2705978</v>
      </c>
      <c r="J140" s="307">
        <v>679424</v>
      </c>
    </row>
    <row r="141" spans="1:12" ht="15" customHeight="1">
      <c r="A141" s="305" t="s">
        <v>788</v>
      </c>
      <c r="B141" s="305"/>
      <c r="C141" s="305"/>
      <c r="D141" s="305" t="s">
        <v>787</v>
      </c>
      <c r="E141" s="306">
        <v>4</v>
      </c>
      <c r="F141" s="305" t="s">
        <v>1628</v>
      </c>
      <c r="G141" s="307">
        <v>301325</v>
      </c>
      <c r="H141" s="307">
        <v>2327879</v>
      </c>
      <c r="I141" s="307">
        <v>2705978</v>
      </c>
      <c r="J141" s="307">
        <v>679424</v>
      </c>
    </row>
    <row r="142" spans="1:12" ht="15" customHeight="1">
      <c r="A142" s="305" t="s">
        <v>844</v>
      </c>
      <c r="B142" s="305"/>
      <c r="C142" s="305"/>
      <c r="D142" s="305" t="s">
        <v>845</v>
      </c>
      <c r="E142" s="306">
        <v>1</v>
      </c>
      <c r="F142" s="305" t="s">
        <v>1628</v>
      </c>
      <c r="G142" s="307">
        <v>-48623399.140000001</v>
      </c>
      <c r="H142" s="307">
        <v>49023399.140000001</v>
      </c>
      <c r="I142" s="307">
        <v>49023399.140000001</v>
      </c>
      <c r="J142" s="307">
        <v>-48623399.140000001</v>
      </c>
    </row>
    <row r="143" spans="1:12" ht="15" customHeight="1">
      <c r="A143" s="305" t="s">
        <v>846</v>
      </c>
      <c r="B143" s="305"/>
      <c r="C143" s="305"/>
      <c r="D143" s="305" t="s">
        <v>847</v>
      </c>
      <c r="E143" s="306">
        <v>2</v>
      </c>
      <c r="F143" s="305" t="s">
        <v>1628</v>
      </c>
      <c r="G143" s="307">
        <v>400000</v>
      </c>
      <c r="H143" s="307">
        <v>0</v>
      </c>
      <c r="I143" s="307">
        <v>0</v>
      </c>
      <c r="J143" s="307">
        <v>400000</v>
      </c>
    </row>
    <row r="144" spans="1:12" ht="15" customHeight="1">
      <c r="A144" s="305" t="s">
        <v>848</v>
      </c>
      <c r="B144" s="305"/>
      <c r="C144" s="305"/>
      <c r="D144" s="305" t="s">
        <v>849</v>
      </c>
      <c r="E144" s="306">
        <v>3</v>
      </c>
      <c r="F144" s="305" t="s">
        <v>1628</v>
      </c>
      <c r="G144" s="307">
        <v>400000</v>
      </c>
      <c r="H144" s="307">
        <v>0</v>
      </c>
      <c r="I144" s="307">
        <v>0</v>
      </c>
      <c r="J144" s="307">
        <v>400000</v>
      </c>
    </row>
    <row r="145" spans="1:13" ht="15" customHeight="1">
      <c r="A145" s="305" t="s">
        <v>850</v>
      </c>
      <c r="B145" s="305"/>
      <c r="C145" s="305"/>
      <c r="D145" s="305" t="s">
        <v>851</v>
      </c>
      <c r="E145" s="306">
        <v>4</v>
      </c>
      <c r="F145" s="305" t="s">
        <v>1628</v>
      </c>
      <c r="G145" s="307">
        <v>1000000</v>
      </c>
      <c r="H145" s="307">
        <v>0</v>
      </c>
      <c r="I145" s="307">
        <v>0</v>
      </c>
      <c r="J145" s="307">
        <v>1000000</v>
      </c>
    </row>
    <row r="146" spans="1:13" ht="15" customHeight="1">
      <c r="A146" s="305" t="s">
        <v>852</v>
      </c>
      <c r="B146" s="305"/>
      <c r="C146" s="305"/>
      <c r="D146" s="305" t="s">
        <v>853</v>
      </c>
      <c r="E146" s="306">
        <v>4</v>
      </c>
      <c r="F146" s="305" t="s">
        <v>1628</v>
      </c>
      <c r="G146" s="307">
        <v>-600000</v>
      </c>
      <c r="H146" s="307">
        <v>0</v>
      </c>
      <c r="I146" s="307">
        <v>0</v>
      </c>
      <c r="J146" s="307">
        <v>-600000</v>
      </c>
    </row>
    <row r="147" spans="1:13" ht="15" customHeight="1">
      <c r="A147" s="305" t="s">
        <v>963</v>
      </c>
      <c r="B147" s="305"/>
      <c r="C147" s="305"/>
      <c r="D147" s="305" t="s">
        <v>964</v>
      </c>
      <c r="E147" s="306">
        <v>2</v>
      </c>
      <c r="F147" s="305" t="s">
        <v>1628</v>
      </c>
      <c r="G147" s="307">
        <v>-49023399.140000001</v>
      </c>
      <c r="H147" s="307">
        <v>0</v>
      </c>
      <c r="I147" s="307">
        <v>49023399.140000001</v>
      </c>
      <c r="J147" s="307">
        <v>0</v>
      </c>
    </row>
    <row r="148" spans="1:13" ht="15" customHeight="1">
      <c r="A148" s="305" t="s">
        <v>970</v>
      </c>
      <c r="B148" s="305"/>
      <c r="C148" s="305"/>
      <c r="D148" s="305" t="s">
        <v>971</v>
      </c>
      <c r="E148" s="306">
        <v>3</v>
      </c>
      <c r="F148" s="305" t="s">
        <v>1628</v>
      </c>
      <c r="G148" s="307">
        <v>-49023399.140000001</v>
      </c>
      <c r="H148" s="307">
        <v>0</v>
      </c>
      <c r="I148" s="307">
        <v>49023399.140000001</v>
      </c>
      <c r="J148" s="307">
        <v>0</v>
      </c>
    </row>
    <row r="149" spans="1:13" ht="15" customHeight="1">
      <c r="A149" s="305" t="s">
        <v>972</v>
      </c>
      <c r="B149" s="305"/>
      <c r="C149" s="305"/>
      <c r="D149" s="305" t="s">
        <v>971</v>
      </c>
      <c r="E149" s="306">
        <v>4</v>
      </c>
      <c r="F149" s="305" t="s">
        <v>1628</v>
      </c>
      <c r="G149" s="307">
        <v>-49023399.140000001</v>
      </c>
      <c r="H149" s="307">
        <v>0</v>
      </c>
      <c r="I149" s="307">
        <v>49023399.140000001</v>
      </c>
      <c r="J149" s="307">
        <v>0</v>
      </c>
      <c r="K149" s="309"/>
      <c r="L149" s="309"/>
      <c r="M149" s="309"/>
    </row>
    <row r="150" spans="1:13" ht="15" customHeight="1">
      <c r="A150" s="305" t="s">
        <v>975</v>
      </c>
      <c r="B150" s="305"/>
      <c r="C150" s="305"/>
      <c r="D150" s="305" t="s">
        <v>976</v>
      </c>
      <c r="E150" s="306">
        <v>2</v>
      </c>
      <c r="F150" s="305" t="s">
        <v>1628</v>
      </c>
      <c r="G150" s="307">
        <v>0</v>
      </c>
      <c r="H150" s="307">
        <v>49023399.140000001</v>
      </c>
      <c r="I150" s="307">
        <v>0</v>
      </c>
      <c r="J150" s="307">
        <v>-49023399.140000001</v>
      </c>
      <c r="K150" s="309"/>
      <c r="L150" s="309"/>
    </row>
    <row r="151" spans="1:13" ht="15" customHeight="1">
      <c r="A151" s="305" t="s">
        <v>980</v>
      </c>
      <c r="B151" s="305"/>
      <c r="C151" s="305"/>
      <c r="D151" s="305" t="s">
        <v>981</v>
      </c>
      <c r="E151" s="306">
        <v>3</v>
      </c>
      <c r="F151" s="305" t="s">
        <v>1628</v>
      </c>
      <c r="G151" s="307">
        <v>0</v>
      </c>
      <c r="H151" s="307">
        <v>49023399.140000001</v>
      </c>
      <c r="I151" s="307">
        <v>0</v>
      </c>
      <c r="J151" s="307">
        <v>-49023399.140000001</v>
      </c>
    </row>
    <row r="152" spans="1:13" ht="15" customHeight="1">
      <c r="A152" s="305" t="s">
        <v>982</v>
      </c>
      <c r="B152" s="305"/>
      <c r="C152" s="305"/>
      <c r="D152" s="305" t="s">
        <v>981</v>
      </c>
      <c r="E152" s="306">
        <v>4</v>
      </c>
      <c r="F152" s="305" t="s">
        <v>1628</v>
      </c>
      <c r="G152" s="307">
        <v>0</v>
      </c>
      <c r="H152" s="307">
        <v>49023399.140000001</v>
      </c>
      <c r="I152" s="307">
        <v>0</v>
      </c>
      <c r="J152" s="307">
        <v>-49023399.140000001</v>
      </c>
    </row>
    <row r="153" spans="1:13" ht="15" customHeight="1">
      <c r="A153" s="305" t="s">
        <v>983</v>
      </c>
      <c r="B153" s="305"/>
      <c r="C153" s="305"/>
      <c r="D153" s="305" t="s">
        <v>984</v>
      </c>
      <c r="E153" s="306">
        <v>1</v>
      </c>
      <c r="F153" s="305" t="s">
        <v>1628</v>
      </c>
      <c r="G153" s="307">
        <v>0</v>
      </c>
      <c r="H153" s="307">
        <v>175291330.91999999</v>
      </c>
      <c r="I153" s="307">
        <v>621439657.96000004</v>
      </c>
      <c r="J153" s="307">
        <v>446148327.04000002</v>
      </c>
    </row>
    <row r="154" spans="1:13" ht="15" customHeight="1">
      <c r="A154" s="305" t="s">
        <v>985</v>
      </c>
      <c r="B154" s="305"/>
      <c r="C154" s="305"/>
      <c r="D154" s="305" t="s">
        <v>986</v>
      </c>
      <c r="E154" s="306">
        <v>2</v>
      </c>
      <c r="F154" s="305" t="s">
        <v>1628</v>
      </c>
      <c r="G154" s="307">
        <v>0</v>
      </c>
      <c r="H154" s="307">
        <v>175291330.91999999</v>
      </c>
      <c r="I154" s="307">
        <v>611255159.10000002</v>
      </c>
      <c r="J154" s="307">
        <v>435963828.18000001</v>
      </c>
    </row>
    <row r="155" spans="1:13" ht="15" customHeight="1">
      <c r="A155" s="305" t="s">
        <v>987</v>
      </c>
      <c r="B155" s="305"/>
      <c r="C155" s="305"/>
      <c r="D155" s="305" t="s">
        <v>988</v>
      </c>
      <c r="E155" s="306">
        <v>3</v>
      </c>
      <c r="F155" s="305" t="s">
        <v>1628</v>
      </c>
      <c r="G155" s="307">
        <v>0</v>
      </c>
      <c r="H155" s="307">
        <v>175291330.91999999</v>
      </c>
      <c r="I155" s="307">
        <v>611255159.10000002</v>
      </c>
      <c r="J155" s="307">
        <v>435963828.18000001</v>
      </c>
      <c r="K155" s="309"/>
    </row>
    <row r="156" spans="1:13" ht="15" customHeight="1">
      <c r="A156" s="305" t="s">
        <v>1025</v>
      </c>
      <c r="B156" s="305"/>
      <c r="C156" s="305"/>
      <c r="D156" s="305" t="s">
        <v>1026</v>
      </c>
      <c r="E156" s="306">
        <v>4</v>
      </c>
      <c r="F156" s="305" t="s">
        <v>1628</v>
      </c>
      <c r="G156" s="307">
        <v>0</v>
      </c>
      <c r="H156" s="307">
        <v>175291330.91999999</v>
      </c>
      <c r="I156" s="307">
        <v>611255159.10000002</v>
      </c>
      <c r="J156" s="307">
        <v>435963828.18000001</v>
      </c>
    </row>
    <row r="157" spans="1:13" ht="15" customHeight="1">
      <c r="A157" s="305" t="s">
        <v>1707</v>
      </c>
      <c r="B157" s="305"/>
      <c r="C157" s="305"/>
      <c r="D157" s="305" t="s">
        <v>1708</v>
      </c>
      <c r="E157" s="306">
        <v>5</v>
      </c>
      <c r="F157" s="305" t="s">
        <v>1628</v>
      </c>
      <c r="G157" s="307">
        <v>0</v>
      </c>
      <c r="H157" s="307">
        <v>53896771.920000002</v>
      </c>
      <c r="I157" s="307">
        <v>489860600.10000002</v>
      </c>
      <c r="J157" s="307">
        <v>435963828.18000001</v>
      </c>
    </row>
    <row r="158" spans="1:13" ht="15" customHeight="1">
      <c r="A158" s="305" t="s">
        <v>1709</v>
      </c>
      <c r="B158" s="305"/>
      <c r="C158" s="305"/>
      <c r="D158" s="305" t="s">
        <v>1710</v>
      </c>
      <c r="E158" s="306">
        <v>5</v>
      </c>
      <c r="F158" s="305" t="s">
        <v>1628</v>
      </c>
      <c r="G158" s="307">
        <v>0</v>
      </c>
      <c r="H158" s="307">
        <v>121394559</v>
      </c>
      <c r="I158" s="307">
        <v>121394559</v>
      </c>
      <c r="J158" s="307">
        <v>0</v>
      </c>
    </row>
    <row r="159" spans="1:13" ht="15" customHeight="1">
      <c r="A159" s="305" t="s">
        <v>1033</v>
      </c>
      <c r="B159" s="305"/>
      <c r="C159" s="305"/>
      <c r="D159" s="305" t="s">
        <v>1034</v>
      </c>
      <c r="E159" s="306">
        <v>2</v>
      </c>
      <c r="F159" s="305" t="s">
        <v>1628</v>
      </c>
      <c r="G159" s="307">
        <v>0</v>
      </c>
      <c r="H159" s="307">
        <v>0</v>
      </c>
      <c r="I159" s="307">
        <v>10184498.859999999</v>
      </c>
      <c r="J159" s="307">
        <v>10184498.859999999</v>
      </c>
    </row>
    <row r="160" spans="1:13" ht="15" customHeight="1">
      <c r="A160" s="305" t="s">
        <v>1035</v>
      </c>
      <c r="B160" s="305"/>
      <c r="C160" s="305"/>
      <c r="D160" s="305" t="s">
        <v>1036</v>
      </c>
      <c r="E160" s="306">
        <v>3</v>
      </c>
      <c r="F160" s="305" t="s">
        <v>1628</v>
      </c>
      <c r="G160" s="307">
        <v>0</v>
      </c>
      <c r="H160" s="307">
        <v>0</v>
      </c>
      <c r="I160" s="307">
        <v>10184498.859999999</v>
      </c>
      <c r="J160" s="307">
        <v>10184498.859999999</v>
      </c>
    </row>
    <row r="161" spans="1:12" ht="15" customHeight="1">
      <c r="A161" s="305" t="s">
        <v>1037</v>
      </c>
      <c r="B161" s="305"/>
      <c r="C161" s="305"/>
      <c r="D161" s="305" t="s">
        <v>211</v>
      </c>
      <c r="E161" s="306">
        <v>4</v>
      </c>
      <c r="F161" s="305" t="s">
        <v>1628</v>
      </c>
      <c r="G161" s="307">
        <v>0</v>
      </c>
      <c r="H161" s="307">
        <v>0</v>
      </c>
      <c r="I161" s="307">
        <v>47563.46</v>
      </c>
      <c r="J161" s="307">
        <v>47563.46</v>
      </c>
    </row>
    <row r="162" spans="1:12" ht="15" customHeight="1">
      <c r="A162" s="305" t="s">
        <v>1038</v>
      </c>
      <c r="B162" s="305"/>
      <c r="C162" s="305"/>
      <c r="D162" s="305" t="s">
        <v>1039</v>
      </c>
      <c r="E162" s="306">
        <v>5</v>
      </c>
      <c r="F162" s="305" t="s">
        <v>1628</v>
      </c>
      <c r="G162" s="307">
        <v>0</v>
      </c>
      <c r="H162" s="307">
        <v>0</v>
      </c>
      <c r="I162" s="307">
        <v>47563.46</v>
      </c>
      <c r="J162" s="307">
        <v>47563.46</v>
      </c>
      <c r="K162" s="308"/>
      <c r="L162" s="308"/>
    </row>
    <row r="163" spans="1:12" ht="15" customHeight="1">
      <c r="A163" s="305" t="s">
        <v>1045</v>
      </c>
      <c r="B163" s="305"/>
      <c r="C163" s="305"/>
      <c r="D163" s="305" t="s">
        <v>1046</v>
      </c>
      <c r="E163" s="306">
        <v>4</v>
      </c>
      <c r="F163" s="305" t="s">
        <v>1628</v>
      </c>
      <c r="G163" s="307">
        <v>0</v>
      </c>
      <c r="H163" s="307">
        <v>0</v>
      </c>
      <c r="I163" s="307">
        <v>9908426.8599999994</v>
      </c>
      <c r="J163" s="307">
        <v>9908426.8599999994</v>
      </c>
    </row>
    <row r="164" spans="1:12" ht="15" customHeight="1">
      <c r="A164" s="305" t="s">
        <v>1711</v>
      </c>
      <c r="B164" s="305"/>
      <c r="C164" s="305"/>
      <c r="D164" s="305" t="s">
        <v>1712</v>
      </c>
      <c r="E164" s="306">
        <v>5</v>
      </c>
      <c r="F164" s="305" t="s">
        <v>1628</v>
      </c>
      <c r="G164" s="307">
        <v>0</v>
      </c>
      <c r="H164" s="307">
        <v>0</v>
      </c>
      <c r="I164" s="307">
        <v>9908426.8599999994</v>
      </c>
      <c r="J164" s="307">
        <v>9908426.8599999994</v>
      </c>
    </row>
    <row r="165" spans="1:12" ht="15" customHeight="1">
      <c r="A165" s="305" t="s">
        <v>1063</v>
      </c>
      <c r="B165" s="305"/>
      <c r="C165" s="305"/>
      <c r="D165" s="305" t="s">
        <v>150</v>
      </c>
      <c r="E165" s="306">
        <v>4</v>
      </c>
      <c r="F165" s="305" t="s">
        <v>1628</v>
      </c>
      <c r="G165" s="307">
        <v>0</v>
      </c>
      <c r="H165" s="307">
        <v>0</v>
      </c>
      <c r="I165" s="307">
        <v>228508.54</v>
      </c>
      <c r="J165" s="307">
        <v>228508.54</v>
      </c>
    </row>
    <row r="166" spans="1:12" ht="15" customHeight="1">
      <c r="A166" s="305" t="s">
        <v>1064</v>
      </c>
      <c r="B166" s="305"/>
      <c r="C166" s="305"/>
      <c r="D166" s="305" t="s">
        <v>1065</v>
      </c>
      <c r="E166" s="306">
        <v>5</v>
      </c>
      <c r="F166" s="305" t="s">
        <v>1628</v>
      </c>
      <c r="G166" s="307">
        <v>0</v>
      </c>
      <c r="H166" s="307">
        <v>0</v>
      </c>
      <c r="I166" s="307">
        <v>44809.440000000002</v>
      </c>
      <c r="J166" s="307">
        <v>44809.440000000002</v>
      </c>
    </row>
    <row r="167" spans="1:12" ht="15" customHeight="1">
      <c r="A167" s="305" t="s">
        <v>1713</v>
      </c>
      <c r="B167" s="305"/>
      <c r="C167" s="305"/>
      <c r="D167" s="305" t="s">
        <v>1714</v>
      </c>
      <c r="E167" s="306">
        <v>5</v>
      </c>
      <c r="F167" s="305" t="s">
        <v>1628</v>
      </c>
      <c r="G167" s="307">
        <v>0</v>
      </c>
      <c r="H167" s="307">
        <v>0</v>
      </c>
      <c r="I167" s="307">
        <v>183699.1</v>
      </c>
      <c r="J167" s="307">
        <v>183699.1</v>
      </c>
    </row>
    <row r="168" spans="1:12" ht="15" customHeight="1">
      <c r="A168" s="305" t="s">
        <v>1067</v>
      </c>
      <c r="B168" s="305"/>
      <c r="C168" s="305"/>
      <c r="D168" s="305" t="s">
        <v>1068</v>
      </c>
      <c r="E168" s="306">
        <v>1</v>
      </c>
      <c r="F168" s="305" t="s">
        <v>1515</v>
      </c>
      <c r="G168" s="307">
        <v>0</v>
      </c>
      <c r="H168" s="307">
        <v>548724579.85000002</v>
      </c>
      <c r="I168" s="307">
        <v>30948744.260000002</v>
      </c>
      <c r="J168" s="307">
        <v>517775835.58999997</v>
      </c>
    </row>
    <row r="169" spans="1:12" ht="15" customHeight="1">
      <c r="A169" s="305" t="s">
        <v>1069</v>
      </c>
      <c r="B169" s="305"/>
      <c r="C169" s="305"/>
      <c r="D169" s="305" t="s">
        <v>1070</v>
      </c>
      <c r="E169" s="306">
        <v>2</v>
      </c>
      <c r="F169" s="305" t="s">
        <v>1515</v>
      </c>
      <c r="G169" s="307">
        <v>0</v>
      </c>
      <c r="H169" s="307">
        <v>534010614.95999998</v>
      </c>
      <c r="I169" s="307">
        <v>4516627</v>
      </c>
      <c r="J169" s="307">
        <v>529493987.95999998</v>
      </c>
    </row>
    <row r="170" spans="1:12" ht="15" customHeight="1">
      <c r="A170" s="305" t="s">
        <v>1071</v>
      </c>
      <c r="B170" s="305"/>
      <c r="C170" s="305"/>
      <c r="D170" s="305" t="s">
        <v>1072</v>
      </c>
      <c r="E170" s="306">
        <v>3</v>
      </c>
      <c r="F170" s="305" t="s">
        <v>1515</v>
      </c>
      <c r="G170" s="307">
        <v>0</v>
      </c>
      <c r="H170" s="307">
        <v>150657004</v>
      </c>
      <c r="I170" s="307">
        <v>0</v>
      </c>
      <c r="J170" s="307">
        <v>150657004</v>
      </c>
    </row>
    <row r="171" spans="1:12" ht="15" customHeight="1">
      <c r="A171" s="305" t="s">
        <v>1075</v>
      </c>
      <c r="B171" s="305"/>
      <c r="C171" s="305"/>
      <c r="D171" s="305" t="s">
        <v>1076</v>
      </c>
      <c r="E171" s="306">
        <v>4</v>
      </c>
      <c r="F171" s="305" t="s">
        <v>1515</v>
      </c>
      <c r="G171" s="307">
        <v>0</v>
      </c>
      <c r="H171" s="307">
        <v>102476667</v>
      </c>
      <c r="I171" s="307">
        <v>0</v>
      </c>
      <c r="J171" s="307">
        <v>102476667</v>
      </c>
    </row>
    <row r="172" spans="1:12" ht="15" customHeight="1">
      <c r="A172" s="305" t="s">
        <v>1079</v>
      </c>
      <c r="B172" s="305"/>
      <c r="C172" s="305"/>
      <c r="D172" s="305" t="s">
        <v>1080</v>
      </c>
      <c r="E172" s="306">
        <v>4</v>
      </c>
      <c r="F172" s="305" t="s">
        <v>1515</v>
      </c>
      <c r="G172" s="307">
        <v>0</v>
      </c>
      <c r="H172" s="307">
        <v>842944</v>
      </c>
      <c r="I172" s="307">
        <v>0</v>
      </c>
      <c r="J172" s="307">
        <v>842944</v>
      </c>
    </row>
    <row r="173" spans="1:12" ht="15" customHeight="1">
      <c r="A173" s="305" t="s">
        <v>1088</v>
      </c>
      <c r="B173" s="305"/>
      <c r="C173" s="305"/>
      <c r="D173" s="305" t="s">
        <v>1089</v>
      </c>
      <c r="E173" s="306">
        <v>4</v>
      </c>
      <c r="F173" s="305" t="s">
        <v>1515</v>
      </c>
      <c r="G173" s="307">
        <v>0</v>
      </c>
      <c r="H173" s="307">
        <v>5882036</v>
      </c>
      <c r="I173" s="307">
        <v>0</v>
      </c>
      <c r="J173" s="307">
        <v>5882036</v>
      </c>
    </row>
    <row r="174" spans="1:12" ht="15" customHeight="1">
      <c r="A174" s="305" t="s">
        <v>1090</v>
      </c>
      <c r="B174" s="305"/>
      <c r="C174" s="305"/>
      <c r="D174" s="305" t="s">
        <v>813</v>
      </c>
      <c r="E174" s="306">
        <v>4</v>
      </c>
      <c r="F174" s="305" t="s">
        <v>1515</v>
      </c>
      <c r="G174" s="307">
        <v>0</v>
      </c>
      <c r="H174" s="307">
        <v>9100053</v>
      </c>
      <c r="I174" s="307">
        <v>0</v>
      </c>
      <c r="J174" s="307">
        <v>9100053</v>
      </c>
    </row>
    <row r="175" spans="1:12" ht="15" customHeight="1">
      <c r="A175" s="305" t="s">
        <v>1091</v>
      </c>
      <c r="B175" s="305"/>
      <c r="C175" s="305"/>
      <c r="D175" s="305" t="s">
        <v>779</v>
      </c>
      <c r="E175" s="306">
        <v>4</v>
      </c>
      <c r="F175" s="305" t="s">
        <v>1515</v>
      </c>
      <c r="G175" s="307">
        <v>0</v>
      </c>
      <c r="H175" s="307">
        <v>1093729</v>
      </c>
      <c r="I175" s="307">
        <v>0</v>
      </c>
      <c r="J175" s="307">
        <v>1093729</v>
      </c>
    </row>
    <row r="176" spans="1:12" ht="15" customHeight="1">
      <c r="A176" s="305" t="s">
        <v>1092</v>
      </c>
      <c r="B176" s="305"/>
      <c r="C176" s="305"/>
      <c r="D176" s="305" t="s">
        <v>783</v>
      </c>
      <c r="E176" s="306">
        <v>4</v>
      </c>
      <c r="F176" s="305" t="s">
        <v>1515</v>
      </c>
      <c r="G176" s="307">
        <v>0</v>
      </c>
      <c r="H176" s="307">
        <v>9100053</v>
      </c>
      <c r="I176" s="307">
        <v>0</v>
      </c>
      <c r="J176" s="307">
        <v>9100053</v>
      </c>
    </row>
    <row r="177" spans="1:10" ht="15" customHeight="1">
      <c r="A177" s="305" t="s">
        <v>1093</v>
      </c>
      <c r="B177" s="305"/>
      <c r="C177" s="305"/>
      <c r="D177" s="305" t="s">
        <v>818</v>
      </c>
      <c r="E177" s="306">
        <v>4</v>
      </c>
      <c r="F177" s="305" t="s">
        <v>1515</v>
      </c>
      <c r="G177" s="307">
        <v>0</v>
      </c>
      <c r="H177" s="307">
        <v>4306188</v>
      </c>
      <c r="I177" s="307">
        <v>0</v>
      </c>
      <c r="J177" s="307">
        <v>4306188</v>
      </c>
    </row>
    <row r="178" spans="1:10" ht="15" customHeight="1">
      <c r="A178" s="305" t="s">
        <v>1098</v>
      </c>
      <c r="B178" s="305"/>
      <c r="C178" s="305"/>
      <c r="D178" s="305" t="s">
        <v>799</v>
      </c>
      <c r="E178" s="306">
        <v>4</v>
      </c>
      <c r="F178" s="305" t="s">
        <v>1515</v>
      </c>
      <c r="G178" s="307">
        <v>0</v>
      </c>
      <c r="H178" s="307">
        <v>740000</v>
      </c>
      <c r="I178" s="307">
        <v>0</v>
      </c>
      <c r="J178" s="307">
        <v>740000</v>
      </c>
    </row>
    <row r="179" spans="1:10" ht="15" customHeight="1">
      <c r="A179" s="305" t="s">
        <v>1106</v>
      </c>
      <c r="B179" s="305"/>
      <c r="C179" s="305"/>
      <c r="D179" s="305" t="s">
        <v>1107</v>
      </c>
      <c r="E179" s="306">
        <v>4</v>
      </c>
      <c r="F179" s="305" t="s">
        <v>1515</v>
      </c>
      <c r="G179" s="307">
        <v>0</v>
      </c>
      <c r="H179" s="307">
        <v>1505400</v>
      </c>
      <c r="I179" s="307">
        <v>0</v>
      </c>
      <c r="J179" s="307">
        <v>1505400</v>
      </c>
    </row>
    <row r="180" spans="1:10" ht="15" customHeight="1">
      <c r="A180" s="305" t="s">
        <v>1112</v>
      </c>
      <c r="B180" s="305"/>
      <c r="C180" s="305"/>
      <c r="D180" s="305" t="s">
        <v>680</v>
      </c>
      <c r="E180" s="306">
        <v>4</v>
      </c>
      <c r="F180" s="305" t="s">
        <v>1515</v>
      </c>
      <c r="G180" s="307">
        <v>0</v>
      </c>
      <c r="H180" s="307">
        <v>534257</v>
      </c>
      <c r="I180" s="307">
        <v>0</v>
      </c>
      <c r="J180" s="307">
        <v>534257</v>
      </c>
    </row>
    <row r="181" spans="1:10" ht="15" customHeight="1">
      <c r="A181" s="305" t="s">
        <v>1113</v>
      </c>
      <c r="B181" s="305"/>
      <c r="C181" s="305"/>
      <c r="D181" s="305" t="s">
        <v>1114</v>
      </c>
      <c r="E181" s="306">
        <v>4</v>
      </c>
      <c r="F181" s="305" t="s">
        <v>1515</v>
      </c>
      <c r="G181" s="307">
        <v>0</v>
      </c>
      <c r="H181" s="307">
        <v>256000</v>
      </c>
      <c r="I181" s="307">
        <v>0</v>
      </c>
      <c r="J181" s="307">
        <v>256000</v>
      </c>
    </row>
    <row r="182" spans="1:10" ht="15" customHeight="1">
      <c r="A182" s="305" t="s">
        <v>1115</v>
      </c>
      <c r="B182" s="305"/>
      <c r="C182" s="305"/>
      <c r="D182" s="305" t="s">
        <v>1116</v>
      </c>
      <c r="E182" s="306">
        <v>4</v>
      </c>
      <c r="F182" s="305" t="s">
        <v>1515</v>
      </c>
      <c r="G182" s="307">
        <v>0</v>
      </c>
      <c r="H182" s="307">
        <v>12401647</v>
      </c>
      <c r="I182" s="307">
        <v>0</v>
      </c>
      <c r="J182" s="307">
        <v>12401647</v>
      </c>
    </row>
    <row r="183" spans="1:10" ht="15" customHeight="1">
      <c r="A183" s="305" t="s">
        <v>1117</v>
      </c>
      <c r="B183" s="305"/>
      <c r="C183" s="305"/>
      <c r="D183" s="305" t="s">
        <v>1118</v>
      </c>
      <c r="E183" s="306">
        <v>4</v>
      </c>
      <c r="F183" s="305" t="s">
        <v>1515</v>
      </c>
      <c r="G183" s="307">
        <v>0</v>
      </c>
      <c r="H183" s="307">
        <v>1475030</v>
      </c>
      <c r="I183" s="307">
        <v>0</v>
      </c>
      <c r="J183" s="307">
        <v>1475030</v>
      </c>
    </row>
    <row r="184" spans="1:10" ht="15" customHeight="1">
      <c r="A184" s="305" t="s">
        <v>1127</v>
      </c>
      <c r="B184" s="305"/>
      <c r="C184" s="305"/>
      <c r="D184" s="305" t="s">
        <v>150</v>
      </c>
      <c r="E184" s="306">
        <v>4</v>
      </c>
      <c r="F184" s="305" t="s">
        <v>1515</v>
      </c>
      <c r="G184" s="307">
        <v>0</v>
      </c>
      <c r="H184" s="307">
        <v>943000</v>
      </c>
      <c r="I184" s="307">
        <v>0</v>
      </c>
      <c r="J184" s="307">
        <v>943000</v>
      </c>
    </row>
    <row r="185" spans="1:10" ht="15" customHeight="1">
      <c r="A185" s="305" t="s">
        <v>1128</v>
      </c>
      <c r="B185" s="305"/>
      <c r="C185" s="305"/>
      <c r="D185" s="305" t="s">
        <v>1129</v>
      </c>
      <c r="E185" s="306">
        <v>5</v>
      </c>
      <c r="F185" s="305" t="s">
        <v>1515</v>
      </c>
      <c r="G185" s="307">
        <v>0</v>
      </c>
      <c r="H185" s="307">
        <v>943000</v>
      </c>
      <c r="I185" s="307">
        <v>0</v>
      </c>
      <c r="J185" s="307">
        <v>943000</v>
      </c>
    </row>
    <row r="186" spans="1:10" ht="15" customHeight="1">
      <c r="A186" s="305" t="s">
        <v>1134</v>
      </c>
      <c r="B186" s="305"/>
      <c r="C186" s="305"/>
      <c r="D186" s="305" t="s">
        <v>217</v>
      </c>
      <c r="E186" s="306">
        <v>3</v>
      </c>
      <c r="F186" s="305" t="s">
        <v>1515</v>
      </c>
      <c r="G186" s="307">
        <v>0</v>
      </c>
      <c r="H186" s="307">
        <v>1631880</v>
      </c>
      <c r="I186" s="307">
        <v>0</v>
      </c>
      <c r="J186" s="307">
        <v>1631880</v>
      </c>
    </row>
    <row r="187" spans="1:10" ht="15" customHeight="1">
      <c r="A187" s="305" t="s">
        <v>1143</v>
      </c>
      <c r="B187" s="305"/>
      <c r="C187" s="305"/>
      <c r="D187" s="305" t="s">
        <v>1144</v>
      </c>
      <c r="E187" s="306">
        <v>4</v>
      </c>
      <c r="F187" s="305" t="s">
        <v>1515</v>
      </c>
      <c r="G187" s="307">
        <v>0</v>
      </c>
      <c r="H187" s="307">
        <v>130000</v>
      </c>
      <c r="I187" s="307">
        <v>0</v>
      </c>
      <c r="J187" s="307">
        <v>130000</v>
      </c>
    </row>
    <row r="188" spans="1:10" ht="15" customHeight="1">
      <c r="A188" s="305" t="s">
        <v>1145</v>
      </c>
      <c r="B188" s="305"/>
      <c r="C188" s="305"/>
      <c r="D188" s="305" t="s">
        <v>1146</v>
      </c>
      <c r="E188" s="306">
        <v>5</v>
      </c>
      <c r="F188" s="305" t="s">
        <v>1515</v>
      </c>
      <c r="G188" s="307">
        <v>0</v>
      </c>
      <c r="H188" s="307">
        <v>130000</v>
      </c>
      <c r="I188" s="307">
        <v>0</v>
      </c>
      <c r="J188" s="307">
        <v>130000</v>
      </c>
    </row>
    <row r="189" spans="1:10" ht="15" customHeight="1">
      <c r="A189" s="305" t="s">
        <v>1152</v>
      </c>
      <c r="B189" s="305"/>
      <c r="C189" s="305"/>
      <c r="D189" s="305" t="s">
        <v>150</v>
      </c>
      <c r="E189" s="306">
        <v>4</v>
      </c>
      <c r="F189" s="305" t="s">
        <v>1515</v>
      </c>
      <c r="G189" s="307">
        <v>0</v>
      </c>
      <c r="H189" s="307">
        <v>1501880</v>
      </c>
      <c r="I189" s="307">
        <v>0</v>
      </c>
      <c r="J189" s="307">
        <v>1501880</v>
      </c>
    </row>
    <row r="190" spans="1:10" ht="15" customHeight="1">
      <c r="A190" s="305" t="s">
        <v>1153</v>
      </c>
      <c r="B190" s="305"/>
      <c r="C190" s="305"/>
      <c r="D190" s="305" t="s">
        <v>468</v>
      </c>
      <c r="E190" s="306">
        <v>5</v>
      </c>
      <c r="F190" s="305" t="s">
        <v>1515</v>
      </c>
      <c r="G190" s="307">
        <v>0</v>
      </c>
      <c r="H190" s="307">
        <v>1181880</v>
      </c>
      <c r="I190" s="307">
        <v>0</v>
      </c>
      <c r="J190" s="307">
        <v>1181880</v>
      </c>
    </row>
    <row r="191" spans="1:10" ht="15" customHeight="1">
      <c r="A191" s="305" t="s">
        <v>1733</v>
      </c>
      <c r="B191" s="305"/>
      <c r="C191" s="305"/>
      <c r="D191" s="305" t="s">
        <v>1734</v>
      </c>
      <c r="E191" s="306">
        <v>5</v>
      </c>
      <c r="F191" s="305" t="s">
        <v>1515</v>
      </c>
      <c r="G191" s="307">
        <v>0</v>
      </c>
      <c r="H191" s="307">
        <v>320000</v>
      </c>
      <c r="I191" s="307">
        <v>0</v>
      </c>
      <c r="J191" s="307">
        <v>320000</v>
      </c>
    </row>
    <row r="192" spans="1:10" ht="15" customHeight="1">
      <c r="A192" s="305" t="s">
        <v>1156</v>
      </c>
      <c r="B192" s="305"/>
      <c r="C192" s="305"/>
      <c r="D192" s="305" t="s">
        <v>1157</v>
      </c>
      <c r="E192" s="306">
        <v>3</v>
      </c>
      <c r="F192" s="305" t="s">
        <v>1515</v>
      </c>
      <c r="G192" s="307">
        <v>0</v>
      </c>
      <c r="H192" s="307">
        <v>6322647.7199999997</v>
      </c>
      <c r="I192" s="307">
        <v>3872826</v>
      </c>
      <c r="J192" s="307">
        <v>2449821.7200000002</v>
      </c>
    </row>
    <row r="193" spans="1:10" ht="15" customHeight="1">
      <c r="A193" s="305" t="s">
        <v>1158</v>
      </c>
      <c r="B193" s="305"/>
      <c r="C193" s="305"/>
      <c r="D193" s="305" t="s">
        <v>1159</v>
      </c>
      <c r="E193" s="306">
        <v>4</v>
      </c>
      <c r="F193" s="305" t="s">
        <v>1515</v>
      </c>
      <c r="G193" s="307">
        <v>0</v>
      </c>
      <c r="H193" s="307">
        <v>3970826</v>
      </c>
      <c r="I193" s="307">
        <v>3872826</v>
      </c>
      <c r="J193" s="307">
        <v>98000</v>
      </c>
    </row>
    <row r="194" spans="1:10" ht="15" customHeight="1">
      <c r="A194" s="305" t="s">
        <v>1179</v>
      </c>
      <c r="B194" s="305"/>
      <c r="C194" s="305"/>
      <c r="D194" s="305" t="s">
        <v>150</v>
      </c>
      <c r="E194" s="306">
        <v>4</v>
      </c>
      <c r="F194" s="305" t="s">
        <v>1515</v>
      </c>
      <c r="G194" s="307">
        <v>0</v>
      </c>
      <c r="H194" s="307">
        <v>2351821.7200000002</v>
      </c>
      <c r="I194" s="307">
        <v>0</v>
      </c>
      <c r="J194" s="307">
        <v>2351821.7200000002</v>
      </c>
    </row>
    <row r="195" spans="1:10" ht="15" customHeight="1">
      <c r="A195" s="305" t="s">
        <v>1180</v>
      </c>
      <c r="B195" s="305"/>
      <c r="C195" s="305"/>
      <c r="D195" s="305" t="s">
        <v>1181</v>
      </c>
      <c r="E195" s="306">
        <v>5</v>
      </c>
      <c r="F195" s="305" t="s">
        <v>1515</v>
      </c>
      <c r="G195" s="307">
        <v>0</v>
      </c>
      <c r="H195" s="307">
        <v>2351821.7200000002</v>
      </c>
      <c r="I195" s="307">
        <v>0</v>
      </c>
      <c r="J195" s="307">
        <v>2351821.7200000002</v>
      </c>
    </row>
    <row r="196" spans="1:10" ht="15" customHeight="1">
      <c r="A196" s="305" t="s">
        <v>1183</v>
      </c>
      <c r="B196" s="305"/>
      <c r="C196" s="305"/>
      <c r="D196" s="305" t="s">
        <v>222</v>
      </c>
      <c r="E196" s="306">
        <v>3</v>
      </c>
      <c r="F196" s="305" t="s">
        <v>1515</v>
      </c>
      <c r="G196" s="307">
        <v>0</v>
      </c>
      <c r="H196" s="307">
        <v>206681700</v>
      </c>
      <c r="I196" s="307">
        <v>0</v>
      </c>
      <c r="J196" s="307">
        <v>206681700</v>
      </c>
    </row>
    <row r="197" spans="1:10" ht="15" customHeight="1">
      <c r="A197" s="305" t="s">
        <v>1186</v>
      </c>
      <c r="B197" s="305"/>
      <c r="C197" s="305"/>
      <c r="D197" s="305" t="s">
        <v>1187</v>
      </c>
      <c r="E197" s="306">
        <v>4</v>
      </c>
      <c r="F197" s="305" t="s">
        <v>1515</v>
      </c>
      <c r="G197" s="307">
        <v>0</v>
      </c>
      <c r="H197" s="307">
        <v>206021700</v>
      </c>
      <c r="I197" s="307">
        <v>0</v>
      </c>
      <c r="J197" s="307">
        <v>206021700</v>
      </c>
    </row>
    <row r="198" spans="1:10" ht="15" customHeight="1">
      <c r="A198" s="305" t="s">
        <v>1188</v>
      </c>
      <c r="B198" s="305"/>
      <c r="C198" s="305"/>
      <c r="D198" s="305" t="s">
        <v>1189</v>
      </c>
      <c r="E198" s="306">
        <v>5</v>
      </c>
      <c r="F198" s="305" t="s">
        <v>1515</v>
      </c>
      <c r="G198" s="307">
        <v>0</v>
      </c>
      <c r="H198" s="307">
        <v>206021700</v>
      </c>
      <c r="I198" s="307">
        <v>0</v>
      </c>
      <c r="J198" s="307">
        <v>206021700</v>
      </c>
    </row>
    <row r="199" spans="1:10" ht="15" customHeight="1">
      <c r="A199" s="305" t="s">
        <v>1194</v>
      </c>
      <c r="B199" s="305"/>
      <c r="C199" s="305"/>
      <c r="D199" s="305" t="s">
        <v>392</v>
      </c>
      <c r="E199" s="306">
        <v>4</v>
      </c>
      <c r="F199" s="305" t="s">
        <v>1515</v>
      </c>
      <c r="G199" s="307">
        <v>0</v>
      </c>
      <c r="H199" s="307">
        <v>180000</v>
      </c>
      <c r="I199" s="307">
        <v>0</v>
      </c>
      <c r="J199" s="307">
        <v>180000</v>
      </c>
    </row>
    <row r="200" spans="1:10" ht="15" customHeight="1">
      <c r="A200" s="305" t="s">
        <v>1213</v>
      </c>
      <c r="B200" s="305"/>
      <c r="C200" s="305"/>
      <c r="D200" s="305" t="s">
        <v>150</v>
      </c>
      <c r="E200" s="306">
        <v>4</v>
      </c>
      <c r="F200" s="305" t="s">
        <v>1515</v>
      </c>
      <c r="G200" s="307">
        <v>0</v>
      </c>
      <c r="H200" s="307">
        <v>480000</v>
      </c>
      <c r="I200" s="307">
        <v>0</v>
      </c>
      <c r="J200" s="307">
        <v>480000</v>
      </c>
    </row>
    <row r="201" spans="1:10" ht="15" customHeight="1">
      <c r="A201" s="305" t="s">
        <v>1221</v>
      </c>
      <c r="B201" s="305"/>
      <c r="C201" s="305"/>
      <c r="D201" s="305" t="s">
        <v>522</v>
      </c>
      <c r="E201" s="306">
        <v>3</v>
      </c>
      <c r="F201" s="305" t="s">
        <v>1515</v>
      </c>
      <c r="G201" s="307">
        <v>0</v>
      </c>
      <c r="H201" s="307">
        <v>560706</v>
      </c>
      <c r="I201" s="307">
        <v>84425</v>
      </c>
      <c r="J201" s="307">
        <v>476281</v>
      </c>
    </row>
    <row r="202" spans="1:10" ht="15" customHeight="1">
      <c r="A202" s="305" t="s">
        <v>1240</v>
      </c>
      <c r="B202" s="305"/>
      <c r="C202" s="305"/>
      <c r="D202" s="305" t="s">
        <v>1241</v>
      </c>
      <c r="E202" s="306">
        <v>4</v>
      </c>
      <c r="F202" s="305" t="s">
        <v>1515</v>
      </c>
      <c r="G202" s="307">
        <v>0</v>
      </c>
      <c r="H202" s="307">
        <v>560706</v>
      </c>
      <c r="I202" s="307">
        <v>84425</v>
      </c>
      <c r="J202" s="307">
        <v>476281</v>
      </c>
    </row>
    <row r="203" spans="1:10" ht="15" customHeight="1">
      <c r="A203" s="305" t="s">
        <v>1252</v>
      </c>
      <c r="B203" s="305"/>
      <c r="C203" s="305"/>
      <c r="D203" s="305" t="s">
        <v>132</v>
      </c>
      <c r="E203" s="306">
        <v>3</v>
      </c>
      <c r="F203" s="305" t="s">
        <v>1515</v>
      </c>
      <c r="G203" s="307">
        <v>0</v>
      </c>
      <c r="H203" s="307">
        <v>114141982.09999999</v>
      </c>
      <c r="I203" s="307">
        <v>559376</v>
      </c>
      <c r="J203" s="307">
        <v>113582606.09999999</v>
      </c>
    </row>
    <row r="204" spans="1:10" ht="15" customHeight="1">
      <c r="A204" s="305" t="s">
        <v>1253</v>
      </c>
      <c r="B204" s="305"/>
      <c r="C204" s="305"/>
      <c r="D204" s="305" t="s">
        <v>1254</v>
      </c>
      <c r="E204" s="306">
        <v>4</v>
      </c>
      <c r="F204" s="305" t="s">
        <v>1515</v>
      </c>
      <c r="G204" s="307">
        <v>0</v>
      </c>
      <c r="H204" s="307">
        <v>26508574.809999999</v>
      </c>
      <c r="I204" s="307">
        <v>559376</v>
      </c>
      <c r="J204" s="307">
        <v>25949198.809999999</v>
      </c>
    </row>
    <row r="205" spans="1:10" ht="15" customHeight="1">
      <c r="A205" s="305" t="s">
        <v>1255</v>
      </c>
      <c r="B205" s="305"/>
      <c r="C205" s="305"/>
      <c r="D205" s="305" t="s">
        <v>1256</v>
      </c>
      <c r="E205" s="306">
        <v>5</v>
      </c>
      <c r="F205" s="305" t="s">
        <v>1515</v>
      </c>
      <c r="G205" s="307">
        <v>0</v>
      </c>
      <c r="H205" s="307">
        <v>22985972</v>
      </c>
      <c r="I205" s="307">
        <v>559376</v>
      </c>
      <c r="J205" s="307">
        <v>22426596</v>
      </c>
    </row>
    <row r="206" spans="1:10" ht="15" customHeight="1">
      <c r="A206" s="305" t="s">
        <v>1737</v>
      </c>
      <c r="B206" s="305"/>
      <c r="C206" s="305"/>
      <c r="D206" s="305" t="s">
        <v>1738</v>
      </c>
      <c r="E206" s="306">
        <v>5</v>
      </c>
      <c r="F206" s="305" t="s">
        <v>1515</v>
      </c>
      <c r="G206" s="307">
        <v>0</v>
      </c>
      <c r="H206" s="307">
        <v>517980</v>
      </c>
      <c r="I206" s="307">
        <v>0</v>
      </c>
      <c r="J206" s="307">
        <v>517980</v>
      </c>
    </row>
    <row r="207" spans="1:10" ht="15" customHeight="1">
      <c r="A207" s="305" t="s">
        <v>1741</v>
      </c>
      <c r="B207" s="305"/>
      <c r="C207" s="305"/>
      <c r="D207" s="305" t="s">
        <v>1638</v>
      </c>
      <c r="E207" s="306">
        <v>5</v>
      </c>
      <c r="F207" s="305" t="s">
        <v>1515</v>
      </c>
      <c r="G207" s="307">
        <v>0</v>
      </c>
      <c r="H207" s="307">
        <v>3004622.81</v>
      </c>
      <c r="I207" s="307">
        <v>0</v>
      </c>
      <c r="J207" s="307">
        <v>3004622.81</v>
      </c>
    </row>
    <row r="208" spans="1:10" ht="15" customHeight="1">
      <c r="A208" s="305" t="s">
        <v>1264</v>
      </c>
      <c r="B208" s="305"/>
      <c r="C208" s="305"/>
      <c r="D208" s="305" t="s">
        <v>1265</v>
      </c>
      <c r="E208" s="306">
        <v>4</v>
      </c>
      <c r="F208" s="305" t="s">
        <v>1515</v>
      </c>
      <c r="G208" s="307">
        <v>0</v>
      </c>
      <c r="H208" s="307">
        <v>35883498.630000003</v>
      </c>
      <c r="I208" s="307">
        <v>0</v>
      </c>
      <c r="J208" s="307">
        <v>35883498.630000003</v>
      </c>
    </row>
    <row r="209" spans="1:10" ht="15" customHeight="1">
      <c r="A209" s="305" t="s">
        <v>1266</v>
      </c>
      <c r="B209" s="305"/>
      <c r="C209" s="305"/>
      <c r="D209" s="305" t="s">
        <v>1267</v>
      </c>
      <c r="E209" s="306">
        <v>5</v>
      </c>
      <c r="F209" s="305" t="s">
        <v>1515</v>
      </c>
      <c r="G209" s="307">
        <v>0</v>
      </c>
      <c r="H209" s="307">
        <v>1190556.77</v>
      </c>
      <c r="I209" s="307">
        <v>0</v>
      </c>
      <c r="J209" s="307">
        <v>1190556.77</v>
      </c>
    </row>
    <row r="210" spans="1:10" ht="15" customHeight="1">
      <c r="A210" s="305" t="s">
        <v>1269</v>
      </c>
      <c r="B210" s="305"/>
      <c r="C210" s="305"/>
      <c r="D210" s="305" t="s">
        <v>1270</v>
      </c>
      <c r="E210" s="306">
        <v>5</v>
      </c>
      <c r="F210" s="305" t="s">
        <v>1515</v>
      </c>
      <c r="G210" s="307">
        <v>0</v>
      </c>
      <c r="H210" s="307">
        <v>34692941.859999999</v>
      </c>
      <c r="I210" s="307">
        <v>0</v>
      </c>
      <c r="J210" s="307">
        <v>34692941.859999999</v>
      </c>
    </row>
    <row r="211" spans="1:10" ht="15" customHeight="1">
      <c r="A211" s="305" t="s">
        <v>1273</v>
      </c>
      <c r="B211" s="305"/>
      <c r="C211" s="305"/>
      <c r="D211" s="305" t="s">
        <v>516</v>
      </c>
      <c r="E211" s="306">
        <v>4</v>
      </c>
      <c r="F211" s="305" t="s">
        <v>1515</v>
      </c>
      <c r="G211" s="307">
        <v>0</v>
      </c>
      <c r="H211" s="307">
        <v>25343227</v>
      </c>
      <c r="I211" s="307">
        <v>0</v>
      </c>
      <c r="J211" s="307">
        <v>25343227</v>
      </c>
    </row>
    <row r="212" spans="1:10" ht="15" customHeight="1">
      <c r="A212" s="305" t="s">
        <v>1274</v>
      </c>
      <c r="B212" s="305"/>
      <c r="C212" s="305"/>
      <c r="D212" s="305" t="s">
        <v>516</v>
      </c>
      <c r="E212" s="306">
        <v>5</v>
      </c>
      <c r="F212" s="305" t="s">
        <v>1515</v>
      </c>
      <c r="G212" s="307">
        <v>0</v>
      </c>
      <c r="H212" s="307">
        <v>25343227</v>
      </c>
      <c r="I212" s="307">
        <v>0</v>
      </c>
      <c r="J212" s="307">
        <v>25343227</v>
      </c>
    </row>
    <row r="213" spans="1:10" ht="15" customHeight="1">
      <c r="A213" s="305" t="s">
        <v>1275</v>
      </c>
      <c r="B213" s="305"/>
      <c r="C213" s="305"/>
      <c r="D213" s="305" t="s">
        <v>1276</v>
      </c>
      <c r="E213" s="306">
        <v>4</v>
      </c>
      <c r="F213" s="305" t="s">
        <v>1515</v>
      </c>
      <c r="G213" s="307">
        <v>0</v>
      </c>
      <c r="H213" s="307">
        <v>1797181.66</v>
      </c>
      <c r="I213" s="307">
        <v>0</v>
      </c>
      <c r="J213" s="307">
        <v>1797181.66</v>
      </c>
    </row>
    <row r="214" spans="1:10" ht="15" customHeight="1">
      <c r="A214" s="305" t="s">
        <v>1277</v>
      </c>
      <c r="B214" s="305"/>
      <c r="C214" s="305"/>
      <c r="D214" s="305" t="s">
        <v>502</v>
      </c>
      <c r="E214" s="306">
        <v>5</v>
      </c>
      <c r="F214" s="305" t="s">
        <v>1515</v>
      </c>
      <c r="G214" s="307">
        <v>0</v>
      </c>
      <c r="H214" s="307">
        <v>441841.86</v>
      </c>
      <c r="I214" s="307">
        <v>0</v>
      </c>
      <c r="J214" s="307">
        <v>441841.86</v>
      </c>
    </row>
    <row r="215" spans="1:10" ht="15" customHeight="1">
      <c r="A215" s="305" t="s">
        <v>4230</v>
      </c>
      <c r="B215" s="305"/>
      <c r="C215" s="305"/>
      <c r="D215" s="305" t="s">
        <v>4231</v>
      </c>
      <c r="E215" s="306">
        <v>5</v>
      </c>
      <c r="F215" s="305" t="s">
        <v>1515</v>
      </c>
      <c r="G215" s="307">
        <v>0</v>
      </c>
      <c r="H215" s="307">
        <v>1355339.8</v>
      </c>
      <c r="I215" s="307">
        <v>0</v>
      </c>
      <c r="J215" s="307">
        <v>1355339.8</v>
      </c>
    </row>
    <row r="216" spans="1:10" ht="15" customHeight="1">
      <c r="A216" s="305" t="s">
        <v>1279</v>
      </c>
      <c r="B216" s="305"/>
      <c r="C216" s="305"/>
      <c r="D216" s="305" t="s">
        <v>1280</v>
      </c>
      <c r="E216" s="306">
        <v>4</v>
      </c>
      <c r="F216" s="305" t="s">
        <v>1515</v>
      </c>
      <c r="G216" s="307">
        <v>0</v>
      </c>
      <c r="H216" s="307">
        <v>9500</v>
      </c>
      <c r="I216" s="307">
        <v>0</v>
      </c>
      <c r="J216" s="307">
        <v>9500</v>
      </c>
    </row>
    <row r="217" spans="1:10" ht="15" customHeight="1">
      <c r="A217" s="305" t="s">
        <v>1281</v>
      </c>
      <c r="B217" s="305"/>
      <c r="C217" s="305"/>
      <c r="D217" s="305" t="s">
        <v>497</v>
      </c>
      <c r="E217" s="306">
        <v>5</v>
      </c>
      <c r="F217" s="305" t="s">
        <v>1515</v>
      </c>
      <c r="G217" s="307">
        <v>0</v>
      </c>
      <c r="H217" s="307">
        <v>9500</v>
      </c>
      <c r="I217" s="307">
        <v>0</v>
      </c>
      <c r="J217" s="307">
        <v>9500</v>
      </c>
    </row>
    <row r="218" spans="1:10" ht="15" customHeight="1">
      <c r="A218" s="305" t="s">
        <v>1288</v>
      </c>
      <c r="B218" s="305"/>
      <c r="C218" s="305"/>
      <c r="D218" s="305" t="s">
        <v>150</v>
      </c>
      <c r="E218" s="306">
        <v>4</v>
      </c>
      <c r="F218" s="305" t="s">
        <v>1515</v>
      </c>
      <c r="G218" s="307">
        <v>0</v>
      </c>
      <c r="H218" s="307">
        <v>24600000</v>
      </c>
      <c r="I218" s="307">
        <v>0</v>
      </c>
      <c r="J218" s="307">
        <v>24600000</v>
      </c>
    </row>
    <row r="219" spans="1:10" ht="15" customHeight="1">
      <c r="A219" s="305" t="s">
        <v>1289</v>
      </c>
      <c r="B219" s="305"/>
      <c r="C219" s="305"/>
      <c r="D219" s="305" t="s">
        <v>1290</v>
      </c>
      <c r="E219" s="306">
        <v>5</v>
      </c>
      <c r="F219" s="305" t="s">
        <v>1515</v>
      </c>
      <c r="G219" s="307">
        <v>0</v>
      </c>
      <c r="H219" s="307">
        <v>24600000</v>
      </c>
      <c r="I219" s="307">
        <v>0</v>
      </c>
      <c r="J219" s="307">
        <v>24600000</v>
      </c>
    </row>
    <row r="220" spans="1:10" ht="15" customHeight="1">
      <c r="A220" s="305" t="s">
        <v>1292</v>
      </c>
      <c r="B220" s="305"/>
      <c r="C220" s="305"/>
      <c r="D220" s="305" t="s">
        <v>450</v>
      </c>
      <c r="E220" s="306">
        <v>3</v>
      </c>
      <c r="F220" s="305" t="s">
        <v>1515</v>
      </c>
      <c r="G220" s="307">
        <v>0</v>
      </c>
      <c r="H220" s="307">
        <v>1480900</v>
      </c>
      <c r="I220" s="307">
        <v>0</v>
      </c>
      <c r="J220" s="307">
        <v>1480900</v>
      </c>
    </row>
    <row r="221" spans="1:10" ht="15" customHeight="1">
      <c r="A221" s="305" t="s">
        <v>1293</v>
      </c>
      <c r="B221" s="305"/>
      <c r="C221" s="305"/>
      <c r="D221" s="305" t="s">
        <v>1294</v>
      </c>
      <c r="E221" s="306">
        <v>4</v>
      </c>
      <c r="F221" s="305" t="s">
        <v>1515</v>
      </c>
      <c r="G221" s="307">
        <v>0</v>
      </c>
      <c r="H221" s="307">
        <v>5000</v>
      </c>
      <c r="I221" s="307">
        <v>0</v>
      </c>
      <c r="J221" s="307">
        <v>5000</v>
      </c>
    </row>
    <row r="222" spans="1:10" ht="15" customHeight="1">
      <c r="A222" s="305" t="s">
        <v>1295</v>
      </c>
      <c r="B222" s="305"/>
      <c r="C222" s="305"/>
      <c r="D222" s="305" t="s">
        <v>1296</v>
      </c>
      <c r="E222" s="306">
        <v>5</v>
      </c>
      <c r="F222" s="305" t="s">
        <v>1515</v>
      </c>
      <c r="G222" s="307">
        <v>0</v>
      </c>
      <c r="H222" s="307">
        <v>5000</v>
      </c>
      <c r="I222" s="307">
        <v>0</v>
      </c>
      <c r="J222" s="307">
        <v>5000</v>
      </c>
    </row>
    <row r="223" spans="1:10" ht="15" customHeight="1">
      <c r="A223" s="305" t="s">
        <v>1297</v>
      </c>
      <c r="B223" s="305"/>
      <c r="C223" s="305"/>
      <c r="D223" s="305" t="s">
        <v>1298</v>
      </c>
      <c r="E223" s="306">
        <v>4</v>
      </c>
      <c r="F223" s="305" t="s">
        <v>1515</v>
      </c>
      <c r="G223" s="307">
        <v>0</v>
      </c>
      <c r="H223" s="307">
        <v>1475900</v>
      </c>
      <c r="I223" s="307">
        <v>0</v>
      </c>
      <c r="J223" s="307">
        <v>1475900</v>
      </c>
    </row>
    <row r="224" spans="1:10" ht="15" customHeight="1">
      <c r="A224" s="305" t="s">
        <v>1299</v>
      </c>
      <c r="B224" s="305"/>
      <c r="C224" s="305"/>
      <c r="D224" s="305" t="s">
        <v>1300</v>
      </c>
      <c r="E224" s="306">
        <v>5</v>
      </c>
      <c r="F224" s="305" t="s">
        <v>1515</v>
      </c>
      <c r="G224" s="307">
        <v>0</v>
      </c>
      <c r="H224" s="307">
        <v>1417500</v>
      </c>
      <c r="I224" s="307">
        <v>0</v>
      </c>
      <c r="J224" s="307">
        <v>1417500</v>
      </c>
    </row>
    <row r="225" spans="1:10" ht="15" customHeight="1">
      <c r="A225" s="305" t="s">
        <v>1302</v>
      </c>
      <c r="B225" s="305"/>
      <c r="C225" s="305"/>
      <c r="D225" s="305" t="s">
        <v>1303</v>
      </c>
      <c r="E225" s="306">
        <v>5</v>
      </c>
      <c r="F225" s="305" t="s">
        <v>1515</v>
      </c>
      <c r="G225" s="307">
        <v>0</v>
      </c>
      <c r="H225" s="307">
        <v>58400</v>
      </c>
      <c r="I225" s="307">
        <v>0</v>
      </c>
      <c r="J225" s="307">
        <v>58400</v>
      </c>
    </row>
    <row r="226" spans="1:10" ht="15" customHeight="1">
      <c r="A226" s="305" t="s">
        <v>1333</v>
      </c>
      <c r="B226" s="305"/>
      <c r="C226" s="305"/>
      <c r="D226" s="305" t="s">
        <v>1334</v>
      </c>
      <c r="E226" s="306">
        <v>3</v>
      </c>
      <c r="F226" s="305" t="s">
        <v>1515</v>
      </c>
      <c r="G226" s="307">
        <v>0</v>
      </c>
      <c r="H226" s="307">
        <v>6056832</v>
      </c>
      <c r="I226" s="307">
        <v>0</v>
      </c>
      <c r="J226" s="307">
        <v>6056832</v>
      </c>
    </row>
    <row r="227" spans="1:10" ht="15" customHeight="1">
      <c r="A227" s="305" t="s">
        <v>1335</v>
      </c>
      <c r="B227" s="305"/>
      <c r="C227" s="305"/>
      <c r="D227" s="305" t="s">
        <v>1336</v>
      </c>
      <c r="E227" s="306">
        <v>4</v>
      </c>
      <c r="F227" s="305" t="s">
        <v>1515</v>
      </c>
      <c r="G227" s="307">
        <v>0</v>
      </c>
      <c r="H227" s="307">
        <v>1050739</v>
      </c>
      <c r="I227" s="307">
        <v>0</v>
      </c>
      <c r="J227" s="307">
        <v>1050739</v>
      </c>
    </row>
    <row r="228" spans="1:10" ht="15" customHeight="1">
      <c r="A228" s="305" t="s">
        <v>4232</v>
      </c>
      <c r="B228" s="305"/>
      <c r="C228" s="305"/>
      <c r="D228" s="305" t="s">
        <v>1336</v>
      </c>
      <c r="E228" s="306">
        <v>5</v>
      </c>
      <c r="F228" s="305" t="s">
        <v>1515</v>
      </c>
      <c r="G228" s="307">
        <v>0</v>
      </c>
      <c r="H228" s="307">
        <v>1050739</v>
      </c>
      <c r="I228" s="307">
        <v>0</v>
      </c>
      <c r="J228" s="307">
        <v>1050739</v>
      </c>
    </row>
    <row r="229" spans="1:10" ht="15" customHeight="1">
      <c r="A229" s="305" t="s">
        <v>1744</v>
      </c>
      <c r="B229" s="305"/>
      <c r="C229" s="305"/>
      <c r="D229" s="305" t="s">
        <v>1745</v>
      </c>
      <c r="E229" s="306">
        <v>4</v>
      </c>
      <c r="F229" s="305" t="s">
        <v>1515</v>
      </c>
      <c r="G229" s="307">
        <v>0</v>
      </c>
      <c r="H229" s="307">
        <v>5006093</v>
      </c>
      <c r="I229" s="307">
        <v>0</v>
      </c>
      <c r="J229" s="307">
        <v>5006093</v>
      </c>
    </row>
    <row r="230" spans="1:10" ht="15" customHeight="1">
      <c r="A230" s="305" t="s">
        <v>4233</v>
      </c>
      <c r="B230" s="305"/>
      <c r="C230" s="305"/>
      <c r="D230" s="305" t="s">
        <v>4234</v>
      </c>
      <c r="E230" s="306">
        <v>5</v>
      </c>
      <c r="F230" s="305" t="s">
        <v>1515</v>
      </c>
      <c r="G230" s="307">
        <v>0</v>
      </c>
      <c r="H230" s="307">
        <v>2192773</v>
      </c>
      <c r="I230" s="307">
        <v>0</v>
      </c>
      <c r="J230" s="307">
        <v>2192773</v>
      </c>
    </row>
    <row r="231" spans="1:10" ht="15" customHeight="1">
      <c r="A231" s="305" t="s">
        <v>4235</v>
      </c>
      <c r="B231" s="305"/>
      <c r="C231" s="305"/>
      <c r="D231" s="305" t="s">
        <v>4236</v>
      </c>
      <c r="E231" s="306">
        <v>5</v>
      </c>
      <c r="F231" s="305" t="s">
        <v>1515</v>
      </c>
      <c r="G231" s="307">
        <v>0</v>
      </c>
      <c r="H231" s="307">
        <v>846250</v>
      </c>
      <c r="I231" s="307">
        <v>0</v>
      </c>
      <c r="J231" s="307">
        <v>846250</v>
      </c>
    </row>
    <row r="232" spans="1:10" ht="15" customHeight="1">
      <c r="A232" s="305" t="s">
        <v>1746</v>
      </c>
      <c r="B232" s="305"/>
      <c r="C232" s="305"/>
      <c r="D232" s="305" t="s">
        <v>1747</v>
      </c>
      <c r="E232" s="306">
        <v>5</v>
      </c>
      <c r="F232" s="305" t="s">
        <v>1515</v>
      </c>
      <c r="G232" s="307">
        <v>0</v>
      </c>
      <c r="H232" s="307">
        <v>1967070</v>
      </c>
      <c r="I232" s="307">
        <v>0</v>
      </c>
      <c r="J232" s="307">
        <v>1967070</v>
      </c>
    </row>
    <row r="233" spans="1:10" ht="15" customHeight="1">
      <c r="A233" s="305" t="s">
        <v>1359</v>
      </c>
      <c r="B233" s="305"/>
      <c r="C233" s="305"/>
      <c r="D233" s="305" t="s">
        <v>1360</v>
      </c>
      <c r="E233" s="306">
        <v>3</v>
      </c>
      <c r="F233" s="305" t="s">
        <v>1515</v>
      </c>
      <c r="G233" s="307">
        <v>0</v>
      </c>
      <c r="H233" s="307">
        <v>19354676</v>
      </c>
      <c r="I233" s="307">
        <v>0</v>
      </c>
      <c r="J233" s="307">
        <v>19354676</v>
      </c>
    </row>
    <row r="234" spans="1:10" ht="15" customHeight="1">
      <c r="A234" s="305" t="s">
        <v>1364</v>
      </c>
      <c r="B234" s="305"/>
      <c r="C234" s="305"/>
      <c r="D234" s="305" t="s">
        <v>392</v>
      </c>
      <c r="E234" s="306">
        <v>4</v>
      </c>
      <c r="F234" s="305" t="s">
        <v>1515</v>
      </c>
      <c r="G234" s="307">
        <v>0</v>
      </c>
      <c r="H234" s="307">
        <v>19354676</v>
      </c>
      <c r="I234" s="307">
        <v>0</v>
      </c>
      <c r="J234" s="307">
        <v>19354676</v>
      </c>
    </row>
    <row r="235" spans="1:10" ht="15" customHeight="1">
      <c r="A235" s="305" t="s">
        <v>1365</v>
      </c>
      <c r="B235" s="305"/>
      <c r="C235" s="305"/>
      <c r="D235" s="305" t="s">
        <v>416</v>
      </c>
      <c r="E235" s="306">
        <v>5</v>
      </c>
      <c r="F235" s="305" t="s">
        <v>1515</v>
      </c>
      <c r="G235" s="307">
        <v>0</v>
      </c>
      <c r="H235" s="307">
        <v>17752259</v>
      </c>
      <c r="I235" s="307">
        <v>0</v>
      </c>
      <c r="J235" s="307">
        <v>17752259</v>
      </c>
    </row>
    <row r="236" spans="1:10" ht="15" customHeight="1">
      <c r="A236" s="305" t="s">
        <v>1368</v>
      </c>
      <c r="B236" s="305"/>
      <c r="C236" s="305"/>
      <c r="D236" s="305" t="s">
        <v>404</v>
      </c>
      <c r="E236" s="306">
        <v>5</v>
      </c>
      <c r="F236" s="305" t="s">
        <v>1515</v>
      </c>
      <c r="G236" s="307">
        <v>0</v>
      </c>
      <c r="H236" s="307">
        <v>1602417</v>
      </c>
      <c r="I236" s="307">
        <v>0</v>
      </c>
      <c r="J236" s="307">
        <v>1602417</v>
      </c>
    </row>
    <row r="237" spans="1:10" ht="15" customHeight="1">
      <c r="A237" s="305" t="s">
        <v>1388</v>
      </c>
      <c r="B237" s="305"/>
      <c r="C237" s="305"/>
      <c r="D237" s="305" t="s">
        <v>1389</v>
      </c>
      <c r="E237" s="306">
        <v>3</v>
      </c>
      <c r="F237" s="305" t="s">
        <v>1515</v>
      </c>
      <c r="G237" s="307">
        <v>0</v>
      </c>
      <c r="H237" s="307">
        <v>7905800.1399999997</v>
      </c>
      <c r="I237" s="307">
        <v>0</v>
      </c>
      <c r="J237" s="307">
        <v>7905800.1399999997</v>
      </c>
    </row>
    <row r="238" spans="1:10" ht="15" customHeight="1">
      <c r="A238" s="305" t="s">
        <v>1390</v>
      </c>
      <c r="B238" s="305"/>
      <c r="C238" s="305"/>
      <c r="D238" s="305" t="s">
        <v>1391</v>
      </c>
      <c r="E238" s="306">
        <v>4</v>
      </c>
      <c r="F238" s="305" t="s">
        <v>1515</v>
      </c>
      <c r="G238" s="307">
        <v>0</v>
      </c>
      <c r="H238" s="307">
        <v>5028167.41</v>
      </c>
      <c r="I238" s="307">
        <v>0</v>
      </c>
      <c r="J238" s="307">
        <v>5028167.41</v>
      </c>
    </row>
    <row r="239" spans="1:10" ht="15" customHeight="1">
      <c r="A239" s="305" t="s">
        <v>1392</v>
      </c>
      <c r="B239" s="305"/>
      <c r="C239" s="305"/>
      <c r="D239" s="305" t="s">
        <v>1393</v>
      </c>
      <c r="E239" s="306">
        <v>5</v>
      </c>
      <c r="F239" s="305" t="s">
        <v>1515</v>
      </c>
      <c r="G239" s="307">
        <v>0</v>
      </c>
      <c r="H239" s="307">
        <v>154956.41</v>
      </c>
      <c r="I239" s="307">
        <v>0</v>
      </c>
      <c r="J239" s="307">
        <v>154956.41</v>
      </c>
    </row>
    <row r="240" spans="1:10" ht="15" customHeight="1">
      <c r="A240" s="305" t="s">
        <v>1394</v>
      </c>
      <c r="B240" s="305"/>
      <c r="C240" s="305"/>
      <c r="D240" s="305" t="s">
        <v>1395</v>
      </c>
      <c r="E240" s="306">
        <v>5</v>
      </c>
      <c r="F240" s="305" t="s">
        <v>1515</v>
      </c>
      <c r="G240" s="307">
        <v>0</v>
      </c>
      <c r="H240" s="307">
        <v>463211</v>
      </c>
      <c r="I240" s="307">
        <v>0</v>
      </c>
      <c r="J240" s="307">
        <v>463211</v>
      </c>
    </row>
    <row r="241" spans="1:10" ht="15" customHeight="1">
      <c r="A241" s="305" t="s">
        <v>1396</v>
      </c>
      <c r="B241" s="305"/>
      <c r="C241" s="305"/>
      <c r="D241" s="305" t="s">
        <v>1397</v>
      </c>
      <c r="E241" s="306">
        <v>5</v>
      </c>
      <c r="F241" s="305" t="s">
        <v>1515</v>
      </c>
      <c r="G241" s="307">
        <v>0</v>
      </c>
      <c r="H241" s="307">
        <v>4410000</v>
      </c>
      <c r="I241" s="307">
        <v>0</v>
      </c>
      <c r="J241" s="307">
        <v>4410000</v>
      </c>
    </row>
    <row r="242" spans="1:10" ht="15" customHeight="1">
      <c r="A242" s="305" t="s">
        <v>1399</v>
      </c>
      <c r="B242" s="305"/>
      <c r="C242" s="305"/>
      <c r="D242" s="305" t="s">
        <v>1400</v>
      </c>
      <c r="E242" s="306">
        <v>4</v>
      </c>
      <c r="F242" s="305" t="s">
        <v>1515</v>
      </c>
      <c r="G242" s="307">
        <v>0</v>
      </c>
      <c r="H242" s="307">
        <v>2877632.73</v>
      </c>
      <c r="I242" s="307">
        <v>0</v>
      </c>
      <c r="J242" s="307">
        <v>2877632.73</v>
      </c>
    </row>
    <row r="243" spans="1:10" ht="15" customHeight="1">
      <c r="A243" s="305" t="s">
        <v>1401</v>
      </c>
      <c r="B243" s="305"/>
      <c r="C243" s="305"/>
      <c r="D243" s="305" t="s">
        <v>404</v>
      </c>
      <c r="E243" s="306">
        <v>5</v>
      </c>
      <c r="F243" s="305" t="s">
        <v>1515</v>
      </c>
      <c r="G243" s="307">
        <v>0</v>
      </c>
      <c r="H243" s="307">
        <v>2877632.73</v>
      </c>
      <c r="I243" s="307">
        <v>0</v>
      </c>
      <c r="J243" s="307">
        <v>2877632.73</v>
      </c>
    </row>
    <row r="244" spans="1:10" ht="15" customHeight="1">
      <c r="A244" s="305" t="s">
        <v>1403</v>
      </c>
      <c r="B244" s="305"/>
      <c r="C244" s="305"/>
      <c r="D244" s="305" t="s">
        <v>1404</v>
      </c>
      <c r="E244" s="306">
        <v>3</v>
      </c>
      <c r="F244" s="305" t="s">
        <v>1515</v>
      </c>
      <c r="G244" s="307">
        <v>0</v>
      </c>
      <c r="H244" s="307">
        <v>19216487</v>
      </c>
      <c r="I244" s="307">
        <v>0</v>
      </c>
      <c r="J244" s="307">
        <v>19216487</v>
      </c>
    </row>
    <row r="245" spans="1:10" ht="15" customHeight="1">
      <c r="A245" s="305" t="s">
        <v>1410</v>
      </c>
      <c r="B245" s="305"/>
      <c r="C245" s="305"/>
      <c r="D245" s="305" t="s">
        <v>547</v>
      </c>
      <c r="E245" s="306">
        <v>4</v>
      </c>
      <c r="F245" s="305" t="s">
        <v>1515</v>
      </c>
      <c r="G245" s="307">
        <v>0</v>
      </c>
      <c r="H245" s="307">
        <v>17357440</v>
      </c>
      <c r="I245" s="307">
        <v>0</v>
      </c>
      <c r="J245" s="307">
        <v>17357440</v>
      </c>
    </row>
    <row r="246" spans="1:10" ht="15" customHeight="1">
      <c r="A246" s="305" t="s">
        <v>1411</v>
      </c>
      <c r="B246" s="305"/>
      <c r="C246" s="305"/>
      <c r="D246" s="305" t="s">
        <v>1412</v>
      </c>
      <c r="E246" s="306">
        <v>5</v>
      </c>
      <c r="F246" s="305" t="s">
        <v>1515</v>
      </c>
      <c r="G246" s="307">
        <v>0</v>
      </c>
      <c r="H246" s="307">
        <v>7836293</v>
      </c>
      <c r="I246" s="307">
        <v>0</v>
      </c>
      <c r="J246" s="307">
        <v>7836293</v>
      </c>
    </row>
    <row r="247" spans="1:10" ht="15" customHeight="1">
      <c r="A247" s="305" t="s">
        <v>1413</v>
      </c>
      <c r="B247" s="305"/>
      <c r="C247" s="305"/>
      <c r="D247" s="305" t="s">
        <v>1414</v>
      </c>
      <c r="E247" s="306">
        <v>5</v>
      </c>
      <c r="F247" s="305" t="s">
        <v>1515</v>
      </c>
      <c r="G247" s="307">
        <v>0</v>
      </c>
      <c r="H247" s="307">
        <v>9521147</v>
      </c>
      <c r="I247" s="307">
        <v>0</v>
      </c>
      <c r="J247" s="307">
        <v>9521147</v>
      </c>
    </row>
    <row r="248" spans="1:10" ht="15" customHeight="1">
      <c r="A248" s="305" t="s">
        <v>1415</v>
      </c>
      <c r="B248" s="305"/>
      <c r="C248" s="305"/>
      <c r="D248" s="305" t="s">
        <v>1416</v>
      </c>
      <c r="E248" s="306">
        <v>4</v>
      </c>
      <c r="F248" s="305" t="s">
        <v>1515</v>
      </c>
      <c r="G248" s="307">
        <v>0</v>
      </c>
      <c r="H248" s="307">
        <v>1807447</v>
      </c>
      <c r="I248" s="307">
        <v>0</v>
      </c>
      <c r="J248" s="307">
        <v>1807447</v>
      </c>
    </row>
    <row r="249" spans="1:10" ht="15" customHeight="1">
      <c r="A249" s="305" t="s">
        <v>1417</v>
      </c>
      <c r="B249" s="305"/>
      <c r="C249" s="305"/>
      <c r="D249" s="305" t="s">
        <v>1418</v>
      </c>
      <c r="E249" s="306">
        <v>5</v>
      </c>
      <c r="F249" s="305" t="s">
        <v>1515</v>
      </c>
      <c r="G249" s="307">
        <v>0</v>
      </c>
      <c r="H249" s="307">
        <v>1807447</v>
      </c>
      <c r="I249" s="307">
        <v>0</v>
      </c>
      <c r="J249" s="307">
        <v>1807447</v>
      </c>
    </row>
    <row r="250" spans="1:10" ht="15" customHeight="1">
      <c r="A250" s="305" t="s">
        <v>1424</v>
      </c>
      <c r="B250" s="305"/>
      <c r="C250" s="305"/>
      <c r="D250" s="305" t="s">
        <v>1425</v>
      </c>
      <c r="E250" s="306">
        <v>4</v>
      </c>
      <c r="F250" s="305" t="s">
        <v>1515</v>
      </c>
      <c r="G250" s="307">
        <v>0</v>
      </c>
      <c r="H250" s="307">
        <v>51600</v>
      </c>
      <c r="I250" s="307">
        <v>0</v>
      </c>
      <c r="J250" s="307">
        <v>51600</v>
      </c>
    </row>
    <row r="251" spans="1:10" ht="15" customHeight="1">
      <c r="A251" s="305" t="s">
        <v>1426</v>
      </c>
      <c r="B251" s="305"/>
      <c r="C251" s="305"/>
      <c r="D251" s="305" t="s">
        <v>1427</v>
      </c>
      <c r="E251" s="306">
        <v>5</v>
      </c>
      <c r="F251" s="305" t="s">
        <v>1515</v>
      </c>
      <c r="G251" s="307">
        <v>0</v>
      </c>
      <c r="H251" s="307">
        <v>51600</v>
      </c>
      <c r="I251" s="307">
        <v>0</v>
      </c>
      <c r="J251" s="307">
        <v>51600</v>
      </c>
    </row>
    <row r="252" spans="1:10" ht="15" customHeight="1">
      <c r="A252" s="305" t="s">
        <v>1457</v>
      </c>
      <c r="B252" s="305"/>
      <c r="C252" s="305"/>
      <c r="D252" s="305" t="s">
        <v>1034</v>
      </c>
      <c r="E252" s="306">
        <v>2</v>
      </c>
      <c r="F252" s="305" t="s">
        <v>1515</v>
      </c>
      <c r="G252" s="307">
        <v>0</v>
      </c>
      <c r="H252" s="307">
        <v>14713964.890000001</v>
      </c>
      <c r="I252" s="307">
        <v>3117.26</v>
      </c>
      <c r="J252" s="307">
        <v>14710847.630000001</v>
      </c>
    </row>
    <row r="253" spans="1:10" ht="15" customHeight="1">
      <c r="A253" s="305" t="s">
        <v>1458</v>
      </c>
      <c r="B253" s="305"/>
      <c r="C253" s="305"/>
      <c r="D253" s="305" t="s">
        <v>1036</v>
      </c>
      <c r="E253" s="306">
        <v>3</v>
      </c>
      <c r="F253" s="305" t="s">
        <v>1515</v>
      </c>
      <c r="G253" s="307">
        <v>0</v>
      </c>
      <c r="H253" s="307">
        <v>2132229.83</v>
      </c>
      <c r="I253" s="307">
        <v>3117.26</v>
      </c>
      <c r="J253" s="307">
        <v>2129112.5699999998</v>
      </c>
    </row>
    <row r="254" spans="1:10" ht="15" customHeight="1">
      <c r="A254" s="305" t="s">
        <v>1459</v>
      </c>
      <c r="B254" s="305"/>
      <c r="C254" s="305"/>
      <c r="D254" s="305" t="s">
        <v>1460</v>
      </c>
      <c r="E254" s="306">
        <v>4</v>
      </c>
      <c r="F254" s="305" t="s">
        <v>1515</v>
      </c>
      <c r="G254" s="307">
        <v>0</v>
      </c>
      <c r="H254" s="307">
        <v>1934664.05</v>
      </c>
      <c r="I254" s="307">
        <v>0</v>
      </c>
      <c r="J254" s="307">
        <v>1934664.05</v>
      </c>
    </row>
    <row r="255" spans="1:10" ht="15" customHeight="1">
      <c r="A255" s="305" t="s">
        <v>1461</v>
      </c>
      <c r="B255" s="305"/>
      <c r="C255" s="305"/>
      <c r="D255" s="305" t="s">
        <v>1462</v>
      </c>
      <c r="E255" s="306">
        <v>5</v>
      </c>
      <c r="F255" s="305" t="s">
        <v>1515</v>
      </c>
      <c r="G255" s="307">
        <v>0</v>
      </c>
      <c r="H255" s="307">
        <v>830400</v>
      </c>
      <c r="I255" s="307">
        <v>0</v>
      </c>
      <c r="J255" s="307">
        <v>830400</v>
      </c>
    </row>
    <row r="256" spans="1:10">
      <c r="A256" s="305" t="s">
        <v>1464</v>
      </c>
      <c r="B256" s="305"/>
      <c r="C256" s="305"/>
      <c r="D256" s="305" t="s">
        <v>1465</v>
      </c>
      <c r="E256" s="306">
        <v>5</v>
      </c>
      <c r="F256" s="305" t="s">
        <v>1515</v>
      </c>
      <c r="G256" s="307">
        <v>0</v>
      </c>
      <c r="H256" s="307">
        <v>155880</v>
      </c>
      <c r="I256" s="307">
        <v>0</v>
      </c>
      <c r="J256" s="307">
        <v>155880</v>
      </c>
    </row>
    <row r="257" spans="1:10">
      <c r="A257" s="305" t="s">
        <v>1467</v>
      </c>
      <c r="B257" s="305"/>
      <c r="C257" s="305"/>
      <c r="D257" s="305" t="s">
        <v>1468</v>
      </c>
      <c r="E257" s="306">
        <v>5</v>
      </c>
      <c r="F257" s="305" t="s">
        <v>1515</v>
      </c>
      <c r="G257" s="307">
        <v>0</v>
      </c>
      <c r="H257" s="307">
        <v>948384.05</v>
      </c>
      <c r="I257" s="307">
        <v>0</v>
      </c>
      <c r="J257" s="307">
        <v>948384.05</v>
      </c>
    </row>
    <row r="258" spans="1:10">
      <c r="A258" s="305" t="s">
        <v>1471</v>
      </c>
      <c r="B258" s="305"/>
      <c r="C258" s="305"/>
      <c r="D258" s="305" t="s">
        <v>211</v>
      </c>
      <c r="E258" s="306">
        <v>4</v>
      </c>
      <c r="F258" s="305" t="s">
        <v>1515</v>
      </c>
      <c r="G258" s="307">
        <v>0</v>
      </c>
      <c r="H258" s="307">
        <v>17702.86</v>
      </c>
      <c r="I258" s="307">
        <v>0</v>
      </c>
      <c r="J258" s="307">
        <v>17702.86</v>
      </c>
    </row>
    <row r="259" spans="1:10">
      <c r="A259" s="305" t="s">
        <v>1748</v>
      </c>
      <c r="B259" s="305"/>
      <c r="C259" s="305"/>
      <c r="D259" s="305" t="s">
        <v>1749</v>
      </c>
      <c r="E259" s="306">
        <v>5</v>
      </c>
      <c r="F259" s="305" t="s">
        <v>1515</v>
      </c>
      <c r="G259" s="307">
        <v>0</v>
      </c>
      <c r="H259" s="307">
        <v>17702.86</v>
      </c>
      <c r="I259" s="307">
        <v>0</v>
      </c>
      <c r="J259" s="307">
        <v>17702.86</v>
      </c>
    </row>
    <row r="260" spans="1:10">
      <c r="A260" s="305" t="s">
        <v>1472</v>
      </c>
      <c r="B260" s="305"/>
      <c r="C260" s="305"/>
      <c r="D260" s="305" t="s">
        <v>1046</v>
      </c>
      <c r="E260" s="306">
        <v>4</v>
      </c>
      <c r="F260" s="305" t="s">
        <v>1515</v>
      </c>
      <c r="G260" s="307">
        <v>0</v>
      </c>
      <c r="H260" s="307">
        <v>150954.16</v>
      </c>
      <c r="I260" s="307">
        <v>0</v>
      </c>
      <c r="J260" s="307">
        <v>150954.16</v>
      </c>
    </row>
    <row r="261" spans="1:10">
      <c r="A261" s="305" t="s">
        <v>1751</v>
      </c>
      <c r="B261" s="305"/>
      <c r="C261" s="305"/>
      <c r="D261" s="305" t="s">
        <v>1752</v>
      </c>
      <c r="E261" s="306">
        <v>5</v>
      </c>
      <c r="F261" s="305" t="s">
        <v>1515</v>
      </c>
      <c r="G261" s="307">
        <v>0</v>
      </c>
      <c r="H261" s="307">
        <v>150954.16</v>
      </c>
      <c r="I261" s="307">
        <v>0</v>
      </c>
      <c r="J261" s="307">
        <v>150954.16</v>
      </c>
    </row>
    <row r="262" spans="1:10">
      <c r="A262" s="305" t="s">
        <v>1480</v>
      </c>
      <c r="B262" s="305"/>
      <c r="C262" s="305"/>
      <c r="D262" s="305" t="s">
        <v>150</v>
      </c>
      <c r="E262" s="306">
        <v>4</v>
      </c>
      <c r="F262" s="305" t="s">
        <v>1515</v>
      </c>
      <c r="G262" s="307">
        <v>0</v>
      </c>
      <c r="H262" s="307">
        <v>28908.76</v>
      </c>
      <c r="I262" s="307">
        <v>3117.26</v>
      </c>
      <c r="J262" s="307">
        <v>25791.5</v>
      </c>
    </row>
    <row r="263" spans="1:10">
      <c r="A263" s="305" t="s">
        <v>1484</v>
      </c>
      <c r="B263" s="305"/>
      <c r="C263" s="305"/>
      <c r="D263" s="305" t="s">
        <v>1065</v>
      </c>
      <c r="E263" s="306">
        <v>5</v>
      </c>
      <c r="F263" s="305" t="s">
        <v>1515</v>
      </c>
      <c r="G263" s="307">
        <v>0</v>
      </c>
      <c r="H263" s="307">
        <v>28908.76</v>
      </c>
      <c r="I263" s="307">
        <v>3117.26</v>
      </c>
      <c r="J263" s="307">
        <v>25791.5</v>
      </c>
    </row>
    <row r="264" spans="1:10">
      <c r="A264" s="305" t="s">
        <v>1487</v>
      </c>
      <c r="B264" s="305"/>
      <c r="C264" s="305"/>
      <c r="D264" s="305" t="s">
        <v>1488</v>
      </c>
      <c r="E264" s="306">
        <v>3</v>
      </c>
      <c r="F264" s="305" t="s">
        <v>1515</v>
      </c>
      <c r="G264" s="307">
        <v>0</v>
      </c>
      <c r="H264" s="307">
        <v>12201735.060000001</v>
      </c>
      <c r="I264" s="307">
        <v>0</v>
      </c>
      <c r="J264" s="307">
        <v>12201735.060000001</v>
      </c>
    </row>
    <row r="265" spans="1:10">
      <c r="A265" s="305" t="s">
        <v>1489</v>
      </c>
      <c r="B265" s="305"/>
      <c r="C265" s="305"/>
      <c r="D265" s="305" t="s">
        <v>1490</v>
      </c>
      <c r="E265" s="306">
        <v>4</v>
      </c>
      <c r="F265" s="305" t="s">
        <v>1515</v>
      </c>
      <c r="G265" s="307">
        <v>0</v>
      </c>
      <c r="H265" s="307">
        <v>12201735.060000001</v>
      </c>
      <c r="I265" s="307">
        <v>0</v>
      </c>
      <c r="J265" s="307">
        <v>12201735.060000001</v>
      </c>
    </row>
    <row r="266" spans="1:10">
      <c r="A266" s="305" t="s">
        <v>1497</v>
      </c>
      <c r="B266" s="305"/>
      <c r="C266" s="305"/>
      <c r="D266" s="305" t="s">
        <v>1498</v>
      </c>
      <c r="E266" s="306">
        <v>5</v>
      </c>
      <c r="F266" s="305" t="s">
        <v>1515</v>
      </c>
      <c r="G266" s="307">
        <v>0</v>
      </c>
      <c r="H266" s="307">
        <v>12200735.060000001</v>
      </c>
      <c r="I266" s="307">
        <v>0</v>
      </c>
      <c r="J266" s="307">
        <v>12200735.060000001</v>
      </c>
    </row>
    <row r="267" spans="1:10">
      <c r="A267" s="305" t="s">
        <v>1753</v>
      </c>
      <c r="B267" s="305"/>
      <c r="C267" s="305"/>
      <c r="D267" s="305" t="s">
        <v>1754</v>
      </c>
      <c r="E267" s="306">
        <v>5</v>
      </c>
      <c r="F267" s="305" t="s">
        <v>1515</v>
      </c>
      <c r="G267" s="307">
        <v>0</v>
      </c>
      <c r="H267" s="307">
        <v>1000</v>
      </c>
      <c r="I267" s="307">
        <v>0</v>
      </c>
      <c r="J267" s="307">
        <v>1000</v>
      </c>
    </row>
    <row r="268" spans="1:10">
      <c r="A268" s="305" t="s">
        <v>1755</v>
      </c>
      <c r="B268" s="305"/>
      <c r="C268" s="305"/>
      <c r="D268" s="305" t="s">
        <v>1756</v>
      </c>
      <c r="E268" s="306">
        <v>3</v>
      </c>
      <c r="F268" s="305" t="s">
        <v>1515</v>
      </c>
      <c r="G268" s="307">
        <v>0</v>
      </c>
      <c r="H268" s="307">
        <v>380000</v>
      </c>
      <c r="I268" s="307">
        <v>0</v>
      </c>
      <c r="J268" s="307">
        <v>380000</v>
      </c>
    </row>
    <row r="269" spans="1:10">
      <c r="A269" s="305" t="s">
        <v>1757</v>
      </c>
      <c r="B269" s="305"/>
      <c r="C269" s="305"/>
      <c r="D269" s="305" t="s">
        <v>1758</v>
      </c>
      <c r="E269" s="306">
        <v>4</v>
      </c>
      <c r="F269" s="305" t="s">
        <v>1515</v>
      </c>
      <c r="G269" s="307">
        <v>0</v>
      </c>
      <c r="H269" s="307">
        <v>380000</v>
      </c>
      <c r="I269" s="307">
        <v>0</v>
      </c>
      <c r="J269" s="307">
        <v>380000</v>
      </c>
    </row>
    <row r="270" spans="1:10" ht="25.5">
      <c r="A270" s="305" t="s">
        <v>1499</v>
      </c>
      <c r="B270" s="305"/>
      <c r="C270" s="305"/>
      <c r="D270" s="305" t="s">
        <v>1500</v>
      </c>
      <c r="E270" s="306">
        <v>2</v>
      </c>
      <c r="F270" s="305" t="s">
        <v>1515</v>
      </c>
      <c r="G270" s="307">
        <v>0</v>
      </c>
      <c r="H270" s="307">
        <v>0</v>
      </c>
      <c r="I270" s="307">
        <v>26429000</v>
      </c>
      <c r="J270" s="307">
        <v>-26429000</v>
      </c>
    </row>
    <row r="271" spans="1:10" ht="25.5">
      <c r="A271" s="305" t="s">
        <v>1501</v>
      </c>
      <c r="B271" s="305"/>
      <c r="C271" s="305"/>
      <c r="D271" s="305" t="s">
        <v>1500</v>
      </c>
      <c r="E271" s="306">
        <v>3</v>
      </c>
      <c r="F271" s="305" t="s">
        <v>1515</v>
      </c>
      <c r="G271" s="307">
        <v>0</v>
      </c>
      <c r="H271" s="307">
        <v>0</v>
      </c>
      <c r="I271" s="307">
        <v>26429000</v>
      </c>
      <c r="J271" s="307">
        <v>-26429000</v>
      </c>
    </row>
    <row r="272" spans="1:10" ht="25.5">
      <c r="A272" s="305" t="s">
        <v>1502</v>
      </c>
      <c r="B272" s="305"/>
      <c r="C272" s="305"/>
      <c r="D272" s="305" t="s">
        <v>1500</v>
      </c>
      <c r="E272" s="306">
        <v>4</v>
      </c>
      <c r="F272" s="305" t="s">
        <v>1515</v>
      </c>
      <c r="G272" s="307">
        <v>0</v>
      </c>
      <c r="H272" s="307">
        <v>0</v>
      </c>
      <c r="I272" s="307">
        <v>26429000</v>
      </c>
      <c r="J272" s="307">
        <v>-26429000</v>
      </c>
    </row>
    <row r="273" spans="1:10">
      <c r="A273" s="305" t="s">
        <v>4237</v>
      </c>
      <c r="B273" s="305"/>
      <c r="C273" s="305"/>
      <c r="D273" s="305" t="s">
        <v>4238</v>
      </c>
      <c r="E273" s="306">
        <v>5</v>
      </c>
      <c r="F273" s="305" t="s">
        <v>1515</v>
      </c>
      <c r="G273" s="307">
        <v>0</v>
      </c>
      <c r="H273" s="307">
        <v>0</v>
      </c>
      <c r="I273" s="307">
        <v>26429000</v>
      </c>
      <c r="J273" s="307">
        <v>-26429000</v>
      </c>
    </row>
    <row r="274" spans="1:10">
      <c r="A274" s="305"/>
      <c r="B274" s="305"/>
      <c r="C274" s="305"/>
      <c r="D274" s="305"/>
      <c r="E274" s="306"/>
      <c r="F274" s="305"/>
      <c r="G274" s="307"/>
      <c r="H274" s="307"/>
      <c r="I274" s="307"/>
      <c r="J274" s="307"/>
    </row>
    <row r="275" spans="1:10">
      <c r="A275" s="305"/>
      <c r="B275" s="305"/>
      <c r="C275" s="305"/>
      <c r="D275" s="305"/>
      <c r="E275" s="306"/>
      <c r="F275" s="305"/>
      <c r="G275" s="307"/>
      <c r="H275" s="307"/>
      <c r="I275" s="307"/>
      <c r="J275" s="307"/>
    </row>
    <row r="276" spans="1:10">
      <c r="A276" s="305"/>
      <c r="B276" s="305"/>
      <c r="C276" s="305"/>
      <c r="D276" s="305"/>
      <c r="E276" s="306"/>
      <c r="F276" s="305"/>
      <c r="G276" s="307"/>
      <c r="H276" s="307"/>
      <c r="I276" s="307"/>
      <c r="J276" s="307"/>
    </row>
    <row r="277" spans="1:10">
      <c r="A277" s="305"/>
      <c r="B277" s="305"/>
      <c r="C277" s="305"/>
      <c r="D277" s="305"/>
      <c r="E277" s="306"/>
      <c r="F277" s="305"/>
      <c r="G277" s="307"/>
      <c r="H277" s="307"/>
      <c r="I277" s="307"/>
      <c r="J277" s="307"/>
    </row>
    <row r="278" spans="1:10">
      <c r="A278" s="305"/>
      <c r="B278" s="305"/>
      <c r="C278" s="305"/>
      <c r="D278" s="305"/>
      <c r="E278" s="306"/>
      <c r="F278" s="305"/>
      <c r="G278" s="307"/>
      <c r="H278" s="307"/>
      <c r="I278" s="307"/>
      <c r="J278" s="307"/>
    </row>
    <row r="279" spans="1:10">
      <c r="A279" s="305"/>
      <c r="B279" s="305"/>
      <c r="C279" s="305"/>
      <c r="D279" s="305"/>
      <c r="E279" s="306"/>
      <c r="F279" s="305"/>
      <c r="G279" s="307"/>
      <c r="H279" s="307"/>
      <c r="I279" s="307"/>
      <c r="J279" s="307"/>
    </row>
    <row r="280" spans="1:10">
      <c r="A280" s="305"/>
      <c r="B280" s="305"/>
      <c r="C280" s="305"/>
      <c r="D280" s="305"/>
      <c r="E280" s="306"/>
      <c r="F280" s="305"/>
      <c r="G280" s="307"/>
      <c r="H280" s="307"/>
      <c r="I280" s="307"/>
      <c r="J280" s="307"/>
    </row>
    <row r="281" spans="1:10">
      <c r="A281" s="305"/>
      <c r="B281" s="305"/>
      <c r="C281" s="305"/>
      <c r="D281" s="305"/>
      <c r="E281" s="306"/>
      <c r="F281" s="305"/>
      <c r="G281" s="307"/>
      <c r="H281" s="307"/>
      <c r="I281" s="307"/>
      <c r="J281" s="307"/>
    </row>
    <row r="282" spans="1:10">
      <c r="A282" s="305"/>
      <c r="B282" s="305"/>
      <c r="C282" s="305"/>
      <c r="D282" s="305"/>
      <c r="E282" s="306"/>
      <c r="F282" s="305"/>
      <c r="G282" s="307"/>
      <c r="H282" s="307"/>
      <c r="I282" s="307"/>
      <c r="J282" s="307"/>
    </row>
    <row r="283" spans="1:10">
      <c r="A283" s="305"/>
      <c r="B283" s="305"/>
      <c r="C283" s="305"/>
      <c r="D283" s="305"/>
      <c r="E283" s="306"/>
      <c r="F283" s="305"/>
      <c r="G283" s="307"/>
      <c r="H283" s="307"/>
      <c r="I283" s="307"/>
      <c r="J283" s="307"/>
    </row>
    <row r="284" spans="1:10">
      <c r="A284" s="305"/>
      <c r="B284" s="305"/>
      <c r="C284" s="305"/>
      <c r="D284" s="305"/>
      <c r="E284" s="306"/>
      <c r="F284" s="305"/>
      <c r="G284" s="307"/>
      <c r="H284" s="307"/>
      <c r="I284" s="307"/>
      <c r="J284" s="307"/>
    </row>
    <row r="285" spans="1:10">
      <c r="A285" s="305"/>
      <c r="B285" s="305"/>
      <c r="C285" s="305"/>
      <c r="D285" s="305"/>
      <c r="E285" s="306"/>
      <c r="F285" s="305"/>
      <c r="G285" s="307"/>
      <c r="H285" s="307"/>
      <c r="I285" s="307"/>
      <c r="J285" s="307"/>
    </row>
    <row r="286" spans="1:10">
      <c r="A286" s="305"/>
      <c r="B286" s="305"/>
      <c r="C286" s="305"/>
      <c r="D286" s="305"/>
      <c r="E286" s="306"/>
      <c r="F286" s="305"/>
      <c r="G286" s="307"/>
      <c r="H286" s="307"/>
      <c r="I286" s="307"/>
      <c r="J286" s="307"/>
    </row>
    <row r="287" spans="1:10">
      <c r="A287" s="305"/>
      <c r="B287" s="305"/>
      <c r="C287" s="305"/>
      <c r="D287" s="305"/>
      <c r="E287" s="306"/>
      <c r="F287" s="305"/>
      <c r="G287" s="307"/>
      <c r="H287" s="307"/>
      <c r="I287" s="307"/>
      <c r="J287" s="307"/>
    </row>
    <row r="288" spans="1:10">
      <c r="A288" s="305"/>
      <c r="B288" s="305"/>
      <c r="C288" s="305"/>
      <c r="D288" s="305"/>
      <c r="E288" s="306"/>
      <c r="F288" s="305"/>
      <c r="G288" s="307"/>
      <c r="H288" s="307"/>
      <c r="I288" s="307"/>
      <c r="J288" s="307"/>
    </row>
    <row r="289" spans="1:10">
      <c r="A289" s="305"/>
      <c r="B289" s="305"/>
      <c r="C289" s="305"/>
      <c r="D289" s="305"/>
      <c r="E289" s="306"/>
      <c r="F289" s="305"/>
      <c r="G289" s="307"/>
      <c r="H289" s="307"/>
      <c r="I289" s="307"/>
      <c r="J289" s="307"/>
    </row>
    <row r="290" spans="1:10">
      <c r="A290" s="305"/>
      <c r="B290" s="305"/>
      <c r="C290" s="305"/>
      <c r="D290" s="305"/>
      <c r="E290" s="306"/>
      <c r="F290" s="305"/>
      <c r="G290" s="307"/>
      <c r="H290" s="307"/>
      <c r="I290" s="307"/>
      <c r="J290" s="307"/>
    </row>
    <row r="291" spans="1:10">
      <c r="A291" s="305"/>
      <c r="B291" s="305"/>
      <c r="C291" s="305"/>
      <c r="D291" s="305"/>
      <c r="E291" s="306"/>
      <c r="F291" s="305"/>
      <c r="G291" s="307"/>
      <c r="H291" s="307"/>
      <c r="I291" s="307"/>
      <c r="J291" s="307"/>
    </row>
    <row r="292" spans="1:10">
      <c r="A292" s="305"/>
      <c r="B292" s="305"/>
      <c r="C292" s="305"/>
      <c r="D292" s="305"/>
      <c r="E292" s="306"/>
      <c r="F292" s="305"/>
      <c r="G292" s="307"/>
      <c r="H292" s="307"/>
      <c r="I292" s="307"/>
      <c r="J292" s="307"/>
    </row>
  </sheetData>
  <autoFilter ref="A1:L255" xr:uid="{AB2E393B-1959-4F67-907B-04DBB92D2278}"/>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9BDEF-8C02-49EC-85F1-441F36854649}">
  <sheetPr>
    <tabColor rgb="FFFFFF00"/>
  </sheetPr>
  <dimension ref="A1:T359"/>
  <sheetViews>
    <sheetView zoomScale="85" zoomScaleNormal="85" workbookViewId="0">
      <pane xSplit="2" ySplit="1" topLeftCell="C2" activePane="bottomRight" state="frozen"/>
      <selection pane="topRight" activeCell="J272" sqref="J272"/>
      <selection pane="bottomLeft" activeCell="J272" sqref="J272"/>
      <selection pane="bottomRight" activeCell="F13" sqref="F13"/>
    </sheetView>
  </sheetViews>
  <sheetFormatPr baseColWidth="10" defaultColWidth="11.42578125" defaultRowHeight="15"/>
  <cols>
    <col min="1" max="1" width="10" bestFit="1" customWidth="1"/>
    <col min="2" max="2" width="36.7109375" customWidth="1"/>
    <col min="3" max="4" width="35.7109375" customWidth="1"/>
    <col min="5" max="5" width="21.7109375" customWidth="1"/>
    <col min="6" max="7" width="30.7109375" customWidth="1"/>
    <col min="8" max="8" width="11.5703125" customWidth="1"/>
    <col min="9" max="9" width="17.85546875" customWidth="1"/>
    <col min="10" max="10" width="16.140625" customWidth="1"/>
    <col min="11" max="12" width="17.42578125" customWidth="1"/>
    <col min="13" max="13" width="16.7109375" bestFit="1" customWidth="1"/>
    <col min="14" max="14" width="15.7109375" customWidth="1"/>
    <col min="15" max="15" width="16.7109375" bestFit="1" customWidth="1"/>
    <col min="16" max="17" width="16.7109375" customWidth="1"/>
    <col min="18" max="18" width="16.7109375" bestFit="1" customWidth="1"/>
    <col min="19" max="19" width="16.7109375" customWidth="1"/>
    <col min="20" max="20" width="16.7109375" bestFit="1" customWidth="1"/>
  </cols>
  <sheetData>
    <row r="1" spans="1:20" ht="22.5">
      <c r="A1" s="34" t="s">
        <v>4239</v>
      </c>
      <c r="B1" s="34" t="s">
        <v>4240</v>
      </c>
      <c r="C1" s="34" t="s">
        <v>4241</v>
      </c>
      <c r="D1" s="34" t="s">
        <v>4242</v>
      </c>
      <c r="E1" s="34" t="s">
        <v>4243</v>
      </c>
      <c r="F1" s="316" t="s">
        <v>4244</v>
      </c>
      <c r="G1" s="316" t="s">
        <v>4245</v>
      </c>
      <c r="H1" s="34" t="s">
        <v>1508</v>
      </c>
      <c r="I1" s="34" t="s">
        <v>4246</v>
      </c>
      <c r="J1" s="35" t="s">
        <v>4247</v>
      </c>
      <c r="K1" s="36" t="s">
        <v>4248</v>
      </c>
      <c r="L1" s="36" t="s">
        <v>4249</v>
      </c>
      <c r="M1" s="34" t="s">
        <v>4250</v>
      </c>
      <c r="N1" s="36" t="s">
        <v>4251</v>
      </c>
      <c r="O1" s="34" t="s">
        <v>4252</v>
      </c>
      <c r="P1" s="34" t="s">
        <v>4253</v>
      </c>
      <c r="Q1" s="34" t="s">
        <v>4254</v>
      </c>
      <c r="R1" s="34" t="s">
        <v>4255</v>
      </c>
      <c r="S1" s="34" t="s">
        <v>4254</v>
      </c>
      <c r="T1" s="34" t="s">
        <v>4255</v>
      </c>
    </row>
    <row r="2" spans="1:20">
      <c r="A2" s="37">
        <v>110505</v>
      </c>
      <c r="B2" s="37" t="s">
        <v>13</v>
      </c>
      <c r="C2" s="33" t="s">
        <v>4256</v>
      </c>
      <c r="D2" s="18" t="s">
        <v>4257</v>
      </c>
      <c r="E2" s="81" t="s">
        <v>4258</v>
      </c>
      <c r="F2" s="81" t="s">
        <v>4259</v>
      </c>
      <c r="G2" s="81" t="s">
        <v>4259</v>
      </c>
      <c r="H2" s="84"/>
      <c r="I2" s="38">
        <f>SUMIFS(Mov!$J:$J,Mov!$E:$E,A2)</f>
        <v>-38</v>
      </c>
      <c r="J2" s="38">
        <f>SUMIF(Bce!A:A,A2,Bce!J:J)</f>
        <v>0</v>
      </c>
      <c r="K2" s="38"/>
      <c r="L2" s="38">
        <f>SUMIF(BceAnt!A:A,A2,BceAnt!J:J)</f>
        <v>38</v>
      </c>
      <c r="M2" s="38"/>
      <c r="N2" s="38"/>
      <c r="O2" s="38"/>
      <c r="P2" s="38"/>
      <c r="Q2" s="38"/>
      <c r="R2" s="38"/>
      <c r="S2" s="38"/>
      <c r="T2" s="38"/>
    </row>
    <row r="3" spans="1:20">
      <c r="A3" s="39">
        <v>110510</v>
      </c>
      <c r="B3" s="39" t="s">
        <v>4260</v>
      </c>
      <c r="C3" s="33" t="s">
        <v>4261</v>
      </c>
      <c r="D3" s="33" t="s">
        <v>4257</v>
      </c>
      <c r="E3" s="37" t="s">
        <v>4258</v>
      </c>
      <c r="F3" s="37" t="s">
        <v>4259</v>
      </c>
      <c r="G3" s="37" t="s">
        <v>4259</v>
      </c>
      <c r="H3" s="84"/>
      <c r="I3" s="38"/>
      <c r="J3" s="38">
        <f>SUMIF(Bce!A:A,A3,Bce!J:J)</f>
        <v>0</v>
      </c>
      <c r="K3" s="38"/>
      <c r="L3" s="38">
        <f>SUMIF(BceAnt!A:A,A3,BceAnt!J:J)</f>
        <v>0</v>
      </c>
      <c r="M3" s="38"/>
      <c r="N3" s="38"/>
      <c r="O3" s="38"/>
      <c r="P3" s="38"/>
      <c r="Q3" s="38"/>
      <c r="R3" s="38"/>
      <c r="S3" s="38"/>
      <c r="T3" s="38"/>
    </row>
    <row r="4" spans="1:20">
      <c r="A4" s="39">
        <v>111005</v>
      </c>
      <c r="B4" s="39" t="s">
        <v>1580</v>
      </c>
      <c r="C4" s="33" t="s">
        <v>4262</v>
      </c>
      <c r="D4" s="33" t="s">
        <v>4257</v>
      </c>
      <c r="E4" s="37" t="s">
        <v>4258</v>
      </c>
      <c r="F4" s="37" t="s">
        <v>4259</v>
      </c>
      <c r="G4" s="37" t="s">
        <v>4259</v>
      </c>
      <c r="H4" s="84"/>
      <c r="I4" s="38"/>
      <c r="J4" s="38">
        <f>SUMIF(Bce!A:A,A4,Bce!J:J)</f>
        <v>0</v>
      </c>
      <c r="K4" s="38"/>
      <c r="L4" s="38">
        <f>SUMIF(BceAnt!A:A,A4,BceAnt!J:J)</f>
        <v>0</v>
      </c>
      <c r="M4" s="38"/>
      <c r="N4" s="38"/>
      <c r="O4" s="38"/>
      <c r="P4" s="38"/>
      <c r="Q4" s="38"/>
      <c r="R4" s="38"/>
      <c r="S4" s="38"/>
      <c r="T4" s="38"/>
    </row>
    <row r="5" spans="1:20">
      <c r="A5" s="39">
        <v>111505</v>
      </c>
      <c r="B5" s="39" t="s">
        <v>4263</v>
      </c>
      <c r="C5" s="33" t="s">
        <v>4262</v>
      </c>
      <c r="D5" s="33" t="s">
        <v>4257</v>
      </c>
      <c r="E5" s="37" t="s">
        <v>4258</v>
      </c>
      <c r="F5" s="37" t="s">
        <v>4259</v>
      </c>
      <c r="G5" s="37" t="s">
        <v>4259</v>
      </c>
      <c r="H5" s="84"/>
      <c r="I5" s="38"/>
      <c r="J5" s="38">
        <f>SUMIF(Bce!A:A,A5,Bce!J:J)</f>
        <v>0</v>
      </c>
      <c r="K5" s="38"/>
      <c r="L5" s="38">
        <f>SUMIF(BceAnt!A:A,A5,BceAnt!J:J)</f>
        <v>0</v>
      </c>
      <c r="M5" s="38"/>
      <c r="N5" s="38"/>
      <c r="O5" s="38"/>
      <c r="P5" s="38"/>
      <c r="Q5" s="38"/>
      <c r="R5" s="38"/>
      <c r="S5" s="38"/>
      <c r="T5" s="38"/>
    </row>
    <row r="6" spans="1:20">
      <c r="A6" s="39">
        <v>112005</v>
      </c>
      <c r="B6" s="39" t="s">
        <v>4264</v>
      </c>
      <c r="C6" s="33" t="s">
        <v>4262</v>
      </c>
      <c r="D6" s="33" t="s">
        <v>4257</v>
      </c>
      <c r="E6" s="37" t="s">
        <v>4258</v>
      </c>
      <c r="F6" s="37" t="s">
        <v>4259</v>
      </c>
      <c r="G6" s="37" t="s">
        <v>4259</v>
      </c>
      <c r="H6" s="84"/>
      <c r="I6" s="226">
        <f>SUMIFS(Mov!$J:$J,Mov!$E:$E,A6)</f>
        <v>9132674.5000000149</v>
      </c>
      <c r="J6" s="226">
        <f>SUMIF(Bce!A:A,A6,Bce!J:J)</f>
        <v>48779871.009999998</v>
      </c>
      <c r="K6" s="38"/>
      <c r="L6" s="38">
        <f>SUMIF(BceAnt!A:A,A6,BceAnt!J:J)</f>
        <v>39647196.509999998</v>
      </c>
      <c r="M6" s="38"/>
      <c r="N6" s="38"/>
      <c r="O6" s="38"/>
      <c r="P6" s="38"/>
      <c r="Q6" s="38"/>
      <c r="R6" s="38"/>
      <c r="S6" s="38"/>
      <c r="T6" s="38"/>
    </row>
    <row r="7" spans="1:20" ht="27">
      <c r="A7" s="39">
        <v>120505</v>
      </c>
      <c r="B7" s="39" t="s">
        <v>4265</v>
      </c>
      <c r="C7" s="33" t="s">
        <v>4266</v>
      </c>
      <c r="D7" s="33"/>
      <c r="E7" s="37" t="s">
        <v>4267</v>
      </c>
      <c r="F7" s="317" t="s">
        <v>4268</v>
      </c>
      <c r="G7" s="317" t="s">
        <v>4269</v>
      </c>
      <c r="H7" s="84"/>
      <c r="I7" s="318"/>
      <c r="J7" s="318">
        <f>SUMIF(Bce!A:A,A7,Bce!J:J)</f>
        <v>0</v>
      </c>
      <c r="K7" s="318"/>
      <c r="L7" s="318">
        <f>SUMIF(BceAnt!A:A,A7,BceAnt!J:J)</f>
        <v>0</v>
      </c>
      <c r="M7" s="318"/>
      <c r="N7" s="318"/>
      <c r="O7" s="318"/>
      <c r="P7" s="318"/>
      <c r="Q7" s="318"/>
      <c r="R7" s="318"/>
      <c r="S7" s="318"/>
      <c r="T7" s="318"/>
    </row>
    <row r="8" spans="1:20">
      <c r="A8" s="39">
        <v>124505</v>
      </c>
      <c r="B8" s="39" t="s">
        <v>4270</v>
      </c>
      <c r="C8" s="33" t="s">
        <v>4262</v>
      </c>
      <c r="D8" s="33" t="s">
        <v>4257</v>
      </c>
      <c r="E8" s="37" t="s">
        <v>4258</v>
      </c>
      <c r="F8" s="37" t="s">
        <v>4259</v>
      </c>
      <c r="G8" s="37" t="s">
        <v>4259</v>
      </c>
      <c r="H8" s="84"/>
      <c r="I8" s="38"/>
      <c r="J8" s="38">
        <f>SUMIF(Bce!A:A,A8,Bce!J:J)</f>
        <v>0</v>
      </c>
      <c r="K8" s="38"/>
      <c r="L8" s="38">
        <f>SUMIF(BceAnt!A:A,A8,BceAnt!J:J)</f>
        <v>0</v>
      </c>
      <c r="M8" s="38"/>
      <c r="N8" s="38"/>
      <c r="O8" s="38"/>
      <c r="P8" s="38"/>
      <c r="Q8" s="38"/>
      <c r="R8" s="38"/>
      <c r="S8" s="38"/>
      <c r="T8" s="38"/>
    </row>
    <row r="9" spans="1:20">
      <c r="A9" s="39">
        <v>124505</v>
      </c>
      <c r="B9" s="39" t="s">
        <v>4270</v>
      </c>
      <c r="C9" s="33" t="s">
        <v>4262</v>
      </c>
      <c r="D9" s="33" t="s">
        <v>4257</v>
      </c>
      <c r="E9" s="37" t="s">
        <v>4258</v>
      </c>
      <c r="F9" s="37" t="s">
        <v>4259</v>
      </c>
      <c r="G9" s="37" t="s">
        <v>4259</v>
      </c>
      <c r="H9" s="84"/>
      <c r="I9" s="38"/>
      <c r="J9" s="38">
        <f>SUMIF(Bce!A:A,A9,Bce!J:J)</f>
        <v>0</v>
      </c>
      <c r="K9" s="38"/>
      <c r="L9" s="38">
        <f>SUMIF(BceAnt!A:A,A9,BceAnt!J:J)</f>
        <v>0</v>
      </c>
      <c r="M9" s="38"/>
      <c r="N9" s="38"/>
      <c r="O9" s="38"/>
      <c r="P9" s="38"/>
      <c r="Q9" s="38"/>
      <c r="R9" s="38"/>
      <c r="S9" s="38"/>
      <c r="T9" s="38"/>
    </row>
    <row r="10" spans="1:20" ht="45">
      <c r="A10" s="39">
        <v>130505</v>
      </c>
      <c r="B10" s="39" t="s">
        <v>4271</v>
      </c>
      <c r="C10" s="33" t="s">
        <v>4272</v>
      </c>
      <c r="D10" s="33" t="s">
        <v>4273</v>
      </c>
      <c r="E10" s="37" t="s">
        <v>4274</v>
      </c>
      <c r="F10" s="319" t="s">
        <v>4275</v>
      </c>
      <c r="G10" s="319" t="s">
        <v>4275</v>
      </c>
      <c r="H10" s="84"/>
      <c r="I10" s="38"/>
      <c r="J10" s="38">
        <f>SUMIF(Bce!A:A,A10,Bce!J:J)</f>
        <v>0</v>
      </c>
      <c r="K10" s="38"/>
      <c r="L10" s="38">
        <f>SUMIF(BceAnt!A:A,A10,BceAnt!J:J)</f>
        <v>0</v>
      </c>
      <c r="M10" s="38"/>
      <c r="N10" s="38"/>
      <c r="O10" s="38"/>
      <c r="P10" s="38"/>
      <c r="Q10" s="38"/>
      <c r="R10" s="38"/>
      <c r="S10" s="38"/>
      <c r="T10" s="38"/>
    </row>
    <row r="11" spans="1:20" ht="45">
      <c r="A11" s="39">
        <v>130510</v>
      </c>
      <c r="B11" s="39" t="s">
        <v>4271</v>
      </c>
      <c r="C11" s="33" t="s">
        <v>4272</v>
      </c>
      <c r="D11" s="33" t="s">
        <v>4273</v>
      </c>
      <c r="E11" s="37" t="s">
        <v>4274</v>
      </c>
      <c r="F11" s="319" t="s">
        <v>4275</v>
      </c>
      <c r="G11" s="319" t="s">
        <v>4275</v>
      </c>
      <c r="H11" s="84"/>
      <c r="I11" s="38">
        <f>SUMIFS(Mov!$J:$J,Mov!$E:$E,A11)</f>
        <v>-35250626.879999995</v>
      </c>
      <c r="J11" s="38">
        <f>SUMIF(Bce!A:A,A11,Bce!J:J)</f>
        <v>0</v>
      </c>
      <c r="K11" s="38"/>
      <c r="L11" s="38">
        <f>SUMIF(BceAnt!A:A,A11,BceAnt!J:J)</f>
        <v>35250626.880000003</v>
      </c>
      <c r="M11" s="38"/>
      <c r="N11" s="38"/>
      <c r="O11" s="38"/>
      <c r="P11" s="38"/>
      <c r="Q11" s="38"/>
      <c r="R11" s="38"/>
      <c r="S11" s="38"/>
      <c r="T11" s="38"/>
    </row>
    <row r="12" spans="1:20" ht="60">
      <c r="A12" s="39">
        <v>131015</v>
      </c>
      <c r="B12" s="39" t="s">
        <v>4276</v>
      </c>
      <c r="C12" s="33" t="s">
        <v>4277</v>
      </c>
      <c r="D12" s="33" t="s">
        <v>4273</v>
      </c>
      <c r="E12" s="37" t="s">
        <v>4278</v>
      </c>
      <c r="F12" s="319" t="s">
        <v>4279</v>
      </c>
      <c r="G12" s="319" t="s">
        <v>4279</v>
      </c>
      <c r="H12" s="84"/>
      <c r="I12" s="38">
        <f>SUMIFS(Mov!$J:$J,Mov!$E:$E,A12)</f>
        <v>0</v>
      </c>
      <c r="J12" s="38">
        <f>SUMIF(Bce!A:A,A12,Bce!J:J)</f>
        <v>0</v>
      </c>
      <c r="K12" s="38"/>
      <c r="L12" s="38">
        <f>SUMIF(BceAnt!A:A,A12,BceAnt!J:J)</f>
        <v>0</v>
      </c>
      <c r="M12" s="38"/>
      <c r="N12" s="38"/>
      <c r="O12" s="38"/>
      <c r="P12" s="38"/>
      <c r="Q12" s="38"/>
      <c r="R12" s="38"/>
      <c r="S12" s="38"/>
      <c r="T12" s="38"/>
    </row>
    <row r="13" spans="1:20" ht="60">
      <c r="A13" s="39">
        <v>132510</v>
      </c>
      <c r="B13" s="39" t="s">
        <v>4276</v>
      </c>
      <c r="C13" s="33" t="s">
        <v>4277</v>
      </c>
      <c r="D13" s="33" t="s">
        <v>4273</v>
      </c>
      <c r="E13" s="37" t="s">
        <v>4278</v>
      </c>
      <c r="F13" s="319" t="s">
        <v>4279</v>
      </c>
      <c r="G13" s="319" t="s">
        <v>4279</v>
      </c>
      <c r="H13" s="84"/>
      <c r="I13" s="38">
        <f>SUMIFS(Mov!$J:$J,Mov!$E:$E,A13)</f>
        <v>-400000</v>
      </c>
      <c r="J13" s="38">
        <f>SUMIF(Bce!A:A,A13,Bce!J:J)</f>
        <v>0</v>
      </c>
      <c r="K13" s="38"/>
      <c r="L13" s="38">
        <f>SUMIF(BceAnt!A:A,A13,BceAnt!J:J)</f>
        <v>400000</v>
      </c>
      <c r="M13" s="38"/>
      <c r="N13" s="38"/>
      <c r="O13" s="38"/>
      <c r="P13" s="38"/>
      <c r="Q13" s="38"/>
      <c r="R13" s="38"/>
      <c r="S13" s="38"/>
      <c r="T13" s="38"/>
    </row>
    <row r="14" spans="1:20" ht="60">
      <c r="A14" s="39">
        <v>13300502</v>
      </c>
      <c r="B14" s="39" t="s">
        <v>129</v>
      </c>
      <c r="C14" s="33" t="s">
        <v>4280</v>
      </c>
      <c r="D14" s="33" t="s">
        <v>4273</v>
      </c>
      <c r="E14" s="37" t="s">
        <v>4281</v>
      </c>
      <c r="F14" s="319" t="s">
        <v>4279</v>
      </c>
      <c r="G14" s="319" t="s">
        <v>4279</v>
      </c>
      <c r="H14" s="84"/>
      <c r="I14" s="38">
        <f>SUMIFS(Mov!$J:$J,Mov!$E:$E,A14)</f>
        <v>-27042</v>
      </c>
      <c r="J14" s="38">
        <f>SUMIF(Bce!A:A,A14,Bce!J:J)</f>
        <v>0</v>
      </c>
      <c r="K14" s="38"/>
      <c r="L14" s="38">
        <f>SUMIF(BceAnt!A:A,A14,BceAnt!J:J)</f>
        <v>27042</v>
      </c>
      <c r="M14" s="38"/>
      <c r="N14" s="38"/>
      <c r="O14" s="38"/>
      <c r="P14" s="38"/>
      <c r="Q14" s="38"/>
      <c r="R14" s="38"/>
      <c r="S14" s="38"/>
      <c r="T14" s="38"/>
    </row>
    <row r="15" spans="1:20" ht="60">
      <c r="A15" s="39">
        <v>13300503</v>
      </c>
      <c r="B15" s="39" t="s">
        <v>132</v>
      </c>
      <c r="C15" s="33" t="s">
        <v>4280</v>
      </c>
      <c r="D15" s="33" t="s">
        <v>4273</v>
      </c>
      <c r="E15" s="37" t="s">
        <v>4281</v>
      </c>
      <c r="F15" s="319" t="s">
        <v>4279</v>
      </c>
      <c r="G15" s="319" t="s">
        <v>4279</v>
      </c>
      <c r="H15" s="84"/>
      <c r="I15" s="38">
        <f>SUMIFS(Mov!$J:$J,Mov!$E:$E,A15)</f>
        <v>0</v>
      </c>
      <c r="J15" s="38">
        <f>SUMIF(Bce!A:A,A15,Bce!J:J)</f>
        <v>0</v>
      </c>
      <c r="K15" s="38"/>
      <c r="L15" s="38">
        <f>SUMIF(BceAnt!A:A,A15,BceAnt!J:J)</f>
        <v>0</v>
      </c>
      <c r="M15" s="38"/>
      <c r="N15" s="38"/>
      <c r="O15" s="38"/>
      <c r="P15" s="38"/>
      <c r="Q15" s="38"/>
      <c r="R15" s="38"/>
      <c r="S15" s="38"/>
      <c r="T15" s="38"/>
    </row>
    <row r="16" spans="1:20" ht="60">
      <c r="A16" s="39">
        <v>133015</v>
      </c>
      <c r="B16" s="39" t="s">
        <v>138</v>
      </c>
      <c r="C16" s="33" t="s">
        <v>4282</v>
      </c>
      <c r="D16" s="33" t="s">
        <v>4273</v>
      </c>
      <c r="E16" s="37" t="s">
        <v>4281</v>
      </c>
      <c r="F16" s="319" t="s">
        <v>4279</v>
      </c>
      <c r="G16" s="319" t="s">
        <v>4279</v>
      </c>
      <c r="H16" s="84"/>
      <c r="I16" s="38"/>
      <c r="J16" s="38">
        <f>SUMIF(Bce!A:A,A16,Bce!J:J)</f>
        <v>0</v>
      </c>
      <c r="K16" s="38"/>
      <c r="L16" s="38">
        <f>SUMIF(BceAnt!A:A,A16,BceAnt!J:J)</f>
        <v>0</v>
      </c>
      <c r="M16" s="38"/>
      <c r="N16" s="38"/>
      <c r="O16" s="38"/>
      <c r="P16" s="38"/>
      <c r="Q16" s="38"/>
      <c r="R16" s="38"/>
      <c r="S16" s="38"/>
      <c r="T16" s="38"/>
    </row>
    <row r="17" spans="1:20" ht="60">
      <c r="A17" s="39">
        <v>133095</v>
      </c>
      <c r="B17" s="39" t="s">
        <v>150</v>
      </c>
      <c r="C17" s="33" t="s">
        <v>4272</v>
      </c>
      <c r="D17" s="33" t="s">
        <v>4273</v>
      </c>
      <c r="E17" s="37" t="s">
        <v>4281</v>
      </c>
      <c r="F17" s="319" t="s">
        <v>4279</v>
      </c>
      <c r="G17" s="319" t="s">
        <v>4279</v>
      </c>
      <c r="H17" s="84"/>
      <c r="I17" s="38"/>
      <c r="J17" s="38">
        <f>SUMIF(Bce!A:A,A17,Bce!J:J)</f>
        <v>0</v>
      </c>
      <c r="K17" s="38"/>
      <c r="L17" s="38">
        <f>SUMIF(BceAnt!A:A,A17,BceAnt!J:J)</f>
        <v>0</v>
      </c>
      <c r="M17" s="38"/>
      <c r="N17" s="38"/>
      <c r="O17" s="38"/>
      <c r="P17" s="38"/>
      <c r="Q17" s="38"/>
      <c r="R17" s="38"/>
      <c r="S17" s="38"/>
      <c r="T17" s="38"/>
    </row>
    <row r="18" spans="1:20" ht="60">
      <c r="A18" s="39">
        <v>133535</v>
      </c>
      <c r="B18" s="39" t="s">
        <v>4283</v>
      </c>
      <c r="C18" s="33" t="s">
        <v>4272</v>
      </c>
      <c r="D18" s="33" t="s">
        <v>4273</v>
      </c>
      <c r="E18" s="37" t="s">
        <v>4281</v>
      </c>
      <c r="F18" s="319" t="s">
        <v>4279</v>
      </c>
      <c r="G18" s="319" t="s">
        <v>4279</v>
      </c>
      <c r="H18" s="84"/>
      <c r="I18" s="38"/>
      <c r="J18" s="38">
        <f>SUMIF(Bce!A:A,A18,Bce!J:J)</f>
        <v>0</v>
      </c>
      <c r="K18" s="38"/>
      <c r="L18" s="38">
        <f>SUMIF(BceAnt!A:A,A18,BceAnt!J:J)</f>
        <v>0</v>
      </c>
      <c r="M18" s="38"/>
      <c r="N18" s="38"/>
      <c r="O18" s="38"/>
      <c r="P18" s="38"/>
      <c r="Q18" s="38"/>
      <c r="R18" s="38"/>
      <c r="S18" s="38"/>
      <c r="T18" s="38"/>
    </row>
    <row r="19" spans="1:20" ht="60">
      <c r="A19" s="39">
        <v>134525</v>
      </c>
      <c r="B19" s="39" t="s">
        <v>4284</v>
      </c>
      <c r="C19" s="33" t="s">
        <v>4272</v>
      </c>
      <c r="D19" s="33" t="s">
        <v>4273</v>
      </c>
      <c r="E19" s="37" t="s">
        <v>4281</v>
      </c>
      <c r="F19" s="319" t="s">
        <v>4279</v>
      </c>
      <c r="G19" s="319" t="s">
        <v>4279</v>
      </c>
      <c r="H19" s="84"/>
      <c r="I19" s="38"/>
      <c r="J19" s="38">
        <f>SUMIF(Bce!A:A,A19,Bce!J:J)</f>
        <v>0</v>
      </c>
      <c r="K19" s="38"/>
      <c r="L19" s="38">
        <f>SUMIF(BceAnt!A:A,A19,BceAnt!J:J)</f>
        <v>0</v>
      </c>
      <c r="M19" s="38"/>
      <c r="N19" s="38"/>
      <c r="O19" s="38"/>
      <c r="P19" s="38"/>
      <c r="Q19" s="38"/>
      <c r="R19" s="38"/>
      <c r="S19" s="38"/>
      <c r="T19" s="38"/>
    </row>
    <row r="20" spans="1:20" ht="60">
      <c r="A20" s="39">
        <v>134595</v>
      </c>
      <c r="B20" s="39" t="s">
        <v>4284</v>
      </c>
      <c r="C20" s="33" t="s">
        <v>4272</v>
      </c>
      <c r="D20" s="33" t="s">
        <v>4273</v>
      </c>
      <c r="E20" s="37" t="s">
        <v>4281</v>
      </c>
      <c r="F20" s="319" t="s">
        <v>4279</v>
      </c>
      <c r="G20" s="319" t="s">
        <v>4279</v>
      </c>
      <c r="H20" s="84"/>
      <c r="I20" s="38"/>
      <c r="J20" s="38">
        <f>SUMIF(Bce!A:A,A20,Bce!J:J)</f>
        <v>0</v>
      </c>
      <c r="K20" s="38"/>
      <c r="L20" s="38">
        <f>SUMIF(BceAnt!A:A,A20,BceAnt!J:J)</f>
        <v>0</v>
      </c>
      <c r="M20" s="38"/>
      <c r="N20" s="38"/>
      <c r="O20" s="38"/>
      <c r="P20" s="38"/>
      <c r="Q20" s="38"/>
      <c r="R20" s="38"/>
      <c r="S20" s="38"/>
      <c r="T20" s="38"/>
    </row>
    <row r="21" spans="1:20" ht="60">
      <c r="A21" s="39">
        <v>135505</v>
      </c>
      <c r="B21" s="39" t="s">
        <v>4285</v>
      </c>
      <c r="C21" s="33" t="s">
        <v>4286</v>
      </c>
      <c r="D21" s="33" t="s">
        <v>4273</v>
      </c>
      <c r="E21" s="37" t="s">
        <v>4287</v>
      </c>
      <c r="F21" s="319" t="s">
        <v>4279</v>
      </c>
      <c r="G21" s="319" t="s">
        <v>4279</v>
      </c>
      <c r="H21" s="84"/>
      <c r="I21" s="38"/>
      <c r="J21" s="38">
        <f>SUMIF(Bce!A:A,A21,Bce!J:J)</f>
        <v>0</v>
      </c>
      <c r="K21" s="38"/>
      <c r="L21" s="38">
        <f>SUMIF(BceAnt!A:A,A21,BceAnt!J:J)</f>
        <v>0</v>
      </c>
      <c r="M21" s="38"/>
      <c r="N21" s="38"/>
      <c r="O21" s="38"/>
      <c r="P21" s="38"/>
      <c r="Q21" s="38"/>
      <c r="R21" s="38"/>
      <c r="S21" s="38"/>
      <c r="T21" s="38"/>
    </row>
    <row r="22" spans="1:20" ht="60">
      <c r="A22" s="39">
        <v>135515</v>
      </c>
      <c r="B22" s="39" t="s">
        <v>4288</v>
      </c>
      <c r="C22" s="33" t="s">
        <v>4286</v>
      </c>
      <c r="D22" s="33" t="s">
        <v>4273</v>
      </c>
      <c r="E22" s="37" t="s">
        <v>4287</v>
      </c>
      <c r="F22" s="319" t="s">
        <v>4279</v>
      </c>
      <c r="G22" s="319" t="s">
        <v>4279</v>
      </c>
      <c r="H22" s="84"/>
      <c r="I22" s="38"/>
      <c r="J22" s="38">
        <f>SUMIF(Bce!A:A,A22,Bce!J:J)</f>
        <v>0</v>
      </c>
      <c r="K22" s="38"/>
      <c r="L22" s="38">
        <f>SUMIF(BceAnt!A:A,A22,BceAnt!J:J)</f>
        <v>0</v>
      </c>
      <c r="M22" s="38"/>
      <c r="N22" s="38"/>
      <c r="O22" s="38"/>
      <c r="P22" s="38"/>
      <c r="Q22" s="38"/>
      <c r="R22" s="38"/>
      <c r="S22" s="38"/>
      <c r="T22" s="38"/>
    </row>
    <row r="23" spans="1:20" ht="60">
      <c r="A23" s="39">
        <v>135515</v>
      </c>
      <c r="B23" s="39" t="s">
        <v>4289</v>
      </c>
      <c r="C23" s="33" t="s">
        <v>4286</v>
      </c>
      <c r="D23" s="33" t="s">
        <v>4273</v>
      </c>
      <c r="E23" s="37" t="s">
        <v>4287</v>
      </c>
      <c r="F23" s="319" t="s">
        <v>4279</v>
      </c>
      <c r="G23" s="319" t="s">
        <v>4279</v>
      </c>
      <c r="H23" s="84"/>
      <c r="I23" s="38"/>
      <c r="J23" s="38">
        <f>SUMIF(Bce!A:A,A23,Bce!J:J)</f>
        <v>0</v>
      </c>
      <c r="K23" s="38"/>
      <c r="L23" s="38">
        <f>SUMIF(BceAnt!A:A,A23,BceAnt!J:J)</f>
        <v>0</v>
      </c>
      <c r="M23" s="38"/>
      <c r="N23" s="38"/>
      <c r="O23" s="38"/>
      <c r="P23" s="38"/>
      <c r="Q23" s="38"/>
      <c r="R23" s="38"/>
      <c r="S23" s="38"/>
      <c r="T23" s="38"/>
    </row>
    <row r="24" spans="1:20" ht="60">
      <c r="A24" s="39">
        <v>135515</v>
      </c>
      <c r="B24" s="39" t="s">
        <v>244</v>
      </c>
      <c r="C24" s="33" t="s">
        <v>4286</v>
      </c>
      <c r="D24" s="33" t="s">
        <v>4273</v>
      </c>
      <c r="E24" s="37" t="s">
        <v>4287</v>
      </c>
      <c r="F24" s="319" t="s">
        <v>4279</v>
      </c>
      <c r="G24" s="319" t="s">
        <v>4279</v>
      </c>
      <c r="H24" s="84"/>
      <c r="I24" s="38"/>
      <c r="J24" s="38">
        <f>SUMIF(Bce!A:A,A24,Bce!J:J)</f>
        <v>0</v>
      </c>
      <c r="K24" s="38"/>
      <c r="L24" s="38">
        <f>SUMIF(BceAnt!A:A,A24,BceAnt!J:J)</f>
        <v>0</v>
      </c>
      <c r="M24" s="38"/>
      <c r="N24" s="38"/>
      <c r="O24" s="38"/>
      <c r="P24" s="38"/>
      <c r="Q24" s="38"/>
      <c r="R24" s="38"/>
      <c r="S24" s="38"/>
      <c r="T24" s="38"/>
    </row>
    <row r="25" spans="1:20" ht="60">
      <c r="A25" s="39">
        <v>135515</v>
      </c>
      <c r="B25" s="39" t="s">
        <v>616</v>
      </c>
      <c r="C25" s="33" t="s">
        <v>4286</v>
      </c>
      <c r="D25" s="33" t="s">
        <v>4273</v>
      </c>
      <c r="E25" s="37" t="s">
        <v>4287</v>
      </c>
      <c r="F25" s="319" t="s">
        <v>4279</v>
      </c>
      <c r="G25" s="319" t="s">
        <v>4279</v>
      </c>
      <c r="H25" s="84"/>
      <c r="I25" s="38"/>
      <c r="J25" s="38">
        <f>SUMIF(Bce!A:A,A25,Bce!J:J)</f>
        <v>0</v>
      </c>
      <c r="K25" s="38"/>
      <c r="L25" s="38">
        <f>SUMIF(BceAnt!A:A,A25,BceAnt!J:J)</f>
        <v>0</v>
      </c>
      <c r="M25" s="38"/>
      <c r="N25" s="38"/>
      <c r="O25" s="38"/>
      <c r="P25" s="38"/>
      <c r="Q25" s="38"/>
      <c r="R25" s="38"/>
      <c r="S25" s="38"/>
      <c r="T25" s="38"/>
    </row>
    <row r="26" spans="1:20" ht="60">
      <c r="A26" s="39">
        <v>135515</v>
      </c>
      <c r="B26" s="39" t="s">
        <v>4290</v>
      </c>
      <c r="C26" s="33" t="s">
        <v>4286</v>
      </c>
      <c r="D26" s="33" t="s">
        <v>4273</v>
      </c>
      <c r="E26" s="37" t="s">
        <v>4287</v>
      </c>
      <c r="F26" s="319" t="s">
        <v>4279</v>
      </c>
      <c r="G26" s="319" t="s">
        <v>4279</v>
      </c>
      <c r="H26" s="84"/>
      <c r="I26" s="38"/>
      <c r="J26" s="38">
        <f>SUMIF(Bce!A:A,A26,Bce!J:J)</f>
        <v>0</v>
      </c>
      <c r="K26" s="38"/>
      <c r="L26" s="38">
        <f>SUMIF(BceAnt!A:A,A26,BceAnt!J:J)</f>
        <v>0</v>
      </c>
      <c r="M26" s="38"/>
      <c r="N26" s="38"/>
      <c r="O26" s="38"/>
      <c r="P26" s="38"/>
      <c r="Q26" s="38"/>
      <c r="R26" s="38"/>
      <c r="S26" s="38"/>
      <c r="T26" s="38"/>
    </row>
    <row r="27" spans="1:20" ht="60">
      <c r="A27" s="39">
        <v>135517</v>
      </c>
      <c r="B27" s="39" t="s">
        <v>4291</v>
      </c>
      <c r="C27" s="33" t="s">
        <v>4286</v>
      </c>
      <c r="D27" s="33" t="s">
        <v>4273</v>
      </c>
      <c r="E27" s="37" t="s">
        <v>4287</v>
      </c>
      <c r="F27" s="319" t="s">
        <v>4279</v>
      </c>
      <c r="G27" s="319" t="s">
        <v>4279</v>
      </c>
      <c r="H27" s="84"/>
      <c r="I27" s="38"/>
      <c r="J27" s="38">
        <f>SUMIF(Bce!A:A,A27,Bce!J:J)</f>
        <v>0</v>
      </c>
      <c r="K27" s="38"/>
      <c r="L27" s="38">
        <f>SUMIF(BceAnt!A:A,A27,BceAnt!J:J)</f>
        <v>0</v>
      </c>
      <c r="M27" s="38"/>
      <c r="N27" s="38"/>
      <c r="O27" s="38"/>
      <c r="P27" s="38"/>
      <c r="Q27" s="38"/>
      <c r="R27" s="38"/>
      <c r="S27" s="38"/>
      <c r="T27" s="38"/>
    </row>
    <row r="28" spans="1:20" ht="60">
      <c r="A28" s="39">
        <v>135518</v>
      </c>
      <c r="B28" s="39" t="s">
        <v>4292</v>
      </c>
      <c r="C28" s="33" t="s">
        <v>4286</v>
      </c>
      <c r="D28" s="33" t="s">
        <v>4273</v>
      </c>
      <c r="E28" s="37" t="s">
        <v>4287</v>
      </c>
      <c r="F28" s="319" t="s">
        <v>4279</v>
      </c>
      <c r="G28" s="319" t="s">
        <v>4279</v>
      </c>
      <c r="H28" s="84"/>
      <c r="I28" s="38"/>
      <c r="J28" s="38">
        <f>SUMIF(Bce!A:A,A28,Bce!J:J)</f>
        <v>0</v>
      </c>
      <c r="K28" s="38"/>
      <c r="L28" s="38">
        <f>SUMIF(BceAnt!A:A,A28,BceAnt!J:J)</f>
        <v>0</v>
      </c>
      <c r="M28" s="38"/>
      <c r="N28" s="38"/>
      <c r="O28" s="38"/>
      <c r="P28" s="38"/>
      <c r="Q28" s="38"/>
      <c r="R28" s="38"/>
      <c r="S28" s="38"/>
      <c r="T28" s="38"/>
    </row>
    <row r="29" spans="1:20" ht="60">
      <c r="A29" s="39">
        <v>135518</v>
      </c>
      <c r="B29" s="39" t="s">
        <v>4293</v>
      </c>
      <c r="C29" s="33" t="s">
        <v>4286</v>
      </c>
      <c r="D29" s="33" t="s">
        <v>4273</v>
      </c>
      <c r="E29" s="37" t="s">
        <v>4287</v>
      </c>
      <c r="F29" s="319" t="s">
        <v>4279</v>
      </c>
      <c r="G29" s="319" t="s">
        <v>4279</v>
      </c>
      <c r="H29" s="84"/>
      <c r="I29" s="38"/>
      <c r="J29" s="38">
        <f>SUMIF(Bce!A:A,A29,Bce!J:J)</f>
        <v>0</v>
      </c>
      <c r="K29" s="38"/>
      <c r="L29" s="38">
        <f>SUMIF(BceAnt!A:A,A29,BceAnt!J:J)</f>
        <v>0</v>
      </c>
      <c r="M29" s="38"/>
      <c r="N29" s="38"/>
      <c r="O29" s="38"/>
      <c r="P29" s="38"/>
      <c r="Q29" s="38"/>
      <c r="R29" s="38"/>
      <c r="S29" s="38"/>
      <c r="T29" s="38"/>
    </row>
    <row r="30" spans="1:20" ht="60">
      <c r="A30" s="39">
        <v>13551901</v>
      </c>
      <c r="B30" s="39" t="s">
        <v>4294</v>
      </c>
      <c r="C30" s="33" t="s">
        <v>4295</v>
      </c>
      <c r="D30" s="229" t="s">
        <v>4296</v>
      </c>
      <c r="E30" s="37" t="s">
        <v>4287</v>
      </c>
      <c r="F30" s="319" t="s">
        <v>4279</v>
      </c>
      <c r="G30" s="319" t="s">
        <v>4279</v>
      </c>
      <c r="H30" s="84"/>
      <c r="I30" s="38">
        <f>SUMIFS(Mov!$J:$J,Mov!$E:$E,A30)</f>
        <v>0</v>
      </c>
      <c r="J30" s="38">
        <f>SUMIF(Bce!A:A,A30,Bce!J:J)</f>
        <v>0</v>
      </c>
      <c r="K30" s="38"/>
      <c r="L30" s="38">
        <f>SUMIF(BceAnt!A:A,A30,BceAnt!J:J)</f>
        <v>0</v>
      </c>
      <c r="M30" s="38"/>
      <c r="N30" s="38"/>
      <c r="O30" s="38"/>
      <c r="P30" s="38"/>
      <c r="Q30" s="38"/>
      <c r="R30" s="38"/>
      <c r="S30" s="38"/>
      <c r="T30" s="38"/>
    </row>
    <row r="31" spans="1:20" ht="60">
      <c r="A31" s="39">
        <v>13551902</v>
      </c>
      <c r="B31" s="39" t="s">
        <v>4297</v>
      </c>
      <c r="C31" s="33" t="s">
        <v>4295</v>
      </c>
      <c r="D31" s="229" t="s">
        <v>4296</v>
      </c>
      <c r="E31" s="37" t="s">
        <v>4287</v>
      </c>
      <c r="F31" s="319" t="s">
        <v>4279</v>
      </c>
      <c r="G31" s="319" t="s">
        <v>4279</v>
      </c>
      <c r="H31" s="84"/>
      <c r="I31" s="38">
        <f>SUMIFS(Mov!$J:$J,Mov!$E:$E,A31)</f>
        <v>0</v>
      </c>
      <c r="J31" s="38">
        <f>SUMIF(Bce!A:A,A31,Bce!J:J)</f>
        <v>0</v>
      </c>
      <c r="K31" s="38"/>
      <c r="L31" s="38">
        <f>SUMIF(BceAnt!A:A,A31,BceAnt!J:J)</f>
        <v>0</v>
      </c>
      <c r="M31" s="38"/>
      <c r="N31" s="38"/>
      <c r="O31" s="38"/>
      <c r="P31" s="38"/>
      <c r="Q31" s="38"/>
      <c r="R31" s="38"/>
      <c r="S31" s="38"/>
      <c r="T31" s="38"/>
    </row>
    <row r="32" spans="1:20" ht="60">
      <c r="A32" s="39">
        <v>13552001</v>
      </c>
      <c r="B32" s="39" t="s">
        <v>4298</v>
      </c>
      <c r="C32" s="33" t="s">
        <v>4299</v>
      </c>
      <c r="D32" s="33" t="s">
        <v>4273</v>
      </c>
      <c r="E32" s="37" t="s">
        <v>4287</v>
      </c>
      <c r="F32" s="319" t="s">
        <v>4279</v>
      </c>
      <c r="G32" s="319" t="s">
        <v>4279</v>
      </c>
      <c r="H32" s="84"/>
      <c r="I32" s="38">
        <f>SUMIFS(Mov!$J:$J,Mov!$E:$E,A32)</f>
        <v>-17401000</v>
      </c>
      <c r="J32" s="38">
        <f>SUMIF(Bce!A:A,A32,Bce!J:J)</f>
        <v>27462000</v>
      </c>
      <c r="K32" s="38"/>
      <c r="L32" s="38">
        <f>SUMIF(BceAnt!A:A,A32,BceAnt!J:J)</f>
        <v>44863000</v>
      </c>
      <c r="M32" s="38"/>
      <c r="N32" s="38"/>
      <c r="O32" s="38"/>
      <c r="P32" s="38"/>
      <c r="Q32" s="38"/>
      <c r="R32" s="38"/>
      <c r="S32" s="38"/>
      <c r="T32" s="38"/>
    </row>
    <row r="33" spans="1:20" ht="60">
      <c r="A33" s="39">
        <v>13552002</v>
      </c>
      <c r="B33" s="39" t="s">
        <v>5611</v>
      </c>
      <c r="C33" s="33" t="s">
        <v>5627</v>
      </c>
      <c r="D33" s="33" t="s">
        <v>4273</v>
      </c>
      <c r="E33" s="37" t="s">
        <v>4287</v>
      </c>
      <c r="F33" s="319" t="s">
        <v>4279</v>
      </c>
      <c r="G33" s="319" t="s">
        <v>4279</v>
      </c>
      <c r="H33" s="84"/>
      <c r="I33" s="38">
        <f>SUMIFS(Mov!$J:$J,Mov!$E:$E,A33)</f>
        <v>8243000</v>
      </c>
      <c r="J33" s="38">
        <f>SUMIF(Bce!A:A,A33,Bce!J:J)</f>
        <v>11731000</v>
      </c>
      <c r="K33" s="38"/>
      <c r="L33" s="38">
        <f>SUMIF(BceAnt!A:A,A33,BceAnt!J:J)</f>
        <v>3488000</v>
      </c>
      <c r="M33" s="38"/>
      <c r="N33" s="38"/>
      <c r="O33" s="38"/>
      <c r="P33" s="38"/>
      <c r="Q33" s="38"/>
      <c r="R33" s="38"/>
      <c r="S33" s="38"/>
      <c r="T33" s="38"/>
    </row>
    <row r="34" spans="1:20" ht="60">
      <c r="A34" s="39">
        <v>135595</v>
      </c>
      <c r="B34" s="39" t="s">
        <v>4300</v>
      </c>
      <c r="C34" s="33" t="s">
        <v>4286</v>
      </c>
      <c r="D34" s="33" t="s">
        <v>4273</v>
      </c>
      <c r="E34" s="37" t="s">
        <v>4287</v>
      </c>
      <c r="F34" s="319" t="s">
        <v>4279</v>
      </c>
      <c r="G34" s="319" t="s">
        <v>4279</v>
      </c>
      <c r="H34" s="84"/>
      <c r="I34" s="38"/>
      <c r="J34" s="38">
        <f>SUMIF(Bce!A:A,A34,Bce!J:J)</f>
        <v>0</v>
      </c>
      <c r="K34" s="38"/>
      <c r="L34" s="38">
        <f>SUMIF(BceAnt!A:A,A34,BceAnt!J:J)</f>
        <v>0</v>
      </c>
      <c r="M34" s="38"/>
      <c r="N34" s="38"/>
      <c r="O34" s="38"/>
      <c r="P34" s="38"/>
      <c r="Q34" s="38"/>
      <c r="R34" s="38"/>
      <c r="S34" s="38"/>
      <c r="T34" s="38"/>
    </row>
    <row r="35" spans="1:20" ht="60">
      <c r="A35" s="39">
        <v>136595</v>
      </c>
      <c r="B35" s="39" t="s">
        <v>4301</v>
      </c>
      <c r="C35" s="33" t="s">
        <v>4272</v>
      </c>
      <c r="D35" s="33" t="s">
        <v>4273</v>
      </c>
      <c r="E35" s="37" t="s">
        <v>4287</v>
      </c>
      <c r="F35" s="319" t="s">
        <v>4279</v>
      </c>
      <c r="G35" s="319" t="s">
        <v>4279</v>
      </c>
      <c r="H35" s="84"/>
      <c r="I35" s="38"/>
      <c r="J35" s="38">
        <f>SUMIF(Bce!A:A,A35,Bce!J:J)</f>
        <v>0</v>
      </c>
      <c r="K35" s="38"/>
      <c r="L35" s="38">
        <f>SUMIF(BceAnt!A:A,A35,BceAnt!J:J)</f>
        <v>0</v>
      </c>
      <c r="M35" s="38"/>
      <c r="N35" s="38"/>
      <c r="O35" s="38"/>
      <c r="P35" s="38"/>
      <c r="Q35" s="38"/>
      <c r="R35" s="38"/>
      <c r="S35" s="38"/>
      <c r="T35" s="38"/>
    </row>
    <row r="36" spans="1:20" ht="60">
      <c r="A36" s="39">
        <v>137010</v>
      </c>
      <c r="B36" s="39" t="s">
        <v>319</v>
      </c>
      <c r="C36" s="33" t="s">
        <v>4282</v>
      </c>
      <c r="D36" s="33" t="s">
        <v>4273</v>
      </c>
      <c r="E36" s="37" t="s">
        <v>4281</v>
      </c>
      <c r="F36" s="319" t="s">
        <v>4279</v>
      </c>
      <c r="G36" s="319" t="s">
        <v>4279</v>
      </c>
      <c r="H36" s="84"/>
      <c r="I36" s="38">
        <f>SUMIFS(Mov!$J:$J,Mov!$E:$E,A36)</f>
        <v>-20000000</v>
      </c>
      <c r="J36" s="38">
        <f>SUMIF(Bce!A:A,A36,Bce!J:J)</f>
        <v>0</v>
      </c>
      <c r="K36" s="38"/>
      <c r="L36" s="38">
        <f>SUMIF(BceAnt!A:A,A36,BceAnt!J:J)</f>
        <v>20000000</v>
      </c>
      <c r="M36" s="38"/>
      <c r="N36" s="38"/>
      <c r="O36" s="38"/>
      <c r="P36" s="38"/>
      <c r="Q36" s="38"/>
      <c r="R36" s="38"/>
      <c r="S36" s="38"/>
      <c r="T36" s="38"/>
    </row>
    <row r="37" spans="1:20" ht="60">
      <c r="A37" s="39">
        <v>13802501</v>
      </c>
      <c r="B37" s="39" t="s">
        <v>4302</v>
      </c>
      <c r="C37" s="33" t="s">
        <v>4272</v>
      </c>
      <c r="D37" s="33" t="s">
        <v>4273</v>
      </c>
      <c r="E37" s="37" t="s">
        <v>4287</v>
      </c>
      <c r="F37" s="319" t="s">
        <v>4279</v>
      </c>
      <c r="G37" s="319" t="s">
        <v>4279</v>
      </c>
      <c r="H37" s="84"/>
      <c r="I37" s="38">
        <f>SUMIFS(Mov!$J:$J,Mov!$E:$E,A37)</f>
        <v>0</v>
      </c>
      <c r="J37" s="38">
        <f>SUMIF(Bce!A:A,A37,Bce!J:J)</f>
        <v>0</v>
      </c>
      <c r="K37" s="38"/>
      <c r="L37" s="38">
        <f>SUMIF(BceAnt!A:A,A37,BceAnt!J:J)</f>
        <v>0</v>
      </c>
      <c r="M37" s="38"/>
      <c r="N37" s="38"/>
      <c r="O37" s="38"/>
      <c r="P37" s="38"/>
      <c r="Q37" s="38"/>
      <c r="R37" s="38"/>
      <c r="S37" s="38"/>
      <c r="T37" s="38"/>
    </row>
    <row r="38" spans="1:20" ht="60">
      <c r="A38" s="39">
        <v>138095</v>
      </c>
      <c r="B38" s="39" t="s">
        <v>4303</v>
      </c>
      <c r="C38" s="33" t="s">
        <v>4272</v>
      </c>
      <c r="D38" s="33" t="s">
        <v>4273</v>
      </c>
      <c r="E38" s="37" t="s">
        <v>4287</v>
      </c>
      <c r="F38" s="319" t="s">
        <v>4279</v>
      </c>
      <c r="G38" s="319" t="s">
        <v>4279</v>
      </c>
      <c r="H38" s="84"/>
      <c r="I38" s="38">
        <f>SUMIFS(Mov!$J:$J,Mov!$E:$E,A38)</f>
        <v>-61829</v>
      </c>
      <c r="J38" s="38">
        <f>SUMIF(Bce!A:A,A38,Bce!J:J)</f>
        <v>0</v>
      </c>
      <c r="K38" s="38"/>
      <c r="L38" s="38">
        <f>SUMIF(BceAnt!A:A,A38,BceAnt!J:J)</f>
        <v>61829</v>
      </c>
      <c r="M38" s="38"/>
      <c r="N38" s="38"/>
      <c r="O38" s="38"/>
      <c r="P38" s="38"/>
      <c r="Q38" s="38"/>
      <c r="R38" s="38"/>
      <c r="S38" s="38"/>
      <c r="T38" s="38"/>
    </row>
    <row r="39" spans="1:20" ht="45">
      <c r="A39" s="39">
        <v>152405</v>
      </c>
      <c r="B39" s="39" t="s">
        <v>4304</v>
      </c>
      <c r="C39" s="33" t="s">
        <v>4305</v>
      </c>
      <c r="D39" s="33" t="s">
        <v>4306</v>
      </c>
      <c r="E39" s="37" t="s">
        <v>4307</v>
      </c>
      <c r="F39" s="320" t="s">
        <v>4308</v>
      </c>
      <c r="G39" s="320" t="s">
        <v>4309</v>
      </c>
      <c r="H39" s="84"/>
      <c r="I39" s="38"/>
      <c r="J39" s="38">
        <f>SUMIF(Bce!A:A,A39,Bce!J:J)</f>
        <v>0</v>
      </c>
      <c r="K39" s="38"/>
      <c r="L39" s="38">
        <f>SUMIF(BceAnt!A:A,A39,BceAnt!J:J)</f>
        <v>0</v>
      </c>
      <c r="M39" s="38"/>
      <c r="N39" s="38"/>
      <c r="O39" s="38"/>
      <c r="P39" s="38"/>
      <c r="Q39" s="38"/>
      <c r="R39" s="38"/>
      <c r="S39" s="38"/>
      <c r="T39" s="38"/>
    </row>
    <row r="40" spans="1:20" ht="45">
      <c r="A40" s="39">
        <v>152410</v>
      </c>
      <c r="B40" s="39" t="s">
        <v>4310</v>
      </c>
      <c r="C40" s="33" t="s">
        <v>4305</v>
      </c>
      <c r="D40" s="33" t="s">
        <v>4306</v>
      </c>
      <c r="E40" s="37" t="s">
        <v>4307</v>
      </c>
      <c r="F40" s="320" t="s">
        <v>4308</v>
      </c>
      <c r="G40" s="320" t="s">
        <v>4309</v>
      </c>
      <c r="H40" s="84"/>
      <c r="I40" s="38"/>
      <c r="J40" s="38">
        <f>SUMIF(Bce!A:A,A40,Bce!J:J)</f>
        <v>0</v>
      </c>
      <c r="K40" s="38"/>
      <c r="L40" s="38">
        <f>SUMIF(BceAnt!A:A,A40,BceAnt!J:J)</f>
        <v>0</v>
      </c>
      <c r="M40" s="38"/>
      <c r="N40" s="38"/>
      <c r="O40" s="38"/>
      <c r="P40" s="38"/>
      <c r="Q40" s="38"/>
      <c r="R40" s="38"/>
      <c r="S40" s="38"/>
      <c r="T40" s="38"/>
    </row>
    <row r="41" spans="1:20" ht="45">
      <c r="A41" s="39">
        <v>15280501</v>
      </c>
      <c r="B41" s="39" t="s">
        <v>416</v>
      </c>
      <c r="C41" s="33" t="s">
        <v>4311</v>
      </c>
      <c r="D41" s="33" t="s">
        <v>4306</v>
      </c>
      <c r="E41" s="37" t="s">
        <v>4307</v>
      </c>
      <c r="F41" s="320" t="s">
        <v>4308</v>
      </c>
      <c r="G41" s="320" t="s">
        <v>4309</v>
      </c>
      <c r="H41" s="84"/>
      <c r="I41" s="38">
        <f>SUMIFS(Mov!$J:$J,Mov!$E:$E,A41)</f>
        <v>0</v>
      </c>
      <c r="J41" s="38">
        <f>SUMIF(Bce!A:A,A41,Bce!J:J)</f>
        <v>95805676</v>
      </c>
      <c r="K41" s="38"/>
      <c r="L41" s="38">
        <f>SUMIF(BceAnt!A:A,A41,BceAnt!J:J)</f>
        <v>95805676</v>
      </c>
      <c r="M41" s="38"/>
      <c r="N41" s="38"/>
      <c r="O41" s="38"/>
      <c r="P41" s="38"/>
      <c r="Q41" s="38"/>
      <c r="R41" s="38"/>
      <c r="S41" s="38"/>
      <c r="T41" s="38"/>
    </row>
    <row r="42" spans="1:20" ht="45">
      <c r="A42" s="39">
        <v>15280502</v>
      </c>
      <c r="B42" s="39" t="s">
        <v>416</v>
      </c>
      <c r="C42" s="33" t="s">
        <v>4311</v>
      </c>
      <c r="D42" s="33" t="s">
        <v>4306</v>
      </c>
      <c r="E42" s="37" t="s">
        <v>4307</v>
      </c>
      <c r="F42" s="320" t="s">
        <v>4308</v>
      </c>
      <c r="G42" s="320" t="s">
        <v>4309</v>
      </c>
      <c r="H42" s="84"/>
      <c r="I42" s="38">
        <f>SUMIFS(Mov!$J:$J,Mov!$E:$E,A42)</f>
        <v>0</v>
      </c>
      <c r="J42" s="38">
        <f>SUMIF(Bce!A:A,A42,Bce!J:J)</f>
        <v>0</v>
      </c>
      <c r="K42" s="38"/>
      <c r="L42" s="38">
        <f>SUMIF(BceAnt!A:A,A42,BceAnt!J:J)</f>
        <v>0</v>
      </c>
      <c r="M42" s="38"/>
      <c r="N42" s="38"/>
      <c r="O42" s="38"/>
      <c r="P42" s="38"/>
      <c r="Q42" s="38"/>
      <c r="R42" s="38"/>
      <c r="S42" s="38"/>
      <c r="T42" s="38"/>
    </row>
    <row r="43" spans="1:20" ht="45">
      <c r="A43" s="39">
        <v>15280504</v>
      </c>
      <c r="B43" s="39" t="s">
        <v>404</v>
      </c>
      <c r="C43" s="33" t="s">
        <v>4311</v>
      </c>
      <c r="D43" s="33" t="s">
        <v>4306</v>
      </c>
      <c r="E43" s="37" t="s">
        <v>4307</v>
      </c>
      <c r="F43" s="320" t="s">
        <v>4308</v>
      </c>
      <c r="G43" s="320" t="s">
        <v>4309</v>
      </c>
      <c r="H43" s="84"/>
      <c r="I43" s="38">
        <f>SUMIFS(Mov!$J:$J,Mov!$E:$E,A43)</f>
        <v>0</v>
      </c>
      <c r="J43" s="38">
        <f>SUMIF(Bce!A:A,A43,Bce!J:J)</f>
        <v>9827600</v>
      </c>
      <c r="K43" s="38"/>
      <c r="L43" s="38">
        <f>SUMIF(BceAnt!A:A,A43,BceAnt!J:J)</f>
        <v>9827600</v>
      </c>
      <c r="M43" s="38"/>
      <c r="N43" s="38"/>
      <c r="O43" s="38"/>
      <c r="P43" s="38"/>
      <c r="Q43" s="38"/>
      <c r="R43" s="38"/>
      <c r="S43" s="38"/>
      <c r="T43" s="38"/>
    </row>
    <row r="44" spans="1:20" ht="45">
      <c r="A44" s="39">
        <v>152810</v>
      </c>
      <c r="B44" s="39" t="s">
        <v>4312</v>
      </c>
      <c r="C44" s="33" t="s">
        <v>4313</v>
      </c>
      <c r="D44" s="33" t="s">
        <v>4306</v>
      </c>
      <c r="E44" s="37" t="s">
        <v>4307</v>
      </c>
      <c r="F44" s="320" t="s">
        <v>4308</v>
      </c>
      <c r="G44" s="320" t="s">
        <v>4309</v>
      </c>
      <c r="H44" s="84"/>
      <c r="I44" s="38"/>
      <c r="J44" s="38">
        <f>SUMIF(Bce!A:A,A44,Bce!J:J)</f>
        <v>0</v>
      </c>
      <c r="K44" s="38"/>
      <c r="L44" s="38">
        <f>SUMIF(BceAnt!A:A,A44,BceAnt!J:J)</f>
        <v>0</v>
      </c>
      <c r="M44" s="38"/>
      <c r="N44" s="38"/>
      <c r="O44" s="38"/>
      <c r="P44" s="38"/>
      <c r="Q44" s="38"/>
      <c r="R44" s="38"/>
      <c r="S44" s="38"/>
      <c r="T44" s="38"/>
    </row>
    <row r="45" spans="1:20" ht="45">
      <c r="A45" s="39">
        <v>159215</v>
      </c>
      <c r="B45" s="39" t="s">
        <v>4310</v>
      </c>
      <c r="C45" s="33" t="s">
        <v>4314</v>
      </c>
      <c r="D45" s="33" t="s">
        <v>4315</v>
      </c>
      <c r="E45" s="37" t="s">
        <v>4307</v>
      </c>
      <c r="F45" s="320" t="s">
        <v>4309</v>
      </c>
      <c r="G45" s="320" t="s">
        <v>4316</v>
      </c>
      <c r="H45" s="84"/>
      <c r="I45" s="38"/>
      <c r="J45" s="38">
        <f>SUMIF(Bce!A:A,A45,Bce!J:J)</f>
        <v>0</v>
      </c>
      <c r="K45" s="38"/>
      <c r="L45" s="38">
        <f>SUMIF(BceAnt!A:A,A45,BceAnt!J:J)</f>
        <v>0</v>
      </c>
      <c r="M45" s="38"/>
      <c r="N45" s="38"/>
      <c r="O45" s="38"/>
      <c r="P45" s="38"/>
      <c r="Q45" s="38"/>
      <c r="R45" s="38"/>
      <c r="S45" s="38"/>
      <c r="T45" s="38"/>
    </row>
    <row r="46" spans="1:20" ht="45">
      <c r="A46" s="39">
        <v>159215</v>
      </c>
      <c r="B46" s="39" t="s">
        <v>4317</v>
      </c>
      <c r="C46" s="33" t="s">
        <v>4314</v>
      </c>
      <c r="D46" s="33" t="s">
        <v>4315</v>
      </c>
      <c r="E46" s="37" t="s">
        <v>4307</v>
      </c>
      <c r="F46" s="320" t="s">
        <v>4309</v>
      </c>
      <c r="G46" s="320" t="s">
        <v>4316</v>
      </c>
      <c r="H46" s="84"/>
      <c r="I46" s="38"/>
      <c r="J46" s="38">
        <f>SUMIF(Bce!A:A,A46,Bce!J:J)</f>
        <v>0</v>
      </c>
      <c r="K46" s="38"/>
      <c r="L46" s="38">
        <f>SUMIF(BceAnt!A:A,A46,BceAnt!J:J)</f>
        <v>0</v>
      </c>
      <c r="M46" s="38"/>
      <c r="N46" s="38"/>
      <c r="O46" s="38"/>
      <c r="P46" s="38"/>
      <c r="Q46" s="38"/>
      <c r="R46" s="38"/>
      <c r="S46" s="38"/>
      <c r="T46" s="38"/>
    </row>
    <row r="47" spans="1:20" ht="45">
      <c r="A47" s="39">
        <v>15922001</v>
      </c>
      <c r="B47" s="39" t="s">
        <v>416</v>
      </c>
      <c r="C47" s="33" t="s">
        <v>4318</v>
      </c>
      <c r="D47" s="33" t="s">
        <v>4315</v>
      </c>
      <c r="E47" s="37" t="s">
        <v>4307</v>
      </c>
      <c r="F47" s="320" t="s">
        <v>4309</v>
      </c>
      <c r="G47" s="320" t="s">
        <v>4316</v>
      </c>
      <c r="H47" s="84"/>
      <c r="I47" s="38">
        <f>SUMIFS(Mov!$J:$J,Mov!$E:$E,A47)</f>
        <v>-19161144</v>
      </c>
      <c r="J47" s="38">
        <f>SUMIF(Bce!A:A,A47,Bce!J:J)</f>
        <v>-38721039</v>
      </c>
      <c r="K47" s="38"/>
      <c r="L47" s="38">
        <f>SUMIF(BceAnt!A:A,A47,BceAnt!J:J)</f>
        <v>-19559895</v>
      </c>
      <c r="M47" s="38"/>
      <c r="N47" s="38"/>
      <c r="O47" s="38"/>
      <c r="P47" s="38"/>
      <c r="Q47" s="38"/>
      <c r="R47" s="38"/>
      <c r="S47" s="38"/>
      <c r="T47" s="38"/>
    </row>
    <row r="48" spans="1:20" ht="45">
      <c r="A48" s="39">
        <v>15922004</v>
      </c>
      <c r="B48" s="39" t="s">
        <v>404</v>
      </c>
      <c r="C48" s="33" t="s">
        <v>4318</v>
      </c>
      <c r="D48" s="33" t="s">
        <v>4315</v>
      </c>
      <c r="E48" s="37" t="s">
        <v>4307</v>
      </c>
      <c r="F48" s="320" t="s">
        <v>4309</v>
      </c>
      <c r="G48" s="320" t="s">
        <v>4316</v>
      </c>
      <c r="H48" s="84"/>
      <c r="I48" s="38">
        <f>SUMIFS(Mov!$J:$J,Mov!$E:$E,A48)</f>
        <v>-1965516</v>
      </c>
      <c r="J48" s="38">
        <f>SUMIF(Bce!A:A,A48,Bce!J:J)</f>
        <v>-3710467</v>
      </c>
      <c r="K48" s="38"/>
      <c r="L48" s="38">
        <f>SUMIF(BceAnt!A:A,A48,BceAnt!J:J)</f>
        <v>-1744951</v>
      </c>
      <c r="M48" s="38"/>
      <c r="N48" s="38"/>
      <c r="O48" s="38"/>
      <c r="P48" s="38"/>
      <c r="Q48" s="38"/>
      <c r="R48" s="38"/>
      <c r="S48" s="38"/>
      <c r="T48" s="38"/>
    </row>
    <row r="49" spans="1:20" ht="60">
      <c r="A49" s="39">
        <v>17050501</v>
      </c>
      <c r="B49" s="39" t="s">
        <v>4319</v>
      </c>
      <c r="C49" s="33" t="s">
        <v>4320</v>
      </c>
      <c r="D49" s="33" t="s">
        <v>4320</v>
      </c>
      <c r="E49" s="37" t="s">
        <v>4281</v>
      </c>
      <c r="F49" s="319" t="s">
        <v>4279</v>
      </c>
      <c r="G49" s="319" t="s">
        <v>4279</v>
      </c>
      <c r="H49" s="84"/>
      <c r="I49" s="38">
        <f>SUMIFS(Mov!$J:$J,Mov!$E:$E,A49)</f>
        <v>0</v>
      </c>
      <c r="J49" s="38">
        <f>SUMIF(Bce!A:A,A49,Bce!J:J)</f>
        <v>0</v>
      </c>
      <c r="K49" s="38"/>
      <c r="L49" s="38">
        <f>SUMIF(BceAnt!A:A,A49,BceAnt!J:J)</f>
        <v>0</v>
      </c>
      <c r="M49" s="38"/>
      <c r="N49" s="38"/>
      <c r="O49" s="38"/>
      <c r="P49" s="38"/>
      <c r="Q49" s="38"/>
      <c r="R49" s="38"/>
      <c r="S49" s="38"/>
      <c r="T49" s="38"/>
    </row>
    <row r="50" spans="1:20" ht="60">
      <c r="A50" s="39">
        <v>170540</v>
      </c>
      <c r="B50" s="39" t="s">
        <v>4321</v>
      </c>
      <c r="C50" s="33" t="s">
        <v>4322</v>
      </c>
      <c r="D50" s="33" t="s">
        <v>4323</v>
      </c>
      <c r="E50" s="37" t="s">
        <v>4281</v>
      </c>
      <c r="F50" s="319" t="s">
        <v>4279</v>
      </c>
      <c r="G50" s="319" t="s">
        <v>4279</v>
      </c>
      <c r="H50" s="84"/>
      <c r="I50" s="38"/>
      <c r="J50" s="38">
        <f>SUMIF(Bce!A:A,A50,Bce!J:J)</f>
        <v>0</v>
      </c>
      <c r="K50" s="38"/>
      <c r="L50" s="38">
        <f>SUMIF(BceAnt!A:A,A50,BceAnt!J:J)</f>
        <v>0</v>
      </c>
      <c r="M50" s="38"/>
      <c r="N50" s="38"/>
      <c r="O50" s="38"/>
      <c r="P50" s="38"/>
      <c r="Q50" s="38"/>
      <c r="R50" s="38"/>
      <c r="S50" s="38"/>
      <c r="T50" s="38"/>
    </row>
    <row r="51" spans="1:20" ht="60">
      <c r="A51" s="39">
        <v>171004</v>
      </c>
      <c r="B51" s="39" t="s">
        <v>4324</v>
      </c>
      <c r="C51" s="33" t="s">
        <v>4322</v>
      </c>
      <c r="D51" s="33" t="s">
        <v>4323</v>
      </c>
      <c r="E51" s="37" t="s">
        <v>4281</v>
      </c>
      <c r="F51" s="319" t="s">
        <v>4279</v>
      </c>
      <c r="G51" s="319" t="s">
        <v>4279</v>
      </c>
      <c r="H51" s="84"/>
      <c r="I51" s="38"/>
      <c r="J51" s="38">
        <f>SUMIF(Bce!A:A,A51,Bce!J:J)</f>
        <v>0</v>
      </c>
      <c r="K51" s="38"/>
      <c r="L51" s="38">
        <f>SUMIF(BceAnt!A:A,A51,BceAnt!J:J)</f>
        <v>0</v>
      </c>
      <c r="M51" s="38"/>
      <c r="N51" s="38"/>
      <c r="O51" s="38"/>
      <c r="P51" s="38"/>
      <c r="Q51" s="38"/>
      <c r="R51" s="38"/>
      <c r="S51" s="38"/>
      <c r="T51" s="38"/>
    </row>
    <row r="52" spans="1:20" ht="60">
      <c r="A52" s="39">
        <v>171016</v>
      </c>
      <c r="B52" s="39" t="s">
        <v>1391</v>
      </c>
      <c r="C52" s="33" t="s">
        <v>4325</v>
      </c>
      <c r="D52" s="33" t="s">
        <v>4326</v>
      </c>
      <c r="E52" s="37" t="s">
        <v>4327</v>
      </c>
      <c r="F52" s="319" t="s">
        <v>4279</v>
      </c>
      <c r="G52" s="319" t="s">
        <v>4279</v>
      </c>
      <c r="H52" s="84"/>
      <c r="I52" s="38"/>
      <c r="J52" s="38">
        <f>SUMIF(Bce!A:A,A52,Bce!J:J)</f>
        <v>0</v>
      </c>
      <c r="K52" s="38"/>
      <c r="L52" s="38">
        <f>SUMIF(BceAnt!A:A,A52,BceAnt!J:J)</f>
        <v>0</v>
      </c>
      <c r="M52" s="38"/>
      <c r="N52" s="38"/>
      <c r="O52" s="38"/>
      <c r="P52" s="38"/>
      <c r="Q52" s="38"/>
      <c r="R52" s="38"/>
      <c r="S52" s="38"/>
      <c r="T52" s="38"/>
    </row>
    <row r="53" spans="1:20" ht="30">
      <c r="A53" s="39">
        <v>171076</v>
      </c>
      <c r="B53" s="39" t="s">
        <v>1391</v>
      </c>
      <c r="C53" s="33" t="s">
        <v>4328</v>
      </c>
      <c r="D53" s="33" t="s">
        <v>4329</v>
      </c>
      <c r="E53" s="37" t="s">
        <v>4330</v>
      </c>
      <c r="F53" s="319" t="s">
        <v>4331</v>
      </c>
      <c r="G53" s="319" t="s">
        <v>4331</v>
      </c>
      <c r="H53" s="84"/>
      <c r="I53" s="38">
        <f>SUMIFS(Mov!$J:$J,Mov!$E:$E,A53)</f>
        <v>-38393938</v>
      </c>
      <c r="J53" s="38">
        <f>SUMIF(Bce!A:A,A53,Bce!J:J)</f>
        <v>14281000</v>
      </c>
      <c r="K53" s="38"/>
      <c r="L53" s="38">
        <f>SUMIF(BceAnt!A:A,A53,BceAnt!J:J)</f>
        <v>52674938</v>
      </c>
      <c r="M53" s="38"/>
      <c r="N53" s="38"/>
      <c r="O53" s="38"/>
      <c r="P53" s="38"/>
      <c r="Q53" s="38"/>
      <c r="R53" s="38"/>
      <c r="S53" s="38"/>
      <c r="T53" s="38"/>
    </row>
    <row r="54" spans="1:20" ht="60">
      <c r="A54" s="39">
        <v>171095</v>
      </c>
      <c r="B54" s="39" t="s">
        <v>4332</v>
      </c>
      <c r="C54" s="33" t="s">
        <v>4333</v>
      </c>
      <c r="D54" s="33" t="s">
        <v>4333</v>
      </c>
      <c r="E54" s="37" t="s">
        <v>4281</v>
      </c>
      <c r="F54" s="319" t="s">
        <v>4279</v>
      </c>
      <c r="G54" s="319" t="s">
        <v>4279</v>
      </c>
      <c r="H54" s="84"/>
      <c r="I54" s="38">
        <f>SUMIFS(Mov!$J:$J,Mov!$E:$E,A54)</f>
        <v>0</v>
      </c>
      <c r="J54" s="38">
        <f>SUMIF(Bce!A:A,A54,Bce!J:J)</f>
        <v>0</v>
      </c>
      <c r="K54" s="38"/>
      <c r="L54" s="38">
        <f>SUMIF(BceAnt!A:A,A54,BceAnt!J:J)</f>
        <v>0</v>
      </c>
      <c r="M54" s="38"/>
      <c r="N54" s="38"/>
      <c r="O54" s="38"/>
      <c r="P54" s="38"/>
      <c r="Q54" s="38"/>
      <c r="R54" s="38"/>
      <c r="S54" s="38"/>
      <c r="T54" s="38"/>
    </row>
    <row r="55" spans="1:20" ht="60">
      <c r="A55" s="39">
        <v>179890</v>
      </c>
      <c r="B55" s="39" t="s">
        <v>4334</v>
      </c>
      <c r="C55" s="33" t="s">
        <v>4335</v>
      </c>
      <c r="D55" s="33" t="s">
        <v>4336</v>
      </c>
      <c r="E55" s="37" t="s">
        <v>4327</v>
      </c>
      <c r="F55" s="319" t="s">
        <v>4279</v>
      </c>
      <c r="G55" s="319" t="s">
        <v>4279</v>
      </c>
      <c r="H55" s="84"/>
      <c r="I55" s="38"/>
      <c r="J55" s="38">
        <f>SUMIF(Bce!A:A,A55,Bce!J:J)</f>
        <v>0</v>
      </c>
      <c r="K55" s="38"/>
      <c r="L55" s="38">
        <f>SUMIF(BceAnt!A:A,A55,BceAnt!J:J)</f>
        <v>0</v>
      </c>
      <c r="M55" s="38"/>
      <c r="N55" s="38"/>
      <c r="O55" s="38"/>
      <c r="P55" s="38"/>
      <c r="Q55" s="38"/>
      <c r="R55" s="38"/>
      <c r="S55" s="38"/>
      <c r="T55" s="38"/>
    </row>
    <row r="56" spans="1:20" ht="30">
      <c r="A56" s="39">
        <v>219505</v>
      </c>
      <c r="B56" s="39" t="s">
        <v>4337</v>
      </c>
      <c r="C56" s="33" t="s">
        <v>4338</v>
      </c>
      <c r="D56" s="33" t="s">
        <v>4339</v>
      </c>
      <c r="E56" s="84" t="s">
        <v>4340</v>
      </c>
      <c r="F56" s="319" t="s">
        <v>4341</v>
      </c>
      <c r="G56" s="319" t="s">
        <v>4342</v>
      </c>
      <c r="H56" s="84"/>
      <c r="I56" s="38">
        <f>SUMIFS(Mov!$J:$J,Mov!$E:$E,A56)</f>
        <v>239331280</v>
      </c>
      <c r="J56" s="38">
        <f>-SUMIF(Bce!A:A,A56,Bce!J:J)</f>
        <v>-47371720</v>
      </c>
      <c r="K56" s="38"/>
      <c r="L56" s="38">
        <f>-SUMIF(BceAnt!A:A,A56,BceAnt!J:J)</f>
        <v>-286703000</v>
      </c>
      <c r="M56" s="38"/>
      <c r="N56" s="38"/>
      <c r="O56" s="38"/>
      <c r="P56" s="38"/>
      <c r="Q56" s="38"/>
      <c r="R56" s="38"/>
      <c r="S56" s="38"/>
      <c r="T56" s="38"/>
    </row>
    <row r="57" spans="1:20" ht="30">
      <c r="A57" s="39">
        <v>219510</v>
      </c>
      <c r="B57" s="39" t="s">
        <v>1632</v>
      </c>
      <c r="C57" s="33" t="s">
        <v>4338</v>
      </c>
      <c r="D57" s="33" t="s">
        <v>4339</v>
      </c>
      <c r="E57" s="84" t="s">
        <v>4340</v>
      </c>
      <c r="F57" s="319" t="s">
        <v>4341</v>
      </c>
      <c r="G57" s="319" t="s">
        <v>4342</v>
      </c>
      <c r="H57" s="84"/>
      <c r="I57" s="38">
        <f>SUMIFS(Mov!$J:$J,Mov!$E:$E,A57)</f>
        <v>27882400</v>
      </c>
      <c r="J57" s="38">
        <f>-SUMIF(Bce!A:A,A57,Bce!J:J)</f>
        <v>-78120000</v>
      </c>
      <c r="K57" s="38"/>
      <c r="L57" s="38">
        <f>-SUMIF(BceAnt!A:A,A57,BceAnt!J:J)</f>
        <v>-106002400</v>
      </c>
      <c r="M57" s="38"/>
      <c r="N57" s="38"/>
      <c r="O57" s="38"/>
      <c r="P57" s="38"/>
      <c r="Q57" s="38"/>
      <c r="R57" s="38"/>
      <c r="S57" s="38"/>
      <c r="T57" s="38"/>
    </row>
    <row r="58" spans="1:20" ht="30">
      <c r="A58" s="39">
        <v>219595</v>
      </c>
      <c r="B58" s="39" t="s">
        <v>4343</v>
      </c>
      <c r="C58" s="33" t="s">
        <v>4338</v>
      </c>
      <c r="D58" s="33" t="s">
        <v>4339</v>
      </c>
      <c r="E58" s="37" t="s">
        <v>4344</v>
      </c>
      <c r="F58" s="319" t="s">
        <v>4341</v>
      </c>
      <c r="G58" s="319" t="s">
        <v>4342</v>
      </c>
      <c r="H58" s="84"/>
      <c r="I58" s="38">
        <f>SUMIFS(Mov!$J:$J,Mov!$E:$E,A58)</f>
        <v>0</v>
      </c>
      <c r="J58" s="38">
        <f>-SUMIF(Bce!A:A,A58,Bce!J:J)</f>
        <v>0</v>
      </c>
      <c r="K58" s="38"/>
      <c r="L58" s="38">
        <f>-SUMIF(BceAnt!A:A,A58,BceAnt!J:J)</f>
        <v>0</v>
      </c>
      <c r="M58" s="38"/>
      <c r="N58" s="38"/>
      <c r="O58" s="38"/>
      <c r="P58" s="38"/>
      <c r="Q58" s="38"/>
      <c r="R58" s="38"/>
      <c r="S58" s="38"/>
      <c r="T58" s="38"/>
    </row>
    <row r="59" spans="1:20" ht="45">
      <c r="A59" s="39">
        <v>220505</v>
      </c>
      <c r="B59" s="39" t="s">
        <v>4345</v>
      </c>
      <c r="C59" s="33" t="s">
        <v>4346</v>
      </c>
      <c r="D59" s="33" t="s">
        <v>4347</v>
      </c>
      <c r="E59" s="37" t="s">
        <v>4348</v>
      </c>
      <c r="F59" s="319" t="s">
        <v>4349</v>
      </c>
      <c r="G59" s="319" t="s">
        <v>4349</v>
      </c>
      <c r="H59" s="84"/>
      <c r="I59" s="38"/>
      <c r="J59" s="38">
        <f>-SUMIF(Bce!A:A,A59,Bce!J:J)</f>
        <v>0</v>
      </c>
      <c r="K59" s="38"/>
      <c r="L59" s="38">
        <f>-SUMIF(BceAnt!A:A,A59,BceAnt!J:J)</f>
        <v>0</v>
      </c>
      <c r="M59" s="38"/>
      <c r="N59" s="38"/>
      <c r="O59" s="38"/>
      <c r="P59" s="38"/>
      <c r="Q59" s="38"/>
      <c r="R59" s="38"/>
      <c r="S59" s="38"/>
      <c r="T59" s="38"/>
    </row>
    <row r="60" spans="1:20" ht="45">
      <c r="A60" s="39">
        <v>23351001</v>
      </c>
      <c r="B60" s="39"/>
      <c r="C60" s="33" t="s">
        <v>4350</v>
      </c>
      <c r="D60" s="33" t="s">
        <v>4347</v>
      </c>
      <c r="E60" s="37" t="s">
        <v>4344</v>
      </c>
      <c r="F60" s="319" t="s">
        <v>4349</v>
      </c>
      <c r="G60" s="319" t="s">
        <v>4349</v>
      </c>
      <c r="H60" s="84"/>
      <c r="I60" s="38">
        <f>SUMIFS(Mov!$J:$J,Mov!$E:$E,A60)</f>
        <v>-7900</v>
      </c>
      <c r="J60" s="38">
        <f>-SUMIF(Bce!A:A,A60,Bce!J:J)</f>
        <v>-7900</v>
      </c>
      <c r="K60" s="38"/>
      <c r="L60" s="38">
        <f>-SUMIF(BceAnt!A:A,A60,BceAnt!J:J)</f>
        <v>0</v>
      </c>
      <c r="M60" s="38"/>
      <c r="N60" s="38"/>
      <c r="O60" s="38"/>
      <c r="P60" s="38"/>
      <c r="Q60" s="38"/>
      <c r="R60" s="38"/>
      <c r="S60" s="38"/>
      <c r="T60" s="38"/>
    </row>
    <row r="61" spans="1:20" ht="45">
      <c r="A61" s="39">
        <v>23351002</v>
      </c>
      <c r="B61" s="39"/>
      <c r="C61" s="33" t="s">
        <v>4350</v>
      </c>
      <c r="D61" s="33" t="s">
        <v>4347</v>
      </c>
      <c r="E61" s="37" t="s">
        <v>4344</v>
      </c>
      <c r="F61" s="319" t="s">
        <v>4349</v>
      </c>
      <c r="G61" s="319" t="s">
        <v>4349</v>
      </c>
      <c r="H61" s="84"/>
      <c r="I61" s="38">
        <f>SUMIFS(Mov!$J:$J,Mov!$E:$E,A61)</f>
        <v>0</v>
      </c>
      <c r="J61" s="38">
        <f>-SUMIF(Bce!A:A,A61,Bce!J:J)</f>
        <v>0</v>
      </c>
      <c r="K61" s="38"/>
      <c r="L61" s="38">
        <f>-SUMIF(BceAnt!A:A,A61,BceAnt!J:J)</f>
        <v>0</v>
      </c>
      <c r="M61" s="38"/>
      <c r="N61" s="38"/>
      <c r="O61" s="38"/>
      <c r="P61" s="38"/>
      <c r="Q61" s="38"/>
      <c r="R61" s="38"/>
      <c r="S61" s="38"/>
      <c r="T61" s="38"/>
    </row>
    <row r="62" spans="1:20" ht="45">
      <c r="A62" s="39">
        <v>23351003</v>
      </c>
      <c r="B62" s="39"/>
      <c r="C62" s="33" t="s">
        <v>4350</v>
      </c>
      <c r="D62" s="33" t="s">
        <v>4347</v>
      </c>
      <c r="E62" s="37" t="s">
        <v>4344</v>
      </c>
      <c r="F62" s="319" t="s">
        <v>4349</v>
      </c>
      <c r="G62" s="319" t="s">
        <v>4349</v>
      </c>
      <c r="H62" s="84"/>
      <c r="I62" s="38">
        <f>SUMIFS(Mov!$J:$J,Mov!$E:$E,A62)</f>
        <v>0</v>
      </c>
      <c r="J62" s="38">
        <f>-SUMIF(Bce!A:A,A62,Bce!J:J)</f>
        <v>0</v>
      </c>
      <c r="K62" s="38"/>
      <c r="L62" s="38">
        <f>-SUMIF(BceAnt!A:A,A62,BceAnt!J:J)</f>
        <v>0</v>
      </c>
      <c r="M62" s="38"/>
      <c r="N62" s="38"/>
      <c r="O62" s="38"/>
      <c r="P62" s="38"/>
      <c r="Q62" s="38"/>
      <c r="R62" s="38"/>
      <c r="S62" s="38"/>
      <c r="T62" s="38"/>
    </row>
    <row r="63" spans="1:20" ht="45">
      <c r="A63" s="39">
        <v>23352501</v>
      </c>
      <c r="B63" s="39"/>
      <c r="C63" s="33" t="s">
        <v>4350</v>
      </c>
      <c r="D63" s="33" t="s">
        <v>4347</v>
      </c>
      <c r="E63" s="37" t="s">
        <v>4344</v>
      </c>
      <c r="F63" s="319" t="s">
        <v>4349</v>
      </c>
      <c r="G63" s="319" t="s">
        <v>4349</v>
      </c>
      <c r="H63" s="84"/>
      <c r="I63" s="38">
        <f>SUMIFS(Mov!$J:$J,Mov!$E:$E,A63)</f>
        <v>0</v>
      </c>
      <c r="J63" s="38">
        <f>-SUMIF(Bce!A:A,A63,Bce!J:J)</f>
        <v>0</v>
      </c>
      <c r="K63" s="38"/>
      <c r="L63" s="38">
        <f>-SUMIF(BceAnt!A:A,A63,BceAnt!J:J)</f>
        <v>0</v>
      </c>
      <c r="M63" s="38"/>
      <c r="N63" s="38"/>
      <c r="O63" s="38"/>
      <c r="P63" s="38"/>
      <c r="Q63" s="38"/>
      <c r="R63" s="38"/>
      <c r="S63" s="38"/>
      <c r="T63" s="38"/>
    </row>
    <row r="64" spans="1:20" ht="45">
      <c r="A64" s="39">
        <v>23352502</v>
      </c>
      <c r="B64" s="39"/>
      <c r="C64" s="33" t="s">
        <v>4350</v>
      </c>
      <c r="D64" s="33" t="s">
        <v>4347</v>
      </c>
      <c r="E64" s="37" t="s">
        <v>4344</v>
      </c>
      <c r="F64" s="319" t="s">
        <v>4349</v>
      </c>
      <c r="G64" s="319" t="s">
        <v>4349</v>
      </c>
      <c r="H64" s="84"/>
      <c r="I64" s="38">
        <f>SUMIFS(Mov!$J:$J,Mov!$E:$E,A64)</f>
        <v>0</v>
      </c>
      <c r="J64" s="38">
        <f>-SUMIF(Bce!A:A,A64,Bce!J:J)</f>
        <v>0</v>
      </c>
      <c r="K64" s="38"/>
      <c r="L64" s="38">
        <f>-SUMIF(BceAnt!A:A,A64,BceAnt!J:J)</f>
        <v>0</v>
      </c>
      <c r="M64" s="38"/>
      <c r="N64" s="38"/>
      <c r="O64" s="38"/>
      <c r="P64" s="38"/>
      <c r="Q64" s="38"/>
      <c r="R64" s="38"/>
      <c r="S64" s="38"/>
      <c r="T64" s="38"/>
    </row>
    <row r="65" spans="1:20" ht="45">
      <c r="A65" s="39">
        <v>23352503</v>
      </c>
      <c r="B65" s="39"/>
      <c r="C65" s="33" t="s">
        <v>4350</v>
      </c>
      <c r="D65" s="33" t="s">
        <v>4347</v>
      </c>
      <c r="E65" s="37" t="s">
        <v>4344</v>
      </c>
      <c r="F65" s="319" t="s">
        <v>4349</v>
      </c>
      <c r="G65" s="319" t="s">
        <v>4349</v>
      </c>
      <c r="H65" s="84"/>
      <c r="I65" s="38">
        <f>SUMIFS(Mov!$J:$J,Mov!$E:$E,A65)</f>
        <v>0</v>
      </c>
      <c r="J65" s="38">
        <f>-SUMIF(Bce!A:A,A65,Bce!J:J)</f>
        <v>0</v>
      </c>
      <c r="K65" s="38"/>
      <c r="L65" s="38">
        <f>-SUMIF(BceAnt!A:A,A65,BceAnt!J:J)</f>
        <v>0</v>
      </c>
      <c r="M65" s="38"/>
      <c r="N65" s="38"/>
      <c r="O65" s="38"/>
      <c r="P65" s="38"/>
      <c r="Q65" s="38"/>
      <c r="R65" s="38"/>
      <c r="S65" s="38"/>
      <c r="T65" s="38"/>
    </row>
    <row r="66" spans="1:20" ht="45">
      <c r="A66" s="39">
        <v>23352504</v>
      </c>
      <c r="B66" s="39"/>
      <c r="C66" s="33" t="s">
        <v>4350</v>
      </c>
      <c r="D66" s="33" t="s">
        <v>4347</v>
      </c>
      <c r="E66" s="37" t="s">
        <v>4344</v>
      </c>
      <c r="F66" s="319" t="s">
        <v>4349</v>
      </c>
      <c r="G66" s="319" t="s">
        <v>4349</v>
      </c>
      <c r="H66" s="84"/>
      <c r="I66" s="38">
        <f>SUMIFS(Mov!$J:$J,Mov!$E:$E,A66)</f>
        <v>0</v>
      </c>
      <c r="J66" s="38">
        <f>-SUMIF(Bce!A:A,A66,Bce!J:J)</f>
        <v>0</v>
      </c>
      <c r="K66" s="38"/>
      <c r="L66" s="38">
        <f>-SUMIF(BceAnt!A:A,A66,BceAnt!J:J)</f>
        <v>0</v>
      </c>
      <c r="M66" s="38"/>
      <c r="N66" s="38"/>
      <c r="O66" s="38"/>
      <c r="P66" s="38"/>
      <c r="Q66" s="38"/>
      <c r="R66" s="38"/>
      <c r="S66" s="38"/>
      <c r="T66" s="38"/>
    </row>
    <row r="67" spans="1:20" ht="45">
      <c r="A67" s="39">
        <v>23352509</v>
      </c>
      <c r="B67" s="39"/>
      <c r="C67" s="33" t="s">
        <v>4350</v>
      </c>
      <c r="D67" s="33" t="s">
        <v>4347</v>
      </c>
      <c r="E67" s="37" t="s">
        <v>4344</v>
      </c>
      <c r="F67" s="319" t="s">
        <v>4349</v>
      </c>
      <c r="G67" s="319" t="s">
        <v>4349</v>
      </c>
      <c r="H67" s="84"/>
      <c r="I67" s="38">
        <f>SUMIFS(Mov!$J:$J,Mov!$E:$E,A67)</f>
        <v>0</v>
      </c>
      <c r="J67" s="38">
        <f>-SUMIF(Bce!A:A,A67,Bce!J:J)</f>
        <v>0</v>
      </c>
      <c r="K67" s="38"/>
      <c r="L67" s="38">
        <f>-SUMIF(BceAnt!A:A,A67,BceAnt!J:J)</f>
        <v>0</v>
      </c>
      <c r="M67" s="38"/>
      <c r="N67" s="38"/>
      <c r="O67" s="38"/>
      <c r="P67" s="38"/>
      <c r="Q67" s="38"/>
      <c r="R67" s="38"/>
      <c r="S67" s="38"/>
      <c r="T67" s="38"/>
    </row>
    <row r="68" spans="1:20" ht="45">
      <c r="A68" s="39">
        <v>23353001</v>
      </c>
      <c r="B68" s="39"/>
      <c r="C68" s="33" t="s">
        <v>4350</v>
      </c>
      <c r="D68" s="33" t="s">
        <v>4347</v>
      </c>
      <c r="E68" s="37" t="s">
        <v>4344</v>
      </c>
      <c r="F68" s="319" t="s">
        <v>4349</v>
      </c>
      <c r="G68" s="319" t="s">
        <v>4349</v>
      </c>
      <c r="H68" s="84"/>
      <c r="I68" s="38">
        <f>SUMIFS(Mov!$J:$J,Mov!$E:$E,A68)</f>
        <v>0</v>
      </c>
      <c r="J68" s="38">
        <f>-SUMIF(Bce!A:A,A68,Bce!J:J)</f>
        <v>0</v>
      </c>
      <c r="K68" s="38"/>
      <c r="L68" s="38">
        <f>-SUMIF(BceAnt!A:A,A68,BceAnt!J:J)</f>
        <v>0</v>
      </c>
      <c r="M68" s="38"/>
      <c r="N68" s="38"/>
      <c r="O68" s="38"/>
      <c r="P68" s="38"/>
      <c r="Q68" s="38"/>
      <c r="R68" s="38"/>
      <c r="S68" s="38"/>
      <c r="T68" s="38"/>
    </row>
    <row r="69" spans="1:20" ht="45">
      <c r="A69" s="39">
        <v>23354001</v>
      </c>
      <c r="B69" s="39"/>
      <c r="C69" s="33" t="s">
        <v>4350</v>
      </c>
      <c r="D69" s="33" t="s">
        <v>4347</v>
      </c>
      <c r="E69" s="37" t="s">
        <v>4344</v>
      </c>
      <c r="F69" s="319" t="s">
        <v>4349</v>
      </c>
      <c r="G69" s="319" t="s">
        <v>4349</v>
      </c>
      <c r="H69" s="84"/>
      <c r="I69" s="38">
        <f>SUMIFS(Mov!$J:$J,Mov!$E:$E,A69)</f>
        <v>0</v>
      </c>
      <c r="J69" s="38">
        <f>-SUMIF(Bce!A:A,A69,Bce!J:J)</f>
        <v>0</v>
      </c>
      <c r="K69" s="38"/>
      <c r="L69" s="38">
        <f>-SUMIF(BceAnt!A:A,A69,BceAnt!J:J)</f>
        <v>0</v>
      </c>
      <c r="M69" s="38"/>
      <c r="N69" s="38"/>
      <c r="O69" s="38"/>
      <c r="P69" s="38"/>
      <c r="Q69" s="38"/>
      <c r="R69" s="38"/>
      <c r="S69" s="38"/>
      <c r="T69" s="38"/>
    </row>
    <row r="70" spans="1:20" ht="45">
      <c r="A70" s="39">
        <v>23354002</v>
      </c>
      <c r="B70" s="39"/>
      <c r="C70" s="33" t="s">
        <v>4350</v>
      </c>
      <c r="D70" s="33" t="s">
        <v>4347</v>
      </c>
      <c r="E70" s="37" t="s">
        <v>4344</v>
      </c>
      <c r="F70" s="319" t="s">
        <v>4349</v>
      </c>
      <c r="G70" s="319" t="s">
        <v>4349</v>
      </c>
      <c r="H70" s="84"/>
      <c r="I70" s="38">
        <f>SUMIFS(Mov!$J:$J,Mov!$E:$E,A70)</f>
        <v>0</v>
      </c>
      <c r="J70" s="38">
        <f>-SUMIF(Bce!A:A,A70,Bce!J:J)</f>
        <v>0</v>
      </c>
      <c r="K70" s="38"/>
      <c r="L70" s="38">
        <f>-SUMIF(BceAnt!A:A,A70,BceAnt!J:J)</f>
        <v>0</v>
      </c>
      <c r="M70" s="38"/>
      <c r="N70" s="38"/>
      <c r="O70" s="38"/>
      <c r="P70" s="38"/>
      <c r="Q70" s="38"/>
      <c r="R70" s="38"/>
      <c r="S70" s="38"/>
      <c r="T70" s="38"/>
    </row>
    <row r="71" spans="1:20" ht="45">
      <c r="A71" s="39">
        <v>23354501</v>
      </c>
      <c r="B71" s="39"/>
      <c r="C71" s="33" t="s">
        <v>4350</v>
      </c>
      <c r="D71" s="33" t="s">
        <v>4347</v>
      </c>
      <c r="E71" s="37" t="s">
        <v>4344</v>
      </c>
      <c r="F71" s="319" t="s">
        <v>4349</v>
      </c>
      <c r="G71" s="319" t="s">
        <v>4349</v>
      </c>
      <c r="H71" s="84"/>
      <c r="I71" s="38">
        <f>SUMIFS(Mov!$J:$J,Mov!$E:$E,A71)</f>
        <v>0</v>
      </c>
      <c r="J71" s="38">
        <f>-SUMIF(Bce!A:A,A71,Bce!J:J)</f>
        <v>0</v>
      </c>
      <c r="K71" s="38"/>
      <c r="L71" s="38">
        <f>-SUMIF(BceAnt!A:A,A71,BceAnt!J:J)</f>
        <v>0</v>
      </c>
      <c r="M71" s="38"/>
      <c r="N71" s="38"/>
      <c r="O71" s="38"/>
      <c r="P71" s="38"/>
      <c r="Q71" s="38"/>
      <c r="R71" s="38"/>
      <c r="S71" s="38"/>
      <c r="T71" s="38"/>
    </row>
    <row r="72" spans="1:20" ht="45">
      <c r="A72" s="39">
        <v>23354502</v>
      </c>
      <c r="B72" s="39"/>
      <c r="C72" s="33" t="s">
        <v>4350</v>
      </c>
      <c r="D72" s="33" t="s">
        <v>4347</v>
      </c>
      <c r="E72" s="37" t="s">
        <v>4344</v>
      </c>
      <c r="F72" s="319" t="s">
        <v>4349</v>
      </c>
      <c r="G72" s="319" t="s">
        <v>4349</v>
      </c>
      <c r="H72" s="84"/>
      <c r="I72" s="38">
        <f>SUMIFS(Mov!$J:$J,Mov!$E:$E,A72)</f>
        <v>0</v>
      </c>
      <c r="J72" s="38">
        <f>-SUMIF(Bce!A:A,A72,Bce!J:J)</f>
        <v>0</v>
      </c>
      <c r="K72" s="38"/>
      <c r="L72" s="38">
        <f>-SUMIF(BceAnt!A:A,A72,BceAnt!J:J)</f>
        <v>0</v>
      </c>
      <c r="M72" s="38"/>
      <c r="N72" s="38"/>
      <c r="O72" s="38"/>
      <c r="P72" s="38"/>
      <c r="Q72" s="38"/>
      <c r="R72" s="38"/>
      <c r="S72" s="38"/>
      <c r="T72" s="38"/>
    </row>
    <row r="73" spans="1:20" ht="45">
      <c r="A73" s="39">
        <v>23355001</v>
      </c>
      <c r="B73" s="39"/>
      <c r="C73" s="33" t="s">
        <v>4350</v>
      </c>
      <c r="D73" s="33" t="s">
        <v>4347</v>
      </c>
      <c r="E73" s="37" t="s">
        <v>4344</v>
      </c>
      <c r="F73" s="319" t="s">
        <v>4349</v>
      </c>
      <c r="G73" s="319" t="s">
        <v>4349</v>
      </c>
      <c r="H73" s="84"/>
      <c r="I73" s="38">
        <f>SUMIFS(Mov!$J:$J,Mov!$E:$E,A73)</f>
        <v>0</v>
      </c>
      <c r="J73" s="38">
        <f>-SUMIF(Bce!A:A,A73,Bce!J:J)</f>
        <v>0</v>
      </c>
      <c r="K73" s="38"/>
      <c r="L73" s="38">
        <f>-SUMIF(BceAnt!A:A,A73,BceAnt!J:J)</f>
        <v>0</v>
      </c>
      <c r="M73" s="38"/>
      <c r="N73" s="38"/>
      <c r="O73" s="38"/>
      <c r="P73" s="38"/>
      <c r="Q73" s="38"/>
      <c r="R73" s="38"/>
      <c r="S73" s="38"/>
      <c r="T73" s="38"/>
    </row>
    <row r="74" spans="1:20" ht="45">
      <c r="A74" s="39">
        <v>23355002</v>
      </c>
      <c r="B74" s="39"/>
      <c r="C74" s="33" t="s">
        <v>4350</v>
      </c>
      <c r="D74" s="33" t="s">
        <v>4347</v>
      </c>
      <c r="E74" s="37" t="s">
        <v>4344</v>
      </c>
      <c r="F74" s="319" t="s">
        <v>4349</v>
      </c>
      <c r="G74" s="319" t="s">
        <v>4349</v>
      </c>
      <c r="H74" s="84"/>
      <c r="I74" s="38">
        <f>SUMIFS(Mov!$J:$J,Mov!$E:$E,A74)</f>
        <v>-92149.62000000001</v>
      </c>
      <c r="J74" s="38">
        <f>-SUMIF(Bce!A:A,A74,Bce!J:J)</f>
        <v>-92149.62</v>
      </c>
      <c r="K74" s="38"/>
      <c r="L74" s="38">
        <f>-SUMIF(BceAnt!A:A,A74,BceAnt!J:J)</f>
        <v>0</v>
      </c>
      <c r="M74" s="38"/>
      <c r="N74" s="38"/>
      <c r="O74" s="38"/>
      <c r="P74" s="38"/>
      <c r="Q74" s="38"/>
      <c r="R74" s="38"/>
      <c r="S74" s="38"/>
      <c r="T74" s="38"/>
    </row>
    <row r="75" spans="1:20" ht="45">
      <c r="A75" s="39">
        <v>23355003</v>
      </c>
      <c r="B75" s="39"/>
      <c r="C75" s="33" t="s">
        <v>4350</v>
      </c>
      <c r="D75" s="33" t="s">
        <v>4347</v>
      </c>
      <c r="E75" s="37" t="s">
        <v>4344</v>
      </c>
      <c r="F75" s="319" t="s">
        <v>4349</v>
      </c>
      <c r="G75" s="319" t="s">
        <v>4349</v>
      </c>
      <c r="H75" s="84"/>
      <c r="I75" s="38">
        <f>SUMIFS(Mov!$J:$J,Mov!$E:$E,A75)</f>
        <v>0</v>
      </c>
      <c r="J75" s="38">
        <f>-SUMIF(Bce!A:A,A75,Bce!J:J)</f>
        <v>0</v>
      </c>
      <c r="K75" s="38"/>
      <c r="L75" s="38">
        <f>-SUMIF(BceAnt!A:A,A75,BceAnt!J:J)</f>
        <v>0</v>
      </c>
      <c r="M75" s="38"/>
      <c r="N75" s="38"/>
      <c r="O75" s="38"/>
      <c r="P75" s="38"/>
      <c r="Q75" s="38"/>
      <c r="R75" s="38"/>
      <c r="S75" s="38"/>
      <c r="T75" s="38"/>
    </row>
    <row r="76" spans="1:20" ht="45">
      <c r="A76" s="39">
        <v>23355004</v>
      </c>
      <c r="B76" s="39"/>
      <c r="C76" s="33" t="s">
        <v>4350</v>
      </c>
      <c r="D76" s="33" t="s">
        <v>4347</v>
      </c>
      <c r="E76" s="37" t="s">
        <v>4344</v>
      </c>
      <c r="F76" s="319" t="s">
        <v>4349</v>
      </c>
      <c r="G76" s="319" t="s">
        <v>4349</v>
      </c>
      <c r="H76" s="84"/>
      <c r="I76" s="38">
        <f>SUMIFS(Mov!$J:$J,Mov!$E:$E,A76)</f>
        <v>1391973.08</v>
      </c>
      <c r="J76" s="38">
        <f>-SUMIF(Bce!A:A,A76,Bce!J:J)</f>
        <v>0</v>
      </c>
      <c r="K76" s="38"/>
      <c r="L76" s="38">
        <f>-SUMIF(BceAnt!A:A,A76,BceAnt!J:J)</f>
        <v>-1391973.08</v>
      </c>
      <c r="M76" s="38"/>
      <c r="N76" s="38"/>
      <c r="O76" s="38"/>
      <c r="P76" s="38"/>
      <c r="Q76" s="38"/>
      <c r="R76" s="38"/>
      <c r="S76" s="38"/>
      <c r="T76" s="38"/>
    </row>
    <row r="77" spans="1:20" ht="45">
      <c r="A77" s="39">
        <v>23355005</v>
      </c>
      <c r="B77" s="39"/>
      <c r="C77" s="33" t="s">
        <v>4350</v>
      </c>
      <c r="D77" s="33" t="s">
        <v>4347</v>
      </c>
      <c r="E77" s="37" t="s">
        <v>4344</v>
      </c>
      <c r="F77" s="319" t="s">
        <v>4349</v>
      </c>
      <c r="G77" s="319" t="s">
        <v>4349</v>
      </c>
      <c r="H77" s="84"/>
      <c r="I77" s="38">
        <f>SUMIFS(Mov!$J:$J,Mov!$E:$E,A77)</f>
        <v>0</v>
      </c>
      <c r="J77" s="38">
        <f>-SUMIF(Bce!A:A,A77,Bce!J:J)</f>
        <v>0</v>
      </c>
      <c r="K77" s="38"/>
      <c r="L77" s="38">
        <f>-SUMIF(BceAnt!A:A,A77,BceAnt!J:J)</f>
        <v>0</v>
      </c>
      <c r="M77" s="38"/>
      <c r="N77" s="38"/>
      <c r="O77" s="38"/>
      <c r="P77" s="38"/>
      <c r="Q77" s="38"/>
      <c r="R77" s="38"/>
      <c r="S77" s="38"/>
      <c r="T77" s="38"/>
    </row>
    <row r="78" spans="1:20" ht="45">
      <c r="A78" s="39">
        <v>23355006</v>
      </c>
      <c r="B78" s="39"/>
      <c r="C78" s="33" t="s">
        <v>4350</v>
      </c>
      <c r="D78" s="33" t="s">
        <v>4347</v>
      </c>
      <c r="E78" s="37" t="s">
        <v>4344</v>
      </c>
      <c r="F78" s="319" t="s">
        <v>4349</v>
      </c>
      <c r="G78" s="319" t="s">
        <v>4349</v>
      </c>
      <c r="H78" s="84"/>
      <c r="I78" s="38">
        <f>SUMIFS(Mov!$J:$J,Mov!$E:$E,A78)</f>
        <v>0</v>
      </c>
      <c r="J78" s="38">
        <f>-SUMIF(Bce!A:A,A78,Bce!J:J)</f>
        <v>0</v>
      </c>
      <c r="K78" s="38"/>
      <c r="L78" s="38">
        <f>-SUMIF(BceAnt!A:A,A78,BceAnt!J:J)</f>
        <v>0</v>
      </c>
      <c r="M78" s="38"/>
      <c r="N78" s="38"/>
      <c r="O78" s="38"/>
      <c r="P78" s="38"/>
      <c r="Q78" s="38"/>
      <c r="R78" s="38"/>
      <c r="S78" s="38"/>
      <c r="T78" s="38"/>
    </row>
    <row r="79" spans="1:20" ht="45">
      <c r="A79" s="39">
        <v>23355007</v>
      </c>
      <c r="B79" s="39"/>
      <c r="C79" s="33" t="s">
        <v>4350</v>
      </c>
      <c r="D79" s="33" t="s">
        <v>4347</v>
      </c>
      <c r="E79" s="37" t="s">
        <v>4344</v>
      </c>
      <c r="F79" s="319" t="s">
        <v>4349</v>
      </c>
      <c r="G79" s="319" t="s">
        <v>4349</v>
      </c>
      <c r="H79" s="84"/>
      <c r="I79" s="38">
        <f>SUMIFS(Mov!$J:$J,Mov!$E:$E,A79)</f>
        <v>0</v>
      </c>
      <c r="J79" s="38">
        <f>-SUMIF(Bce!A:A,A79,Bce!J:J)</f>
        <v>0</v>
      </c>
      <c r="K79" s="38"/>
      <c r="L79" s="38">
        <f>-SUMIF(BceAnt!A:A,A79,BceAnt!J:J)</f>
        <v>0</v>
      </c>
      <c r="M79" s="38"/>
      <c r="N79" s="38"/>
      <c r="O79" s="38"/>
      <c r="P79" s="38"/>
      <c r="Q79" s="38"/>
      <c r="R79" s="38"/>
      <c r="S79" s="38"/>
      <c r="T79" s="38"/>
    </row>
    <row r="80" spans="1:20" ht="45">
      <c r="A80" s="39">
        <v>233555</v>
      </c>
      <c r="B80" s="39"/>
      <c r="C80" s="33" t="s">
        <v>4350</v>
      </c>
      <c r="D80" s="33" t="s">
        <v>4347</v>
      </c>
      <c r="E80" s="37" t="s">
        <v>4344</v>
      </c>
      <c r="F80" s="319" t="s">
        <v>4349</v>
      </c>
      <c r="G80" s="319" t="s">
        <v>4349</v>
      </c>
      <c r="H80" s="84"/>
      <c r="I80" s="38">
        <f>SUMIFS(Mov!$J:$J,Mov!$E:$E,A80)</f>
        <v>0</v>
      </c>
      <c r="J80" s="38">
        <f>-SUMIF(Bce!A:A,A80,Bce!J:J)</f>
        <v>0</v>
      </c>
      <c r="K80" s="38"/>
      <c r="L80" s="38">
        <f>-SUMIF(BceAnt!A:A,A80,BceAnt!J:J)</f>
        <v>0</v>
      </c>
      <c r="M80" s="38"/>
      <c r="N80" s="38"/>
      <c r="O80" s="38"/>
      <c r="P80" s="38"/>
      <c r="Q80" s="38"/>
      <c r="R80" s="38"/>
      <c r="S80" s="38"/>
      <c r="T80" s="38"/>
    </row>
    <row r="81" spans="1:20" ht="45">
      <c r="A81" s="39">
        <v>23356001</v>
      </c>
      <c r="B81" s="39"/>
      <c r="C81" s="33" t="s">
        <v>4350</v>
      </c>
      <c r="D81" s="33" t="s">
        <v>4347</v>
      </c>
      <c r="E81" s="37" t="s">
        <v>4344</v>
      </c>
      <c r="F81" s="319" t="s">
        <v>4349</v>
      </c>
      <c r="G81" s="319" t="s">
        <v>4349</v>
      </c>
      <c r="H81" s="84"/>
      <c r="I81" s="38">
        <f>SUMIFS(Mov!$J:$J,Mov!$E:$E,A81)</f>
        <v>0</v>
      </c>
      <c r="J81" s="38">
        <f>-SUMIF(Bce!A:A,A81,Bce!J:J)</f>
        <v>0</v>
      </c>
      <c r="K81" s="38"/>
      <c r="L81" s="38">
        <f>-SUMIF(BceAnt!A:A,A81,BceAnt!J:J)</f>
        <v>0</v>
      </c>
      <c r="M81" s="38"/>
      <c r="N81" s="38"/>
      <c r="O81" s="38"/>
      <c r="P81" s="38"/>
      <c r="Q81" s="38"/>
      <c r="R81" s="38"/>
      <c r="S81" s="38"/>
      <c r="T81" s="38"/>
    </row>
    <row r="82" spans="1:20" ht="45">
      <c r="A82" s="39">
        <v>23356501</v>
      </c>
      <c r="B82" s="39"/>
      <c r="C82" s="33" t="s">
        <v>4350</v>
      </c>
      <c r="D82" s="33" t="s">
        <v>4347</v>
      </c>
      <c r="E82" s="37" t="s">
        <v>4344</v>
      </c>
      <c r="F82" s="319" t="s">
        <v>4349</v>
      </c>
      <c r="G82" s="319" t="s">
        <v>4349</v>
      </c>
      <c r="H82" s="84"/>
      <c r="I82" s="38">
        <f>SUMIFS(Mov!$J:$J,Mov!$E:$E,A82)</f>
        <v>0</v>
      </c>
      <c r="J82" s="38">
        <f>-SUMIF(Bce!A:A,A82,Bce!J:J)</f>
        <v>0</v>
      </c>
      <c r="K82" s="38"/>
      <c r="L82" s="38">
        <f>-SUMIF(BceAnt!A:A,A82,BceAnt!J:J)</f>
        <v>0</v>
      </c>
      <c r="M82" s="38"/>
      <c r="N82" s="38"/>
      <c r="O82" s="38"/>
      <c r="P82" s="38"/>
      <c r="Q82" s="38"/>
      <c r="R82" s="38"/>
      <c r="S82" s="38"/>
      <c r="T82" s="38"/>
    </row>
    <row r="83" spans="1:20" ht="45">
      <c r="A83" s="39">
        <v>23359501</v>
      </c>
      <c r="B83" s="39"/>
      <c r="C83" s="33" t="s">
        <v>4350</v>
      </c>
      <c r="D83" s="33" t="s">
        <v>4347</v>
      </c>
      <c r="E83" s="37" t="s">
        <v>4344</v>
      </c>
      <c r="F83" s="319" t="s">
        <v>4349</v>
      </c>
      <c r="G83" s="319" t="s">
        <v>4349</v>
      </c>
      <c r="H83" s="84"/>
      <c r="I83" s="38">
        <f>SUMIFS(Mov!$J:$J,Mov!$E:$E,A83)</f>
        <v>0</v>
      </c>
      <c r="J83" s="38">
        <f>-SUMIF(Bce!A:A,A83,Bce!J:J)</f>
        <v>0</v>
      </c>
      <c r="K83" s="38"/>
      <c r="L83" s="38">
        <f>-SUMIF(BceAnt!A:A,A83,BceAnt!J:J)</f>
        <v>0</v>
      </c>
      <c r="M83" s="38"/>
      <c r="N83" s="38"/>
      <c r="O83" s="38"/>
      <c r="P83" s="38"/>
      <c r="Q83" s="38"/>
      <c r="R83" s="38"/>
      <c r="S83" s="38"/>
      <c r="T83" s="38"/>
    </row>
    <row r="84" spans="1:20" ht="45">
      <c r="A84" s="39">
        <v>23359502</v>
      </c>
      <c r="B84" s="39"/>
      <c r="C84" s="33" t="s">
        <v>4350</v>
      </c>
      <c r="D84" s="33" t="s">
        <v>4347</v>
      </c>
      <c r="E84" s="37" t="s">
        <v>4344</v>
      </c>
      <c r="F84" s="319" t="s">
        <v>4349</v>
      </c>
      <c r="G84" s="319" t="s">
        <v>4349</v>
      </c>
      <c r="H84" s="84"/>
      <c r="I84" s="38">
        <f>SUMIFS(Mov!$J:$J,Mov!$E:$E,A84)</f>
        <v>-509403</v>
      </c>
      <c r="J84" s="38">
        <f>-SUMIF(Bce!A:A,A84,Bce!J:J)</f>
        <v>-623437</v>
      </c>
      <c r="K84" s="38"/>
      <c r="L84" s="38">
        <f>-SUMIF(BceAnt!A:A,A84,BceAnt!J:J)</f>
        <v>-114034</v>
      </c>
      <c r="M84" s="38"/>
      <c r="N84" s="38"/>
      <c r="O84" s="38"/>
      <c r="P84" s="38"/>
      <c r="Q84" s="38"/>
      <c r="R84" s="38"/>
      <c r="S84" s="38"/>
      <c r="T84" s="38"/>
    </row>
    <row r="85" spans="1:20" ht="45">
      <c r="A85" s="39">
        <v>23359503</v>
      </c>
      <c r="B85" s="39"/>
      <c r="C85" s="33" t="s">
        <v>4350</v>
      </c>
      <c r="D85" s="33" t="s">
        <v>4347</v>
      </c>
      <c r="E85" s="37" t="s">
        <v>4344</v>
      </c>
      <c r="F85" s="319" t="s">
        <v>4349</v>
      </c>
      <c r="G85" s="319" t="s">
        <v>4349</v>
      </c>
      <c r="H85" s="84"/>
      <c r="I85" s="38">
        <f>SUMIFS(Mov!$J:$J,Mov!$E:$E,A85)</f>
        <v>0</v>
      </c>
      <c r="J85" s="38">
        <f>-SUMIF(Bce!A:A,A85,Bce!J:J)</f>
        <v>0</v>
      </c>
      <c r="K85" s="38"/>
      <c r="L85" s="38">
        <f>-SUMIF(BceAnt!A:A,A85,BceAnt!J:J)</f>
        <v>0</v>
      </c>
      <c r="M85" s="38"/>
      <c r="N85" s="38"/>
      <c r="O85" s="38"/>
      <c r="P85" s="38"/>
      <c r="Q85" s="38"/>
      <c r="R85" s="38"/>
      <c r="S85" s="38"/>
      <c r="T85" s="38"/>
    </row>
    <row r="86" spans="1:20" ht="45">
      <c r="A86" s="39">
        <v>23359504</v>
      </c>
      <c r="B86" s="39"/>
      <c r="C86" s="33" t="s">
        <v>4350</v>
      </c>
      <c r="D86" s="33" t="s">
        <v>4347</v>
      </c>
      <c r="E86" s="37" t="s">
        <v>4344</v>
      </c>
      <c r="F86" s="319" t="s">
        <v>4349</v>
      </c>
      <c r="G86" s="319" t="s">
        <v>4349</v>
      </c>
      <c r="H86" s="84"/>
      <c r="I86" s="38">
        <f>SUMIFS(Mov!$J:$J,Mov!$E:$E,A86)</f>
        <v>0</v>
      </c>
      <c r="J86" s="38">
        <f>-SUMIF(Bce!A:A,A86,Bce!J:J)</f>
        <v>0</v>
      </c>
      <c r="K86" s="38"/>
      <c r="L86" s="38">
        <f>-SUMIF(BceAnt!A:A,A86,BceAnt!J:J)</f>
        <v>0</v>
      </c>
      <c r="M86" s="38"/>
      <c r="N86" s="38"/>
      <c r="O86" s="38"/>
      <c r="P86" s="38"/>
      <c r="Q86" s="38"/>
      <c r="R86" s="38"/>
      <c r="S86" s="38"/>
      <c r="T86" s="38"/>
    </row>
    <row r="87" spans="1:20" ht="45">
      <c r="A87" s="39">
        <v>23359505</v>
      </c>
      <c r="B87" s="39"/>
      <c r="C87" s="33" t="s">
        <v>4350</v>
      </c>
      <c r="D87" s="33" t="s">
        <v>4347</v>
      </c>
      <c r="E87" s="37" t="s">
        <v>4344</v>
      </c>
      <c r="F87" s="319" t="s">
        <v>4349</v>
      </c>
      <c r="G87" s="319" t="s">
        <v>4349</v>
      </c>
      <c r="H87" s="84"/>
      <c r="I87" s="38">
        <f>SUMIFS(Mov!$J:$J,Mov!$E:$E,A87)</f>
        <v>0</v>
      </c>
      <c r="J87" s="38">
        <f>-SUMIF(Bce!A:A,A87,Bce!J:J)</f>
        <v>0</v>
      </c>
      <c r="K87" s="38"/>
      <c r="L87" s="38">
        <f>-SUMIF(BceAnt!A:A,A87,BceAnt!J:J)</f>
        <v>0</v>
      </c>
      <c r="M87" s="38"/>
      <c r="N87" s="38"/>
      <c r="O87" s="38"/>
      <c r="P87" s="38"/>
      <c r="Q87" s="38"/>
      <c r="R87" s="38"/>
      <c r="S87" s="38"/>
      <c r="T87" s="38"/>
    </row>
    <row r="88" spans="1:20" ht="45">
      <c r="A88" s="39">
        <v>23359506</v>
      </c>
      <c r="B88" s="39"/>
      <c r="C88" s="33" t="s">
        <v>4350</v>
      </c>
      <c r="D88" s="33" t="s">
        <v>4347</v>
      </c>
      <c r="E88" s="37" t="s">
        <v>4344</v>
      </c>
      <c r="F88" s="319" t="s">
        <v>4349</v>
      </c>
      <c r="G88" s="319" t="s">
        <v>4349</v>
      </c>
      <c r="H88" s="84"/>
      <c r="I88" s="38">
        <f>SUMIFS(Mov!$J:$J,Mov!$E:$E,A88)</f>
        <v>0</v>
      </c>
      <c r="J88" s="38">
        <f>-SUMIF(Bce!A:A,A88,Bce!J:J)</f>
        <v>0</v>
      </c>
      <c r="K88" s="38"/>
      <c r="L88" s="38">
        <f>-SUMIF(BceAnt!A:A,A88,BceAnt!J:J)</f>
        <v>0</v>
      </c>
      <c r="M88" s="38"/>
      <c r="N88" s="38"/>
      <c r="O88" s="38"/>
      <c r="P88" s="38"/>
      <c r="Q88" s="38"/>
      <c r="R88" s="38"/>
      <c r="S88" s="38"/>
      <c r="T88" s="38"/>
    </row>
    <row r="89" spans="1:20" ht="45">
      <c r="A89" s="39">
        <v>23359507</v>
      </c>
      <c r="B89" s="39"/>
      <c r="C89" s="33" t="s">
        <v>4350</v>
      </c>
      <c r="D89" s="33" t="s">
        <v>4347</v>
      </c>
      <c r="E89" s="37" t="s">
        <v>4344</v>
      </c>
      <c r="F89" s="319" t="s">
        <v>4349</v>
      </c>
      <c r="G89" s="319" t="s">
        <v>4349</v>
      </c>
      <c r="H89" s="84"/>
      <c r="I89" s="38">
        <f>SUMIFS(Mov!$J:$J,Mov!$E:$E,A89)</f>
        <v>0</v>
      </c>
      <c r="J89" s="38">
        <f>-SUMIF(Bce!A:A,A89,Bce!J:J)</f>
        <v>0</v>
      </c>
      <c r="K89" s="38"/>
      <c r="L89" s="38">
        <f>-SUMIF(BceAnt!A:A,A89,BceAnt!J:J)</f>
        <v>0</v>
      </c>
      <c r="M89" s="38"/>
      <c r="N89" s="38"/>
      <c r="O89" s="38"/>
      <c r="P89" s="38"/>
      <c r="Q89" s="38"/>
      <c r="R89" s="38"/>
      <c r="S89" s="38"/>
      <c r="T89" s="38"/>
    </row>
    <row r="90" spans="1:20" ht="45">
      <c r="A90" s="39">
        <v>23650501</v>
      </c>
      <c r="B90" s="39"/>
      <c r="C90" s="33" t="s">
        <v>4351</v>
      </c>
      <c r="D90" s="33" t="s">
        <v>4347</v>
      </c>
      <c r="E90" s="37" t="s">
        <v>4352</v>
      </c>
      <c r="F90" s="319" t="s">
        <v>4349</v>
      </c>
      <c r="G90" s="319" t="s">
        <v>4349</v>
      </c>
      <c r="H90" s="84"/>
      <c r="I90" s="38">
        <f>SUMIFS(Mov!$J:$J,Mov!$E:$E,A90)</f>
        <v>0</v>
      </c>
      <c r="J90" s="38">
        <f>-SUMIF(Bce!A:A,A90,Bce!J:J)</f>
        <v>0</v>
      </c>
      <c r="K90" s="38"/>
      <c r="L90" s="38">
        <f>-SUMIF(BceAnt!A:A,A90,BceAnt!J:J)</f>
        <v>0</v>
      </c>
      <c r="M90" s="38"/>
      <c r="N90" s="38"/>
      <c r="O90" s="38"/>
      <c r="P90" s="38"/>
      <c r="Q90" s="38"/>
      <c r="R90" s="38"/>
      <c r="S90" s="38"/>
      <c r="T90" s="38"/>
    </row>
    <row r="91" spans="1:20" ht="45">
      <c r="A91" s="39">
        <v>23650502</v>
      </c>
      <c r="B91" s="39"/>
      <c r="C91" s="33" t="s">
        <v>4351</v>
      </c>
      <c r="D91" s="33" t="s">
        <v>4347</v>
      </c>
      <c r="E91" s="37" t="s">
        <v>4352</v>
      </c>
      <c r="F91" s="319" t="s">
        <v>4349</v>
      </c>
      <c r="G91" s="319" t="s">
        <v>4349</v>
      </c>
      <c r="H91" s="84"/>
      <c r="I91" s="38">
        <f>SUMIFS(Mov!$J:$J,Mov!$E:$E,A91)</f>
        <v>0</v>
      </c>
      <c r="J91" s="38">
        <f>-SUMIF(Bce!A:A,A91,Bce!J:J)</f>
        <v>0</v>
      </c>
      <c r="K91" s="38"/>
      <c r="L91" s="38">
        <f>-SUMIF(BceAnt!A:A,A91,BceAnt!J:J)</f>
        <v>0</v>
      </c>
      <c r="M91" s="38"/>
      <c r="N91" s="38"/>
      <c r="O91" s="38"/>
      <c r="P91" s="38"/>
      <c r="Q91" s="38"/>
      <c r="R91" s="38"/>
      <c r="S91" s="38"/>
      <c r="T91" s="38"/>
    </row>
    <row r="92" spans="1:20" ht="45">
      <c r="A92" s="39">
        <v>23651501</v>
      </c>
      <c r="B92" s="39"/>
      <c r="C92" s="33" t="s">
        <v>4351</v>
      </c>
      <c r="D92" s="33" t="s">
        <v>4347</v>
      </c>
      <c r="E92" s="37" t="s">
        <v>4352</v>
      </c>
      <c r="F92" s="319" t="s">
        <v>4349</v>
      </c>
      <c r="G92" s="319" t="s">
        <v>4349</v>
      </c>
      <c r="H92" s="84"/>
      <c r="I92" s="38">
        <f>SUMIFS(Mov!$J:$J,Mov!$E:$E,A92)</f>
        <v>0</v>
      </c>
      <c r="J92" s="38">
        <f>-SUMIF(Bce!A:A,A92,Bce!J:J)</f>
        <v>0</v>
      </c>
      <c r="K92" s="38"/>
      <c r="L92" s="38">
        <f>-SUMIF(BceAnt!A:A,A92,BceAnt!J:J)</f>
        <v>0</v>
      </c>
      <c r="M92" s="38"/>
      <c r="N92" s="38"/>
      <c r="O92" s="38"/>
      <c r="P92" s="38"/>
      <c r="Q92" s="38"/>
      <c r="R92" s="38"/>
      <c r="S92" s="38"/>
      <c r="T92" s="38"/>
    </row>
    <row r="93" spans="1:20" ht="45">
      <c r="A93" s="39">
        <v>23651502</v>
      </c>
      <c r="B93" s="39"/>
      <c r="C93" s="33" t="s">
        <v>4351</v>
      </c>
      <c r="D93" s="33" t="s">
        <v>4347</v>
      </c>
      <c r="E93" s="37" t="s">
        <v>4352</v>
      </c>
      <c r="F93" s="319" t="s">
        <v>4349</v>
      </c>
      <c r="G93" s="319" t="s">
        <v>4349</v>
      </c>
      <c r="H93" s="84"/>
      <c r="I93" s="38">
        <f>SUMIFS(Mov!$J:$J,Mov!$E:$E,A93)</f>
        <v>0</v>
      </c>
      <c r="J93" s="38">
        <f>-SUMIF(Bce!A:A,A93,Bce!J:J)</f>
        <v>0</v>
      </c>
      <c r="K93" s="38"/>
      <c r="L93" s="38">
        <f>-SUMIF(BceAnt!A:A,A93,BceAnt!J:J)</f>
        <v>0</v>
      </c>
      <c r="M93" s="38"/>
      <c r="N93" s="38"/>
      <c r="O93" s="38"/>
      <c r="P93" s="38"/>
      <c r="Q93" s="38"/>
      <c r="R93" s="38"/>
      <c r="S93" s="38"/>
      <c r="T93" s="38"/>
    </row>
    <row r="94" spans="1:20" ht="45">
      <c r="A94" s="39">
        <v>23652002</v>
      </c>
      <c r="B94" s="39"/>
      <c r="C94" s="33" t="s">
        <v>4351</v>
      </c>
      <c r="D94" s="33" t="s">
        <v>4347</v>
      </c>
      <c r="E94" s="37" t="s">
        <v>4352</v>
      </c>
      <c r="F94" s="319" t="s">
        <v>4349</v>
      </c>
      <c r="G94" s="319" t="s">
        <v>4349</v>
      </c>
      <c r="H94" s="84"/>
      <c r="I94" s="38">
        <f>SUMIFS(Mov!$J:$J,Mov!$E:$E,A94)</f>
        <v>0</v>
      </c>
      <c r="J94" s="38">
        <f>-SUMIF(Bce!A:A,A94,Bce!J:J)</f>
        <v>0</v>
      </c>
      <c r="K94" s="38"/>
      <c r="L94" s="38">
        <f>-SUMIF(BceAnt!A:A,A94,BceAnt!J:J)</f>
        <v>0</v>
      </c>
      <c r="M94" s="38"/>
      <c r="N94" s="38"/>
      <c r="O94" s="38"/>
      <c r="P94" s="38"/>
      <c r="Q94" s="38"/>
      <c r="R94" s="38"/>
      <c r="S94" s="38"/>
      <c r="T94" s="38"/>
    </row>
    <row r="95" spans="1:20" ht="45">
      <c r="A95" s="39">
        <v>23652501</v>
      </c>
      <c r="B95" s="39"/>
      <c r="C95" s="33" t="s">
        <v>4351</v>
      </c>
      <c r="D95" s="33" t="s">
        <v>4347</v>
      </c>
      <c r="E95" s="37" t="s">
        <v>4352</v>
      </c>
      <c r="F95" s="319" t="s">
        <v>4349</v>
      </c>
      <c r="G95" s="319" t="s">
        <v>4349</v>
      </c>
      <c r="H95" s="84"/>
      <c r="I95" s="38">
        <f>SUMIFS(Mov!$J:$J,Mov!$E:$E,A95)</f>
        <v>0</v>
      </c>
      <c r="J95" s="38">
        <f>-SUMIF(Bce!A:A,A95,Bce!J:J)</f>
        <v>0</v>
      </c>
      <c r="K95" s="38"/>
      <c r="L95" s="38">
        <f>-SUMIF(BceAnt!A:A,A95,BceAnt!J:J)</f>
        <v>0</v>
      </c>
      <c r="M95" s="38"/>
      <c r="N95" s="38"/>
      <c r="O95" s="38"/>
      <c r="P95" s="38"/>
      <c r="Q95" s="38"/>
      <c r="R95" s="38"/>
      <c r="S95" s="38"/>
      <c r="T95" s="38"/>
    </row>
    <row r="96" spans="1:20" ht="45">
      <c r="A96" s="39">
        <v>23652502</v>
      </c>
      <c r="B96" s="39"/>
      <c r="C96" s="33" t="s">
        <v>4351</v>
      </c>
      <c r="D96" s="33" t="s">
        <v>4347</v>
      </c>
      <c r="E96" s="37" t="s">
        <v>4352</v>
      </c>
      <c r="F96" s="319" t="s">
        <v>4349</v>
      </c>
      <c r="G96" s="319" t="s">
        <v>4349</v>
      </c>
      <c r="H96" s="84"/>
      <c r="I96" s="38">
        <f>SUMIFS(Mov!$J:$J,Mov!$E:$E,A96)</f>
        <v>0</v>
      </c>
      <c r="J96" s="38">
        <f>-SUMIF(Bce!A:A,A96,Bce!J:J)</f>
        <v>0</v>
      </c>
      <c r="K96" s="38"/>
      <c r="L96" s="38">
        <f>-SUMIF(BceAnt!A:A,A96,BceAnt!J:J)</f>
        <v>0</v>
      </c>
      <c r="M96" s="38"/>
      <c r="N96" s="38"/>
      <c r="O96" s="38"/>
      <c r="P96" s="38"/>
      <c r="Q96" s="38"/>
      <c r="R96" s="38"/>
      <c r="S96" s="38"/>
      <c r="T96" s="38"/>
    </row>
    <row r="97" spans="1:20" ht="45">
      <c r="A97" s="39">
        <v>23652503</v>
      </c>
      <c r="B97" s="39"/>
      <c r="C97" s="33" t="s">
        <v>4351</v>
      </c>
      <c r="D97" s="33" t="s">
        <v>4347</v>
      </c>
      <c r="E97" s="37" t="s">
        <v>4352</v>
      </c>
      <c r="F97" s="319" t="s">
        <v>4349</v>
      </c>
      <c r="G97" s="319" t="s">
        <v>4349</v>
      </c>
      <c r="H97" s="84"/>
      <c r="I97" s="38">
        <f>SUMIFS(Mov!$J:$J,Mov!$E:$E,A97)</f>
        <v>0</v>
      </c>
      <c r="J97" s="38">
        <f>-SUMIF(Bce!A:A,A97,Bce!J:J)</f>
        <v>0</v>
      </c>
      <c r="K97" s="38"/>
      <c r="L97" s="38">
        <f>-SUMIF(BceAnt!A:A,A97,BceAnt!J:J)</f>
        <v>0</v>
      </c>
      <c r="M97" s="38"/>
      <c r="N97" s="38"/>
      <c r="O97" s="38"/>
      <c r="P97" s="38"/>
      <c r="Q97" s="38"/>
      <c r="R97" s="38"/>
      <c r="S97" s="38"/>
      <c r="T97" s="38"/>
    </row>
    <row r="98" spans="1:20" ht="45">
      <c r="A98" s="39">
        <v>23652504</v>
      </c>
      <c r="B98" s="39"/>
      <c r="C98" s="33" t="s">
        <v>4351</v>
      </c>
      <c r="D98" s="33" t="s">
        <v>4347</v>
      </c>
      <c r="E98" s="37" t="s">
        <v>4352</v>
      </c>
      <c r="F98" s="319" t="s">
        <v>4349</v>
      </c>
      <c r="G98" s="319" t="s">
        <v>4349</v>
      </c>
      <c r="H98" s="84"/>
      <c r="I98" s="38">
        <f>SUMIFS(Mov!$J:$J,Mov!$E:$E,A98)</f>
        <v>0</v>
      </c>
      <c r="J98" s="38">
        <f>-SUMIF(Bce!A:A,A98,Bce!J:J)</f>
        <v>0</v>
      </c>
      <c r="K98" s="38"/>
      <c r="L98" s="38">
        <f>-SUMIF(BceAnt!A:A,A98,BceAnt!J:J)</f>
        <v>0</v>
      </c>
      <c r="M98" s="38"/>
      <c r="N98" s="38"/>
      <c r="O98" s="38"/>
      <c r="P98" s="38"/>
      <c r="Q98" s="38"/>
      <c r="R98" s="38"/>
      <c r="S98" s="38"/>
      <c r="T98" s="38"/>
    </row>
    <row r="99" spans="1:20" ht="45">
      <c r="A99" s="39">
        <v>23653001</v>
      </c>
      <c r="B99" s="39"/>
      <c r="C99" s="33" t="s">
        <v>4351</v>
      </c>
      <c r="D99" s="33" t="s">
        <v>4347</v>
      </c>
      <c r="E99" s="37" t="s">
        <v>4352</v>
      </c>
      <c r="F99" s="319" t="s">
        <v>4349</v>
      </c>
      <c r="G99" s="319" t="s">
        <v>4349</v>
      </c>
      <c r="H99" s="84"/>
      <c r="I99" s="38">
        <f>SUMIFS(Mov!$J:$J,Mov!$E:$E,A99)</f>
        <v>0</v>
      </c>
      <c r="J99" s="38">
        <f>-SUMIF(Bce!A:A,A99,Bce!J:J)</f>
        <v>0</v>
      </c>
      <c r="K99" s="38"/>
      <c r="L99" s="38">
        <f>-SUMIF(BceAnt!A:A,A99,BceAnt!J:J)</f>
        <v>0</v>
      </c>
      <c r="M99" s="38"/>
      <c r="N99" s="38"/>
      <c r="O99" s="38"/>
      <c r="P99" s="38"/>
      <c r="Q99" s="38"/>
      <c r="R99" s="38"/>
      <c r="S99" s="38"/>
      <c r="T99" s="38"/>
    </row>
    <row r="100" spans="1:20" ht="45">
      <c r="A100" s="39">
        <v>23653002</v>
      </c>
      <c r="B100" s="39"/>
      <c r="C100" s="33" t="s">
        <v>4351</v>
      </c>
      <c r="D100" s="33" t="s">
        <v>4347</v>
      </c>
      <c r="E100" s="37" t="s">
        <v>4352</v>
      </c>
      <c r="F100" s="319" t="s">
        <v>4349</v>
      </c>
      <c r="G100" s="319" t="s">
        <v>4349</v>
      </c>
      <c r="H100" s="84"/>
      <c r="I100" s="38">
        <f>SUMIFS(Mov!$J:$J,Mov!$E:$E,A100)</f>
        <v>0</v>
      </c>
      <c r="J100" s="38">
        <f>-SUMIF(Bce!A:A,A100,Bce!J:J)</f>
        <v>0</v>
      </c>
      <c r="K100" s="38"/>
      <c r="L100" s="38">
        <f>-SUMIF(BceAnt!A:A,A100,BceAnt!J:J)</f>
        <v>0</v>
      </c>
      <c r="M100" s="38"/>
      <c r="N100" s="38"/>
      <c r="O100" s="38"/>
      <c r="P100" s="38"/>
      <c r="Q100" s="38"/>
      <c r="R100" s="38"/>
      <c r="S100" s="38"/>
      <c r="T100" s="38"/>
    </row>
    <row r="101" spans="1:20" ht="45">
      <c r="A101" s="39">
        <v>23654001</v>
      </c>
      <c r="B101" s="39"/>
      <c r="C101" s="33" t="s">
        <v>4351</v>
      </c>
      <c r="D101" s="33" t="s">
        <v>4347</v>
      </c>
      <c r="E101" s="37" t="s">
        <v>4352</v>
      </c>
      <c r="F101" s="319" t="s">
        <v>4349</v>
      </c>
      <c r="G101" s="319" t="s">
        <v>4349</v>
      </c>
      <c r="H101" s="84"/>
      <c r="I101" s="38">
        <f>SUMIFS(Mov!$J:$J,Mov!$E:$E,A101)</f>
        <v>0</v>
      </c>
      <c r="J101" s="38">
        <f>-SUMIF(Bce!A:A,A101,Bce!J:J)</f>
        <v>0</v>
      </c>
      <c r="K101" s="38"/>
      <c r="L101" s="38">
        <f>-SUMIF(BceAnt!A:A,A101,BceAnt!J:J)</f>
        <v>0</v>
      </c>
      <c r="M101" s="38"/>
      <c r="N101" s="38"/>
      <c r="O101" s="38"/>
      <c r="P101" s="38"/>
      <c r="Q101" s="38"/>
      <c r="R101" s="38"/>
      <c r="S101" s="38"/>
      <c r="T101" s="38"/>
    </row>
    <row r="102" spans="1:20" ht="45">
      <c r="A102" s="39">
        <v>23655001</v>
      </c>
      <c r="B102" s="39"/>
      <c r="C102" s="33" t="s">
        <v>4351</v>
      </c>
      <c r="D102" s="33" t="s">
        <v>4347</v>
      </c>
      <c r="E102" s="37" t="s">
        <v>4352</v>
      </c>
      <c r="F102" s="319" t="s">
        <v>4349</v>
      </c>
      <c r="G102" s="319" t="s">
        <v>4349</v>
      </c>
      <c r="H102" s="84"/>
      <c r="I102" s="38">
        <f>SUMIFS(Mov!$J:$J,Mov!$E:$E,A102)</f>
        <v>0</v>
      </c>
      <c r="J102" s="38">
        <f>-SUMIF(Bce!A:A,A102,Bce!J:J)</f>
        <v>0</v>
      </c>
      <c r="K102" s="38"/>
      <c r="L102" s="38">
        <f>-SUMIF(BceAnt!A:A,A102,BceAnt!J:J)</f>
        <v>0</v>
      </c>
      <c r="M102" s="38"/>
      <c r="N102" s="38"/>
      <c r="O102" s="38"/>
      <c r="P102" s="38"/>
      <c r="Q102" s="38"/>
      <c r="R102" s="38"/>
      <c r="S102" s="38"/>
      <c r="T102" s="38"/>
    </row>
    <row r="103" spans="1:20" ht="45">
      <c r="A103" s="39">
        <v>23657001</v>
      </c>
      <c r="B103" s="39" t="s">
        <v>641</v>
      </c>
      <c r="C103" s="33" t="s">
        <v>4351</v>
      </c>
      <c r="D103" s="33" t="s">
        <v>4347</v>
      </c>
      <c r="E103" s="37" t="s">
        <v>4352</v>
      </c>
      <c r="F103" s="319" t="s">
        <v>4349</v>
      </c>
      <c r="G103" s="319" t="s">
        <v>4349</v>
      </c>
      <c r="H103" s="84"/>
      <c r="I103" s="38">
        <f>SUMIFS(Mov!$J:$J,Mov!$E:$E,A103)</f>
        <v>0</v>
      </c>
      <c r="J103" s="38">
        <f>-SUMIF(Bce!A:A,A103,Bce!J:J)</f>
        <v>0</v>
      </c>
      <c r="K103" s="38"/>
      <c r="L103" s="38">
        <f>-SUMIF(BceAnt!A:A,A103,BceAnt!J:J)</f>
        <v>0</v>
      </c>
      <c r="M103" s="38"/>
      <c r="N103" s="38"/>
      <c r="O103" s="38"/>
      <c r="P103" s="38"/>
      <c r="Q103" s="38"/>
      <c r="R103" s="38"/>
      <c r="S103" s="38"/>
      <c r="T103" s="38"/>
    </row>
    <row r="104" spans="1:20" ht="45">
      <c r="A104" s="39">
        <v>23657501</v>
      </c>
      <c r="B104" s="39" t="s">
        <v>646</v>
      </c>
      <c r="C104" s="33" t="s">
        <v>4351</v>
      </c>
      <c r="D104" s="33" t="s">
        <v>4347</v>
      </c>
      <c r="E104" s="37" t="s">
        <v>4352</v>
      </c>
      <c r="F104" s="319" t="s">
        <v>4349</v>
      </c>
      <c r="G104" s="319" t="s">
        <v>4349</v>
      </c>
      <c r="H104" s="84"/>
      <c r="I104" s="38">
        <f>SUMIFS(Mov!$J:$J,Mov!$E:$E,A104)</f>
        <v>0</v>
      </c>
      <c r="J104" s="38">
        <f>-SUMIF(Bce!A:A,A104,Bce!J:J)</f>
        <v>0</v>
      </c>
      <c r="K104" s="38"/>
      <c r="L104" s="38">
        <f>-SUMIF(BceAnt!A:A,A104,BceAnt!J:J)</f>
        <v>0</v>
      </c>
      <c r="M104" s="38"/>
      <c r="N104" s="38"/>
      <c r="O104" s="38"/>
      <c r="P104" s="38"/>
      <c r="Q104" s="38"/>
      <c r="R104" s="38"/>
      <c r="S104" s="38"/>
      <c r="T104" s="38"/>
    </row>
    <row r="105" spans="1:20" ht="45">
      <c r="A105" s="39">
        <v>23657502</v>
      </c>
      <c r="B105" s="39" t="s">
        <v>4353</v>
      </c>
      <c r="C105" s="33" t="s">
        <v>4351</v>
      </c>
      <c r="D105" s="33" t="s">
        <v>4347</v>
      </c>
      <c r="E105" s="37" t="s">
        <v>4352</v>
      </c>
      <c r="F105" s="319" t="s">
        <v>4349</v>
      </c>
      <c r="G105" s="319" t="s">
        <v>4349</v>
      </c>
      <c r="H105" s="84"/>
      <c r="I105" s="38">
        <f>SUMIFS(Mov!$J:$J,Mov!$E:$E,A105)</f>
        <v>0</v>
      </c>
      <c r="J105" s="38">
        <f>-SUMIF(Bce!A:A,A105,Bce!J:J)</f>
        <v>0</v>
      </c>
      <c r="K105" s="38"/>
      <c r="L105" s="38">
        <f>-SUMIF(BceAnt!A:A,A105,BceAnt!J:J)</f>
        <v>0</v>
      </c>
      <c r="M105" s="38"/>
      <c r="N105" s="38"/>
      <c r="O105" s="38"/>
      <c r="P105" s="38"/>
      <c r="Q105" s="38"/>
      <c r="R105" s="38"/>
      <c r="S105" s="38"/>
      <c r="T105" s="38"/>
    </row>
    <row r="106" spans="1:20" ht="45">
      <c r="A106" s="39">
        <v>236595</v>
      </c>
      <c r="B106" s="39"/>
      <c r="C106" s="33" t="s">
        <v>4351</v>
      </c>
      <c r="D106" s="33" t="s">
        <v>4347</v>
      </c>
      <c r="E106" s="37" t="s">
        <v>4352</v>
      </c>
      <c r="F106" s="319" t="s">
        <v>4349</v>
      </c>
      <c r="G106" s="319" t="s">
        <v>4349</v>
      </c>
      <c r="H106" s="84"/>
      <c r="I106" s="38">
        <f>SUMIFS(Mov!$J:$J,Mov!$E:$E,A106)</f>
        <v>484000</v>
      </c>
      <c r="J106" s="38">
        <f>-SUMIF(Bce!A:A,A106,Bce!J:J)</f>
        <v>-679000</v>
      </c>
      <c r="K106" s="38"/>
      <c r="L106" s="38">
        <f>-SUMIF(BceAnt!A:A,A106,BceAnt!J:J)</f>
        <v>-1163000</v>
      </c>
      <c r="M106" s="38"/>
      <c r="N106" s="38"/>
      <c r="O106" s="38"/>
      <c r="P106" s="38"/>
      <c r="Q106" s="38"/>
      <c r="R106" s="38"/>
      <c r="S106" s="38"/>
      <c r="T106" s="38"/>
    </row>
    <row r="107" spans="1:20" ht="45">
      <c r="A107" s="39">
        <v>23670101</v>
      </c>
      <c r="B107" s="39"/>
      <c r="C107" s="33" t="s">
        <v>4351</v>
      </c>
      <c r="D107" s="33" t="s">
        <v>4347</v>
      </c>
      <c r="E107" s="37" t="s">
        <v>4352</v>
      </c>
      <c r="F107" s="319" t="s">
        <v>4349</v>
      </c>
      <c r="G107" s="319" t="s">
        <v>4349</v>
      </c>
      <c r="H107" s="84"/>
      <c r="I107" s="38">
        <f>SUMIFS(Mov!$J:$J,Mov!$E:$E,A107)</f>
        <v>179170</v>
      </c>
      <c r="J107" s="38">
        <f>-SUMIF(Bce!A:A,A107,Bce!J:J)</f>
        <v>0</v>
      </c>
      <c r="K107" s="38"/>
      <c r="L107" s="38">
        <f>-SUMIF(BceAnt!A:A,A107,BceAnt!J:J)</f>
        <v>-179170</v>
      </c>
      <c r="M107" s="38"/>
      <c r="N107" s="38"/>
      <c r="O107" s="38"/>
      <c r="P107" s="38"/>
      <c r="Q107" s="38"/>
      <c r="R107" s="38"/>
      <c r="S107" s="38"/>
      <c r="T107" s="38"/>
    </row>
    <row r="108" spans="1:20" ht="45">
      <c r="A108" s="39">
        <v>23680502</v>
      </c>
      <c r="B108" s="39"/>
      <c r="C108" s="33" t="s">
        <v>4351</v>
      </c>
      <c r="D108" s="33" t="s">
        <v>4347</v>
      </c>
      <c r="E108" s="37" t="s">
        <v>4352</v>
      </c>
      <c r="F108" s="319" t="s">
        <v>4349</v>
      </c>
      <c r="G108" s="319" t="s">
        <v>4349</v>
      </c>
      <c r="H108" s="84"/>
      <c r="I108" s="38">
        <f>SUMIFS(Mov!$J:$J,Mov!$E:$E,A108)</f>
        <v>0</v>
      </c>
      <c r="J108" s="38">
        <f>-SUMIF(Bce!A:A,A108,Bce!J:J)</f>
        <v>0</v>
      </c>
      <c r="K108" s="38"/>
      <c r="L108" s="38">
        <f>-SUMIF(BceAnt!A:A,A108,BceAnt!J:J)</f>
        <v>0</v>
      </c>
      <c r="M108" s="38"/>
      <c r="N108" s="38"/>
      <c r="O108" s="38"/>
      <c r="P108" s="38"/>
      <c r="Q108" s="38"/>
      <c r="R108" s="38"/>
      <c r="S108" s="38"/>
      <c r="T108" s="38"/>
    </row>
    <row r="109" spans="1:20" ht="45">
      <c r="A109" s="39">
        <v>23680503</v>
      </c>
      <c r="B109" s="39"/>
      <c r="C109" s="33" t="s">
        <v>4351</v>
      </c>
      <c r="D109" s="33" t="s">
        <v>4347</v>
      </c>
      <c r="E109" s="37" t="s">
        <v>4352</v>
      </c>
      <c r="F109" s="319" t="s">
        <v>4349</v>
      </c>
      <c r="G109" s="319" t="s">
        <v>4349</v>
      </c>
      <c r="H109" s="84"/>
      <c r="I109" s="38">
        <f>SUMIFS(Mov!$J:$J,Mov!$E:$E,A109)</f>
        <v>0</v>
      </c>
      <c r="J109" s="38">
        <f>-SUMIF(Bce!A:A,A109,Bce!J:J)</f>
        <v>0</v>
      </c>
      <c r="K109" s="38"/>
      <c r="L109" s="38">
        <f>-SUMIF(BceAnt!A:A,A109,BceAnt!J:J)</f>
        <v>0</v>
      </c>
      <c r="M109" s="38"/>
      <c r="N109" s="38"/>
      <c r="O109" s="38"/>
      <c r="P109" s="38"/>
      <c r="Q109" s="38"/>
      <c r="R109" s="38"/>
      <c r="S109" s="38"/>
      <c r="T109" s="38"/>
    </row>
    <row r="110" spans="1:20" ht="45">
      <c r="A110" s="39">
        <v>23680504</v>
      </c>
      <c r="B110" s="39"/>
      <c r="C110" s="33" t="s">
        <v>4351</v>
      </c>
      <c r="D110" s="33" t="s">
        <v>4347</v>
      </c>
      <c r="E110" s="37" t="s">
        <v>4352</v>
      </c>
      <c r="F110" s="319" t="s">
        <v>4349</v>
      </c>
      <c r="G110" s="319" t="s">
        <v>4349</v>
      </c>
      <c r="H110" s="84"/>
      <c r="I110" s="38">
        <f>SUMIFS(Mov!$J:$J,Mov!$E:$E,A110)</f>
        <v>0</v>
      </c>
      <c r="J110" s="38">
        <f>-SUMIF(Bce!A:A,A110,Bce!J:J)</f>
        <v>0</v>
      </c>
      <c r="K110" s="38"/>
      <c r="L110" s="38">
        <f>-SUMIF(BceAnt!A:A,A110,BceAnt!J:J)</f>
        <v>0</v>
      </c>
      <c r="M110" s="38"/>
      <c r="N110" s="38"/>
      <c r="O110" s="38"/>
      <c r="P110" s="38"/>
      <c r="Q110" s="38"/>
      <c r="R110" s="38"/>
      <c r="S110" s="38"/>
      <c r="T110" s="38"/>
    </row>
    <row r="111" spans="1:20" ht="45">
      <c r="A111" s="39">
        <v>23680505</v>
      </c>
      <c r="B111" s="39"/>
      <c r="C111" s="33" t="s">
        <v>4351</v>
      </c>
      <c r="D111" s="33" t="s">
        <v>4347</v>
      </c>
      <c r="E111" s="37" t="s">
        <v>4352</v>
      </c>
      <c r="F111" s="319" t="s">
        <v>4349</v>
      </c>
      <c r="G111" s="319" t="s">
        <v>4349</v>
      </c>
      <c r="H111" s="84"/>
      <c r="I111" s="38">
        <f>SUMIFS(Mov!$J:$J,Mov!$E:$E,A111)</f>
        <v>0</v>
      </c>
      <c r="J111" s="38">
        <f>-SUMIF(Bce!A:A,A111,Bce!J:J)</f>
        <v>0</v>
      </c>
      <c r="K111" s="38"/>
      <c r="L111" s="38">
        <f>-SUMIF(BceAnt!A:A,A111,BceAnt!J:J)</f>
        <v>0</v>
      </c>
      <c r="M111" s="38"/>
      <c r="N111" s="38"/>
      <c r="O111" s="38"/>
      <c r="P111" s="38"/>
      <c r="Q111" s="38"/>
      <c r="R111" s="38"/>
      <c r="S111" s="38"/>
      <c r="T111" s="38"/>
    </row>
    <row r="112" spans="1:20" ht="45">
      <c r="A112" s="39">
        <v>236890</v>
      </c>
      <c r="B112" s="39" t="s">
        <v>4354</v>
      </c>
      <c r="C112" s="33" t="s">
        <v>4351</v>
      </c>
      <c r="D112" s="33" t="s">
        <v>4347</v>
      </c>
      <c r="E112" s="37" t="s">
        <v>4352</v>
      </c>
      <c r="F112" s="319" t="s">
        <v>4349</v>
      </c>
      <c r="G112" s="319" t="s">
        <v>4349</v>
      </c>
      <c r="H112" s="84"/>
      <c r="I112" s="38">
        <f>SUMIFS(Mov!$J:$J,Mov!$E:$E,A112)</f>
        <v>2330000</v>
      </c>
      <c r="J112" s="38">
        <f>-SUMIF(Bce!A:A,A112,Bce!J:J)</f>
        <v>-382000</v>
      </c>
      <c r="K112" s="38"/>
      <c r="L112" s="38">
        <f>-SUMIF(BceAnt!A:A,A112,BceAnt!J:J)</f>
        <v>-2712000</v>
      </c>
      <c r="M112" s="38"/>
      <c r="N112" s="38"/>
      <c r="O112" s="38"/>
      <c r="P112" s="38"/>
      <c r="Q112" s="38"/>
      <c r="R112" s="38"/>
      <c r="S112" s="38"/>
      <c r="T112" s="38"/>
    </row>
    <row r="113" spans="1:20" ht="45">
      <c r="A113" s="39">
        <v>237005</v>
      </c>
      <c r="B113" s="39" t="s">
        <v>4355</v>
      </c>
      <c r="C113" s="33" t="s">
        <v>4356</v>
      </c>
      <c r="D113" s="33" t="s">
        <v>4347</v>
      </c>
      <c r="E113" s="37" t="s">
        <v>4344</v>
      </c>
      <c r="F113" s="319" t="s">
        <v>4349</v>
      </c>
      <c r="G113" s="319" t="s">
        <v>4349</v>
      </c>
      <c r="H113" s="84"/>
      <c r="I113" s="38">
        <f>SUMIFS(Mov!$J:$J,Mov!$E:$E,A113)</f>
        <v>0</v>
      </c>
      <c r="J113" s="38">
        <f>-SUMIF(Bce!A:A,A113,Bce!J:J)</f>
        <v>0</v>
      </c>
      <c r="K113" s="38"/>
      <c r="L113" s="38">
        <f>-SUMIF(BceAnt!A:A,A113,BceAnt!J:J)</f>
        <v>0</v>
      </c>
      <c r="M113" s="38"/>
      <c r="N113" s="38"/>
      <c r="O113" s="38"/>
      <c r="P113" s="38"/>
      <c r="Q113" s="38"/>
      <c r="R113" s="38"/>
      <c r="S113" s="38"/>
      <c r="T113" s="38"/>
    </row>
    <row r="114" spans="1:20" ht="45">
      <c r="A114" s="39">
        <v>237006</v>
      </c>
      <c r="B114" s="39" t="s">
        <v>680</v>
      </c>
      <c r="C114" s="33" t="s">
        <v>4356</v>
      </c>
      <c r="D114" s="33" t="s">
        <v>4347</v>
      </c>
      <c r="E114" s="37" t="s">
        <v>4344</v>
      </c>
      <c r="F114" s="319" t="s">
        <v>4349</v>
      </c>
      <c r="G114" s="319" t="s">
        <v>4349</v>
      </c>
      <c r="H114" s="84"/>
      <c r="I114" s="38">
        <f>SUMIFS(Mov!$J:$J,Mov!$E:$E,A114)</f>
        <v>0</v>
      </c>
      <c r="J114" s="38">
        <f>-SUMIF(Bce!A:A,A114,Bce!J:J)</f>
        <v>0</v>
      </c>
      <c r="K114" s="38"/>
      <c r="L114" s="38">
        <f>-SUMIF(BceAnt!A:A,A114,BceAnt!J:J)</f>
        <v>0</v>
      </c>
      <c r="M114" s="38"/>
      <c r="N114" s="38"/>
      <c r="O114" s="38"/>
      <c r="P114" s="38"/>
      <c r="Q114" s="38"/>
      <c r="R114" s="38"/>
      <c r="S114" s="38"/>
      <c r="T114" s="38"/>
    </row>
    <row r="115" spans="1:20" ht="45">
      <c r="A115" s="39">
        <v>237010</v>
      </c>
      <c r="B115" s="39" t="s">
        <v>4357</v>
      </c>
      <c r="C115" s="33" t="s">
        <v>4356</v>
      </c>
      <c r="D115" s="33" t="s">
        <v>4347</v>
      </c>
      <c r="E115" s="37" t="s">
        <v>4344</v>
      </c>
      <c r="F115" s="319" t="s">
        <v>4349</v>
      </c>
      <c r="G115" s="319" t="s">
        <v>4349</v>
      </c>
      <c r="H115" s="84"/>
      <c r="I115" s="38">
        <f>SUMIFS(Mov!$J:$J,Mov!$E:$E,A115)</f>
        <v>0</v>
      </c>
      <c r="J115" s="38">
        <f>-SUMIF(Bce!A:A,A115,Bce!J:J)</f>
        <v>0</v>
      </c>
      <c r="K115" s="38"/>
      <c r="L115" s="38">
        <f>-SUMIF(BceAnt!A:A,A115,BceAnt!J:J)</f>
        <v>0</v>
      </c>
      <c r="M115" s="38"/>
      <c r="N115" s="38"/>
      <c r="O115" s="38"/>
      <c r="P115" s="38"/>
      <c r="Q115" s="38"/>
      <c r="R115" s="38"/>
      <c r="S115" s="38"/>
      <c r="T115" s="38"/>
    </row>
    <row r="116" spans="1:20" ht="45">
      <c r="A116" s="39">
        <v>237045</v>
      </c>
      <c r="B116" s="39" t="s">
        <v>4358</v>
      </c>
      <c r="C116" s="33" t="s">
        <v>4356</v>
      </c>
      <c r="D116" s="33" t="s">
        <v>4347</v>
      </c>
      <c r="E116" s="37" t="s">
        <v>4344</v>
      </c>
      <c r="F116" s="319" t="s">
        <v>4349</v>
      </c>
      <c r="G116" s="319" t="s">
        <v>4349</v>
      </c>
      <c r="H116" s="84"/>
      <c r="I116" s="38">
        <f>SUMIFS(Mov!$J:$J,Mov!$E:$E,A116)</f>
        <v>0</v>
      </c>
      <c r="J116" s="38">
        <f>-SUMIF(Bce!A:A,A116,Bce!J:J)</f>
        <v>0</v>
      </c>
      <c r="K116" s="38"/>
      <c r="L116" s="38">
        <f>-SUMIF(BceAnt!A:A,A116,BceAnt!J:J)</f>
        <v>0</v>
      </c>
      <c r="M116" s="38"/>
      <c r="N116" s="38"/>
      <c r="O116" s="38"/>
      <c r="P116" s="38"/>
      <c r="Q116" s="38"/>
      <c r="R116" s="38"/>
      <c r="S116" s="38"/>
      <c r="T116" s="38"/>
    </row>
    <row r="117" spans="1:20" ht="45">
      <c r="A117" s="39">
        <v>237095</v>
      </c>
      <c r="B117" s="39" t="s">
        <v>4359</v>
      </c>
      <c r="C117" s="33" t="s">
        <v>4356</v>
      </c>
      <c r="D117" s="33" t="s">
        <v>4347</v>
      </c>
      <c r="E117" s="37" t="s">
        <v>4344</v>
      </c>
      <c r="F117" s="319" t="s">
        <v>4349</v>
      </c>
      <c r="G117" s="319" t="s">
        <v>4349</v>
      </c>
      <c r="H117" s="84"/>
      <c r="I117" s="38">
        <f>SUMIFS(Mov!$J:$J,Mov!$E:$E,A117)</f>
        <v>0</v>
      </c>
      <c r="J117" s="38">
        <f>-SUMIF(Bce!A:A,A117,Bce!J:J)</f>
        <v>0</v>
      </c>
      <c r="K117" s="38"/>
      <c r="L117" s="38">
        <f>-SUMIF(BceAnt!A:A,A117,BceAnt!J:J)</f>
        <v>0</v>
      </c>
      <c r="M117" s="38"/>
      <c r="N117" s="38"/>
      <c r="O117" s="38"/>
      <c r="P117" s="38"/>
      <c r="Q117" s="38"/>
      <c r="R117" s="38"/>
      <c r="S117" s="38"/>
      <c r="T117" s="38"/>
    </row>
    <row r="118" spans="1:20" ht="45">
      <c r="A118" s="39">
        <v>237505</v>
      </c>
      <c r="B118" s="39" t="s">
        <v>4360</v>
      </c>
      <c r="C118" s="33" t="s">
        <v>4351</v>
      </c>
      <c r="D118" s="33" t="s">
        <v>4347</v>
      </c>
      <c r="E118" s="37" t="s">
        <v>4352</v>
      </c>
      <c r="F118" s="319" t="s">
        <v>4349</v>
      </c>
      <c r="G118" s="319" t="s">
        <v>4349</v>
      </c>
      <c r="H118" s="84"/>
      <c r="I118" s="38">
        <f>SUMIFS(Mov!$J:$J,Mov!$E:$E,A118)</f>
        <v>0</v>
      </c>
      <c r="J118" s="38">
        <f>-SUMIF(Bce!A:A,A118,Bce!J:J)</f>
        <v>0</v>
      </c>
      <c r="K118" s="38"/>
      <c r="L118" s="38">
        <f>-SUMIF(BceAnt!A:A,A118,BceAnt!J:J)</f>
        <v>0</v>
      </c>
      <c r="M118" s="38"/>
      <c r="N118" s="38"/>
      <c r="O118" s="38"/>
      <c r="P118" s="38"/>
      <c r="Q118" s="38"/>
      <c r="R118" s="38"/>
      <c r="S118" s="38"/>
      <c r="T118" s="38"/>
    </row>
    <row r="119" spans="1:20" ht="45">
      <c r="A119" s="39">
        <v>238030</v>
      </c>
      <c r="B119" s="39" t="s">
        <v>4361</v>
      </c>
      <c r="C119" s="33" t="s">
        <v>4351</v>
      </c>
      <c r="D119" s="33" t="s">
        <v>4347</v>
      </c>
      <c r="E119" s="37" t="s">
        <v>4344</v>
      </c>
      <c r="F119" s="319" t="s">
        <v>4349</v>
      </c>
      <c r="G119" s="319" t="s">
        <v>4349</v>
      </c>
      <c r="H119" s="84"/>
      <c r="I119" s="38">
        <f>SUMIFS(Mov!$J:$J,Mov!$E:$E,A119)</f>
        <v>0</v>
      </c>
      <c r="J119" s="38">
        <f>-SUMIF(Bce!A:A,A119,Bce!J:J)</f>
        <v>0</v>
      </c>
      <c r="K119" s="38"/>
      <c r="L119" s="38">
        <f>-SUMIF(BceAnt!A:A,A119,BceAnt!J:J)</f>
        <v>0</v>
      </c>
      <c r="M119" s="38"/>
      <c r="N119" s="38"/>
      <c r="O119" s="38"/>
      <c r="P119" s="38"/>
      <c r="Q119" s="38"/>
      <c r="R119" s="38"/>
      <c r="S119" s="38"/>
      <c r="T119" s="38"/>
    </row>
    <row r="120" spans="1:20" ht="45">
      <c r="A120" s="39">
        <v>240405</v>
      </c>
      <c r="B120" s="39" t="s">
        <v>732</v>
      </c>
      <c r="C120" s="33" t="s">
        <v>4351</v>
      </c>
      <c r="D120" s="33" t="s">
        <v>4347</v>
      </c>
      <c r="E120" s="37" t="s">
        <v>4362</v>
      </c>
      <c r="F120" s="319" t="s">
        <v>4349</v>
      </c>
      <c r="G120" s="319" t="s">
        <v>4349</v>
      </c>
      <c r="H120" s="84"/>
      <c r="I120" s="38">
        <f>SUMIFS(Mov!$J:$J,Mov!$E:$E,A120)</f>
        <v>0</v>
      </c>
      <c r="J120" s="38">
        <f>-SUMIF(Bce!A:A,A120,Bce!J:J)</f>
        <v>0</v>
      </c>
      <c r="K120" s="38"/>
      <c r="L120" s="38">
        <f>-SUMIF(BceAnt!A:A,A120,BceAnt!J:J)</f>
        <v>0</v>
      </c>
      <c r="M120" s="38"/>
      <c r="N120" s="38"/>
      <c r="O120" s="38"/>
      <c r="P120" s="38"/>
      <c r="Q120" s="38"/>
      <c r="R120" s="38"/>
      <c r="S120" s="38"/>
      <c r="T120" s="38"/>
    </row>
    <row r="121" spans="1:20" ht="45">
      <c r="A121" s="39">
        <v>240801</v>
      </c>
      <c r="B121" s="39" t="s">
        <v>742</v>
      </c>
      <c r="C121" s="33" t="s">
        <v>4351</v>
      </c>
      <c r="D121" s="33" t="s">
        <v>4347</v>
      </c>
      <c r="E121" s="37" t="s">
        <v>4352</v>
      </c>
      <c r="F121" s="319" t="s">
        <v>4349</v>
      </c>
      <c r="G121" s="319" t="s">
        <v>4349</v>
      </c>
      <c r="H121" s="84"/>
      <c r="I121" s="38">
        <f>SUMIFS(Mov!$J:$J,Mov!$E:$E,A121)</f>
        <v>0</v>
      </c>
      <c r="J121" s="38">
        <f>-SUMIF(Bce!A:A,A121,Bce!J:J)</f>
        <v>0</v>
      </c>
      <c r="K121" s="38"/>
      <c r="L121" s="38">
        <f>-SUMIF(BceAnt!A:A,A121,BceAnt!J:J)</f>
        <v>0</v>
      </c>
      <c r="M121" s="38"/>
      <c r="N121" s="38"/>
      <c r="O121" s="38"/>
      <c r="P121" s="38"/>
      <c r="Q121" s="38"/>
      <c r="R121" s="38"/>
      <c r="S121" s="38"/>
      <c r="T121" s="38"/>
    </row>
    <row r="122" spans="1:20" ht="45">
      <c r="A122" s="39">
        <v>24081001</v>
      </c>
      <c r="B122" s="39" t="s">
        <v>750</v>
      </c>
      <c r="C122" s="33" t="s">
        <v>4299</v>
      </c>
      <c r="D122" s="33" t="s">
        <v>4347</v>
      </c>
      <c r="E122" s="37" t="s">
        <v>4352</v>
      </c>
      <c r="F122" s="319" t="s">
        <v>4349</v>
      </c>
      <c r="G122" s="319" t="s">
        <v>4349</v>
      </c>
      <c r="H122" s="84"/>
      <c r="I122" s="38">
        <f>SUMIFS(Mov!$J:$J,Mov!$E:$E,A122)</f>
        <v>0</v>
      </c>
      <c r="J122" s="38">
        <f>-SUMIF(Bce!A:A,A122,Bce!J:J)</f>
        <v>0</v>
      </c>
      <c r="K122" s="38"/>
      <c r="L122" s="38">
        <f>-SUMIF(BceAnt!A:A,A122,BceAnt!J:J)</f>
        <v>0</v>
      </c>
      <c r="M122" s="38"/>
      <c r="N122" s="38"/>
      <c r="O122" s="38"/>
      <c r="P122" s="38"/>
      <c r="Q122" s="38"/>
      <c r="R122" s="38"/>
      <c r="S122" s="38"/>
      <c r="T122" s="38"/>
    </row>
    <row r="123" spans="1:20" ht="45">
      <c r="A123" s="39">
        <v>24081002</v>
      </c>
      <c r="B123" s="39" t="s">
        <v>747</v>
      </c>
      <c r="C123" s="33" t="s">
        <v>4299</v>
      </c>
      <c r="D123" s="33" t="s">
        <v>4347</v>
      </c>
      <c r="E123" s="37" t="s">
        <v>4352</v>
      </c>
      <c r="F123" s="319" t="s">
        <v>4349</v>
      </c>
      <c r="G123" s="319" t="s">
        <v>4349</v>
      </c>
      <c r="H123" s="84"/>
      <c r="I123" s="38">
        <f>SUMIFS(Mov!$J:$J,Mov!$E:$E,A123)</f>
        <v>1.862645149230957E-9</v>
      </c>
      <c r="J123" s="38">
        <f>-SUMIF(Bce!A:A,A123,Bce!J:J)</f>
        <v>0</v>
      </c>
      <c r="K123" s="38"/>
      <c r="L123" s="38">
        <f>-SUMIF(BceAnt!A:A,A123,BceAnt!J:J)</f>
        <v>0</v>
      </c>
      <c r="M123" s="38"/>
      <c r="N123" s="38"/>
      <c r="O123" s="38"/>
      <c r="P123" s="38"/>
      <c r="Q123" s="38"/>
      <c r="R123" s="38"/>
      <c r="S123" s="38"/>
      <c r="T123" s="38"/>
    </row>
    <row r="124" spans="1:20" ht="45">
      <c r="A124" s="39">
        <v>24081003</v>
      </c>
      <c r="B124" s="39" t="s">
        <v>4363</v>
      </c>
      <c r="C124" s="33" t="s">
        <v>4351</v>
      </c>
      <c r="D124" s="33" t="s">
        <v>4347</v>
      </c>
      <c r="E124" s="37" t="s">
        <v>4352</v>
      </c>
      <c r="F124" s="319" t="s">
        <v>4349</v>
      </c>
      <c r="G124" s="319" t="s">
        <v>4349</v>
      </c>
      <c r="H124" s="84"/>
      <c r="I124" s="38">
        <f>SUMIFS(Mov!$J:$J,Mov!$E:$E,A124)</f>
        <v>0</v>
      </c>
      <c r="J124" s="38">
        <f>-SUMIF(Bce!A:A,A124,Bce!J:J)</f>
        <v>0</v>
      </c>
      <c r="K124" s="38"/>
      <c r="L124" s="38">
        <f>-SUMIF(BceAnt!A:A,A124,BceAnt!J:J)</f>
        <v>0</v>
      </c>
      <c r="M124" s="38"/>
      <c r="N124" s="38"/>
      <c r="O124" s="38"/>
      <c r="P124" s="38"/>
      <c r="Q124" s="38"/>
      <c r="R124" s="38"/>
      <c r="S124" s="38"/>
      <c r="T124" s="38"/>
    </row>
    <row r="125" spans="1:20" ht="45">
      <c r="A125" s="39">
        <v>24081004</v>
      </c>
      <c r="B125" s="39" t="s">
        <v>4364</v>
      </c>
      <c r="C125" s="33" t="s">
        <v>4351</v>
      </c>
      <c r="D125" s="33" t="s">
        <v>4347</v>
      </c>
      <c r="E125" s="37" t="s">
        <v>4352</v>
      </c>
      <c r="F125" s="319" t="s">
        <v>4349</v>
      </c>
      <c r="G125" s="319" t="s">
        <v>4349</v>
      </c>
      <c r="H125" s="84"/>
      <c r="I125" s="38">
        <f>SUMIFS(Mov!$J:$J,Mov!$E:$E,A125)</f>
        <v>0</v>
      </c>
      <c r="J125" s="38">
        <f>-SUMIF(Bce!A:A,A125,Bce!J:J)</f>
        <v>0</v>
      </c>
      <c r="K125" s="38"/>
      <c r="L125" s="38">
        <f>-SUMIF(BceAnt!A:A,A125,BceAnt!J:J)</f>
        <v>0</v>
      </c>
      <c r="M125" s="38"/>
      <c r="N125" s="38"/>
      <c r="O125" s="38"/>
      <c r="P125" s="38"/>
      <c r="Q125" s="38"/>
      <c r="R125" s="38"/>
      <c r="S125" s="38"/>
      <c r="T125" s="38"/>
    </row>
    <row r="126" spans="1:20" ht="45">
      <c r="A126" s="39">
        <v>24081005</v>
      </c>
      <c r="B126" s="39" t="s">
        <v>756</v>
      </c>
      <c r="C126" s="33" t="s">
        <v>4351</v>
      </c>
      <c r="D126" s="33" t="s">
        <v>4347</v>
      </c>
      <c r="E126" s="37" t="s">
        <v>4352</v>
      </c>
      <c r="F126" s="319" t="s">
        <v>4349</v>
      </c>
      <c r="G126" s="319" t="s">
        <v>4349</v>
      </c>
      <c r="H126" s="84"/>
      <c r="I126" s="38">
        <f>SUMIFS(Mov!$J:$J,Mov!$E:$E,A126)</f>
        <v>0</v>
      </c>
      <c r="J126" s="38">
        <f>-SUMIF(Bce!A:A,A126,Bce!J:J)</f>
        <v>0</v>
      </c>
      <c r="K126" s="38"/>
      <c r="L126" s="38">
        <f>-SUMIF(BceAnt!A:A,A126,BceAnt!J:J)</f>
        <v>0</v>
      </c>
      <c r="M126" s="38"/>
      <c r="N126" s="38"/>
      <c r="O126" s="38"/>
      <c r="P126" s="38"/>
      <c r="Q126" s="38"/>
      <c r="R126" s="38"/>
      <c r="S126" s="38"/>
      <c r="T126" s="38"/>
    </row>
    <row r="127" spans="1:20" ht="45">
      <c r="A127" s="39">
        <v>24081501</v>
      </c>
      <c r="B127" s="39" t="s">
        <v>747</v>
      </c>
      <c r="C127" s="33" t="s">
        <v>4351</v>
      </c>
      <c r="D127" s="33" t="s">
        <v>4347</v>
      </c>
      <c r="E127" s="37" t="s">
        <v>4352</v>
      </c>
      <c r="F127" s="319" t="s">
        <v>4349</v>
      </c>
      <c r="G127" s="319" t="s">
        <v>4349</v>
      </c>
      <c r="H127" s="84"/>
      <c r="I127" s="38">
        <f>SUMIFS(Mov!$J:$J,Mov!$E:$E,A127)</f>
        <v>0</v>
      </c>
      <c r="J127" s="38">
        <f>-SUMIF(Bce!A:A,A127,Bce!J:J)</f>
        <v>0</v>
      </c>
      <c r="K127" s="38"/>
      <c r="L127" s="38">
        <f>-SUMIF(BceAnt!A:A,A127,BceAnt!J:J)</f>
        <v>0</v>
      </c>
      <c r="M127" s="38"/>
      <c r="N127" s="38"/>
      <c r="O127" s="38"/>
      <c r="P127" s="38"/>
      <c r="Q127" s="38"/>
      <c r="R127" s="38"/>
      <c r="S127" s="38"/>
      <c r="T127" s="38"/>
    </row>
    <row r="128" spans="1:20" ht="45">
      <c r="A128" s="39">
        <v>24081502</v>
      </c>
      <c r="B128" s="39" t="s">
        <v>750</v>
      </c>
      <c r="C128" s="33" t="s">
        <v>4351</v>
      </c>
      <c r="D128" s="33" t="s">
        <v>4347</v>
      </c>
      <c r="E128" s="37" t="s">
        <v>4352</v>
      </c>
      <c r="F128" s="319" t="s">
        <v>4349</v>
      </c>
      <c r="G128" s="319" t="s">
        <v>4349</v>
      </c>
      <c r="H128" s="84"/>
      <c r="I128" s="38">
        <f>SUMIFS(Mov!$J:$J,Mov!$E:$E,A128)</f>
        <v>0</v>
      </c>
      <c r="J128" s="38">
        <f>-SUMIF(Bce!A:A,A128,Bce!J:J)</f>
        <v>0</v>
      </c>
      <c r="K128" s="38"/>
      <c r="L128" s="38">
        <f>-SUMIF(BceAnt!A:A,A128,BceAnt!J:J)</f>
        <v>0</v>
      </c>
      <c r="M128" s="38"/>
      <c r="N128" s="38"/>
      <c r="O128" s="38"/>
      <c r="P128" s="38"/>
      <c r="Q128" s="38"/>
      <c r="R128" s="38"/>
      <c r="S128" s="38"/>
      <c r="T128" s="38"/>
    </row>
    <row r="129" spans="1:20" ht="45">
      <c r="A129" s="39">
        <v>24081505</v>
      </c>
      <c r="B129" s="39" t="s">
        <v>756</v>
      </c>
      <c r="C129" s="33" t="s">
        <v>4351</v>
      </c>
      <c r="D129" s="33" t="s">
        <v>4347</v>
      </c>
      <c r="E129" s="37" t="s">
        <v>4352</v>
      </c>
      <c r="F129" s="319" t="s">
        <v>4349</v>
      </c>
      <c r="G129" s="319" t="s">
        <v>4349</v>
      </c>
      <c r="H129" s="84"/>
      <c r="I129" s="38">
        <f>SUMIFS(Mov!$J:$J,Mov!$E:$E,A129)</f>
        <v>0</v>
      </c>
      <c r="J129" s="38">
        <f>-SUMIF(Bce!A:A,A129,Bce!J:J)</f>
        <v>0</v>
      </c>
      <c r="K129" s="38"/>
      <c r="L129" s="38">
        <f>-SUMIF(BceAnt!A:A,A129,BceAnt!J:J)</f>
        <v>0</v>
      </c>
      <c r="M129" s="38"/>
      <c r="N129" s="38"/>
      <c r="O129" s="38"/>
      <c r="P129" s="38"/>
      <c r="Q129" s="38"/>
      <c r="R129" s="38"/>
      <c r="S129" s="38"/>
      <c r="T129" s="38"/>
    </row>
    <row r="130" spans="1:20" ht="45">
      <c r="A130" s="39">
        <v>240890</v>
      </c>
      <c r="B130" s="39" t="s">
        <v>4365</v>
      </c>
      <c r="C130" s="33" t="s">
        <v>4351</v>
      </c>
      <c r="D130" s="33" t="s">
        <v>4347</v>
      </c>
      <c r="E130" s="37" t="s">
        <v>4352</v>
      </c>
      <c r="F130" s="319" t="s">
        <v>4349</v>
      </c>
      <c r="G130" s="319" t="s">
        <v>4349</v>
      </c>
      <c r="H130" s="84"/>
      <c r="I130" s="38">
        <f>SUMIFS(Mov!$J:$J,Mov!$E:$E,A130)</f>
        <v>0</v>
      </c>
      <c r="J130" s="38">
        <f>-SUMIF(Bce!A:A,A130,Bce!J:J)</f>
        <v>0</v>
      </c>
      <c r="K130" s="38"/>
      <c r="L130" s="38">
        <f>-SUMIF(BceAnt!A:A,A130,BceAnt!J:J)</f>
        <v>0</v>
      </c>
      <c r="M130" s="38"/>
      <c r="N130" s="38"/>
      <c r="O130" s="38"/>
      <c r="P130" s="38"/>
      <c r="Q130" s="38"/>
      <c r="R130" s="38"/>
      <c r="S130" s="38"/>
      <c r="T130" s="38"/>
    </row>
    <row r="131" spans="1:20" ht="45">
      <c r="A131" s="39">
        <v>241205</v>
      </c>
      <c r="B131" s="39" t="s">
        <v>1159</v>
      </c>
      <c r="C131" s="33" t="s">
        <v>4351</v>
      </c>
      <c r="D131" s="33" t="s">
        <v>4347</v>
      </c>
      <c r="E131" s="37" t="s">
        <v>4352</v>
      </c>
      <c r="F131" s="319" t="s">
        <v>4349</v>
      </c>
      <c r="G131" s="319" t="s">
        <v>4349</v>
      </c>
      <c r="H131" s="84"/>
      <c r="I131" s="38">
        <f>SUMIFS(Mov!$J:$J,Mov!$E:$E,A131)</f>
        <v>97000</v>
      </c>
      <c r="J131" s="38">
        <f>-SUMIF(Bce!A:A,A131,Bce!J:J)</f>
        <v>-1000</v>
      </c>
      <c r="K131" s="38"/>
      <c r="L131" s="38">
        <f>-SUMIF(BceAnt!A:A,A131,BceAnt!J:J)</f>
        <v>-98000</v>
      </c>
      <c r="M131" s="38"/>
      <c r="N131" s="38"/>
      <c r="O131" s="38"/>
      <c r="P131" s="38"/>
      <c r="Q131" s="38"/>
      <c r="R131" s="38"/>
      <c r="S131" s="38"/>
      <c r="T131" s="38"/>
    </row>
    <row r="132" spans="1:20" ht="45">
      <c r="A132" s="39">
        <v>250505</v>
      </c>
      <c r="B132" s="39" t="s">
        <v>767</v>
      </c>
      <c r="C132" s="33" t="s">
        <v>4366</v>
      </c>
      <c r="D132" s="33" t="s">
        <v>4347</v>
      </c>
      <c r="E132" s="37" t="s">
        <v>4367</v>
      </c>
      <c r="F132" s="319" t="s">
        <v>4349</v>
      </c>
      <c r="G132" s="319" t="s">
        <v>4349</v>
      </c>
      <c r="H132" s="84"/>
      <c r="I132" s="38">
        <f>SUMIFS(Mov!$J:$J,Mov!$E:$E,A132)</f>
        <v>-8065942</v>
      </c>
      <c r="J132" s="38">
        <f>-SUMIF(Bce!A:A,A132,Bce!J:J)</f>
        <v>-8065942</v>
      </c>
      <c r="K132" s="38"/>
      <c r="L132" s="38">
        <f>-SUMIF(BceAnt!A:A,A132,BceAnt!J:J)</f>
        <v>0</v>
      </c>
      <c r="M132" s="38"/>
      <c r="N132" s="38"/>
      <c r="O132" s="38"/>
      <c r="P132" s="38"/>
      <c r="Q132" s="38"/>
      <c r="R132" s="38"/>
      <c r="S132" s="38"/>
      <c r="T132" s="38"/>
    </row>
    <row r="133" spans="1:20" ht="45">
      <c r="A133" s="39">
        <v>251010</v>
      </c>
      <c r="B133" s="39" t="s">
        <v>4368</v>
      </c>
      <c r="C133" s="33" t="s">
        <v>4366</v>
      </c>
      <c r="D133" s="33" t="s">
        <v>4347</v>
      </c>
      <c r="E133" s="37" t="s">
        <v>4367</v>
      </c>
      <c r="F133" s="319" t="s">
        <v>4349</v>
      </c>
      <c r="G133" s="319" t="s">
        <v>4349</v>
      </c>
      <c r="H133" s="84"/>
      <c r="I133" s="38">
        <f>SUMIFS(Mov!$J:$J,Mov!$E:$E,A133)</f>
        <v>1467963</v>
      </c>
      <c r="J133" s="38">
        <f>-SUMIF(Bce!A:A,A133,Bce!J:J)</f>
        <v>0</v>
      </c>
      <c r="K133" s="38"/>
      <c r="L133" s="38">
        <f>-SUMIF(BceAnt!A:A,A133,BceAnt!J:J)</f>
        <v>-1467963</v>
      </c>
      <c r="M133" s="38"/>
      <c r="N133" s="38"/>
      <c r="O133" s="38"/>
      <c r="P133" s="38"/>
      <c r="Q133" s="38"/>
      <c r="R133" s="38"/>
      <c r="S133" s="38"/>
      <c r="T133" s="38"/>
    </row>
    <row r="134" spans="1:20" ht="45">
      <c r="A134" s="39">
        <v>251505</v>
      </c>
      <c r="B134" s="39" t="s">
        <v>4369</v>
      </c>
      <c r="C134" s="33" t="s">
        <v>4366</v>
      </c>
      <c r="D134" s="33" t="s">
        <v>4347</v>
      </c>
      <c r="E134" s="37" t="s">
        <v>4367</v>
      </c>
      <c r="F134" s="319" t="s">
        <v>4349</v>
      </c>
      <c r="G134" s="319" t="s">
        <v>4349</v>
      </c>
      <c r="H134" s="84"/>
      <c r="I134" s="38">
        <f>SUMIFS(Mov!$J:$J,Mov!$E:$E,A134)</f>
        <v>422128</v>
      </c>
      <c r="J134" s="38">
        <f>-SUMIF(Bce!A:A,A134,Bce!J:J)</f>
        <v>0</v>
      </c>
      <c r="K134" s="38"/>
      <c r="L134" s="38">
        <f>-SUMIF(BceAnt!A:A,A134,BceAnt!J:J)</f>
        <v>-422128</v>
      </c>
      <c r="M134" s="38"/>
      <c r="N134" s="38"/>
      <c r="O134" s="38"/>
      <c r="P134" s="38"/>
      <c r="Q134" s="38"/>
      <c r="R134" s="38"/>
      <c r="S134" s="38"/>
      <c r="T134" s="38"/>
    </row>
    <row r="135" spans="1:20" ht="45">
      <c r="A135" s="39">
        <v>252005</v>
      </c>
      <c r="B135" s="39" t="s">
        <v>783</v>
      </c>
      <c r="C135" s="33" t="s">
        <v>4366</v>
      </c>
      <c r="D135" s="33" t="s">
        <v>4347</v>
      </c>
      <c r="E135" s="37" t="s">
        <v>4367</v>
      </c>
      <c r="F135" s="319" t="s">
        <v>4349</v>
      </c>
      <c r="G135" s="319" t="s">
        <v>4349</v>
      </c>
      <c r="H135" s="84"/>
      <c r="I135" s="38">
        <f>SUMIFS(Mov!$J:$J,Mov!$E:$E,A135)</f>
        <v>58916</v>
      </c>
      <c r="J135" s="38">
        <f>-SUMIF(Bce!A:A,A135,Bce!J:J)</f>
        <v>0</v>
      </c>
      <c r="K135" s="38"/>
      <c r="L135" s="38">
        <f>-SUMIF(BceAnt!A:A,A135,BceAnt!J:J)</f>
        <v>-58916</v>
      </c>
      <c r="M135" s="38"/>
      <c r="N135" s="38"/>
      <c r="O135" s="38"/>
      <c r="P135" s="38"/>
      <c r="Q135" s="38"/>
      <c r="R135" s="38"/>
      <c r="S135" s="38"/>
      <c r="T135" s="38"/>
    </row>
    <row r="136" spans="1:20" ht="45">
      <c r="A136" s="39">
        <v>252505</v>
      </c>
      <c r="B136" s="39" t="s">
        <v>787</v>
      </c>
      <c r="C136" s="33" t="s">
        <v>4366</v>
      </c>
      <c r="D136" s="33" t="s">
        <v>4347</v>
      </c>
      <c r="E136" s="37" t="s">
        <v>4367</v>
      </c>
      <c r="F136" s="319" t="s">
        <v>4349</v>
      </c>
      <c r="G136" s="319" t="s">
        <v>4349</v>
      </c>
      <c r="H136" s="84"/>
      <c r="I136" s="38">
        <f>SUMIFS(Mov!$J:$J,Mov!$E:$E,A136)</f>
        <v>679424</v>
      </c>
      <c r="J136" s="38">
        <f>-SUMIF(Bce!A:A,A136,Bce!J:J)</f>
        <v>0</v>
      </c>
      <c r="K136" s="38"/>
      <c r="L136" s="38">
        <f>-SUMIF(BceAnt!A:A,A136,BceAnt!J:J)</f>
        <v>-679424</v>
      </c>
      <c r="M136" s="38"/>
      <c r="N136" s="38"/>
      <c r="O136" s="38"/>
      <c r="P136" s="38"/>
      <c r="Q136" s="38"/>
      <c r="R136" s="38"/>
      <c r="S136" s="38"/>
      <c r="T136" s="38"/>
    </row>
    <row r="137" spans="1:20" ht="45">
      <c r="A137" s="39">
        <v>260505</v>
      </c>
      <c r="B137" s="39" t="s">
        <v>4370</v>
      </c>
      <c r="C137" s="33" t="s">
        <v>4371</v>
      </c>
      <c r="D137" s="33" t="s">
        <v>4347</v>
      </c>
      <c r="E137" s="37" t="s">
        <v>4372</v>
      </c>
      <c r="F137" s="319" t="s">
        <v>4349</v>
      </c>
      <c r="G137" s="319" t="s">
        <v>4349</v>
      </c>
      <c r="H137" s="84"/>
      <c r="I137" s="38">
        <f>SUMIFS(Mov!$J:$J,Mov!$E:$E,A137)</f>
        <v>0</v>
      </c>
      <c r="J137" s="38">
        <f>-SUMIF(Bce!A:A,A137,Bce!J:J)</f>
        <v>0</v>
      </c>
      <c r="K137" s="38"/>
      <c r="L137" s="38">
        <f>-SUMIF(BceAnt!A:A,A137,BceAnt!J:J)</f>
        <v>0</v>
      </c>
      <c r="M137" s="38"/>
      <c r="N137" s="38"/>
      <c r="O137" s="38"/>
      <c r="P137" s="38"/>
      <c r="Q137" s="38"/>
      <c r="R137" s="38"/>
      <c r="S137" s="38"/>
      <c r="T137" s="38"/>
    </row>
    <row r="138" spans="1:20" ht="45">
      <c r="A138" s="39">
        <v>261010</v>
      </c>
      <c r="B138" s="39" t="s">
        <v>779</v>
      </c>
      <c r="C138" s="33" t="s">
        <v>4371</v>
      </c>
      <c r="D138" s="33" t="s">
        <v>4347</v>
      </c>
      <c r="E138" s="37" t="s">
        <v>4367</v>
      </c>
      <c r="F138" s="319" t="s">
        <v>4349</v>
      </c>
      <c r="G138" s="319" t="s">
        <v>4349</v>
      </c>
      <c r="H138" s="84"/>
      <c r="I138" s="38">
        <f>SUMIFS(Mov!$J:$J,Mov!$E:$E,A138)</f>
        <v>0</v>
      </c>
      <c r="J138" s="38">
        <f>-SUMIF(Bce!A:A,A138,Bce!J:J)</f>
        <v>0</v>
      </c>
      <c r="K138" s="38"/>
      <c r="L138" s="38">
        <f>-SUMIF(BceAnt!A:A,A138,BceAnt!J:J)</f>
        <v>0</v>
      </c>
      <c r="M138" s="38"/>
      <c r="N138" s="38"/>
      <c r="O138" s="38"/>
      <c r="P138" s="38"/>
      <c r="Q138" s="38"/>
      <c r="R138" s="38"/>
      <c r="S138" s="38"/>
      <c r="T138" s="38"/>
    </row>
    <row r="139" spans="1:20" ht="45">
      <c r="A139" s="39">
        <v>261510</v>
      </c>
      <c r="B139" s="39" t="s">
        <v>4373</v>
      </c>
      <c r="C139" s="33" t="s">
        <v>4371</v>
      </c>
      <c r="D139" s="33" t="s">
        <v>4347</v>
      </c>
      <c r="E139" s="37" t="s">
        <v>4352</v>
      </c>
      <c r="F139" s="319" t="s">
        <v>4349</v>
      </c>
      <c r="G139" s="319" t="s">
        <v>4349</v>
      </c>
      <c r="H139" s="84"/>
      <c r="I139" s="38">
        <f>SUMIFS(Mov!$J:$J,Mov!$E:$E,A139)</f>
        <v>0</v>
      </c>
      <c r="J139" s="38">
        <f>-SUMIF(Bce!A:A,A139,Bce!J:J)</f>
        <v>0</v>
      </c>
      <c r="K139" s="38"/>
      <c r="L139" s="38">
        <f>-SUMIF(BceAnt!A:A,A139,BceAnt!J:J)</f>
        <v>0</v>
      </c>
      <c r="M139" s="38"/>
      <c r="N139" s="38"/>
      <c r="O139" s="38"/>
      <c r="P139" s="38"/>
      <c r="Q139" s="38"/>
      <c r="R139" s="38"/>
      <c r="S139" s="38"/>
      <c r="T139" s="38"/>
    </row>
    <row r="140" spans="1:20" ht="45">
      <c r="A140" s="219">
        <v>261095</v>
      </c>
      <c r="B140" s="219" t="s">
        <v>83</v>
      </c>
      <c r="C140" s="33" t="s">
        <v>4371</v>
      </c>
      <c r="D140" s="33" t="s">
        <v>4347</v>
      </c>
      <c r="E140" s="37" t="s">
        <v>4352</v>
      </c>
      <c r="F140" s="319" t="s">
        <v>4349</v>
      </c>
      <c r="G140" s="319" t="s">
        <v>4349</v>
      </c>
      <c r="H140" s="84"/>
      <c r="I140" s="38">
        <f>SUMIFS(Mov!$J:$J,Mov!$E:$E,A140)</f>
        <v>0</v>
      </c>
      <c r="J140" s="38">
        <f>-SUMIF(Bce!A:A,A140,Bce!J:J)</f>
        <v>0</v>
      </c>
      <c r="K140" s="38"/>
      <c r="L140" s="38">
        <f>-SUMIF(BceAnt!A:A,A140,BceAnt!J:J)</f>
        <v>0</v>
      </c>
      <c r="M140" s="38"/>
      <c r="N140" s="38"/>
      <c r="O140" s="38"/>
      <c r="P140" s="38"/>
      <c r="Q140" s="38"/>
      <c r="R140" s="38"/>
      <c r="S140" s="38"/>
      <c r="T140" s="38"/>
    </row>
    <row r="141" spans="1:20" ht="60">
      <c r="A141" s="219">
        <v>280505</v>
      </c>
      <c r="B141" s="219" t="s">
        <v>4374</v>
      </c>
      <c r="C141" s="33" t="s">
        <v>4375</v>
      </c>
      <c r="D141" s="33" t="s">
        <v>4347</v>
      </c>
      <c r="E141" s="84" t="s">
        <v>4352</v>
      </c>
      <c r="F141" s="319" t="s">
        <v>4376</v>
      </c>
      <c r="G141" s="319" t="s">
        <v>4376</v>
      </c>
      <c r="H141" s="84"/>
      <c r="I141" s="38">
        <f>SUMIFS(Mov!$J:$J,Mov!$E:$E,A141)</f>
        <v>0</v>
      </c>
      <c r="J141" s="38">
        <f>-SUMIF(Bce!A:A,A141,Bce!J:J)</f>
        <v>0</v>
      </c>
      <c r="K141" s="38"/>
      <c r="L141" s="38">
        <f>-SUMIF(BceAnt!A:A,A141,BceAnt!J:J)</f>
        <v>0</v>
      </c>
      <c r="M141" s="38"/>
      <c r="N141" s="38"/>
      <c r="O141" s="38"/>
      <c r="P141" s="38"/>
      <c r="Q141" s="38"/>
      <c r="R141" s="38"/>
      <c r="S141" s="38"/>
      <c r="T141" s="38"/>
    </row>
    <row r="142" spans="1:20" ht="45">
      <c r="A142" s="39">
        <v>310505</v>
      </c>
      <c r="B142" s="39" t="s">
        <v>851</v>
      </c>
      <c r="C142" s="33" t="s">
        <v>4377</v>
      </c>
      <c r="D142" s="33" t="s">
        <v>4378</v>
      </c>
      <c r="E142" s="37" t="s">
        <v>4379</v>
      </c>
      <c r="F142" s="319" t="s">
        <v>4380</v>
      </c>
      <c r="G142" s="319" t="s">
        <v>4381</v>
      </c>
      <c r="H142" s="84"/>
      <c r="I142" s="38">
        <f>SUMIFS(Mov!$J:$J,Mov!$E:$E,A142)</f>
        <v>-100000000</v>
      </c>
      <c r="J142" s="38">
        <f>-SUMIF(Bce!A:A,A142,Bce!J:J)</f>
        <v>-101000000</v>
      </c>
      <c r="K142" s="38"/>
      <c r="L142" s="38">
        <f>-SUMIF(BceAnt!A:A,A142,BceAnt!J:J)</f>
        <v>-1000000</v>
      </c>
      <c r="M142" s="38"/>
      <c r="N142" s="38"/>
      <c r="O142" s="38"/>
      <c r="P142" s="38"/>
      <c r="Q142" s="38"/>
      <c r="R142" s="38"/>
      <c r="S142" s="38"/>
      <c r="T142" s="38"/>
    </row>
    <row r="143" spans="1:20" ht="45">
      <c r="A143" s="39">
        <v>310510</v>
      </c>
      <c r="B143" s="39" t="s">
        <v>853</v>
      </c>
      <c r="C143" s="33" t="s">
        <v>4377</v>
      </c>
      <c r="D143" s="33" t="s">
        <v>4378</v>
      </c>
      <c r="E143" s="37" t="s">
        <v>4379</v>
      </c>
      <c r="F143" s="319" t="s">
        <v>4380</v>
      </c>
      <c r="G143" s="319" t="s">
        <v>4381</v>
      </c>
      <c r="H143" s="84"/>
      <c r="I143" s="38">
        <f>SUMIFS(Mov!$J:$J,Mov!$E:$E,A143)</f>
        <v>-600000</v>
      </c>
      <c r="J143" s="38">
        <f>-SUMIF(Bce!A:A,A143,Bce!J:J)</f>
        <v>0</v>
      </c>
      <c r="K143" s="38"/>
      <c r="L143" s="38">
        <f>-SUMIF(BceAnt!A:A,A143,BceAnt!J:J)</f>
        <v>600000</v>
      </c>
      <c r="M143" s="38"/>
      <c r="N143" s="38"/>
      <c r="O143" s="38"/>
      <c r="P143" s="38"/>
      <c r="Q143" s="38"/>
      <c r="R143" s="38"/>
      <c r="S143" s="38"/>
      <c r="T143" s="38"/>
    </row>
    <row r="144" spans="1:20" ht="45">
      <c r="A144" s="39">
        <v>310515</v>
      </c>
      <c r="B144" s="39" t="s">
        <v>853</v>
      </c>
      <c r="C144" s="33" t="s">
        <v>4377</v>
      </c>
      <c r="D144" s="33" t="s">
        <v>4378</v>
      </c>
      <c r="E144" s="37" t="s">
        <v>4379</v>
      </c>
      <c r="F144" s="319" t="s">
        <v>4380</v>
      </c>
      <c r="G144" s="319" t="s">
        <v>4381</v>
      </c>
      <c r="H144" s="84"/>
      <c r="I144" s="38">
        <f>SUMIFS(Mov!$J:$J,Mov!$E:$E,A144)</f>
        <v>0</v>
      </c>
      <c r="J144" s="38">
        <f>-SUMIF(Bce!A:A,A144,Bce!J:J)</f>
        <v>0</v>
      </c>
      <c r="K144" s="38"/>
      <c r="L144" s="38">
        <f>-SUMIF(BceAnt!A:A,A144,BceAnt!J:J)</f>
        <v>0</v>
      </c>
      <c r="M144" s="38"/>
      <c r="N144" s="38"/>
      <c r="O144" s="38"/>
      <c r="P144" s="38"/>
      <c r="Q144" s="38"/>
      <c r="R144" s="38"/>
      <c r="S144" s="38"/>
      <c r="T144" s="38"/>
    </row>
    <row r="145" spans="1:20">
      <c r="A145" s="39">
        <v>330505</v>
      </c>
      <c r="B145" s="39" t="s">
        <v>4382</v>
      </c>
      <c r="C145" s="33" t="s">
        <v>4383</v>
      </c>
      <c r="D145" s="33" t="s">
        <v>4378</v>
      </c>
      <c r="E145" s="37" t="s">
        <v>901</v>
      </c>
      <c r="F145" s="319"/>
      <c r="G145" s="319"/>
      <c r="H145" s="84"/>
      <c r="I145" s="38">
        <f>SUMIFS(Mov!$J:$J,Mov!$E:$E,A145)</f>
        <v>0</v>
      </c>
      <c r="J145" s="38">
        <f>-SUMIF(Bce!A:A,A145,Bce!J:J)</f>
        <v>0</v>
      </c>
      <c r="K145" s="38"/>
      <c r="L145" s="38">
        <f>-SUMIF(BceAnt!A:A,A145,BceAnt!J:J)</f>
        <v>0</v>
      </c>
      <c r="M145" s="38"/>
      <c r="N145" s="38"/>
      <c r="O145" s="38"/>
      <c r="P145" s="38"/>
      <c r="Q145" s="38"/>
      <c r="R145" s="38"/>
      <c r="S145" s="38"/>
      <c r="T145" s="38"/>
    </row>
    <row r="146" spans="1:20">
      <c r="A146" s="40">
        <v>360505</v>
      </c>
      <c r="B146" s="40" t="s">
        <v>4384</v>
      </c>
      <c r="C146" s="41" t="s">
        <v>4385</v>
      </c>
      <c r="D146" s="41"/>
      <c r="E146" s="200" t="s">
        <v>4386</v>
      </c>
      <c r="F146" s="319"/>
      <c r="G146" s="319"/>
      <c r="H146" s="200"/>
      <c r="I146" s="38">
        <f>SUMIFS(Mov!$J:$J,Mov!$E:$E,A146)</f>
        <v>0</v>
      </c>
      <c r="J146" s="201">
        <f>-SUMIF(Bce!A:A,A146,Bce!J:J)</f>
        <v>0</v>
      </c>
      <c r="K146" s="38"/>
      <c r="L146" s="38">
        <f>-SUMIF(BceAnt!A:A,A146,BceAnt!J:J)</f>
        <v>0</v>
      </c>
      <c r="M146" s="38"/>
      <c r="N146" s="38"/>
      <c r="O146" s="38"/>
      <c r="P146" s="38"/>
      <c r="Q146" s="38"/>
      <c r="R146" s="38"/>
      <c r="S146" s="38"/>
      <c r="T146" s="38"/>
    </row>
    <row r="147" spans="1:20">
      <c r="A147" s="195">
        <v>361005</v>
      </c>
      <c r="B147" s="195"/>
      <c r="C147" s="196" t="s">
        <v>4385</v>
      </c>
      <c r="D147" s="196"/>
      <c r="E147" s="197" t="s">
        <v>4386</v>
      </c>
      <c r="F147" s="319"/>
      <c r="G147" s="319"/>
      <c r="H147" s="198"/>
      <c r="I147" s="38">
        <f>SUMIFS(Mov!$J:$J,Mov!$E:$E,A147)</f>
        <v>-71627508.549999997</v>
      </c>
      <c r="J147" s="199">
        <f>-SUMIF(Bce!A:A,A147,Bce!J:J)</f>
        <v>0</v>
      </c>
      <c r="K147" s="38"/>
      <c r="L147" s="38">
        <f>-SUMIF(BceAnt!A:A,A147,BceAnt!J:J)</f>
        <v>0</v>
      </c>
      <c r="M147" s="38"/>
      <c r="N147" s="38"/>
      <c r="O147" s="38"/>
      <c r="P147" s="38"/>
      <c r="Q147" s="38"/>
      <c r="R147" s="38"/>
      <c r="S147" s="38"/>
      <c r="T147" s="38"/>
    </row>
    <row r="148" spans="1:20">
      <c r="A148" s="39">
        <v>370505</v>
      </c>
      <c r="B148" s="39" t="s">
        <v>4387</v>
      </c>
      <c r="C148" s="33" t="s">
        <v>4385</v>
      </c>
      <c r="D148" s="33"/>
      <c r="E148" s="37" t="s">
        <v>4386</v>
      </c>
      <c r="F148" s="319"/>
      <c r="G148" s="319"/>
      <c r="H148" s="84"/>
      <c r="I148" s="38">
        <f>SUMIFS(Mov!$J:$J,Mov!$E:$E,A148)</f>
        <v>0</v>
      </c>
      <c r="J148" s="38">
        <f>-SUMIF(Bce!A:A,A148,Bce!J:J)</f>
        <v>0</v>
      </c>
      <c r="K148" s="38"/>
      <c r="L148" s="38">
        <f>-SUMIF(BceAnt!A:A,A148,BceAnt!J:J)</f>
        <v>0</v>
      </c>
      <c r="M148" s="38"/>
      <c r="N148" s="38"/>
      <c r="O148" s="38"/>
      <c r="P148" s="38"/>
      <c r="Q148" s="38"/>
      <c r="R148" s="38"/>
      <c r="S148" s="38"/>
      <c r="T148" s="38"/>
    </row>
    <row r="149" spans="1:20">
      <c r="A149" s="39">
        <v>371005</v>
      </c>
      <c r="B149" s="39" t="s">
        <v>981</v>
      </c>
      <c r="C149" s="33" t="s">
        <v>4385</v>
      </c>
      <c r="D149" s="33"/>
      <c r="E149" s="37" t="s">
        <v>4386</v>
      </c>
      <c r="F149" s="319"/>
      <c r="G149" s="319"/>
      <c r="H149" s="84"/>
      <c r="I149" s="38">
        <f>SUMIFS(Mov!$J:$J,Mov!$E:$E,A149)</f>
        <v>71627508.549999997</v>
      </c>
      <c r="J149" s="38">
        <f>-SUMIF(Bce!A:A,A149,Bce!J:J)</f>
        <v>120650907.69</v>
      </c>
      <c r="K149" s="38"/>
      <c r="L149" s="38">
        <f>-SUMIF(BceAnt!A:A,A149,BceAnt!J:J)</f>
        <v>49023399.140000001</v>
      </c>
      <c r="M149" s="38"/>
      <c r="N149" s="38"/>
      <c r="O149" s="38"/>
      <c r="P149" s="38"/>
      <c r="Q149" s="38"/>
      <c r="R149" s="38"/>
      <c r="S149" s="38"/>
      <c r="T149" s="38"/>
    </row>
    <row r="150" spans="1:20">
      <c r="A150" s="39">
        <v>41559505</v>
      </c>
      <c r="B150" s="42" t="s">
        <v>132</v>
      </c>
      <c r="C150" s="42"/>
      <c r="D150" s="42" t="s">
        <v>4388</v>
      </c>
      <c r="E150" s="42" t="s">
        <v>4389</v>
      </c>
      <c r="F150" s="319" t="s">
        <v>4390</v>
      </c>
      <c r="G150" s="319" t="s">
        <v>4390</v>
      </c>
      <c r="H150" s="42">
        <v>0</v>
      </c>
      <c r="I150" s="38">
        <f>SUMIFS(Mov!$J:$J,Mov!$E:$E,A150)</f>
        <v>-756328888.84000003</v>
      </c>
      <c r="J150" s="38">
        <f>-SUMIF(Bce!A:A,A150,Bce!J:J)</f>
        <v>-756328888.84000003</v>
      </c>
      <c r="K150" s="43">
        <f t="shared" ref="K150" si="0">ROUND(I150-J150,2)</f>
        <v>0</v>
      </c>
      <c r="L150" s="38">
        <f>-SUMIF(BceAnt!A:A,A150,BceAnt!J:J)</f>
        <v>-435963828.18000001</v>
      </c>
      <c r="M150" s="38">
        <f>SUMIF('P&amp;L'!B:B,A150,'P&amp;L'!Q:Q)*1000</f>
        <v>756328888.83999991</v>
      </c>
      <c r="N150" s="38">
        <f t="shared" ref="N150" si="1">I150+M150</f>
        <v>0</v>
      </c>
      <c r="O150" s="38"/>
      <c r="P150" s="38">
        <f t="shared" ref="P150:P197" si="2">M150+O150</f>
        <v>756328888.83999991</v>
      </c>
      <c r="Q150" s="38"/>
      <c r="R150" s="38">
        <f t="shared" ref="R150:R175" si="3">P150+Q150</f>
        <v>756328888.83999991</v>
      </c>
      <c r="S150" s="38"/>
      <c r="T150" s="38">
        <f t="shared" ref="T150:T214" si="4">R150+S150</f>
        <v>756328888.83999991</v>
      </c>
    </row>
    <row r="151" spans="1:20">
      <c r="A151" s="39">
        <v>41559506</v>
      </c>
      <c r="B151" s="42" t="s">
        <v>132</v>
      </c>
      <c r="C151" s="42"/>
      <c r="D151" s="42" t="s">
        <v>4388</v>
      </c>
      <c r="E151" s="42" t="s">
        <v>4389</v>
      </c>
      <c r="F151" s="319" t="s">
        <v>4390</v>
      </c>
      <c r="G151" s="319" t="s">
        <v>4390</v>
      </c>
      <c r="H151" s="42">
        <v>0</v>
      </c>
      <c r="I151" s="38">
        <f>SUMIFS(Mov!$J:$J,Mov!$E:$E,A151)</f>
        <v>0</v>
      </c>
      <c r="J151" s="38">
        <f>-SUMIF(Bce!A:A,A151,Bce!J:J)</f>
        <v>0</v>
      </c>
      <c r="K151" s="43">
        <f t="shared" ref="K151" si="5">ROUND(I151-J151,2)</f>
        <v>0</v>
      </c>
      <c r="L151" s="38">
        <f>-SUMIF(BceAnt!A:A,A151,BceAnt!J:J)</f>
        <v>0</v>
      </c>
      <c r="M151" s="38">
        <f>SUMIF('P&amp;L'!B:B,A151,'P&amp;L'!Q:Q)*1000</f>
        <v>0</v>
      </c>
      <c r="N151" s="38">
        <f t="shared" ref="N151" si="6">I151+M151</f>
        <v>0</v>
      </c>
      <c r="O151" s="38"/>
      <c r="P151" s="38">
        <f t="shared" si="2"/>
        <v>0</v>
      </c>
      <c r="Q151" s="38"/>
      <c r="R151" s="38">
        <f t="shared" si="3"/>
        <v>0</v>
      </c>
      <c r="S151" s="38"/>
      <c r="T151" s="38">
        <f t="shared" si="4"/>
        <v>0</v>
      </c>
    </row>
    <row r="152" spans="1:20">
      <c r="A152" s="39">
        <v>42100501</v>
      </c>
      <c r="B152" s="42" t="s">
        <v>1039</v>
      </c>
      <c r="C152" s="42"/>
      <c r="D152" s="42" t="s">
        <v>4388</v>
      </c>
      <c r="E152" s="42" t="s">
        <v>4391</v>
      </c>
      <c r="F152" s="319" t="s">
        <v>4390</v>
      </c>
      <c r="G152" s="319" t="s">
        <v>4390</v>
      </c>
      <c r="H152" s="42">
        <v>0</v>
      </c>
      <c r="I152" s="38">
        <f>SUMIFS(Mov!$J:$J,Mov!$E:$E,A152)</f>
        <v>-82688.310000000012</v>
      </c>
      <c r="J152" s="38">
        <f>-SUMIF(Bce!A:A,A152,Bce!J:J)</f>
        <v>-82688.31</v>
      </c>
      <c r="K152" s="43">
        <f t="shared" ref="K152:K163" si="7">ROUND(I152-J152,2)</f>
        <v>0</v>
      </c>
      <c r="L152" s="38">
        <f>-SUMIF(BceAnt!A:A,A152,BceAnt!J:J)</f>
        <v>-47563.46</v>
      </c>
      <c r="M152" s="38">
        <f>SUMIF('P&amp;L'!B:B,A152,'P&amp;L'!Q:Q)*1000</f>
        <v>82688.31</v>
      </c>
      <c r="N152" s="38">
        <f t="shared" ref="N152:N158" si="8">I152+M152</f>
        <v>0</v>
      </c>
      <c r="O152" s="38"/>
      <c r="P152" s="38">
        <f t="shared" si="2"/>
        <v>82688.31</v>
      </c>
      <c r="Q152" s="38"/>
      <c r="R152" s="38">
        <f t="shared" si="3"/>
        <v>82688.31</v>
      </c>
      <c r="S152" s="38"/>
      <c r="T152" s="38">
        <f t="shared" si="4"/>
        <v>82688.31</v>
      </c>
    </row>
    <row r="153" spans="1:20">
      <c r="A153" s="39">
        <v>42102001</v>
      </c>
      <c r="B153" s="42" t="s">
        <v>1752</v>
      </c>
      <c r="C153" s="42"/>
      <c r="D153" s="42" t="s">
        <v>4388</v>
      </c>
      <c r="E153" s="42" t="s">
        <v>4392</v>
      </c>
      <c r="F153" s="319" t="s">
        <v>4390</v>
      </c>
      <c r="G153" s="319" t="s">
        <v>4390</v>
      </c>
      <c r="H153" s="42">
        <v>0</v>
      </c>
      <c r="I153" s="38">
        <f>SUMIFS(Mov!$J:$J,Mov!$E:$E,A153)</f>
        <v>-6763248.3200000003</v>
      </c>
      <c r="J153" s="38">
        <f>-SUMIF(Bce!A:A,A153,Bce!J:J)</f>
        <v>-6763248.3200000003</v>
      </c>
      <c r="K153" s="43">
        <f t="shared" si="7"/>
        <v>0</v>
      </c>
      <c r="L153" s="38">
        <f>-SUMIF(BceAnt!A:A,A153,BceAnt!J:J)</f>
        <v>-9908426.8599999994</v>
      </c>
      <c r="M153" s="38">
        <f>SUMIF('P&amp;L'!B:B,A153,'P&amp;L'!Q:Q)*1000</f>
        <v>6763248.3199999994</v>
      </c>
      <c r="N153" s="38">
        <f t="shared" si="8"/>
        <v>0</v>
      </c>
      <c r="O153" s="38"/>
      <c r="P153" s="38">
        <f t="shared" si="2"/>
        <v>6763248.3199999994</v>
      </c>
      <c r="Q153" s="38"/>
      <c r="R153" s="38">
        <f t="shared" si="3"/>
        <v>6763248.3199999994</v>
      </c>
      <c r="S153" s="38"/>
      <c r="T153" s="38">
        <f t="shared" si="4"/>
        <v>6763248.3199999994</v>
      </c>
    </row>
    <row r="154" spans="1:20">
      <c r="A154" s="39">
        <v>421040</v>
      </c>
      <c r="B154" s="42" t="s">
        <v>4393</v>
      </c>
      <c r="C154" s="42"/>
      <c r="D154" s="42" t="s">
        <v>4388</v>
      </c>
      <c r="E154" s="42" t="s">
        <v>4394</v>
      </c>
      <c r="F154" s="319" t="s">
        <v>4390</v>
      </c>
      <c r="G154" s="319" t="s">
        <v>4390</v>
      </c>
      <c r="H154" s="42">
        <v>0</v>
      </c>
      <c r="I154" s="38">
        <f>SUMIFS(Mov!$J:$J,Mov!$E:$E,A154)</f>
        <v>-1985</v>
      </c>
      <c r="J154" s="38">
        <f>-SUMIF(Bce!A:A,A154,Bce!J:J)</f>
        <v>-1985</v>
      </c>
      <c r="K154" s="43">
        <f t="shared" si="7"/>
        <v>0</v>
      </c>
      <c r="L154" s="38">
        <f>-SUMIF(BceAnt!A:A,A154,BceAnt!J:J)</f>
        <v>0</v>
      </c>
      <c r="M154" s="38">
        <f>SUMIF('P&amp;L'!B:B,A154,'P&amp;L'!Q:Q)*1000</f>
        <v>1985</v>
      </c>
      <c r="N154" s="38">
        <f t="shared" si="8"/>
        <v>0</v>
      </c>
      <c r="O154" s="38"/>
      <c r="P154" s="38">
        <f t="shared" si="2"/>
        <v>1985</v>
      </c>
      <c r="Q154" s="38"/>
      <c r="R154" s="38">
        <f t="shared" si="3"/>
        <v>1985</v>
      </c>
      <c r="S154" s="38"/>
      <c r="T154" s="38">
        <f t="shared" si="4"/>
        <v>1985</v>
      </c>
    </row>
    <row r="155" spans="1:20">
      <c r="A155" s="39">
        <v>421805</v>
      </c>
      <c r="B155" s="42" t="s">
        <v>4395</v>
      </c>
      <c r="C155" s="42"/>
      <c r="D155" s="42" t="s">
        <v>4388</v>
      </c>
      <c r="E155" s="42" t="s">
        <v>4396</v>
      </c>
      <c r="F155" s="319" t="s">
        <v>4390</v>
      </c>
      <c r="G155" s="319" t="s">
        <v>4390</v>
      </c>
      <c r="H155" s="42" t="s">
        <v>4397</v>
      </c>
      <c r="I155" s="38">
        <f>SUMIFS(Mov!$J:$J,Mov!$E:$E,A155)</f>
        <v>0</v>
      </c>
      <c r="J155" s="38">
        <f>-SUMIF(Bce!A:A,A155,Bce!J:J)</f>
        <v>0</v>
      </c>
      <c r="K155" s="43">
        <f t="shared" si="7"/>
        <v>0</v>
      </c>
      <c r="L155" s="38">
        <f>-SUMIF(BceAnt!A:A,A155,BceAnt!J:J)</f>
        <v>0</v>
      </c>
      <c r="M155" s="38">
        <f>SUMIF('P&amp;L'!B:B,A155,'P&amp;L'!Q:Q)*1000</f>
        <v>0</v>
      </c>
      <c r="N155" s="38">
        <f t="shared" si="8"/>
        <v>0</v>
      </c>
      <c r="O155" s="38"/>
      <c r="P155" s="38">
        <f t="shared" si="2"/>
        <v>0</v>
      </c>
      <c r="Q155" s="38"/>
      <c r="R155" s="38">
        <f t="shared" si="3"/>
        <v>0</v>
      </c>
      <c r="S155" s="38"/>
      <c r="T155" s="38">
        <f t="shared" si="4"/>
        <v>0</v>
      </c>
    </row>
    <row r="156" spans="1:20">
      <c r="A156" s="39">
        <v>425050</v>
      </c>
      <c r="B156" s="42" t="s">
        <v>4398</v>
      </c>
      <c r="C156" s="42"/>
      <c r="D156" s="42" t="s">
        <v>4388</v>
      </c>
      <c r="E156" s="42" t="s">
        <v>4396</v>
      </c>
      <c r="F156" s="319" t="s">
        <v>4390</v>
      </c>
      <c r="G156" s="319" t="s">
        <v>4390</v>
      </c>
      <c r="H156" s="42" t="s">
        <v>4397</v>
      </c>
      <c r="I156" s="38">
        <f>SUMIFS(Mov!$J:$J,Mov!$E:$E,A156)</f>
        <v>0</v>
      </c>
      <c r="J156" s="38">
        <f>-SUMIF(Bce!A:A,A156,Bce!J:J)</f>
        <v>0</v>
      </c>
      <c r="K156" s="43">
        <f>ROUND(I156-J156,2)</f>
        <v>0</v>
      </c>
      <c r="L156" s="38">
        <f>-SUMIF(BceAnt!A:A,A156,BceAnt!J:J)</f>
        <v>0</v>
      </c>
      <c r="M156" s="38">
        <f>SUMIF('P&amp;L'!B:B,A156,'P&amp;L'!Q:Q)*1000</f>
        <v>0</v>
      </c>
      <c r="N156" s="38">
        <f t="shared" si="8"/>
        <v>0</v>
      </c>
      <c r="O156" s="38"/>
      <c r="P156" s="38">
        <f t="shared" si="2"/>
        <v>0</v>
      </c>
      <c r="Q156" s="38"/>
      <c r="R156" s="38">
        <f t="shared" si="3"/>
        <v>0</v>
      </c>
      <c r="S156" s="38"/>
      <c r="T156" s="38">
        <f t="shared" si="4"/>
        <v>0</v>
      </c>
    </row>
    <row r="157" spans="1:20">
      <c r="A157" s="39">
        <v>429505</v>
      </c>
      <c r="B157" s="42" t="s">
        <v>1714</v>
      </c>
      <c r="C157" s="42"/>
      <c r="D157" s="42" t="s">
        <v>4388</v>
      </c>
      <c r="E157" s="42" t="s">
        <v>4396</v>
      </c>
      <c r="F157" s="319" t="s">
        <v>4390</v>
      </c>
      <c r="G157" s="319" t="s">
        <v>4390</v>
      </c>
      <c r="H157" s="42" t="s">
        <v>4399</v>
      </c>
      <c r="I157" s="38">
        <f>SUMIFS(Mov!$J:$J,Mov!$E:$E,A157)</f>
        <v>0</v>
      </c>
      <c r="J157" s="38">
        <f>-SUMIF(Bce!A:A,A157,Bce!J:J)</f>
        <v>0</v>
      </c>
      <c r="K157" s="43">
        <f t="shared" si="7"/>
        <v>0</v>
      </c>
      <c r="L157" s="38">
        <f>-SUMIF(BceAnt!A:A,A157,BceAnt!J:J)</f>
        <v>0</v>
      </c>
      <c r="M157" s="38">
        <f>SUMIF('P&amp;L'!B:B,A157,'P&amp;L'!Q:Q)*1000</f>
        <v>0</v>
      </c>
      <c r="N157" s="38">
        <f t="shared" si="8"/>
        <v>0</v>
      </c>
      <c r="O157" s="38"/>
      <c r="P157" s="38">
        <f t="shared" si="2"/>
        <v>0</v>
      </c>
      <c r="Q157" s="38"/>
      <c r="R157" s="38">
        <f t="shared" si="3"/>
        <v>0</v>
      </c>
      <c r="S157" s="38"/>
      <c r="T157" s="38">
        <f t="shared" si="4"/>
        <v>0</v>
      </c>
    </row>
    <row r="158" spans="1:20">
      <c r="A158" s="39">
        <v>42109501</v>
      </c>
      <c r="B158" s="42" t="s">
        <v>1065</v>
      </c>
      <c r="C158" s="42"/>
      <c r="D158" s="42" t="s">
        <v>4388</v>
      </c>
      <c r="E158" s="42" t="s">
        <v>4396</v>
      </c>
      <c r="F158" s="319" t="s">
        <v>4390</v>
      </c>
      <c r="G158" s="319" t="s">
        <v>4390</v>
      </c>
      <c r="H158" s="42" t="s">
        <v>4400</v>
      </c>
      <c r="I158" s="38">
        <f>SUMIFS(Mov!$J:$J,Mov!$E:$E,A158)</f>
        <v>0</v>
      </c>
      <c r="J158" s="38">
        <f>-SUMIF(Bce!A:A,A158,Bce!J:J)</f>
        <v>0</v>
      </c>
      <c r="K158" s="43">
        <f t="shared" si="7"/>
        <v>0</v>
      </c>
      <c r="L158" s="38">
        <f>-SUMIF(BceAnt!A:A,A158,BceAnt!J:J)</f>
        <v>-44809.440000000002</v>
      </c>
      <c r="M158" s="38">
        <f>-SUMIF('P&amp;L'!B:B,A158,'P&amp;L'!Q:Q)*1000</f>
        <v>0</v>
      </c>
      <c r="N158" s="38">
        <f t="shared" si="8"/>
        <v>0</v>
      </c>
      <c r="O158" s="38"/>
      <c r="P158" s="38">
        <f t="shared" si="2"/>
        <v>0</v>
      </c>
      <c r="Q158" s="38"/>
      <c r="R158" s="38">
        <f t="shared" si="3"/>
        <v>0</v>
      </c>
      <c r="S158" s="38"/>
      <c r="T158" s="38">
        <f t="shared" si="4"/>
        <v>0</v>
      </c>
    </row>
    <row r="159" spans="1:20">
      <c r="A159" s="39">
        <v>42109502</v>
      </c>
      <c r="B159" s="42" t="s">
        <v>1714</v>
      </c>
      <c r="C159" s="42"/>
      <c r="D159" s="42" t="s">
        <v>4388</v>
      </c>
      <c r="E159" s="42" t="s">
        <v>4396</v>
      </c>
      <c r="F159" s="319" t="s">
        <v>4390</v>
      </c>
      <c r="G159" s="319" t="s">
        <v>4390</v>
      </c>
      <c r="H159" s="42" t="s">
        <v>4399</v>
      </c>
      <c r="I159" s="38">
        <f>SUMIFS(Mov!$J:$J,Mov!$E:$E,A159)</f>
        <v>-184722.51</v>
      </c>
      <c r="J159" s="38">
        <f>-SUMIF(Bce!A:A,A159,Bce!J:J)</f>
        <v>-184722.51</v>
      </c>
      <c r="K159" s="43">
        <f t="shared" ref="K159" si="9">ROUND(I159-J159,2)</f>
        <v>0</v>
      </c>
      <c r="L159" s="38">
        <f>-SUMIF(BceAnt!A:A,A159,BceAnt!J:J)</f>
        <v>-183699.1</v>
      </c>
      <c r="M159" s="38">
        <f>-SUMIF('P&amp;L'!B:B,A159,'P&amp;L'!Q:Q)*1000</f>
        <v>184722.50999999998</v>
      </c>
      <c r="N159" s="38">
        <f t="shared" ref="N159" si="10">I159+M159</f>
        <v>0</v>
      </c>
      <c r="O159" s="38"/>
      <c r="P159" s="38">
        <f t="shared" si="2"/>
        <v>184722.50999999998</v>
      </c>
      <c r="Q159" s="38"/>
      <c r="R159" s="38">
        <f t="shared" si="3"/>
        <v>184722.50999999998</v>
      </c>
      <c r="S159" s="38"/>
      <c r="T159" s="38">
        <f t="shared" si="4"/>
        <v>184722.50999999998</v>
      </c>
    </row>
    <row r="160" spans="1:20">
      <c r="A160" s="39">
        <v>425015</v>
      </c>
      <c r="B160" s="42" t="s">
        <v>1714</v>
      </c>
      <c r="C160" s="42"/>
      <c r="D160" s="42" t="s">
        <v>4388</v>
      </c>
      <c r="E160" s="42" t="s">
        <v>4396</v>
      </c>
      <c r="F160" s="319" t="s">
        <v>4390</v>
      </c>
      <c r="G160" s="319" t="s">
        <v>4390</v>
      </c>
      <c r="H160" s="42" t="s">
        <v>4399</v>
      </c>
      <c r="I160" s="38">
        <f>SUMIFS(Mov!$J:$J,Mov!$E:$E,A160)</f>
        <v>-5000000</v>
      </c>
      <c r="J160" s="38">
        <f>-SUMIF(Bce!A:A,A160,Bce!J:J)</f>
        <v>-5000000</v>
      </c>
      <c r="K160" s="43">
        <f t="shared" ref="K160" si="11">ROUND(I160-J160,2)</f>
        <v>0</v>
      </c>
      <c r="L160" s="38">
        <f>-SUMIF(BceAnt!A:A,A160,BceAnt!J:J)</f>
        <v>0</v>
      </c>
      <c r="M160" s="38">
        <f>SUMIF('P&amp;L'!B:B,A160,'P&amp;L'!Q:Q)*1000</f>
        <v>5000000</v>
      </c>
      <c r="N160" s="38">
        <f t="shared" ref="N160" si="12">I160+M160</f>
        <v>0</v>
      </c>
      <c r="O160" s="38"/>
      <c r="P160" s="38">
        <f t="shared" si="2"/>
        <v>5000000</v>
      </c>
      <c r="Q160" s="38"/>
      <c r="R160" s="38">
        <f t="shared" si="3"/>
        <v>5000000</v>
      </c>
      <c r="S160" s="38"/>
      <c r="T160" s="38">
        <f t="shared" si="4"/>
        <v>5000000</v>
      </c>
    </row>
    <row r="161" spans="1:20">
      <c r="A161" s="39">
        <v>425045</v>
      </c>
      <c r="B161" s="42" t="s">
        <v>4401</v>
      </c>
      <c r="C161" s="42"/>
      <c r="D161" s="42" t="s">
        <v>4388</v>
      </c>
      <c r="E161" s="42" t="s">
        <v>4396</v>
      </c>
      <c r="F161" s="319" t="s">
        <v>4390</v>
      </c>
      <c r="G161" s="319" t="s">
        <v>4390</v>
      </c>
      <c r="H161" s="42" t="s">
        <v>4399</v>
      </c>
      <c r="I161" s="38">
        <f>SUMIFS(Mov!$J:$J,Mov!$E:$E,A161)</f>
        <v>0</v>
      </c>
      <c r="J161" s="38">
        <f>-SUMIF(Bce!A:A,A161,Bce!J:J)</f>
        <v>0</v>
      </c>
      <c r="K161" s="43">
        <f t="shared" ref="K161" si="13">ROUND(I161-J161,2)</f>
        <v>0</v>
      </c>
      <c r="L161" s="38">
        <f>-SUMIF(BceAnt!A:A,A161,BceAnt!J:J)</f>
        <v>0</v>
      </c>
      <c r="M161" s="38">
        <f>SUMIF('P&amp;L'!B:B,A161,'P&amp;L'!Q:Q)*1000</f>
        <v>0</v>
      </c>
      <c r="N161" s="38">
        <f t="shared" ref="N161" si="14">I161+M161</f>
        <v>0</v>
      </c>
      <c r="O161" s="38"/>
      <c r="P161" s="38">
        <f t="shared" ref="P161" si="15">M161+O161</f>
        <v>0</v>
      </c>
      <c r="Q161" s="38"/>
      <c r="R161" s="38">
        <f t="shared" ref="R161" si="16">P161+Q161</f>
        <v>0</v>
      </c>
      <c r="S161" s="38"/>
      <c r="T161" s="38">
        <f t="shared" ref="T161" si="17">R161+S161</f>
        <v>0</v>
      </c>
    </row>
    <row r="162" spans="1:20">
      <c r="A162" s="39">
        <v>42999999</v>
      </c>
      <c r="B162" s="42"/>
      <c r="C162" s="42"/>
      <c r="D162" s="42" t="s">
        <v>4388</v>
      </c>
      <c r="E162" s="42" t="s">
        <v>4396</v>
      </c>
      <c r="F162" s="319" t="s">
        <v>4390</v>
      </c>
      <c r="G162" s="319" t="s">
        <v>4390</v>
      </c>
      <c r="H162" s="42" t="s">
        <v>4400</v>
      </c>
      <c r="I162" s="38">
        <f>SUMIFS(Mov!$J:$J,Mov!$E:$E,A162)</f>
        <v>0</v>
      </c>
      <c r="J162" s="38">
        <f>-SUMIF(Bce!A:A,A162,Bce!J:J)</f>
        <v>0</v>
      </c>
      <c r="K162" s="43">
        <f t="shared" ref="K162" si="18">ROUND(I162-J162,2)</f>
        <v>0</v>
      </c>
      <c r="L162" s="38">
        <f>-SUMIF(BceAnt!A:A,A162,BceAnt!J:J)</f>
        <v>0</v>
      </c>
      <c r="M162" s="38">
        <f>-SUMIF('P&amp;L'!B:B,A162,'P&amp;L'!Q:Q)*1000</f>
        <v>0</v>
      </c>
      <c r="N162" s="38">
        <f t="shared" ref="N162" si="19">I162+M162</f>
        <v>0</v>
      </c>
      <c r="O162" s="38"/>
      <c r="P162" s="38">
        <f t="shared" si="2"/>
        <v>0</v>
      </c>
      <c r="Q162" s="38"/>
      <c r="R162" s="38">
        <f t="shared" si="3"/>
        <v>0</v>
      </c>
      <c r="S162" s="38"/>
      <c r="T162" s="38">
        <f t="shared" si="4"/>
        <v>0</v>
      </c>
    </row>
    <row r="163" spans="1:20">
      <c r="A163" s="39">
        <v>510506</v>
      </c>
      <c r="B163" s="42" t="s">
        <v>1076</v>
      </c>
      <c r="C163" s="42"/>
      <c r="D163" s="42" t="s">
        <v>4388</v>
      </c>
      <c r="E163" s="42" t="s">
        <v>4402</v>
      </c>
      <c r="F163" s="319" t="s">
        <v>4390</v>
      </c>
      <c r="G163" s="319" t="s">
        <v>4390</v>
      </c>
      <c r="H163" s="42" t="s">
        <v>4403</v>
      </c>
      <c r="I163" s="38">
        <f>SUMIFS(Mov!$J:$J,Mov!$E:$E,A163)</f>
        <v>81812032</v>
      </c>
      <c r="J163" s="38">
        <f>SUMIF(Bce!A:A,A163,Bce!J:J)</f>
        <v>74929366</v>
      </c>
      <c r="K163" s="43">
        <f t="shared" si="7"/>
        <v>6882666</v>
      </c>
      <c r="L163" s="38">
        <f>SUMIF(BceAnt!A:A,A163,BceAnt!J:J)</f>
        <v>102476667</v>
      </c>
      <c r="M163" s="294">
        <f>SUMIF('P&amp;L'!B:B,A163,'P&amp;L'!Q:Q)*1000</f>
        <v>81812032</v>
      </c>
      <c r="N163" s="294">
        <f t="shared" ref="N163:N207" si="20">I163-M163</f>
        <v>0</v>
      </c>
      <c r="O163" s="294"/>
      <c r="P163" s="38">
        <f t="shared" si="2"/>
        <v>81812032</v>
      </c>
      <c r="Q163" s="294"/>
      <c r="R163" s="38">
        <f t="shared" si="3"/>
        <v>81812032</v>
      </c>
      <c r="S163" s="294"/>
      <c r="T163" s="38">
        <f t="shared" si="4"/>
        <v>81812032</v>
      </c>
    </row>
    <row r="164" spans="1:20">
      <c r="A164" s="39">
        <v>510507</v>
      </c>
      <c r="B164" s="42" t="s">
        <v>1076</v>
      </c>
      <c r="C164" s="42"/>
      <c r="D164" s="42" t="s">
        <v>4388</v>
      </c>
      <c r="E164" s="42" t="s">
        <v>4402</v>
      </c>
      <c r="F164" s="319" t="s">
        <v>4390</v>
      </c>
      <c r="G164" s="319" t="s">
        <v>4390</v>
      </c>
      <c r="H164" s="42" t="s">
        <v>4403</v>
      </c>
      <c r="I164" s="38">
        <f>SUMIFS(Mov!$J:$J,Mov!$E:$E,A164)</f>
        <v>-6882666</v>
      </c>
      <c r="J164" s="38">
        <f>SUMIF(Bce!A:A,A164,Bce!J:J)</f>
        <v>0</v>
      </c>
      <c r="K164" s="43">
        <f t="shared" ref="K164" si="21">ROUND(I164-J164,2)</f>
        <v>-6882666</v>
      </c>
      <c r="L164" s="38">
        <f>SUMIF(BceAnt!A:A,A164,BceAnt!J:J)</f>
        <v>0</v>
      </c>
      <c r="M164" s="294">
        <f>SUMIF('P&amp;L'!B:B,A164,'P&amp;L'!Q:Q)*1000</f>
        <v>-6882666</v>
      </c>
      <c r="N164" s="294">
        <f t="shared" ref="N164" si="22">I164-M164</f>
        <v>0</v>
      </c>
      <c r="O164" s="294"/>
      <c r="P164" s="38">
        <f t="shared" si="2"/>
        <v>-6882666</v>
      </c>
      <c r="Q164" s="294"/>
      <c r="R164" s="38">
        <f t="shared" si="3"/>
        <v>-6882666</v>
      </c>
      <c r="S164" s="294"/>
      <c r="T164" s="38">
        <f t="shared" si="4"/>
        <v>-6882666</v>
      </c>
    </row>
    <row r="165" spans="1:20">
      <c r="A165" s="39">
        <v>510515</v>
      </c>
      <c r="B165" s="42" t="s">
        <v>1080</v>
      </c>
      <c r="C165" s="42"/>
      <c r="D165" s="42" t="s">
        <v>4388</v>
      </c>
      <c r="E165" s="42" t="s">
        <v>4402</v>
      </c>
      <c r="F165" s="319" t="s">
        <v>4390</v>
      </c>
      <c r="G165" s="319" t="s">
        <v>4390</v>
      </c>
      <c r="H165" s="42" t="s">
        <v>4403</v>
      </c>
      <c r="I165" s="38">
        <f>SUMIFS(Mov!$J:$J,Mov!$E:$E,A165)</f>
        <v>5410427</v>
      </c>
      <c r="J165" s="38">
        <f>SUMIF(Bce!A:A,A165,Bce!J:J)</f>
        <v>5410427</v>
      </c>
      <c r="K165" s="43">
        <f t="shared" ref="K165" si="23">ROUND(I165-J165,2)</f>
        <v>0</v>
      </c>
      <c r="L165" s="38">
        <f>SUMIF(BceAnt!A:A,A165,BceAnt!J:J)</f>
        <v>842944</v>
      </c>
      <c r="M165" s="294">
        <f>SUMIF('P&amp;L'!B:B,A165,'P&amp;L'!Q:Q)*1000</f>
        <v>5410427</v>
      </c>
      <c r="N165" s="294">
        <f t="shared" ref="N165" si="24">I165-M165</f>
        <v>0</v>
      </c>
      <c r="O165" s="294"/>
      <c r="P165" s="38">
        <f t="shared" si="2"/>
        <v>5410427</v>
      </c>
      <c r="Q165" s="294"/>
      <c r="R165" s="38">
        <f t="shared" si="3"/>
        <v>5410427</v>
      </c>
      <c r="S165" s="294"/>
      <c r="T165" s="38">
        <f t="shared" si="4"/>
        <v>5410427</v>
      </c>
    </row>
    <row r="166" spans="1:20">
      <c r="A166" s="39">
        <v>51052101</v>
      </c>
      <c r="B166" s="42" t="s">
        <v>825</v>
      </c>
      <c r="C166" s="42"/>
      <c r="D166" s="42" t="s">
        <v>4388</v>
      </c>
      <c r="E166" s="42" t="s">
        <v>4402</v>
      </c>
      <c r="F166" s="319" t="s">
        <v>4390</v>
      </c>
      <c r="G166" s="319" t="s">
        <v>4390</v>
      </c>
      <c r="H166" s="42" t="s">
        <v>4403</v>
      </c>
      <c r="I166" s="38">
        <f>SUMIFS(Mov!$J:$J,Mov!$E:$E,A166)</f>
        <v>0</v>
      </c>
      <c r="J166" s="38">
        <f>SUMIF(Bce!A:A,A166,Bce!J:J)</f>
        <v>0</v>
      </c>
      <c r="K166" s="43">
        <f t="shared" ref="K166:K222" si="25">ROUND(I166-J166,2)</f>
        <v>0</v>
      </c>
      <c r="L166" s="38">
        <f>SUMIF(BceAnt!A:A,A166,BceAnt!J:J)</f>
        <v>0</v>
      </c>
      <c r="M166" s="294">
        <f>SUMIF('P&amp;L'!B:B,A166,'P&amp;L'!Q:Q)*1000</f>
        <v>0</v>
      </c>
      <c r="N166" s="294">
        <f t="shared" si="20"/>
        <v>0</v>
      </c>
      <c r="O166" s="294"/>
      <c r="P166" s="38">
        <f t="shared" si="2"/>
        <v>0</v>
      </c>
      <c r="Q166" s="294"/>
      <c r="R166" s="38">
        <f t="shared" si="3"/>
        <v>0</v>
      </c>
      <c r="S166" s="294"/>
      <c r="T166" s="38">
        <f t="shared" si="4"/>
        <v>0</v>
      </c>
    </row>
    <row r="167" spans="1:20">
      <c r="A167" s="39">
        <v>51052403</v>
      </c>
      <c r="B167" s="42" t="s">
        <v>1720</v>
      </c>
      <c r="C167" s="42"/>
      <c r="D167" s="42" t="s">
        <v>4388</v>
      </c>
      <c r="E167" s="42" t="s">
        <v>4402</v>
      </c>
      <c r="F167" s="319" t="s">
        <v>4390</v>
      </c>
      <c r="G167" s="319" t="s">
        <v>4390</v>
      </c>
      <c r="H167" s="42" t="s">
        <v>4403</v>
      </c>
      <c r="I167" s="38">
        <f>SUMIFS(Mov!$J:$J,Mov!$E:$E,A167)</f>
        <v>7661250</v>
      </c>
      <c r="J167" s="38">
        <f>SUMIF(Bce!A:A,A167,Bce!J:J)</f>
        <v>7661250</v>
      </c>
      <c r="K167" s="43">
        <f>ROUND(I167-J167,2)</f>
        <v>0</v>
      </c>
      <c r="L167" s="38">
        <f>SUMIF(BceAnt!A:A,A167,BceAnt!J:J)</f>
        <v>0</v>
      </c>
      <c r="M167" s="294">
        <f>SUMIF('P&amp;L'!B:B,A167,'P&amp;L'!Q:Q)*1000</f>
        <v>7661250</v>
      </c>
      <c r="N167" s="294">
        <f t="shared" si="20"/>
        <v>0</v>
      </c>
      <c r="O167" s="294"/>
      <c r="P167" s="38">
        <f t="shared" si="2"/>
        <v>7661250</v>
      </c>
      <c r="Q167" s="294"/>
      <c r="R167" s="38">
        <f t="shared" si="3"/>
        <v>7661250</v>
      </c>
      <c r="S167" s="294"/>
      <c r="T167" s="38">
        <f t="shared" si="4"/>
        <v>7661250</v>
      </c>
    </row>
    <row r="168" spans="1:20">
      <c r="A168" s="39">
        <v>51052408</v>
      </c>
      <c r="B168" s="42" t="s">
        <v>1722</v>
      </c>
      <c r="C168" s="42"/>
      <c r="D168" s="42" t="s">
        <v>4388</v>
      </c>
      <c r="E168" s="42" t="s">
        <v>4402</v>
      </c>
      <c r="F168" s="319" t="s">
        <v>4390</v>
      </c>
      <c r="G168" s="319" t="s">
        <v>4390</v>
      </c>
      <c r="H168" s="42" t="s">
        <v>4403</v>
      </c>
      <c r="I168" s="38">
        <f>SUMIFS(Mov!$J:$J,Mov!$E:$E,A168)</f>
        <v>93500</v>
      </c>
      <c r="J168" s="38">
        <f>SUMIF(Bce!A:A,A168,Bce!J:J)</f>
        <v>93500</v>
      </c>
      <c r="K168" s="43">
        <f t="shared" ref="K168" si="26">ROUND(I168-J168,2)</f>
        <v>0</v>
      </c>
      <c r="L168" s="38">
        <f>SUMIF(BceAnt!A:A,A168,BceAnt!J:J)</f>
        <v>0</v>
      </c>
      <c r="M168" s="294">
        <f>SUMIF('P&amp;L'!B:B,A168,'P&amp;L'!Q:Q)*1000</f>
        <v>93500</v>
      </c>
      <c r="N168" s="294">
        <f t="shared" ref="N168" si="27">I168-M168</f>
        <v>0</v>
      </c>
      <c r="O168" s="294"/>
      <c r="P168" s="38">
        <f t="shared" si="2"/>
        <v>93500</v>
      </c>
      <c r="Q168" s="294"/>
      <c r="R168" s="38">
        <f t="shared" si="3"/>
        <v>93500</v>
      </c>
      <c r="S168" s="294"/>
      <c r="T168" s="38">
        <f t="shared" si="4"/>
        <v>93500</v>
      </c>
    </row>
    <row r="169" spans="1:20">
      <c r="A169" s="39">
        <v>510527</v>
      </c>
      <c r="B169" s="42" t="s">
        <v>1089</v>
      </c>
      <c r="C169" s="42"/>
      <c r="D169" s="42" t="s">
        <v>4388</v>
      </c>
      <c r="E169" s="42" t="s">
        <v>4402</v>
      </c>
      <c r="F169" s="319" t="s">
        <v>4390</v>
      </c>
      <c r="G169" s="319" t="s">
        <v>4390</v>
      </c>
      <c r="H169" s="42" t="s">
        <v>4403</v>
      </c>
      <c r="I169" s="38">
        <f>SUMIFS(Mov!$J:$J,Mov!$E:$E,A169)</f>
        <v>8244198</v>
      </c>
      <c r="J169" s="38">
        <f>SUMIF(Bce!A:A,A169,Bce!J:J)</f>
        <v>8244198</v>
      </c>
      <c r="K169" s="43">
        <f t="shared" si="25"/>
        <v>0</v>
      </c>
      <c r="L169" s="38">
        <f>SUMIF(BceAnt!A:A,A169,BceAnt!J:J)</f>
        <v>5882036</v>
      </c>
      <c r="M169" s="294">
        <f>SUMIF('P&amp;L'!B:B,A169,'P&amp;L'!Q:Q)*1000</f>
        <v>8244197.9999999981</v>
      </c>
      <c r="N169" s="294">
        <f t="shared" si="20"/>
        <v>0</v>
      </c>
      <c r="O169" s="294"/>
      <c r="P169" s="38">
        <f t="shared" si="2"/>
        <v>8244197.9999999981</v>
      </c>
      <c r="Q169" s="294"/>
      <c r="R169" s="38">
        <f t="shared" si="3"/>
        <v>8244197.9999999981</v>
      </c>
      <c r="S169" s="294"/>
      <c r="T169" s="38">
        <f t="shared" si="4"/>
        <v>8244197.9999999981</v>
      </c>
    </row>
    <row r="170" spans="1:20">
      <c r="A170" s="39">
        <v>510530</v>
      </c>
      <c r="B170" s="42" t="s">
        <v>813</v>
      </c>
      <c r="C170" s="42"/>
      <c r="D170" s="42" t="s">
        <v>4388</v>
      </c>
      <c r="E170" s="42" t="s">
        <v>4402</v>
      </c>
      <c r="F170" s="319" t="s">
        <v>4390</v>
      </c>
      <c r="G170" s="319" t="s">
        <v>4390</v>
      </c>
      <c r="H170" s="42" t="s">
        <v>4403</v>
      </c>
      <c r="I170" s="38">
        <f>SUMIFS(Mov!$J:$J,Mov!$E:$E,A170)</f>
        <v>9180983</v>
      </c>
      <c r="J170" s="38">
        <f>SUMIF(Bce!A:A,A170,Bce!J:J)</f>
        <v>9180983</v>
      </c>
      <c r="K170" s="43">
        <f t="shared" si="25"/>
        <v>0</v>
      </c>
      <c r="L170" s="38">
        <f>SUMIF(BceAnt!A:A,A170,BceAnt!J:J)</f>
        <v>9100053</v>
      </c>
      <c r="M170" s="294">
        <f>SUMIF('P&amp;L'!B:B,A170,'P&amp;L'!Q:Q)*1000</f>
        <v>9180983</v>
      </c>
      <c r="N170" s="294">
        <f t="shared" si="20"/>
        <v>0</v>
      </c>
      <c r="O170" s="294"/>
      <c r="P170" s="38">
        <f t="shared" si="2"/>
        <v>9180983</v>
      </c>
      <c r="Q170" s="294"/>
      <c r="R170" s="38">
        <f t="shared" si="3"/>
        <v>9180983</v>
      </c>
      <c r="S170" s="294"/>
      <c r="T170" s="38">
        <f t="shared" si="4"/>
        <v>9180983</v>
      </c>
    </row>
    <row r="171" spans="1:20">
      <c r="A171" s="39">
        <v>510533</v>
      </c>
      <c r="B171" s="42" t="s">
        <v>4404</v>
      </c>
      <c r="C171" s="42"/>
      <c r="D171" s="42" t="s">
        <v>4388</v>
      </c>
      <c r="E171" s="42" t="s">
        <v>4402</v>
      </c>
      <c r="F171" s="319" t="s">
        <v>4390</v>
      </c>
      <c r="G171" s="319" t="s">
        <v>4390</v>
      </c>
      <c r="H171" s="42" t="s">
        <v>4403</v>
      </c>
      <c r="I171" s="38">
        <f>SUMIFS(Mov!$J:$J,Mov!$E:$E,A171)</f>
        <v>447604</v>
      </c>
      <c r="J171" s="38">
        <f>SUMIF(Bce!A:A,A171,Bce!J:J)</f>
        <v>447604</v>
      </c>
      <c r="K171" s="43">
        <f t="shared" si="25"/>
        <v>0</v>
      </c>
      <c r="L171" s="38">
        <f>SUMIF(BceAnt!A:A,A171,BceAnt!J:J)</f>
        <v>1093729</v>
      </c>
      <c r="M171" s="294">
        <f>SUMIF('P&amp;L'!B:B,A171,'P&amp;L'!Q:Q)*1000</f>
        <v>447603.99999999994</v>
      </c>
      <c r="N171" s="294">
        <f t="shared" si="20"/>
        <v>0</v>
      </c>
      <c r="O171" s="294"/>
      <c r="P171" s="38">
        <f t="shared" si="2"/>
        <v>447603.99999999994</v>
      </c>
      <c r="Q171" s="294"/>
      <c r="R171" s="38">
        <f t="shared" si="3"/>
        <v>447603.99999999994</v>
      </c>
      <c r="S171" s="294"/>
      <c r="T171" s="38">
        <f t="shared" si="4"/>
        <v>447603.99999999994</v>
      </c>
    </row>
    <row r="172" spans="1:20">
      <c r="A172" s="39">
        <v>510536</v>
      </c>
      <c r="B172" s="42" t="s">
        <v>783</v>
      </c>
      <c r="C172" s="42"/>
      <c r="D172" s="42" t="s">
        <v>4388</v>
      </c>
      <c r="E172" s="42" t="s">
        <v>4402</v>
      </c>
      <c r="F172" s="319" t="s">
        <v>4390</v>
      </c>
      <c r="G172" s="319" t="s">
        <v>4390</v>
      </c>
      <c r="H172" s="42" t="s">
        <v>4403</v>
      </c>
      <c r="I172" s="38">
        <f>SUMIFS(Mov!$J:$J,Mov!$E:$E,A172)</f>
        <v>9639167</v>
      </c>
      <c r="J172" s="38">
        <f>SUMIF(Bce!A:A,A172,Bce!J:J)</f>
        <v>9639167</v>
      </c>
      <c r="K172" s="43">
        <f t="shared" si="25"/>
        <v>0</v>
      </c>
      <c r="L172" s="38">
        <f>SUMIF(BceAnt!A:A,A172,BceAnt!J:J)</f>
        <v>9100053</v>
      </c>
      <c r="M172" s="294">
        <f>SUMIF('P&amp;L'!B:B,A172,'P&amp;L'!Q:Q)*1000</f>
        <v>9639167</v>
      </c>
      <c r="N172" s="294">
        <f t="shared" si="20"/>
        <v>0</v>
      </c>
      <c r="O172" s="294"/>
      <c r="P172" s="38">
        <f t="shared" si="2"/>
        <v>9639167</v>
      </c>
      <c r="Q172" s="294"/>
      <c r="R172" s="38">
        <f t="shared" si="3"/>
        <v>9639167</v>
      </c>
      <c r="S172" s="294"/>
      <c r="T172" s="38">
        <f t="shared" si="4"/>
        <v>9639167</v>
      </c>
    </row>
    <row r="173" spans="1:20">
      <c r="A173" s="39">
        <v>510539</v>
      </c>
      <c r="B173" s="42" t="s">
        <v>818</v>
      </c>
      <c r="C173" s="42"/>
      <c r="D173" s="42" t="s">
        <v>4388</v>
      </c>
      <c r="E173" s="42" t="s">
        <v>4402</v>
      </c>
      <c r="F173" s="319" t="s">
        <v>4390</v>
      </c>
      <c r="G173" s="319" t="s">
        <v>4390</v>
      </c>
      <c r="H173" s="42" t="s">
        <v>4403</v>
      </c>
      <c r="I173" s="38">
        <f>SUMIFS(Mov!$J:$J,Mov!$E:$E,A173)</f>
        <v>4816204</v>
      </c>
      <c r="J173" s="38">
        <f>SUMIF(Bce!A:A,A173,Bce!J:J)</f>
        <v>4816204</v>
      </c>
      <c r="K173" s="43">
        <f t="shared" si="25"/>
        <v>0</v>
      </c>
      <c r="L173" s="38">
        <f>SUMIF(BceAnt!A:A,A173,BceAnt!J:J)</f>
        <v>4306188</v>
      </c>
      <c r="M173" s="294">
        <f>SUMIF('P&amp;L'!B:B,A173,'P&amp;L'!Q:Q)*1000</f>
        <v>4816204</v>
      </c>
      <c r="N173" s="294">
        <f t="shared" si="20"/>
        <v>0</v>
      </c>
      <c r="O173" s="294"/>
      <c r="P173" s="38">
        <f t="shared" si="2"/>
        <v>4816204</v>
      </c>
      <c r="Q173" s="294"/>
      <c r="R173" s="38">
        <f t="shared" si="3"/>
        <v>4816204</v>
      </c>
      <c r="S173" s="294"/>
      <c r="T173" s="38">
        <f t="shared" si="4"/>
        <v>4816204</v>
      </c>
    </row>
    <row r="174" spans="1:20">
      <c r="A174" s="39">
        <v>51054501</v>
      </c>
      <c r="B174" s="42" t="s">
        <v>1724</v>
      </c>
      <c r="C174" s="42"/>
      <c r="D174" s="42" t="s">
        <v>4388</v>
      </c>
      <c r="E174" s="42" t="s">
        <v>4402</v>
      </c>
      <c r="F174" s="319" t="s">
        <v>4390</v>
      </c>
      <c r="G174" s="319" t="s">
        <v>4390</v>
      </c>
      <c r="H174" s="42" t="s">
        <v>4403</v>
      </c>
      <c r="I174" s="38">
        <f>SUMIFS(Mov!$J:$J,Mov!$E:$E,A174)</f>
        <v>200000</v>
      </c>
      <c r="J174" s="38">
        <f>SUMIF(Bce!A:A,A174,Bce!J:J)</f>
        <v>200000</v>
      </c>
      <c r="K174" s="43">
        <f>ROUND(I174-J174,2)</f>
        <v>0</v>
      </c>
      <c r="L174" s="38">
        <f>SUMIF(BceAnt!A:A,A174,BceAnt!J:J)</f>
        <v>0</v>
      </c>
      <c r="M174" s="294">
        <f>SUMIF('P&amp;L'!B:B,A174,'P&amp;L'!Q:Q)*1000</f>
        <v>200000</v>
      </c>
      <c r="N174" s="294">
        <f t="shared" si="20"/>
        <v>0</v>
      </c>
      <c r="O174" s="294"/>
      <c r="P174" s="38">
        <f t="shared" si="2"/>
        <v>200000</v>
      </c>
      <c r="Q174" s="294"/>
      <c r="R174" s="38">
        <f t="shared" si="3"/>
        <v>200000</v>
      </c>
      <c r="S174" s="294"/>
      <c r="T174" s="38">
        <f t="shared" si="4"/>
        <v>200000</v>
      </c>
    </row>
    <row r="175" spans="1:20">
      <c r="A175" s="39">
        <v>51054801</v>
      </c>
      <c r="B175" s="42" t="s">
        <v>4405</v>
      </c>
      <c r="C175" s="42"/>
      <c r="D175" s="42" t="s">
        <v>4388</v>
      </c>
      <c r="E175" s="42" t="s">
        <v>4402</v>
      </c>
      <c r="F175" s="319" t="s">
        <v>4390</v>
      </c>
      <c r="G175" s="319" t="s">
        <v>4390</v>
      </c>
      <c r="H175" s="42" t="s">
        <v>4403</v>
      </c>
      <c r="I175" s="38">
        <f>SUMIFS(Mov!$J:$J,Mov!$E:$E,A175)</f>
        <v>610000</v>
      </c>
      <c r="J175" s="38">
        <f>SUMIF(Bce!A:A,A175,Bce!J:J)</f>
        <v>610000</v>
      </c>
      <c r="K175" s="43">
        <f t="shared" si="25"/>
        <v>0</v>
      </c>
      <c r="L175" s="38">
        <f>SUMIF(BceAnt!A:A,A175,BceAnt!J:J)</f>
        <v>0</v>
      </c>
      <c r="M175" s="294">
        <f>SUMIF('P&amp;L'!B:B,A175,'P&amp;L'!Q:Q)*1000</f>
        <v>610000</v>
      </c>
      <c r="N175" s="294">
        <f t="shared" si="20"/>
        <v>0</v>
      </c>
      <c r="O175" s="294"/>
      <c r="P175" s="38">
        <f t="shared" si="2"/>
        <v>610000</v>
      </c>
      <c r="Q175" s="294"/>
      <c r="R175" s="38">
        <f t="shared" si="3"/>
        <v>610000</v>
      </c>
      <c r="S175" s="294"/>
      <c r="T175" s="38">
        <f t="shared" si="4"/>
        <v>610000</v>
      </c>
    </row>
    <row r="176" spans="1:20">
      <c r="A176" s="39">
        <v>510551</v>
      </c>
      <c r="B176" s="42" t="s">
        <v>1644</v>
      </c>
      <c r="C176" s="42"/>
      <c r="D176" s="42" t="s">
        <v>4388</v>
      </c>
      <c r="E176" s="42" t="s">
        <v>4402</v>
      </c>
      <c r="F176" s="319" t="s">
        <v>4390</v>
      </c>
      <c r="G176" s="319" t="s">
        <v>4390</v>
      </c>
      <c r="H176" s="42" t="s">
        <v>4403</v>
      </c>
      <c r="I176" s="38">
        <f>SUMIFS(Mov!$J:$J,Mov!$E:$E,A176)</f>
        <v>2603949.8600000003</v>
      </c>
      <c r="J176" s="38">
        <f>SUMIF(Bce!A:A,A176,Bce!J:J)</f>
        <v>2603949.86</v>
      </c>
      <c r="K176" s="43">
        <f t="shared" ref="K176" si="28">ROUND(I176-J176,2)</f>
        <v>0</v>
      </c>
      <c r="L176" s="38">
        <f>SUMIF(BceAnt!A:A,A176,BceAnt!J:J)</f>
        <v>740000</v>
      </c>
      <c r="M176" s="294">
        <f>SUMIF('P&amp;L'!B:B,A176,'P&amp;L'!Q:Q)*1000</f>
        <v>2603949.86</v>
      </c>
      <c r="N176" s="294">
        <f t="shared" ref="N176" si="29">I176-M176</f>
        <v>0</v>
      </c>
      <c r="P176" s="226">
        <f t="shared" si="2"/>
        <v>2603949.86</v>
      </c>
      <c r="Q176" s="295">
        <f>-M176</f>
        <v>-2603949.86</v>
      </c>
      <c r="R176" s="226">
        <f>P176+Q176</f>
        <v>0</v>
      </c>
      <c r="S176" s="295"/>
      <c r="T176" s="226">
        <f t="shared" si="4"/>
        <v>0</v>
      </c>
    </row>
    <row r="177" spans="1:20">
      <c r="A177" s="39">
        <v>510560</v>
      </c>
      <c r="B177" s="42" t="s">
        <v>1107</v>
      </c>
      <c r="C177" s="42"/>
      <c r="D177" s="42" t="s">
        <v>4388</v>
      </c>
      <c r="E177" s="42" t="s">
        <v>4402</v>
      </c>
      <c r="F177" s="319" t="s">
        <v>4390</v>
      </c>
      <c r="G177" s="319" t="s">
        <v>4390</v>
      </c>
      <c r="H177" s="42" t="s">
        <v>4403</v>
      </c>
      <c r="I177" s="38">
        <f>SUMIFS(Mov!$J:$J,Mov!$E:$E,A177)</f>
        <v>6538887</v>
      </c>
      <c r="J177" s="38">
        <f>SUMIF(Bce!A:A,A177,Bce!J:J)</f>
        <v>6538887</v>
      </c>
      <c r="K177" s="43">
        <f>ROUND(I177-J177,2)</f>
        <v>0</v>
      </c>
      <c r="L177" s="38">
        <f>SUMIF(BceAnt!A:A,A177,BceAnt!J:J)</f>
        <v>1505400</v>
      </c>
      <c r="M177" s="294">
        <f>SUMIF('P&amp;L'!B:B,A177,'P&amp;L'!Q:Q)*1000</f>
        <v>6538887</v>
      </c>
      <c r="N177" s="294">
        <f t="shared" si="20"/>
        <v>0</v>
      </c>
      <c r="P177" s="38">
        <f t="shared" si="2"/>
        <v>6538887</v>
      </c>
      <c r="Q177" s="294"/>
      <c r="R177" s="38">
        <f t="shared" ref="R177:R240" si="30">P177+Q177</f>
        <v>6538887</v>
      </c>
      <c r="S177" s="294"/>
      <c r="T177" s="38">
        <f t="shared" si="4"/>
        <v>6538887</v>
      </c>
    </row>
    <row r="178" spans="1:20">
      <c r="A178" s="39">
        <v>510568</v>
      </c>
      <c r="B178" s="42" t="s">
        <v>4406</v>
      </c>
      <c r="C178" s="42"/>
      <c r="D178" s="42" t="s">
        <v>4388</v>
      </c>
      <c r="E178" s="42" t="s">
        <v>4402</v>
      </c>
      <c r="F178" s="319" t="s">
        <v>4390</v>
      </c>
      <c r="G178" s="319" t="s">
        <v>4390</v>
      </c>
      <c r="H178" s="42" t="s">
        <v>4403</v>
      </c>
      <c r="I178" s="38">
        <f>SUMIFS(Mov!$J:$J,Mov!$E:$E,A178)</f>
        <v>463783</v>
      </c>
      <c r="J178" s="38">
        <f>SUMIF(Bce!A:A,A178,Bce!J:J)</f>
        <v>463783</v>
      </c>
      <c r="K178" s="43">
        <f t="shared" si="25"/>
        <v>0</v>
      </c>
      <c r="L178" s="38">
        <f>SUMIF(BceAnt!A:A,A178,BceAnt!J:J)</f>
        <v>534257</v>
      </c>
      <c r="M178" s="294">
        <f>SUMIF('P&amp;L'!B:B,A178,'P&amp;L'!Q:Q)*1000</f>
        <v>463783</v>
      </c>
      <c r="N178" s="294">
        <f t="shared" si="20"/>
        <v>0</v>
      </c>
      <c r="P178" s="38">
        <f t="shared" si="2"/>
        <v>463783</v>
      </c>
      <c r="Q178" s="294"/>
      <c r="R178" s="38">
        <f t="shared" si="30"/>
        <v>463783</v>
      </c>
      <c r="S178" s="294"/>
      <c r="T178" s="38">
        <f t="shared" si="4"/>
        <v>463783</v>
      </c>
    </row>
    <row r="179" spans="1:20">
      <c r="A179" s="39">
        <v>510569</v>
      </c>
      <c r="B179" s="42" t="s">
        <v>4407</v>
      </c>
      <c r="C179" s="42"/>
      <c r="D179" s="42" t="s">
        <v>4388</v>
      </c>
      <c r="E179" s="42" t="s">
        <v>4402</v>
      </c>
      <c r="F179" s="319" t="s">
        <v>4390</v>
      </c>
      <c r="G179" s="319" t="s">
        <v>4390</v>
      </c>
      <c r="H179" s="42" t="s">
        <v>4403</v>
      </c>
      <c r="I179" s="38">
        <f>SUMIFS(Mov!$J:$J,Mov!$E:$E,A179)</f>
        <v>39297</v>
      </c>
      <c r="J179" s="38">
        <f>SUMIF(Bce!A:A,A179,Bce!J:J)</f>
        <v>39297</v>
      </c>
      <c r="K179" s="43">
        <f t="shared" si="25"/>
        <v>0</v>
      </c>
      <c r="L179" s="38">
        <f>SUMIF(BceAnt!A:A,A179,BceAnt!J:J)</f>
        <v>256000</v>
      </c>
      <c r="M179" s="294">
        <f>SUMIF('P&amp;L'!B:B,A179,'P&amp;L'!Q:Q)*1000</f>
        <v>39297</v>
      </c>
      <c r="N179" s="294">
        <f t="shared" si="20"/>
        <v>0</v>
      </c>
      <c r="P179" s="38">
        <f t="shared" si="2"/>
        <v>39297</v>
      </c>
      <c r="Q179" s="294"/>
      <c r="R179" s="38">
        <f t="shared" si="30"/>
        <v>39297</v>
      </c>
      <c r="S179" s="294"/>
      <c r="T179" s="38">
        <f t="shared" si="4"/>
        <v>39297</v>
      </c>
    </row>
    <row r="180" spans="1:20">
      <c r="A180" s="39">
        <v>510570</v>
      </c>
      <c r="B180" s="42" t="s">
        <v>4408</v>
      </c>
      <c r="C180" s="42"/>
      <c r="D180" s="42" t="s">
        <v>4388</v>
      </c>
      <c r="E180" s="42" t="s">
        <v>4402</v>
      </c>
      <c r="F180" s="319" t="s">
        <v>4390</v>
      </c>
      <c r="G180" s="319" t="s">
        <v>4390</v>
      </c>
      <c r="H180" s="42" t="s">
        <v>4403</v>
      </c>
      <c r="I180" s="38">
        <f>SUMIFS(Mov!$J:$J,Mov!$E:$E,A180)</f>
        <v>11852885</v>
      </c>
      <c r="J180" s="38">
        <f>SUMIF(Bce!A:A,A180,Bce!J:J)</f>
        <v>11852885</v>
      </c>
      <c r="K180" s="43">
        <f t="shared" si="25"/>
        <v>0</v>
      </c>
      <c r="L180" s="38">
        <f>SUMIF(BceAnt!A:A,A180,BceAnt!J:J)</f>
        <v>12401647</v>
      </c>
      <c r="M180" s="294">
        <f>SUMIF('P&amp;L'!B:B,A180,'P&amp;L'!Q:Q)*1000</f>
        <v>11852884.999999998</v>
      </c>
      <c r="N180" s="294">
        <f t="shared" si="20"/>
        <v>0</v>
      </c>
      <c r="P180" s="38">
        <f t="shared" si="2"/>
        <v>11852884.999999998</v>
      </c>
      <c r="Q180" s="294"/>
      <c r="R180" s="38">
        <f t="shared" si="30"/>
        <v>11852884.999999998</v>
      </c>
      <c r="S180" s="294"/>
      <c r="T180" s="38">
        <f t="shared" si="4"/>
        <v>11852884.999999998</v>
      </c>
    </row>
    <row r="181" spans="1:20">
      <c r="A181" s="39">
        <v>510572</v>
      </c>
      <c r="B181" s="42" t="s">
        <v>4409</v>
      </c>
      <c r="C181" s="42"/>
      <c r="D181" s="42" t="s">
        <v>4388</v>
      </c>
      <c r="E181" s="42" t="s">
        <v>4402</v>
      </c>
      <c r="F181" s="319" t="s">
        <v>4390</v>
      </c>
      <c r="G181" s="319" t="s">
        <v>4390</v>
      </c>
      <c r="H181" s="42" t="s">
        <v>4403</v>
      </c>
      <c r="I181" s="38">
        <f>SUMIFS(Mov!$J:$J,Mov!$E:$E,A181)</f>
        <v>2251690</v>
      </c>
      <c r="J181" s="38">
        <f>SUMIF(Bce!A:A,A181,Bce!J:J)</f>
        <v>2251690</v>
      </c>
      <c r="K181" s="43">
        <f t="shared" si="25"/>
        <v>0</v>
      </c>
      <c r="L181" s="38">
        <f>SUMIF(BceAnt!A:A,A181,BceAnt!J:J)</f>
        <v>1475030</v>
      </c>
      <c r="M181" s="294">
        <f>SUMIF('P&amp;L'!B:B,A181,'P&amp;L'!Q:Q)*1000</f>
        <v>2251689.9999999995</v>
      </c>
      <c r="N181" s="294">
        <f t="shared" si="20"/>
        <v>0</v>
      </c>
      <c r="P181" s="38">
        <f t="shared" si="2"/>
        <v>2251689.9999999995</v>
      </c>
      <c r="Q181" s="294"/>
      <c r="R181" s="38">
        <f t="shared" si="30"/>
        <v>2251689.9999999995</v>
      </c>
      <c r="S181" s="294"/>
      <c r="T181" s="38">
        <f t="shared" si="4"/>
        <v>2251689.9999999995</v>
      </c>
    </row>
    <row r="182" spans="1:20">
      <c r="A182" s="39">
        <v>510584</v>
      </c>
      <c r="B182" s="42" t="s">
        <v>1126</v>
      </c>
      <c r="C182" s="42"/>
      <c r="D182" s="42" t="s">
        <v>4388</v>
      </c>
      <c r="E182" s="42" t="s">
        <v>4402</v>
      </c>
      <c r="F182" s="319" t="s">
        <v>4390</v>
      </c>
      <c r="G182" s="319" t="s">
        <v>4390</v>
      </c>
      <c r="H182" s="42" t="s">
        <v>4403</v>
      </c>
      <c r="I182" s="38">
        <f>SUMIFS(Mov!$J:$J,Mov!$E:$E,A182)</f>
        <v>0</v>
      </c>
      <c r="J182" s="38">
        <f>SUMIF(Bce!A:A,A182,Bce!J:J)</f>
        <v>0</v>
      </c>
      <c r="K182" s="43">
        <f t="shared" si="25"/>
        <v>0</v>
      </c>
      <c r="L182" s="38">
        <f>SUMIF(BceAnt!A:A,A182,BceAnt!J:J)</f>
        <v>0</v>
      </c>
      <c r="M182" s="294">
        <f>SUMIF('P&amp;L'!B:B,A182,'P&amp;L'!Q:Q)*1000</f>
        <v>0</v>
      </c>
      <c r="N182" s="294">
        <f t="shared" si="20"/>
        <v>0</v>
      </c>
      <c r="P182" s="38">
        <f t="shared" si="2"/>
        <v>0</v>
      </c>
      <c r="Q182" s="294"/>
      <c r="R182" s="38">
        <f t="shared" si="30"/>
        <v>0</v>
      </c>
      <c r="S182" s="294"/>
      <c r="T182" s="38">
        <f t="shared" si="4"/>
        <v>0</v>
      </c>
    </row>
    <row r="183" spans="1:20">
      <c r="A183" s="39">
        <v>51059501</v>
      </c>
      <c r="B183" s="42" t="s">
        <v>1130</v>
      </c>
      <c r="C183" s="42"/>
      <c r="D183" s="42" t="s">
        <v>4388</v>
      </c>
      <c r="E183" s="42" t="s">
        <v>4402</v>
      </c>
      <c r="F183" s="319" t="s">
        <v>4390</v>
      </c>
      <c r="G183" s="319" t="s">
        <v>4390</v>
      </c>
      <c r="H183" s="42" t="s">
        <v>4403</v>
      </c>
      <c r="I183" s="38">
        <f>SUMIFS(Mov!$J:$J,Mov!$E:$E,A183)</f>
        <v>855000</v>
      </c>
      <c r="J183" s="38">
        <f>SUMIF(Bce!A:A,A183,Bce!J:J)</f>
        <v>855000</v>
      </c>
      <c r="K183" s="43">
        <f t="shared" ref="K183" si="31">ROUND(I183-J183,2)</f>
        <v>0</v>
      </c>
      <c r="L183" s="38">
        <f>SUMIF(BceAnt!A:A,A183,BceAnt!J:J)</f>
        <v>943000</v>
      </c>
      <c r="M183" s="294">
        <f>SUMIF('P&amp;L'!B:B,A183,'P&amp;L'!Q:Q)*1000</f>
        <v>855000</v>
      </c>
      <c r="N183" s="294">
        <f t="shared" si="20"/>
        <v>0</v>
      </c>
      <c r="P183" s="38">
        <f t="shared" si="2"/>
        <v>855000</v>
      </c>
      <c r="Q183" s="294"/>
      <c r="R183" s="38">
        <f t="shared" si="30"/>
        <v>855000</v>
      </c>
      <c r="S183" s="294"/>
      <c r="T183" s="38">
        <f t="shared" si="4"/>
        <v>855000</v>
      </c>
    </row>
    <row r="184" spans="1:20">
      <c r="A184" s="39">
        <v>51059510</v>
      </c>
      <c r="B184" s="42" t="s">
        <v>4410</v>
      </c>
      <c r="C184" s="42"/>
      <c r="D184" s="42" t="s">
        <v>4388</v>
      </c>
      <c r="E184" s="42" t="s">
        <v>4402</v>
      </c>
      <c r="F184" s="319" t="s">
        <v>4390</v>
      </c>
      <c r="G184" s="319" t="s">
        <v>4390</v>
      </c>
      <c r="H184" s="42" t="s">
        <v>4403</v>
      </c>
      <c r="I184" s="38">
        <f>SUMIFS(Mov!$J:$J,Mov!$E:$E,A184)</f>
        <v>10992199</v>
      </c>
      <c r="J184" s="38">
        <f>SUMIF(Bce!A:A,A184,Bce!J:J)</f>
        <v>10992199</v>
      </c>
      <c r="K184" s="43">
        <f t="shared" si="25"/>
        <v>0</v>
      </c>
      <c r="L184" s="38">
        <f>SUMIF(BceAnt!A:A,A184,BceAnt!J:J)</f>
        <v>0</v>
      </c>
      <c r="M184" s="294">
        <f>SUMIF('P&amp;L'!B:B,A184,'P&amp;L'!Q:Q)*1000</f>
        <v>10992198.999999998</v>
      </c>
      <c r="N184" s="294">
        <f t="shared" si="20"/>
        <v>0</v>
      </c>
      <c r="P184" s="38">
        <f t="shared" si="2"/>
        <v>10992198.999999998</v>
      </c>
      <c r="Q184" s="294"/>
      <c r="R184" s="38">
        <f t="shared" si="30"/>
        <v>10992198.999999998</v>
      </c>
      <c r="S184" s="294"/>
      <c r="T184" s="38">
        <f t="shared" si="4"/>
        <v>10992198.999999998</v>
      </c>
    </row>
    <row r="185" spans="1:20">
      <c r="A185" s="39">
        <v>511010</v>
      </c>
      <c r="B185" s="42" t="s">
        <v>4411</v>
      </c>
      <c r="C185" s="42"/>
      <c r="D185" s="42" t="s">
        <v>4388</v>
      </c>
      <c r="E185" s="42" t="s">
        <v>4402</v>
      </c>
      <c r="F185" s="319" t="s">
        <v>4390</v>
      </c>
      <c r="G185" s="319" t="s">
        <v>4390</v>
      </c>
      <c r="H185" s="42" t="s">
        <v>4412</v>
      </c>
      <c r="I185" s="38">
        <f>SUMIFS(Mov!$J:$J,Mov!$E:$E,A185)</f>
        <v>0</v>
      </c>
      <c r="J185" s="38">
        <f>SUMIF(Bce!A:A,A185,Bce!J:J)</f>
        <v>0</v>
      </c>
      <c r="K185" s="43">
        <f>ROUND(I185-J185,2)</f>
        <v>0</v>
      </c>
      <c r="L185" s="38">
        <f>SUMIF(BceAnt!A:A,A185,BceAnt!J:J)</f>
        <v>0</v>
      </c>
      <c r="M185" s="294">
        <f>SUMIF('P&amp;L'!B:B,A185,'P&amp;L'!Q:Q)*1000</f>
        <v>0</v>
      </c>
      <c r="N185" s="294">
        <f t="shared" si="20"/>
        <v>0</v>
      </c>
      <c r="P185" s="38">
        <f t="shared" si="2"/>
        <v>0</v>
      </c>
      <c r="Q185" s="294"/>
      <c r="R185" s="38">
        <f t="shared" si="30"/>
        <v>0</v>
      </c>
      <c r="S185" s="294"/>
      <c r="T185" s="38">
        <f t="shared" si="4"/>
        <v>0</v>
      </c>
    </row>
    <row r="186" spans="1:20">
      <c r="A186" s="39">
        <v>51102501</v>
      </c>
      <c r="B186" s="42" t="s">
        <v>464</v>
      </c>
      <c r="C186" s="42"/>
      <c r="D186" s="42" t="s">
        <v>4388</v>
      </c>
      <c r="E186" s="42" t="s">
        <v>4402</v>
      </c>
      <c r="F186" s="319" t="s">
        <v>4390</v>
      </c>
      <c r="G186" s="319" t="s">
        <v>4390</v>
      </c>
      <c r="H186" s="42" t="s">
        <v>4403</v>
      </c>
      <c r="I186" s="38">
        <f>SUMIFS(Mov!$J:$J,Mov!$E:$E,A186)</f>
        <v>0</v>
      </c>
      <c r="J186" s="38">
        <f>SUMIF(Bce!A:A,A186,Bce!J:J)</f>
        <v>0</v>
      </c>
      <c r="K186" s="43">
        <f t="shared" si="25"/>
        <v>0</v>
      </c>
      <c r="L186" s="38">
        <f>SUMIF(BceAnt!A:A,A186,BceAnt!J:J)</f>
        <v>130000</v>
      </c>
      <c r="M186" s="294">
        <f>SUMIF('P&amp;L'!B:B,A186,'P&amp;L'!Q:Q)*1000</f>
        <v>0</v>
      </c>
      <c r="N186" s="294">
        <f t="shared" si="20"/>
        <v>0</v>
      </c>
      <c r="P186" s="38">
        <f t="shared" si="2"/>
        <v>0</v>
      </c>
      <c r="Q186" s="294"/>
      <c r="R186" s="38">
        <f t="shared" si="30"/>
        <v>0</v>
      </c>
      <c r="S186" s="294"/>
      <c r="T186" s="38">
        <f t="shared" si="4"/>
        <v>0</v>
      </c>
    </row>
    <row r="187" spans="1:20">
      <c r="A187" s="39">
        <v>511030</v>
      </c>
      <c r="B187" s="42" t="s">
        <v>4413</v>
      </c>
      <c r="C187" s="42"/>
      <c r="D187" s="42" t="s">
        <v>4388</v>
      </c>
      <c r="E187" s="42" t="s">
        <v>4402</v>
      </c>
      <c r="F187" s="319" t="s">
        <v>4390</v>
      </c>
      <c r="G187" s="319" t="s">
        <v>4390</v>
      </c>
      <c r="H187" s="42" t="s">
        <v>4412</v>
      </c>
      <c r="I187" s="38">
        <f>SUMIFS(Mov!$J:$J,Mov!$E:$E,A187)</f>
        <v>0</v>
      </c>
      <c r="J187" s="38">
        <f>SUMIF(Bce!A:A,A187,Bce!J:J)</f>
        <v>0</v>
      </c>
      <c r="K187" s="43">
        <f t="shared" si="25"/>
        <v>0</v>
      </c>
      <c r="L187" s="38">
        <f>SUMIF(BceAnt!A:A,A187,BceAnt!J:J)</f>
        <v>0</v>
      </c>
      <c r="M187" s="294">
        <f>SUMIF('P&amp;L'!B:B,A187,'P&amp;L'!Q:Q)*1000</f>
        <v>0</v>
      </c>
      <c r="N187" s="294">
        <f t="shared" si="20"/>
        <v>0</v>
      </c>
      <c r="P187" s="38">
        <f t="shared" si="2"/>
        <v>0</v>
      </c>
      <c r="Q187" s="294"/>
      <c r="R187" s="38">
        <f t="shared" si="30"/>
        <v>0</v>
      </c>
      <c r="S187" s="294"/>
      <c r="T187" s="38">
        <f t="shared" si="4"/>
        <v>0</v>
      </c>
    </row>
    <row r="188" spans="1:20">
      <c r="A188" s="39">
        <v>51103501</v>
      </c>
      <c r="B188" s="42" t="s">
        <v>1732</v>
      </c>
      <c r="C188" s="42"/>
      <c r="D188" s="42" t="s">
        <v>4388</v>
      </c>
      <c r="E188" s="42" t="s">
        <v>4402</v>
      </c>
      <c r="F188" s="319" t="s">
        <v>4390</v>
      </c>
      <c r="G188" s="319" t="s">
        <v>4390</v>
      </c>
      <c r="H188" s="42" t="s">
        <v>4412</v>
      </c>
      <c r="I188" s="38">
        <f>SUMIFS(Mov!$J:$J,Mov!$E:$E,A188)</f>
        <v>350000</v>
      </c>
      <c r="J188" s="38">
        <f>SUMIF(Bce!A:A,A188,Bce!J:J)</f>
        <v>350000</v>
      </c>
      <c r="K188" s="43">
        <f t="shared" ref="K188" si="32">ROUND(I188-J188,2)</f>
        <v>0</v>
      </c>
      <c r="L188" s="38">
        <f>SUMIF(BceAnt!A:A,A188,BceAnt!J:J)</f>
        <v>0</v>
      </c>
      <c r="M188" s="294">
        <f>SUMIF('P&amp;L'!B:B,A188,'P&amp;L'!Q:Q)*1000</f>
        <v>350000</v>
      </c>
      <c r="N188" s="294">
        <f t="shared" ref="N188" si="33">I188-M188</f>
        <v>0</v>
      </c>
      <c r="P188" s="38">
        <f t="shared" si="2"/>
        <v>350000</v>
      </c>
      <c r="Q188" s="294"/>
      <c r="R188" s="38">
        <f t="shared" si="30"/>
        <v>350000</v>
      </c>
      <c r="S188" s="294"/>
      <c r="T188" s="38">
        <f t="shared" si="4"/>
        <v>350000</v>
      </c>
    </row>
    <row r="189" spans="1:20">
      <c r="A189" s="39">
        <v>51109501</v>
      </c>
      <c r="B189" s="42" t="s">
        <v>468</v>
      </c>
      <c r="C189" s="42"/>
      <c r="D189" s="42" t="s">
        <v>4388</v>
      </c>
      <c r="E189" s="42" t="s">
        <v>4402</v>
      </c>
      <c r="F189" s="319" t="s">
        <v>4390</v>
      </c>
      <c r="G189" s="319" t="s">
        <v>4390</v>
      </c>
      <c r="H189" s="42" t="s">
        <v>4412</v>
      </c>
      <c r="I189" s="38">
        <f>SUMIFS(Mov!$J:$J,Mov!$E:$E,A189)</f>
        <v>261120</v>
      </c>
      <c r="J189" s="38">
        <f>SUMIF(Bce!A:A,A189,Bce!J:J)</f>
        <v>261120</v>
      </c>
      <c r="K189" s="43">
        <f t="shared" si="25"/>
        <v>0</v>
      </c>
      <c r="L189" s="38">
        <f>SUMIF(BceAnt!A:A,A189,BceAnt!J:J)</f>
        <v>1181880</v>
      </c>
      <c r="M189" s="294">
        <f>SUMIF('P&amp;L'!B:B,A189,'P&amp;L'!Q:Q)*1000</f>
        <v>261120</v>
      </c>
      <c r="N189" s="294">
        <f t="shared" si="20"/>
        <v>0</v>
      </c>
      <c r="P189" s="38">
        <f t="shared" si="2"/>
        <v>261120</v>
      </c>
      <c r="Q189" s="294"/>
      <c r="R189" s="38">
        <f t="shared" si="30"/>
        <v>261120</v>
      </c>
      <c r="S189" s="294"/>
      <c r="T189" s="38">
        <f t="shared" si="4"/>
        <v>261120</v>
      </c>
    </row>
    <row r="190" spans="1:20">
      <c r="A190" s="39">
        <v>51109502</v>
      </c>
      <c r="B190" s="42" t="s">
        <v>1734</v>
      </c>
      <c r="C190" s="42"/>
      <c r="D190" s="42" t="s">
        <v>4388</v>
      </c>
      <c r="E190" s="42" t="s">
        <v>4402</v>
      </c>
      <c r="F190" s="319" t="s">
        <v>4390</v>
      </c>
      <c r="G190" s="319" t="s">
        <v>4390</v>
      </c>
      <c r="H190" s="42" t="s">
        <v>4412</v>
      </c>
      <c r="I190" s="38">
        <f>SUMIFS(Mov!$J:$J,Mov!$E:$E,A190)</f>
        <v>675000</v>
      </c>
      <c r="J190" s="38">
        <f>SUMIF(Bce!A:A,A190,Bce!J:J)</f>
        <v>675000</v>
      </c>
      <c r="K190" s="43">
        <f t="shared" ref="K190" si="34">ROUND(I190-J190,2)</f>
        <v>0</v>
      </c>
      <c r="L190" s="38">
        <f>SUMIF(BceAnt!A:A,A190,BceAnt!J:J)</f>
        <v>320000</v>
      </c>
      <c r="M190" s="294">
        <f>SUMIF('P&amp;L'!B:B,A190,'P&amp;L'!Q:Q)*1000</f>
        <v>675000</v>
      </c>
      <c r="N190" s="294">
        <f t="shared" ref="N190" si="35">I190-M190</f>
        <v>0</v>
      </c>
      <c r="P190" s="38">
        <f t="shared" si="2"/>
        <v>675000</v>
      </c>
      <c r="Q190" s="294"/>
      <c r="R190" s="38">
        <f t="shared" si="30"/>
        <v>675000</v>
      </c>
      <c r="S190" s="294"/>
      <c r="T190" s="38">
        <f t="shared" si="4"/>
        <v>675000</v>
      </c>
    </row>
    <row r="191" spans="1:20">
      <c r="A191" s="39">
        <v>511505</v>
      </c>
      <c r="B191" s="42" t="s">
        <v>4414</v>
      </c>
      <c r="C191" s="42"/>
      <c r="D191" s="42" t="s">
        <v>4388</v>
      </c>
      <c r="E191" s="42" t="s">
        <v>4402</v>
      </c>
      <c r="F191" s="319" t="s">
        <v>4390</v>
      </c>
      <c r="G191" s="319" t="s">
        <v>4390</v>
      </c>
      <c r="H191" s="42" t="s">
        <v>4415</v>
      </c>
      <c r="I191" s="38">
        <f>SUMIFS(Mov!$J:$J,Mov!$E:$E,A191)</f>
        <v>1000</v>
      </c>
      <c r="J191" s="38">
        <f>SUMIF(Bce!A:A,A191,Bce!J:J)</f>
        <v>1000</v>
      </c>
      <c r="K191" s="43">
        <f t="shared" si="25"/>
        <v>0</v>
      </c>
      <c r="L191" s="38">
        <f>SUMIF(BceAnt!A:A,A191,BceAnt!J:J)</f>
        <v>98000</v>
      </c>
      <c r="M191" s="294">
        <f>SUMIF('P&amp;L'!B:B,A191,'P&amp;L'!Q:Q)*1000</f>
        <v>1000</v>
      </c>
      <c r="N191" s="294">
        <f t="shared" si="20"/>
        <v>0</v>
      </c>
      <c r="P191" s="38">
        <f t="shared" si="2"/>
        <v>1000</v>
      </c>
      <c r="Q191" s="294"/>
      <c r="R191" s="38">
        <f t="shared" si="30"/>
        <v>1000</v>
      </c>
      <c r="S191" s="294"/>
      <c r="T191" s="38">
        <f t="shared" si="4"/>
        <v>1000</v>
      </c>
    </row>
    <row r="192" spans="1:20">
      <c r="A192" s="39">
        <v>511570</v>
      </c>
      <c r="B192" s="42" t="s">
        <v>745</v>
      </c>
      <c r="C192" s="42"/>
      <c r="D192" s="42" t="s">
        <v>4388</v>
      </c>
      <c r="E192" s="42" t="s">
        <v>4402</v>
      </c>
      <c r="F192" s="319" t="s">
        <v>4390</v>
      </c>
      <c r="G192" s="319" t="s">
        <v>4390</v>
      </c>
      <c r="H192" s="42" t="s">
        <v>4415</v>
      </c>
      <c r="I192" s="38">
        <f>SUMIFS(Mov!$J:$J,Mov!$E:$E,A192)</f>
        <v>0</v>
      </c>
      <c r="J192" s="38">
        <f>SUMIF(Bce!A:A,A192,Bce!J:J)</f>
        <v>0</v>
      </c>
      <c r="K192" s="43">
        <f t="shared" si="25"/>
        <v>0</v>
      </c>
      <c r="L192" s="38">
        <f>SUMIF(BceAnt!A:A,A192,BceAnt!J:J)</f>
        <v>0</v>
      </c>
      <c r="M192" s="294">
        <f>SUMIF('P&amp;L'!B:B,A192,'P&amp;L'!Q:Q)*1000</f>
        <v>0</v>
      </c>
      <c r="N192" s="294">
        <f t="shared" si="20"/>
        <v>0</v>
      </c>
      <c r="P192" s="38">
        <f t="shared" si="2"/>
        <v>0</v>
      </c>
      <c r="Q192" s="294"/>
      <c r="R192" s="38">
        <f t="shared" si="30"/>
        <v>0</v>
      </c>
      <c r="S192" s="294"/>
      <c r="T192" s="38">
        <f t="shared" si="4"/>
        <v>0</v>
      </c>
    </row>
    <row r="193" spans="1:20">
      <c r="A193" s="39">
        <v>51159501</v>
      </c>
      <c r="B193" s="42" t="s">
        <v>4416</v>
      </c>
      <c r="C193" s="42"/>
      <c r="D193" s="42" t="s">
        <v>4388</v>
      </c>
      <c r="E193" s="42" t="s">
        <v>4402</v>
      </c>
      <c r="F193" s="319" t="s">
        <v>4390</v>
      </c>
      <c r="G193" s="319" t="s">
        <v>4390</v>
      </c>
      <c r="H193" s="42" t="s">
        <v>4415</v>
      </c>
      <c r="I193" s="38">
        <f>SUMIFS(Mov!$J:$J,Mov!$E:$E,A193)</f>
        <v>3401300.8899999997</v>
      </c>
      <c r="J193" s="38">
        <f>SUMIF(Bce!A:A,A193,Bce!J:J)</f>
        <v>3401300.89</v>
      </c>
      <c r="K193" s="43">
        <f t="shared" si="25"/>
        <v>0</v>
      </c>
      <c r="L193" s="38">
        <f>SUMIF(BceAnt!A:A,A193,BceAnt!J:J)</f>
        <v>2351821.7200000002</v>
      </c>
      <c r="M193" s="294">
        <f>SUMIF('P&amp;L'!B:B,A193,'P&amp;L'!Q:Q)*1000</f>
        <v>3401300.8899999997</v>
      </c>
      <c r="N193" s="294">
        <f t="shared" si="20"/>
        <v>0</v>
      </c>
      <c r="P193" s="226">
        <f t="shared" si="2"/>
        <v>3401300.8899999997</v>
      </c>
      <c r="Q193" s="295">
        <f>-M193/2</f>
        <v>-1700650.4449999998</v>
      </c>
      <c r="R193" s="226">
        <f t="shared" si="30"/>
        <v>1700650.4449999998</v>
      </c>
      <c r="S193" s="295"/>
      <c r="T193" s="226">
        <f t="shared" si="4"/>
        <v>1700650.4449999998</v>
      </c>
    </row>
    <row r="194" spans="1:20">
      <c r="A194" s="39">
        <v>51159502</v>
      </c>
      <c r="B194" s="42" t="s">
        <v>1736</v>
      </c>
      <c r="C194" s="42"/>
      <c r="D194" s="42" t="s">
        <v>4388</v>
      </c>
      <c r="E194" s="42" t="s">
        <v>4402</v>
      </c>
      <c r="F194" s="319" t="s">
        <v>4390</v>
      </c>
      <c r="G194" s="319" t="s">
        <v>4390</v>
      </c>
      <c r="H194" s="42" t="s">
        <v>4415</v>
      </c>
      <c r="I194" s="38">
        <f>SUMIFS(Mov!$J:$J,Mov!$E:$E,A194)</f>
        <v>1658.34</v>
      </c>
      <c r="J194" s="38">
        <f>SUMIF(Bce!A:A,A194,Bce!J:J)</f>
        <v>1658.34</v>
      </c>
      <c r="K194" s="43">
        <f t="shared" ref="K194" si="36">ROUND(I194-J194,2)</f>
        <v>0</v>
      </c>
      <c r="L194" s="38">
        <f>SUMIF(BceAnt!A:A,A194,BceAnt!J:J)</f>
        <v>0</v>
      </c>
      <c r="M194" s="294">
        <f>SUMIF('P&amp;L'!B:B,A194,'P&amp;L'!Q:Q)*1000</f>
        <v>1658.34</v>
      </c>
      <c r="N194" s="294">
        <f t="shared" ref="N194" si="37">I194-M194</f>
        <v>0</v>
      </c>
      <c r="P194" s="38">
        <f t="shared" si="2"/>
        <v>1658.34</v>
      </c>
      <c r="Q194" s="294"/>
      <c r="R194" s="38">
        <f t="shared" si="30"/>
        <v>1658.34</v>
      </c>
      <c r="S194" s="294"/>
      <c r="T194" s="38">
        <f t="shared" si="4"/>
        <v>1658.34</v>
      </c>
    </row>
    <row r="195" spans="1:20">
      <c r="A195" s="39">
        <v>51201001</v>
      </c>
      <c r="B195" s="42" t="s">
        <v>4319</v>
      </c>
      <c r="C195" s="42"/>
      <c r="D195" s="42" t="s">
        <v>4388</v>
      </c>
      <c r="E195" s="42" t="s">
        <v>4402</v>
      </c>
      <c r="F195" s="319" t="s">
        <v>4390</v>
      </c>
      <c r="G195" s="319" t="s">
        <v>4390</v>
      </c>
      <c r="H195" s="42" t="s">
        <v>4417</v>
      </c>
      <c r="I195" s="38">
        <f>SUMIFS(Mov!$J:$J,Mov!$E:$E,A195)</f>
        <v>175759200</v>
      </c>
      <c r="J195" s="38">
        <f>SUMIF(Bce!A:A,A195,Bce!J:J)</f>
        <v>175759200</v>
      </c>
      <c r="K195" s="43">
        <f t="shared" si="25"/>
        <v>0</v>
      </c>
      <c r="L195" s="38">
        <f>SUMIF(BceAnt!A:A,A195,BceAnt!J:J)</f>
        <v>206021700</v>
      </c>
      <c r="M195" s="294">
        <f>SUMIF('P&amp;L'!B:B,A195,'P&amp;L'!Q:Q)*1000</f>
        <v>175759200</v>
      </c>
      <c r="N195" s="294">
        <f t="shared" si="20"/>
        <v>0</v>
      </c>
      <c r="P195" s="38">
        <f t="shared" si="2"/>
        <v>175759200</v>
      </c>
      <c r="Q195" s="294"/>
      <c r="R195" s="38">
        <f t="shared" si="30"/>
        <v>175759200</v>
      </c>
      <c r="S195" s="294"/>
      <c r="T195" s="38">
        <f t="shared" si="4"/>
        <v>175759200</v>
      </c>
    </row>
    <row r="196" spans="1:20">
      <c r="A196" s="39">
        <v>512025</v>
      </c>
      <c r="B196" s="42" t="s">
        <v>392</v>
      </c>
      <c r="C196" s="42"/>
      <c r="D196" s="42" t="s">
        <v>4388</v>
      </c>
      <c r="E196" s="42" t="s">
        <v>4402</v>
      </c>
      <c r="F196" s="319" t="s">
        <v>4390</v>
      </c>
      <c r="G196" s="319" t="s">
        <v>4390</v>
      </c>
      <c r="H196" s="42" t="s">
        <v>4417</v>
      </c>
      <c r="I196" s="38">
        <f>SUMIFS(Mov!$J:$J,Mov!$E:$E,A196)</f>
        <v>0</v>
      </c>
      <c r="J196" s="38">
        <f>SUMIF(Bce!A:A,A196,Bce!J:J)</f>
        <v>0</v>
      </c>
      <c r="K196" s="43">
        <f t="shared" ref="K196" si="38">ROUND(I196-J196,2)</f>
        <v>0</v>
      </c>
      <c r="L196" s="38">
        <f>SUMIF(BceAnt!A:A,A196,BceAnt!J:J)</f>
        <v>180000</v>
      </c>
      <c r="M196" s="294">
        <f>SUMIF('P&amp;L'!B:B,A196,'P&amp;L'!Q:Q)*1000</f>
        <v>0</v>
      </c>
      <c r="N196" s="294">
        <f t="shared" ref="N196" si="39">I196-M196</f>
        <v>0</v>
      </c>
      <c r="P196" s="38">
        <f t="shared" si="2"/>
        <v>0</v>
      </c>
      <c r="Q196" s="294"/>
      <c r="R196" s="38">
        <f t="shared" si="30"/>
        <v>0</v>
      </c>
      <c r="S196" s="294"/>
      <c r="T196" s="38">
        <f t="shared" si="4"/>
        <v>0</v>
      </c>
    </row>
    <row r="197" spans="1:20">
      <c r="A197" s="39">
        <v>512095</v>
      </c>
      <c r="B197" s="42" t="s">
        <v>4418</v>
      </c>
      <c r="C197" s="42"/>
      <c r="D197" s="42" t="s">
        <v>4388</v>
      </c>
      <c r="E197" s="42" t="s">
        <v>4402</v>
      </c>
      <c r="F197" s="319" t="s">
        <v>4390</v>
      </c>
      <c r="G197" s="319" t="s">
        <v>4390</v>
      </c>
      <c r="H197" s="42" t="s">
        <v>4417</v>
      </c>
      <c r="I197" s="38">
        <f>SUMIFS(Mov!$J:$J,Mov!$E:$E,A197)</f>
        <v>0</v>
      </c>
      <c r="J197" s="38">
        <f>SUMIF(Bce!A:A,A197,Bce!J:J)</f>
        <v>0</v>
      </c>
      <c r="K197" s="43">
        <f t="shared" ref="K197" si="40">ROUND(I197-J197,2)</f>
        <v>0</v>
      </c>
      <c r="L197" s="38">
        <f>SUMIF(BceAnt!A:A,A197,BceAnt!J:J)</f>
        <v>480000</v>
      </c>
      <c r="M197" s="294">
        <f>SUMIF('P&amp;L'!B:B,A197,'P&amp;L'!Q:Q)*1000</f>
        <v>0</v>
      </c>
      <c r="N197" s="294">
        <f t="shared" ref="N197" si="41">I197-M197</f>
        <v>0</v>
      </c>
      <c r="P197" s="38">
        <f t="shared" si="2"/>
        <v>0</v>
      </c>
      <c r="Q197" s="294"/>
      <c r="R197" s="38">
        <f t="shared" si="30"/>
        <v>0</v>
      </c>
      <c r="S197" s="294"/>
      <c r="T197" s="38">
        <f t="shared" si="4"/>
        <v>0</v>
      </c>
    </row>
    <row r="198" spans="1:20">
      <c r="A198" s="39">
        <v>512505</v>
      </c>
      <c r="B198" s="42" t="s">
        <v>4419</v>
      </c>
      <c r="C198" s="42"/>
      <c r="D198" s="42" t="s">
        <v>4388</v>
      </c>
      <c r="E198" s="42" t="s">
        <v>4402</v>
      </c>
      <c r="F198" s="319" t="s">
        <v>4390</v>
      </c>
      <c r="G198" s="319" t="s">
        <v>4390</v>
      </c>
      <c r="H198" s="42" t="s">
        <v>4420</v>
      </c>
      <c r="I198" s="38">
        <f>SUMIFS(Mov!$J:$J,Mov!$E:$E,A198)</f>
        <v>0</v>
      </c>
      <c r="J198" s="38">
        <f>SUMIF(Bce!A:A,A198,Bce!J:J)</f>
        <v>0</v>
      </c>
      <c r="K198" s="43">
        <f t="shared" si="25"/>
        <v>0</v>
      </c>
      <c r="L198" s="38">
        <f>SUMIF(BceAnt!A:A,A198,BceAnt!J:J)</f>
        <v>0</v>
      </c>
      <c r="M198" s="294">
        <f>SUMIF('P&amp;L'!B:B,A198,'P&amp;L'!Q:Q)*1000</f>
        <v>0</v>
      </c>
      <c r="N198" s="294">
        <f t="shared" si="20"/>
        <v>0</v>
      </c>
      <c r="P198" s="38">
        <f t="shared" ref="P198:P262" si="42">M198+O198</f>
        <v>0</v>
      </c>
      <c r="Q198" s="294"/>
      <c r="R198" s="38">
        <f t="shared" si="30"/>
        <v>0</v>
      </c>
      <c r="S198" s="294"/>
      <c r="T198" s="38">
        <f t="shared" si="4"/>
        <v>0</v>
      </c>
    </row>
    <row r="199" spans="1:20">
      <c r="A199" s="39">
        <v>513010</v>
      </c>
      <c r="B199" s="42" t="s">
        <v>4421</v>
      </c>
      <c r="C199" s="42"/>
      <c r="D199" s="42" t="s">
        <v>4388</v>
      </c>
      <c r="E199" s="42" t="s">
        <v>4402</v>
      </c>
      <c r="F199" s="319" t="s">
        <v>4390</v>
      </c>
      <c r="G199" s="319" t="s">
        <v>4390</v>
      </c>
      <c r="H199" s="42" t="s">
        <v>4422</v>
      </c>
      <c r="I199" s="38">
        <f>SUMIFS(Mov!$J:$J,Mov!$E:$E,A199)</f>
        <v>0</v>
      </c>
      <c r="J199" s="38">
        <f>SUMIF(Bce!A:A,A199,Bce!J:J)</f>
        <v>0</v>
      </c>
      <c r="K199" s="43">
        <f t="shared" si="25"/>
        <v>0</v>
      </c>
      <c r="L199" s="38">
        <f>SUMIF(BceAnt!A:A,A199,BceAnt!J:J)</f>
        <v>0</v>
      </c>
      <c r="M199" s="294">
        <f>SUMIF('P&amp;L'!B:B,A199,'P&amp;L'!Q:Q)*1000</f>
        <v>0</v>
      </c>
      <c r="N199" s="294">
        <f t="shared" si="20"/>
        <v>0</v>
      </c>
      <c r="P199" s="38">
        <f t="shared" si="42"/>
        <v>0</v>
      </c>
      <c r="Q199" s="294"/>
      <c r="R199" s="38">
        <f t="shared" si="30"/>
        <v>0</v>
      </c>
      <c r="S199" s="294"/>
      <c r="T199" s="38">
        <f t="shared" si="4"/>
        <v>0</v>
      </c>
    </row>
    <row r="200" spans="1:20">
      <c r="A200" s="39">
        <v>513060</v>
      </c>
      <c r="B200" s="42" t="s">
        <v>1241</v>
      </c>
      <c r="C200" s="42"/>
      <c r="D200" s="42" t="s">
        <v>4388</v>
      </c>
      <c r="E200" s="42" t="s">
        <v>4402</v>
      </c>
      <c r="F200" s="319" t="s">
        <v>4390</v>
      </c>
      <c r="G200" s="319" t="s">
        <v>4390</v>
      </c>
      <c r="H200" s="42" t="s">
        <v>4422</v>
      </c>
      <c r="I200" s="38">
        <f>SUMIFS(Mov!$J:$J,Mov!$E:$E,A200)</f>
        <v>307044</v>
      </c>
      <c r="J200" s="38">
        <f>SUMIF(Bce!A:A,A200,Bce!J:J)</f>
        <v>307044</v>
      </c>
      <c r="K200" s="43">
        <f t="shared" ref="K200" si="43">ROUND(I200-J200,2)</f>
        <v>0</v>
      </c>
      <c r="L200" s="38">
        <f>SUMIF(BceAnt!A:A,A200,BceAnt!J:J)</f>
        <v>476281</v>
      </c>
      <c r="M200" s="294">
        <f>SUMIF('P&amp;L'!B:B,A200,'P&amp;L'!Q:Q)*1000</f>
        <v>307044</v>
      </c>
      <c r="N200" s="294">
        <f t="shared" ref="N200" si="44">I200-M200</f>
        <v>0</v>
      </c>
      <c r="P200" s="38">
        <f t="shared" si="42"/>
        <v>307044</v>
      </c>
      <c r="Q200" s="294"/>
      <c r="R200" s="38">
        <f t="shared" si="30"/>
        <v>307044</v>
      </c>
      <c r="S200" s="294"/>
      <c r="T200" s="38">
        <f t="shared" si="4"/>
        <v>307044</v>
      </c>
    </row>
    <row r="201" spans="1:20">
      <c r="A201" s="39">
        <v>51350501</v>
      </c>
      <c r="B201" s="42" t="s">
        <v>1256</v>
      </c>
      <c r="C201" s="42"/>
      <c r="D201" s="42" t="s">
        <v>4388</v>
      </c>
      <c r="E201" s="42" t="s">
        <v>4402</v>
      </c>
      <c r="F201" s="319" t="s">
        <v>4390</v>
      </c>
      <c r="G201" s="319" t="s">
        <v>4390</v>
      </c>
      <c r="H201" s="42" t="s">
        <v>4420</v>
      </c>
      <c r="I201" s="38">
        <f>SUMIFS(Mov!$J:$J,Mov!$E:$E,A201)</f>
        <v>39223038.670000002</v>
      </c>
      <c r="J201" s="38">
        <f>SUMIF(Bce!A:A,A201,Bce!J:J)</f>
        <v>39223038.670000002</v>
      </c>
      <c r="K201" s="43">
        <f>ROUND(I201-J201,2)</f>
        <v>0</v>
      </c>
      <c r="L201" s="38">
        <f>SUMIF(BceAnt!A:A,A201,BceAnt!J:J)</f>
        <v>22426596</v>
      </c>
      <c r="M201" s="294">
        <f>SUMIF('P&amp;L'!B:B,A201,'P&amp;L'!Q:Q)*1000</f>
        <v>39223038.669999994</v>
      </c>
      <c r="N201" s="294">
        <f t="shared" si="20"/>
        <v>0</v>
      </c>
      <c r="P201" s="38">
        <f t="shared" si="42"/>
        <v>39223038.669999994</v>
      </c>
      <c r="Q201" s="294"/>
      <c r="R201" s="38">
        <f t="shared" si="30"/>
        <v>39223038.669999994</v>
      </c>
      <c r="S201" s="294"/>
      <c r="T201" s="38">
        <f t="shared" si="4"/>
        <v>39223038.669999994</v>
      </c>
    </row>
    <row r="202" spans="1:20">
      <c r="A202" s="39">
        <v>51350502</v>
      </c>
      <c r="B202" s="42" t="s">
        <v>1256</v>
      </c>
      <c r="C202" s="42"/>
      <c r="D202" s="42" t="s">
        <v>4388</v>
      </c>
      <c r="E202" s="42" t="s">
        <v>4402</v>
      </c>
      <c r="F202" s="319" t="s">
        <v>4390</v>
      </c>
      <c r="G202" s="319" t="s">
        <v>4390</v>
      </c>
      <c r="H202" s="42" t="s">
        <v>4420</v>
      </c>
      <c r="I202" s="38">
        <f>SUMIFS(Mov!$J:$J,Mov!$E:$E,A202)</f>
        <v>612420</v>
      </c>
      <c r="J202" s="38">
        <f>SUMIF(Bce!A:A,A202,Bce!J:J)</f>
        <v>612420</v>
      </c>
      <c r="K202" s="43">
        <f>ROUND(I202-J202,2)</f>
        <v>0</v>
      </c>
      <c r="L202" s="38">
        <f>SUMIF(BceAnt!A:A,A202,BceAnt!J:J)</f>
        <v>517980</v>
      </c>
      <c r="M202" s="294">
        <f>SUMIF('P&amp;L'!B:B,A202,'P&amp;L'!Q:Q)*1000</f>
        <v>612420.00000000012</v>
      </c>
      <c r="N202" s="294">
        <f t="shared" ref="N202" si="45">I202-M202</f>
        <v>0</v>
      </c>
      <c r="P202" s="38">
        <f t="shared" si="42"/>
        <v>612420.00000000012</v>
      </c>
      <c r="Q202" s="294"/>
      <c r="R202" s="38">
        <f t="shared" si="30"/>
        <v>612420.00000000012</v>
      </c>
      <c r="S202" s="294"/>
      <c r="T202" s="38">
        <f t="shared" si="4"/>
        <v>612420.00000000012</v>
      </c>
    </row>
    <row r="203" spans="1:20">
      <c r="A203" s="39">
        <v>51350504</v>
      </c>
      <c r="B203" s="42" t="s">
        <v>1638</v>
      </c>
      <c r="C203" s="42"/>
      <c r="D203" s="42" t="s">
        <v>4388</v>
      </c>
      <c r="E203" s="42" t="s">
        <v>4402</v>
      </c>
      <c r="F203" s="319" t="s">
        <v>4390</v>
      </c>
      <c r="G203" s="319" t="s">
        <v>4390</v>
      </c>
      <c r="H203" s="42" t="s">
        <v>4420</v>
      </c>
      <c r="I203" s="38">
        <f>SUMIFS(Mov!$J:$J,Mov!$E:$E,A203)</f>
        <v>4981879.0100000007</v>
      </c>
      <c r="J203" s="38">
        <f>SUMIF(Bce!A:A,A203,Bce!J:J)</f>
        <v>4981879.01</v>
      </c>
      <c r="K203" s="43">
        <f>ROUND(I203-J203,2)</f>
        <v>0</v>
      </c>
      <c r="L203" s="38">
        <f>SUMIF(BceAnt!A:A,A203,BceAnt!J:J)</f>
        <v>3004622.81</v>
      </c>
      <c r="M203" s="294">
        <f>SUMIF('P&amp;L'!B:B,A203,'P&amp;L'!Q:Q)*1000</f>
        <v>4981879.01</v>
      </c>
      <c r="N203" s="294">
        <f t="shared" ref="N203" si="46">I203-M203</f>
        <v>0</v>
      </c>
      <c r="P203" s="226">
        <f t="shared" si="42"/>
        <v>4981879.01</v>
      </c>
      <c r="Q203" s="295"/>
      <c r="R203" s="226">
        <f t="shared" si="30"/>
        <v>4981879.01</v>
      </c>
      <c r="S203" s="295">
        <f>-R203*0</f>
        <v>0</v>
      </c>
      <c r="T203" s="226">
        <f t="shared" si="4"/>
        <v>4981879.01</v>
      </c>
    </row>
    <row r="204" spans="1:20">
      <c r="A204" s="39">
        <v>51351501</v>
      </c>
      <c r="B204" s="42" t="s">
        <v>4423</v>
      </c>
      <c r="C204" s="42"/>
      <c r="D204" s="42" t="s">
        <v>4388</v>
      </c>
      <c r="E204" s="42" t="s">
        <v>4402</v>
      </c>
      <c r="F204" s="319" t="s">
        <v>4390</v>
      </c>
      <c r="G204" s="319" t="s">
        <v>4390</v>
      </c>
      <c r="H204" s="42" t="s">
        <v>4420</v>
      </c>
      <c r="I204" s="38">
        <f>SUMIFS(Mov!$J:$J,Mov!$E:$E,A204)</f>
        <v>0</v>
      </c>
      <c r="J204" s="38">
        <f>SUMIF(Bce!A:A,A204,Bce!J:J)</f>
        <v>0</v>
      </c>
      <c r="K204" s="43">
        <f t="shared" si="25"/>
        <v>0</v>
      </c>
      <c r="L204" s="38">
        <f>SUMIF(BceAnt!A:A,A204,BceAnt!J:J)</f>
        <v>0</v>
      </c>
      <c r="M204" s="294">
        <f>SUMIF('P&amp;L'!B:B,A204,'P&amp;L'!Q:Q)*1000</f>
        <v>0</v>
      </c>
      <c r="N204" s="294">
        <f t="shared" si="20"/>
        <v>0</v>
      </c>
      <c r="P204" s="38">
        <f t="shared" si="42"/>
        <v>0</v>
      </c>
      <c r="Q204" s="294"/>
      <c r="R204" s="38">
        <f t="shared" si="30"/>
        <v>0</v>
      </c>
      <c r="S204" s="294"/>
      <c r="T204" s="38">
        <f t="shared" si="4"/>
        <v>0</v>
      </c>
    </row>
    <row r="205" spans="1:20">
      <c r="A205" s="39">
        <v>51352001</v>
      </c>
      <c r="B205" s="42" t="s">
        <v>4424</v>
      </c>
      <c r="C205" s="42"/>
      <c r="D205" s="42" t="s">
        <v>4388</v>
      </c>
      <c r="E205" s="42" t="s">
        <v>4402</v>
      </c>
      <c r="F205" s="319" t="s">
        <v>4390</v>
      </c>
      <c r="G205" s="319" t="s">
        <v>4390</v>
      </c>
      <c r="H205" s="42" t="s">
        <v>4420</v>
      </c>
      <c r="I205" s="38">
        <f>SUMIFS(Mov!$J:$J,Mov!$E:$E,A205)</f>
        <v>1614798.44</v>
      </c>
      <c r="J205" s="38">
        <f>SUMIF(Bce!A:A,A205,Bce!J:J)</f>
        <v>1614798.44</v>
      </c>
      <c r="K205" s="43">
        <f t="shared" ref="K205" si="47">ROUND(I205-J205,2)</f>
        <v>0</v>
      </c>
      <c r="L205" s="38">
        <f>SUMIF(BceAnt!A:A,A205,BceAnt!J:J)</f>
        <v>1190556.77</v>
      </c>
      <c r="M205" s="294">
        <f>SUMIF('P&amp;L'!B:B,A205,'P&amp;L'!Q:Q)*1000</f>
        <v>1614798.44</v>
      </c>
      <c r="N205" s="294">
        <f t="shared" si="20"/>
        <v>0</v>
      </c>
      <c r="P205" s="226">
        <f t="shared" si="42"/>
        <v>1614798.44</v>
      </c>
      <c r="Q205" s="295"/>
      <c r="R205" s="226">
        <f t="shared" si="30"/>
        <v>1614798.44</v>
      </c>
      <c r="S205" s="295">
        <f>-R205*0</f>
        <v>0</v>
      </c>
      <c r="T205" s="226">
        <f t="shared" si="4"/>
        <v>1614798.44</v>
      </c>
    </row>
    <row r="206" spans="1:20">
      <c r="A206" s="39">
        <v>51352002</v>
      </c>
      <c r="B206" s="42" t="s">
        <v>1270</v>
      </c>
      <c r="C206" s="42"/>
      <c r="D206" s="42" t="s">
        <v>4388</v>
      </c>
      <c r="E206" s="42" t="s">
        <v>4402</v>
      </c>
      <c r="F206" s="319" t="s">
        <v>4390</v>
      </c>
      <c r="G206" s="319" t="s">
        <v>4390</v>
      </c>
      <c r="H206" s="42" t="s">
        <v>4420</v>
      </c>
      <c r="I206" s="38">
        <f>SUMIFS(Mov!$J:$J,Mov!$E:$E,A206)</f>
        <v>59741971</v>
      </c>
      <c r="J206" s="38">
        <f>SUMIF(Bce!A:A,A206,Bce!J:J)</f>
        <v>59741971</v>
      </c>
      <c r="K206" s="43">
        <f t="shared" ref="K206" si="48">ROUND(I206-J206,2)</f>
        <v>0</v>
      </c>
      <c r="L206" s="38">
        <f>SUMIF(BceAnt!A:A,A206,BceAnt!J:J)</f>
        <v>34692941.859999999</v>
      </c>
      <c r="M206" s="294">
        <f>SUMIF('P&amp;L'!B:B,A206,'P&amp;L'!Q:Q)*1000</f>
        <v>59741971.000000007</v>
      </c>
      <c r="N206" s="294">
        <f t="shared" ref="N206" si="49">I206-M206</f>
        <v>0</v>
      </c>
      <c r="P206" s="38">
        <f t="shared" si="42"/>
        <v>59741971.000000007</v>
      </c>
      <c r="Q206" s="294"/>
      <c r="R206" s="38">
        <f t="shared" si="30"/>
        <v>59741971.000000007</v>
      </c>
      <c r="S206" s="294"/>
      <c r="T206" s="38">
        <f t="shared" si="4"/>
        <v>59741971.000000007</v>
      </c>
    </row>
    <row r="207" spans="1:20">
      <c r="A207" s="39">
        <v>51353001</v>
      </c>
      <c r="B207" s="42" t="s">
        <v>4425</v>
      </c>
      <c r="C207" s="42"/>
      <c r="D207" s="42" t="s">
        <v>4388</v>
      </c>
      <c r="E207" s="42" t="s">
        <v>4402</v>
      </c>
      <c r="F207" s="319" t="s">
        <v>4390</v>
      </c>
      <c r="G207" s="319" t="s">
        <v>4390</v>
      </c>
      <c r="H207" s="42" t="s">
        <v>4420</v>
      </c>
      <c r="I207" s="38">
        <f>SUMIFS(Mov!$J:$J,Mov!$E:$E,A207)</f>
        <v>68468086</v>
      </c>
      <c r="J207" s="38">
        <f>SUMIF(Bce!A:A,A207,Bce!J:J)</f>
        <v>68468086</v>
      </c>
      <c r="K207" s="43">
        <f t="shared" si="25"/>
        <v>0</v>
      </c>
      <c r="L207" s="38">
        <f>SUMIF(BceAnt!A:A,A207,BceAnt!J:J)</f>
        <v>25343227</v>
      </c>
      <c r="M207" s="294">
        <f>SUMIF('P&amp;L'!B:B,A207,'P&amp;L'!Q:Q)*1000</f>
        <v>68468086</v>
      </c>
      <c r="N207" s="294">
        <f t="shared" si="20"/>
        <v>0</v>
      </c>
      <c r="P207" s="38">
        <f t="shared" si="42"/>
        <v>68468086</v>
      </c>
      <c r="Q207" s="294"/>
      <c r="R207" s="38">
        <f t="shared" si="30"/>
        <v>68468086</v>
      </c>
      <c r="S207" s="294"/>
      <c r="T207" s="38">
        <f t="shared" si="4"/>
        <v>68468086</v>
      </c>
    </row>
    <row r="208" spans="1:20">
      <c r="A208" s="39">
        <v>51353501</v>
      </c>
      <c r="B208" s="42" t="s">
        <v>4426</v>
      </c>
      <c r="C208" s="42"/>
      <c r="D208" s="42" t="s">
        <v>4388</v>
      </c>
      <c r="E208" s="42" t="s">
        <v>4402</v>
      </c>
      <c r="F208" s="319" t="s">
        <v>4390</v>
      </c>
      <c r="G208" s="319" t="s">
        <v>4390</v>
      </c>
      <c r="H208" s="42" t="s">
        <v>4420</v>
      </c>
      <c r="I208" s="38">
        <f>SUMIFS(Mov!$J:$J,Mov!$E:$E,A208)</f>
        <v>325815.91000000003</v>
      </c>
      <c r="J208" s="38">
        <f>SUMIF(Bce!A:A,A208,Bce!J:J)</f>
        <v>325815.90999999997</v>
      </c>
      <c r="K208" s="43">
        <f t="shared" si="25"/>
        <v>0</v>
      </c>
      <c r="L208" s="38">
        <f>SUMIF(BceAnt!A:A,A208,BceAnt!J:J)</f>
        <v>441841.86</v>
      </c>
      <c r="M208" s="294">
        <f>SUMIF('P&amp;L'!B:B,A208,'P&amp;L'!Q:Q)*1000</f>
        <v>325815.91000000003</v>
      </c>
      <c r="N208" s="294">
        <f t="shared" ref="N208:N244" si="50">I208-M208</f>
        <v>0</v>
      </c>
      <c r="P208" s="38">
        <f t="shared" si="42"/>
        <v>325815.91000000003</v>
      </c>
      <c r="Q208" s="294"/>
      <c r="R208" s="38">
        <f t="shared" si="30"/>
        <v>325815.91000000003</v>
      </c>
      <c r="S208" s="294"/>
      <c r="T208" s="38">
        <f t="shared" si="4"/>
        <v>325815.91000000003</v>
      </c>
    </row>
    <row r="209" spans="1:20">
      <c r="A209" s="39">
        <v>51353502</v>
      </c>
      <c r="B209" s="42" t="s">
        <v>4231</v>
      </c>
      <c r="C209" s="42"/>
      <c r="D209" s="42" t="s">
        <v>4388</v>
      </c>
      <c r="E209" s="42" t="s">
        <v>4402</v>
      </c>
      <c r="F209" s="319" t="s">
        <v>4390</v>
      </c>
      <c r="G209" s="319" t="s">
        <v>4390</v>
      </c>
      <c r="H209" s="42" t="s">
        <v>4420</v>
      </c>
      <c r="I209" s="38">
        <f>SUMIFS(Mov!$J:$J,Mov!$E:$E,A209)</f>
        <v>0</v>
      </c>
      <c r="J209" s="38">
        <f>SUMIF(Bce!A:A,A209,Bce!J:J)</f>
        <v>0</v>
      </c>
      <c r="K209" s="43">
        <f t="shared" ref="K209" si="51">ROUND(I209-J209,2)</f>
        <v>0</v>
      </c>
      <c r="L209" s="38">
        <f>SUMIF(BceAnt!A:A,A209,BceAnt!J:J)</f>
        <v>1355339.8</v>
      </c>
      <c r="M209" s="294">
        <f>SUMIF('P&amp;L'!B:B,A209,'P&amp;L'!Q:Q)*1000</f>
        <v>0</v>
      </c>
      <c r="N209" s="294">
        <f t="shared" ref="N209" si="52">I209-M209</f>
        <v>0</v>
      </c>
      <c r="P209" s="38">
        <f t="shared" si="42"/>
        <v>0</v>
      </c>
      <c r="Q209" s="294"/>
      <c r="R209" s="38">
        <f t="shared" si="30"/>
        <v>0</v>
      </c>
      <c r="S209" s="294"/>
      <c r="T209" s="38">
        <f t="shared" si="4"/>
        <v>0</v>
      </c>
    </row>
    <row r="210" spans="1:20">
      <c r="A210" s="39">
        <v>51354001</v>
      </c>
      <c r="B210" s="42" t="s">
        <v>4427</v>
      </c>
      <c r="C210" s="42"/>
      <c r="D210" s="42" t="s">
        <v>4388</v>
      </c>
      <c r="E210" s="42" t="s">
        <v>4402</v>
      </c>
      <c r="F210" s="319" t="s">
        <v>4390</v>
      </c>
      <c r="G210" s="319" t="s">
        <v>4390</v>
      </c>
      <c r="H210" s="42" t="s">
        <v>4420</v>
      </c>
      <c r="I210" s="38">
        <f>SUMIFS(Mov!$J:$J,Mov!$E:$E,A210)</f>
        <v>0</v>
      </c>
      <c r="J210" s="38">
        <f>SUMIF(Bce!A:A,A210,Bce!J:J)</f>
        <v>0</v>
      </c>
      <c r="K210" s="43">
        <f t="shared" si="25"/>
        <v>0</v>
      </c>
      <c r="L210" s="38">
        <f>SUMIF(BceAnt!A:A,A210,BceAnt!J:J)</f>
        <v>9500</v>
      </c>
      <c r="M210" s="294">
        <f>SUMIF('P&amp;L'!B:B,A210,'P&amp;L'!Q:Q)*1000</f>
        <v>0</v>
      </c>
      <c r="N210" s="294">
        <f t="shared" si="50"/>
        <v>0</v>
      </c>
      <c r="P210" s="38">
        <f t="shared" si="42"/>
        <v>0</v>
      </c>
      <c r="Q210" s="294"/>
      <c r="R210" s="38">
        <f t="shared" si="30"/>
        <v>0</v>
      </c>
      <c r="S210" s="294"/>
      <c r="T210" s="38">
        <f t="shared" si="4"/>
        <v>0</v>
      </c>
    </row>
    <row r="211" spans="1:20">
      <c r="A211" s="39">
        <v>51359501</v>
      </c>
      <c r="B211" s="42" t="s">
        <v>4428</v>
      </c>
      <c r="C211" s="42"/>
      <c r="D211" s="42" t="s">
        <v>4388</v>
      </c>
      <c r="E211" s="42" t="s">
        <v>4402</v>
      </c>
      <c r="F211" s="319" t="s">
        <v>4390</v>
      </c>
      <c r="G211" s="319" t="s">
        <v>4390</v>
      </c>
      <c r="H211" s="42" t="s">
        <v>4420</v>
      </c>
      <c r="I211" s="38">
        <f>SUMIFS(Mov!$J:$J,Mov!$E:$E,A211)</f>
        <v>44550880</v>
      </c>
      <c r="J211" s="38">
        <f>SUMIF(Bce!A:A,A211,Bce!J:J)</f>
        <v>44550880</v>
      </c>
      <c r="K211" s="43">
        <f t="shared" si="25"/>
        <v>0</v>
      </c>
      <c r="L211" s="38">
        <f>SUMIF(BceAnt!A:A,A211,BceAnt!J:J)</f>
        <v>24600000</v>
      </c>
      <c r="M211" s="294">
        <f>SUMIF('P&amp;L'!B:B,A211,'P&amp;L'!Q:Q)*1000</f>
        <v>44550880.000000007</v>
      </c>
      <c r="N211" s="294">
        <f t="shared" si="50"/>
        <v>0</v>
      </c>
      <c r="P211" s="38">
        <f t="shared" si="42"/>
        <v>44550880.000000007</v>
      </c>
      <c r="Q211" s="294"/>
      <c r="R211" s="38">
        <f t="shared" si="30"/>
        <v>44550880.000000007</v>
      </c>
      <c r="S211" s="294"/>
      <c r="T211" s="38">
        <f t="shared" si="4"/>
        <v>44550880.000000007</v>
      </c>
    </row>
    <row r="212" spans="1:20">
      <c r="A212" s="39">
        <v>51400501</v>
      </c>
      <c r="B212" s="42" t="s">
        <v>1296</v>
      </c>
      <c r="C212" s="42"/>
      <c r="D212" s="42" t="s">
        <v>4388</v>
      </c>
      <c r="E212" s="42" t="s">
        <v>4402</v>
      </c>
      <c r="F212" s="319" t="s">
        <v>4390</v>
      </c>
      <c r="G212" s="319" t="s">
        <v>4390</v>
      </c>
      <c r="H212" s="42" t="s">
        <v>4429</v>
      </c>
      <c r="I212" s="38">
        <f>SUMIFS(Mov!$J:$J,Mov!$E:$E,A212)</f>
        <v>0</v>
      </c>
      <c r="J212" s="38">
        <f>SUMIF(Bce!A:A,A212,Bce!J:J)</f>
        <v>0</v>
      </c>
      <c r="K212" s="43">
        <f t="shared" si="25"/>
        <v>0</v>
      </c>
      <c r="L212" s="38">
        <f>SUMIF(BceAnt!A:A,A212,BceAnt!J:J)</f>
        <v>5000</v>
      </c>
      <c r="M212" s="294">
        <f>SUMIF('P&amp;L'!B:B,A212,'P&amp;L'!Q:Q)*1000</f>
        <v>0</v>
      </c>
      <c r="N212" s="294">
        <f t="shared" si="50"/>
        <v>0</v>
      </c>
      <c r="P212" s="38">
        <f t="shared" si="42"/>
        <v>0</v>
      </c>
      <c r="Q212" s="294"/>
      <c r="R212" s="38">
        <f t="shared" si="30"/>
        <v>0</v>
      </c>
      <c r="S212" s="294"/>
      <c r="T212" s="38">
        <f t="shared" si="4"/>
        <v>0</v>
      </c>
    </row>
    <row r="213" spans="1:20">
      <c r="A213" s="39">
        <v>51401001</v>
      </c>
      <c r="B213" s="42" t="s">
        <v>1298</v>
      </c>
      <c r="C213" s="42"/>
      <c r="D213" s="42" t="s">
        <v>4388</v>
      </c>
      <c r="E213" s="42" t="s">
        <v>4402</v>
      </c>
      <c r="F213" s="319" t="s">
        <v>4390</v>
      </c>
      <c r="G213" s="319" t="s">
        <v>4390</v>
      </c>
      <c r="H213" s="42" t="s">
        <v>4429</v>
      </c>
      <c r="I213" s="38">
        <f>SUMIFS(Mov!$J:$J,Mov!$E:$E,A213)</f>
        <v>1480200</v>
      </c>
      <c r="J213" s="38">
        <f>SUMIF(Bce!A:A,A213,Bce!J:J)</f>
        <v>1480200</v>
      </c>
      <c r="K213" s="43">
        <f t="shared" si="25"/>
        <v>0</v>
      </c>
      <c r="L213" s="38">
        <f>SUMIF(BceAnt!A:A,A213,BceAnt!J:J)</f>
        <v>1417500</v>
      </c>
      <c r="M213" s="294">
        <f>SUMIF('P&amp;L'!B:B,A213,'P&amp;L'!Q:Q)*1000</f>
        <v>1480200</v>
      </c>
      <c r="N213" s="294">
        <f t="shared" si="50"/>
        <v>0</v>
      </c>
      <c r="P213" s="38">
        <f t="shared" si="42"/>
        <v>1480200</v>
      </c>
      <c r="Q213" s="294"/>
      <c r="R213" s="38">
        <f t="shared" si="30"/>
        <v>1480200</v>
      </c>
      <c r="S213" s="294"/>
      <c r="T213" s="38">
        <f t="shared" si="4"/>
        <v>1480200</v>
      </c>
    </row>
    <row r="214" spans="1:20">
      <c r="A214" s="39">
        <v>51401002</v>
      </c>
      <c r="B214" s="42" t="s">
        <v>4430</v>
      </c>
      <c r="C214" s="42"/>
      <c r="D214" s="42" t="s">
        <v>4388</v>
      </c>
      <c r="E214" s="42" t="s">
        <v>4402</v>
      </c>
      <c r="F214" s="319" t="s">
        <v>4390</v>
      </c>
      <c r="G214" s="319" t="s">
        <v>4390</v>
      </c>
      <c r="H214" s="42" t="s">
        <v>4429</v>
      </c>
      <c r="I214" s="38">
        <f>SUMIFS(Mov!$J:$J,Mov!$E:$E,A214)</f>
        <v>1323900</v>
      </c>
      <c r="J214" s="38">
        <f>SUMIF(Bce!A:A,A214,Bce!J:J)</f>
        <v>1323900</v>
      </c>
      <c r="K214" s="43">
        <f t="shared" ref="K214" si="53">ROUND(I214-J214,2)</f>
        <v>0</v>
      </c>
      <c r="L214" s="38">
        <f>SUMIF(BceAnt!A:A,A214,BceAnt!J:J)</f>
        <v>58400</v>
      </c>
      <c r="M214" s="294">
        <f>SUMIF('P&amp;L'!B:B,A214,'P&amp;L'!Q:Q)*1000</f>
        <v>1323900</v>
      </c>
      <c r="N214" s="294">
        <f t="shared" si="50"/>
        <v>0</v>
      </c>
      <c r="P214" s="38">
        <f t="shared" si="42"/>
        <v>1323900</v>
      </c>
      <c r="Q214" s="294"/>
      <c r="R214" s="38">
        <f t="shared" si="30"/>
        <v>1323900</v>
      </c>
      <c r="S214" s="294"/>
      <c r="T214" s="38">
        <f t="shared" si="4"/>
        <v>1323900</v>
      </c>
    </row>
    <row r="215" spans="1:20">
      <c r="A215" s="39">
        <v>51409501</v>
      </c>
      <c r="B215" s="42" t="s">
        <v>4431</v>
      </c>
      <c r="C215" s="42"/>
      <c r="D215" s="42" t="s">
        <v>4388</v>
      </c>
      <c r="E215" s="42" t="s">
        <v>4402</v>
      </c>
      <c r="F215" s="319" t="s">
        <v>4390</v>
      </c>
      <c r="G215" s="319" t="s">
        <v>4390</v>
      </c>
      <c r="H215" s="42" t="s">
        <v>4429</v>
      </c>
      <c r="I215" s="38">
        <f>SUMIFS(Mov!$J:$J,Mov!$E:$E,A215)</f>
        <v>37000</v>
      </c>
      <c r="J215" s="38">
        <f>SUMIF(Bce!A:A,A215,Bce!J:J)</f>
        <v>37000</v>
      </c>
      <c r="K215" s="43">
        <f t="shared" si="25"/>
        <v>0</v>
      </c>
      <c r="L215" s="38">
        <f>SUMIF(BceAnt!A:A,A215,BceAnt!J:J)</f>
        <v>0</v>
      </c>
      <c r="M215" s="294">
        <f>SUMIF('P&amp;L'!B:B,A215,'P&amp;L'!Q:Q)*1000</f>
        <v>37000</v>
      </c>
      <c r="N215" s="294">
        <f t="shared" si="50"/>
        <v>0</v>
      </c>
      <c r="P215" s="38">
        <f t="shared" si="42"/>
        <v>37000</v>
      </c>
      <c r="Q215" s="294"/>
      <c r="R215" s="38">
        <f t="shared" si="30"/>
        <v>37000</v>
      </c>
      <c r="S215" s="294"/>
      <c r="T215" s="38">
        <f t="shared" ref="T215:T269" si="54">R215+S215</f>
        <v>37000</v>
      </c>
    </row>
    <row r="216" spans="1:20">
      <c r="A216" s="39">
        <v>514520</v>
      </c>
      <c r="B216" s="42" t="s">
        <v>4432</v>
      </c>
      <c r="C216" s="42"/>
      <c r="D216" s="42" t="s">
        <v>4388</v>
      </c>
      <c r="E216" s="42" t="s">
        <v>4402</v>
      </c>
      <c r="F216" s="319" t="s">
        <v>4390</v>
      </c>
      <c r="G216" s="319" t="s">
        <v>4390</v>
      </c>
      <c r="H216" s="42" t="s">
        <v>4433</v>
      </c>
      <c r="I216" s="38">
        <f>SUMIFS(Mov!$J:$J,Mov!$E:$E,A216)</f>
        <v>0</v>
      </c>
      <c r="J216" s="38">
        <f>SUMIF(Bce!A:A,A216,Bce!J:J)</f>
        <v>0</v>
      </c>
      <c r="K216" s="43">
        <f t="shared" si="25"/>
        <v>0</v>
      </c>
      <c r="L216" s="38">
        <f>SUMIF(BceAnt!A:A,A216,BceAnt!J:J)</f>
        <v>0</v>
      </c>
      <c r="M216" s="294">
        <f>SUMIF('P&amp;L'!B:B,A216,'P&amp;L'!Q:Q)*1000</f>
        <v>0</v>
      </c>
      <c r="N216" s="294">
        <f t="shared" si="50"/>
        <v>0</v>
      </c>
      <c r="P216" s="38">
        <f t="shared" si="42"/>
        <v>0</v>
      </c>
      <c r="Q216" s="294"/>
      <c r="R216" s="38">
        <f t="shared" si="30"/>
        <v>0</v>
      </c>
      <c r="S216" s="294"/>
      <c r="T216" s="38">
        <f t="shared" si="54"/>
        <v>0</v>
      </c>
    </row>
    <row r="217" spans="1:20">
      <c r="A217" s="39">
        <v>51500501</v>
      </c>
      <c r="B217" s="42" t="s">
        <v>1336</v>
      </c>
      <c r="C217" s="42"/>
      <c r="D217" s="42" t="s">
        <v>4388</v>
      </c>
      <c r="E217" s="42" t="s">
        <v>4402</v>
      </c>
      <c r="F217" s="319" t="s">
        <v>4390</v>
      </c>
      <c r="G217" s="319" t="s">
        <v>4390</v>
      </c>
      <c r="H217" s="42" t="s">
        <v>4433</v>
      </c>
      <c r="I217" s="38">
        <f>SUMIFS(Mov!$J:$J,Mov!$E:$E,A217)</f>
        <v>0</v>
      </c>
      <c r="J217" s="38">
        <f>SUMIF(Bce!A:A,A217,Bce!J:J)</f>
        <v>0</v>
      </c>
      <c r="K217" s="43">
        <f t="shared" si="25"/>
        <v>0</v>
      </c>
      <c r="L217" s="38">
        <f>SUMIF(BceAnt!A:A,A217,BceAnt!J:J)</f>
        <v>1050739</v>
      </c>
      <c r="M217" s="294">
        <f>SUMIF('P&amp;L'!B:B,A217,'P&amp;L'!Q:Q)*1000</f>
        <v>0</v>
      </c>
      <c r="N217" s="294">
        <f t="shared" si="50"/>
        <v>0</v>
      </c>
      <c r="P217" s="38">
        <f t="shared" si="42"/>
        <v>0</v>
      </c>
      <c r="Q217" s="294"/>
      <c r="R217" s="38">
        <f t="shared" si="30"/>
        <v>0</v>
      </c>
      <c r="S217" s="294"/>
      <c r="T217" s="38">
        <f t="shared" si="54"/>
        <v>0</v>
      </c>
    </row>
    <row r="218" spans="1:20">
      <c r="A218" s="39">
        <v>51502001</v>
      </c>
      <c r="B218" s="42" t="s">
        <v>4234</v>
      </c>
      <c r="C218" s="42"/>
      <c r="D218" s="42" t="s">
        <v>4388</v>
      </c>
      <c r="E218" s="42" t="s">
        <v>4402</v>
      </c>
      <c r="F218" s="319" t="s">
        <v>4390</v>
      </c>
      <c r="G218" s="319" t="s">
        <v>4390</v>
      </c>
      <c r="H218" s="42" t="s">
        <v>4433</v>
      </c>
      <c r="I218" s="38">
        <f>SUMIFS(Mov!$J:$J,Mov!$E:$E,A218)</f>
        <v>0</v>
      </c>
      <c r="J218" s="38">
        <f>SUMIF(Bce!A:A,A218,Bce!J:J)</f>
        <v>0</v>
      </c>
      <c r="K218" s="43">
        <f t="shared" ref="K218:K219" si="55">ROUND(I218-J218,2)</f>
        <v>0</v>
      </c>
      <c r="L218" s="38">
        <f>SUMIF(BceAnt!A:A,A218,BceAnt!J:J)</f>
        <v>2192773</v>
      </c>
      <c r="M218" s="294">
        <f>SUMIF('P&amp;L'!B:B,A218,'P&amp;L'!Q:Q)*1000</f>
        <v>0</v>
      </c>
      <c r="N218" s="294">
        <f t="shared" ref="N218:N219" si="56">I218-M218</f>
        <v>0</v>
      </c>
      <c r="P218" s="38">
        <f t="shared" si="42"/>
        <v>0</v>
      </c>
      <c r="Q218" s="294"/>
      <c r="R218" s="38">
        <f t="shared" si="30"/>
        <v>0</v>
      </c>
      <c r="S218" s="294"/>
      <c r="T218" s="38">
        <f t="shared" si="54"/>
        <v>0</v>
      </c>
    </row>
    <row r="219" spans="1:20">
      <c r="A219" s="39">
        <v>51502002</v>
      </c>
      <c r="B219" s="42" t="s">
        <v>4236</v>
      </c>
      <c r="C219" s="42"/>
      <c r="D219" s="42" t="s">
        <v>4388</v>
      </c>
      <c r="E219" s="42" t="s">
        <v>4402</v>
      </c>
      <c r="F219" s="319" t="s">
        <v>4390</v>
      </c>
      <c r="G219" s="319" t="s">
        <v>4390</v>
      </c>
      <c r="H219" s="42" t="s">
        <v>4433</v>
      </c>
      <c r="I219" s="38">
        <f>SUMIFS(Mov!$J:$J,Mov!$E:$E,A219)</f>
        <v>0</v>
      </c>
      <c r="J219" s="38">
        <f>SUMIF(Bce!A:A,A219,Bce!J:J)</f>
        <v>0</v>
      </c>
      <c r="K219" s="43">
        <f t="shared" si="55"/>
        <v>0</v>
      </c>
      <c r="L219" s="38">
        <f>SUMIF(BceAnt!A:A,A219,BceAnt!J:J)</f>
        <v>846250</v>
      </c>
      <c r="M219" s="294">
        <f>SUMIF('P&amp;L'!B:B,A219,'P&amp;L'!Q:Q)*1000</f>
        <v>0</v>
      </c>
      <c r="N219" s="294">
        <f t="shared" si="56"/>
        <v>0</v>
      </c>
      <c r="P219" s="38">
        <f t="shared" si="42"/>
        <v>0</v>
      </c>
      <c r="Q219" s="294"/>
      <c r="R219" s="38">
        <f t="shared" si="30"/>
        <v>0</v>
      </c>
      <c r="S219" s="294"/>
      <c r="T219" s="38">
        <f t="shared" si="54"/>
        <v>0</v>
      </c>
    </row>
    <row r="220" spans="1:20">
      <c r="A220" s="39">
        <v>51502003</v>
      </c>
      <c r="B220" s="42" t="s">
        <v>1747</v>
      </c>
      <c r="C220" s="42"/>
      <c r="D220" s="42" t="s">
        <v>4388</v>
      </c>
      <c r="E220" s="42" t="s">
        <v>4402</v>
      </c>
      <c r="F220" s="319" t="s">
        <v>4390</v>
      </c>
      <c r="G220" s="319" t="s">
        <v>4390</v>
      </c>
      <c r="H220" s="42" t="s">
        <v>4433</v>
      </c>
      <c r="I220" s="38">
        <f>SUMIFS(Mov!$J:$J,Mov!$E:$E,A220)</f>
        <v>266000</v>
      </c>
      <c r="J220" s="38">
        <f>SUMIF(Bce!A:A,A220,Bce!J:J)</f>
        <v>266000</v>
      </c>
      <c r="K220" s="43">
        <f t="shared" ref="K220" si="57">ROUND(I220-J220,2)</f>
        <v>0</v>
      </c>
      <c r="L220" s="38">
        <f>SUMIF(BceAnt!A:A,A220,BceAnt!J:J)</f>
        <v>1967070</v>
      </c>
      <c r="M220" s="294">
        <f>SUMIF('P&amp;L'!B:B,A220,'P&amp;L'!Q:Q)*1000</f>
        <v>266000</v>
      </c>
      <c r="N220" s="294">
        <f t="shared" ref="N220" si="58">I220-M220</f>
        <v>0</v>
      </c>
      <c r="P220" s="38">
        <f t="shared" si="42"/>
        <v>266000</v>
      </c>
      <c r="Q220" s="294"/>
      <c r="R220" s="38">
        <f t="shared" si="30"/>
        <v>266000</v>
      </c>
      <c r="S220" s="294"/>
      <c r="T220" s="38">
        <f t="shared" si="54"/>
        <v>266000</v>
      </c>
    </row>
    <row r="221" spans="1:20">
      <c r="A221" s="39">
        <v>515505</v>
      </c>
      <c r="B221" s="42" t="s">
        <v>4434</v>
      </c>
      <c r="C221" s="42"/>
      <c r="D221" s="42" t="s">
        <v>4388</v>
      </c>
      <c r="E221" s="42" t="s">
        <v>4402</v>
      </c>
      <c r="F221" s="319" t="s">
        <v>4390</v>
      </c>
      <c r="G221" s="319" t="s">
        <v>4390</v>
      </c>
      <c r="H221" s="42" t="s">
        <v>4435</v>
      </c>
      <c r="I221" s="38">
        <f>SUMIFS(Mov!$J:$J,Mov!$E:$E,A221)</f>
        <v>0</v>
      </c>
      <c r="J221" s="38">
        <f>SUMIF(Bce!A:A,A221,Bce!J:J)</f>
        <v>0</v>
      </c>
      <c r="K221" s="43">
        <f t="shared" si="25"/>
        <v>0</v>
      </c>
      <c r="L221" s="38">
        <f>SUMIF(BceAnt!A:A,A221,BceAnt!J:J)</f>
        <v>0</v>
      </c>
      <c r="M221" s="294">
        <f>SUMIF('P&amp;L'!B:B,A221,'P&amp;L'!Q:Q)*1000</f>
        <v>0</v>
      </c>
      <c r="N221" s="294">
        <f t="shared" si="50"/>
        <v>0</v>
      </c>
      <c r="P221" s="38">
        <f t="shared" si="42"/>
        <v>0</v>
      </c>
      <c r="Q221" s="294"/>
      <c r="R221" s="38">
        <f t="shared" si="30"/>
        <v>0</v>
      </c>
      <c r="S221" s="294"/>
      <c r="T221" s="38">
        <f t="shared" si="54"/>
        <v>0</v>
      </c>
    </row>
    <row r="222" spans="1:20">
      <c r="A222" s="39">
        <v>515505</v>
      </c>
      <c r="B222" s="42" t="s">
        <v>4436</v>
      </c>
      <c r="C222" s="42"/>
      <c r="D222" s="42" t="s">
        <v>4388</v>
      </c>
      <c r="E222" s="42" t="s">
        <v>4402</v>
      </c>
      <c r="F222" s="319" t="s">
        <v>4390</v>
      </c>
      <c r="G222" s="319" t="s">
        <v>4390</v>
      </c>
      <c r="H222" s="42" t="s">
        <v>4435</v>
      </c>
      <c r="I222" s="38">
        <f>SUMIFS(Mov!$J:$J,Mov!$E:$E,A222)</f>
        <v>0</v>
      </c>
      <c r="J222" s="38">
        <f>SUMIF(Bce!A:A,A222,Bce!J:J)</f>
        <v>0</v>
      </c>
      <c r="K222" s="43">
        <f t="shared" si="25"/>
        <v>0</v>
      </c>
      <c r="L222" s="38">
        <f>SUMIF(BceAnt!A:A,A222,BceAnt!J:J)</f>
        <v>0</v>
      </c>
      <c r="M222" s="294">
        <f>SUMIF('P&amp;L'!B:B,A222,'P&amp;L'!Q:Q)*1000</f>
        <v>0</v>
      </c>
      <c r="N222" s="294">
        <f t="shared" si="50"/>
        <v>0</v>
      </c>
      <c r="P222" s="38">
        <f t="shared" si="42"/>
        <v>0</v>
      </c>
      <c r="Q222" s="294"/>
      <c r="R222" s="38">
        <f t="shared" si="30"/>
        <v>0</v>
      </c>
      <c r="S222" s="294"/>
      <c r="T222" s="38">
        <f t="shared" si="54"/>
        <v>0</v>
      </c>
    </row>
    <row r="223" spans="1:20">
      <c r="A223" s="39">
        <v>515505</v>
      </c>
      <c r="B223" s="42" t="s">
        <v>1439</v>
      </c>
      <c r="C223" s="42"/>
      <c r="D223" s="42" t="s">
        <v>4388</v>
      </c>
      <c r="E223" s="42" t="s">
        <v>4402</v>
      </c>
      <c r="F223" s="319" t="s">
        <v>4390</v>
      </c>
      <c r="G223" s="319" t="s">
        <v>4390</v>
      </c>
      <c r="H223" s="42" t="s">
        <v>4435</v>
      </c>
      <c r="I223" s="38">
        <f>SUMIFS(Mov!$J:$J,Mov!$E:$E,A223)</f>
        <v>0</v>
      </c>
      <c r="J223" s="38">
        <f>SUMIF(Bce!A:A,A223,Bce!J:J)</f>
        <v>0</v>
      </c>
      <c r="K223" s="43">
        <f t="shared" ref="K223:K268" si="59">ROUND(I223-J223,2)</f>
        <v>0</v>
      </c>
      <c r="L223" s="38">
        <f>SUMIF(BceAnt!A:A,A223,BceAnt!J:J)</f>
        <v>0</v>
      </c>
      <c r="M223" s="294">
        <f>SUMIF('P&amp;L'!B:B,A223,'P&amp;L'!Q:Q)*1000</f>
        <v>0</v>
      </c>
      <c r="N223" s="294">
        <f t="shared" si="50"/>
        <v>0</v>
      </c>
      <c r="P223" s="38">
        <f t="shared" si="42"/>
        <v>0</v>
      </c>
      <c r="Q223" s="294"/>
      <c r="R223" s="38">
        <f t="shared" si="30"/>
        <v>0</v>
      </c>
      <c r="S223" s="294"/>
      <c r="T223" s="38">
        <f t="shared" si="54"/>
        <v>0</v>
      </c>
    </row>
    <row r="224" spans="1:20">
      <c r="A224" s="39">
        <v>515505</v>
      </c>
      <c r="B224" s="42" t="s">
        <v>4436</v>
      </c>
      <c r="C224" s="42"/>
      <c r="D224" s="42" t="s">
        <v>4388</v>
      </c>
      <c r="E224" s="42" t="s">
        <v>4402</v>
      </c>
      <c r="F224" s="319" t="s">
        <v>4390</v>
      </c>
      <c r="G224" s="319" t="s">
        <v>4390</v>
      </c>
      <c r="H224" s="42" t="s">
        <v>4435</v>
      </c>
      <c r="I224" s="38">
        <f>SUMIFS(Mov!$J:$J,Mov!$E:$E,A224)</f>
        <v>0</v>
      </c>
      <c r="J224" s="38">
        <f>SUMIF(Bce!A:A,A224,Bce!J:J)</f>
        <v>0</v>
      </c>
      <c r="K224" s="43">
        <f t="shared" si="59"/>
        <v>0</v>
      </c>
      <c r="L224" s="38">
        <f>SUMIF(BceAnt!A:A,A224,BceAnt!J:J)</f>
        <v>0</v>
      </c>
      <c r="M224" s="294">
        <f>SUMIF('P&amp;L'!B:B,A224,'P&amp;L'!Q:Q)*1000</f>
        <v>0</v>
      </c>
      <c r="N224" s="294">
        <f t="shared" si="50"/>
        <v>0</v>
      </c>
      <c r="P224" s="38">
        <f t="shared" si="42"/>
        <v>0</v>
      </c>
      <c r="Q224" s="294"/>
      <c r="R224" s="38">
        <f t="shared" si="30"/>
        <v>0</v>
      </c>
      <c r="S224" s="294"/>
      <c r="T224" s="38">
        <f t="shared" si="54"/>
        <v>0</v>
      </c>
    </row>
    <row r="225" spans="1:20">
      <c r="A225" s="39">
        <v>515505</v>
      </c>
      <c r="B225" s="42" t="s">
        <v>4437</v>
      </c>
      <c r="C225" s="42"/>
      <c r="D225" s="42" t="s">
        <v>4388</v>
      </c>
      <c r="E225" s="42" t="s">
        <v>4402</v>
      </c>
      <c r="F225" s="319" t="s">
        <v>4390</v>
      </c>
      <c r="G225" s="319" t="s">
        <v>4390</v>
      </c>
      <c r="H225" s="42" t="s">
        <v>4435</v>
      </c>
      <c r="I225" s="38">
        <f>SUMIFS(Mov!$J:$J,Mov!$E:$E,A225)</f>
        <v>0</v>
      </c>
      <c r="J225" s="38">
        <f>SUMIF(Bce!A:A,A225,Bce!J:J)</f>
        <v>0</v>
      </c>
      <c r="K225" s="43">
        <f t="shared" si="59"/>
        <v>0</v>
      </c>
      <c r="L225" s="38">
        <f>SUMIF(BceAnt!A:A,A225,BceAnt!J:J)</f>
        <v>0</v>
      </c>
      <c r="M225" s="294">
        <f>SUMIF('P&amp;L'!B:B,A225,'P&amp;L'!Q:Q)*1000</f>
        <v>0</v>
      </c>
      <c r="N225" s="294">
        <f t="shared" si="50"/>
        <v>0</v>
      </c>
      <c r="P225" s="38">
        <f t="shared" si="42"/>
        <v>0</v>
      </c>
      <c r="Q225" s="294"/>
      <c r="R225" s="38">
        <f t="shared" si="30"/>
        <v>0</v>
      </c>
      <c r="S225" s="294"/>
      <c r="T225" s="38">
        <f t="shared" si="54"/>
        <v>0</v>
      </c>
    </row>
    <row r="226" spans="1:20">
      <c r="A226" s="39">
        <v>51551501</v>
      </c>
      <c r="B226" s="42" t="s">
        <v>4438</v>
      </c>
      <c r="C226" s="42"/>
      <c r="D226" s="42" t="s">
        <v>4388</v>
      </c>
      <c r="E226" s="42" t="s">
        <v>4402</v>
      </c>
      <c r="F226" s="319" t="s">
        <v>4390</v>
      </c>
      <c r="G226" s="319" t="s">
        <v>4390</v>
      </c>
      <c r="H226" s="42" t="s">
        <v>4435</v>
      </c>
      <c r="I226" s="38">
        <f>SUMIFS(Mov!$J:$J,Mov!$E:$E,A226)</f>
        <v>0</v>
      </c>
      <c r="J226" s="38">
        <f>SUMIF(Bce!A:A,A226,Bce!J:J)</f>
        <v>0</v>
      </c>
      <c r="K226" s="43">
        <f t="shared" si="59"/>
        <v>0</v>
      </c>
      <c r="L226" s="38">
        <f>SUMIF(BceAnt!A:A,A226,BceAnt!J:J)</f>
        <v>0</v>
      </c>
      <c r="M226" s="294">
        <f>SUMIF('P&amp;L'!B:B,A226,'P&amp;L'!Q:Q)*1000</f>
        <v>0</v>
      </c>
      <c r="N226" s="294">
        <f t="shared" si="50"/>
        <v>0</v>
      </c>
      <c r="P226" s="38">
        <f t="shared" si="42"/>
        <v>0</v>
      </c>
      <c r="Q226" s="294"/>
      <c r="R226" s="38">
        <f t="shared" si="30"/>
        <v>0</v>
      </c>
      <c r="S226" s="294"/>
      <c r="T226" s="38">
        <f t="shared" si="54"/>
        <v>0</v>
      </c>
    </row>
    <row r="227" spans="1:20">
      <c r="A227" s="39">
        <v>515595</v>
      </c>
      <c r="B227" s="42" t="s">
        <v>4439</v>
      </c>
      <c r="C227" s="42"/>
      <c r="D227" s="42" t="s">
        <v>4388</v>
      </c>
      <c r="E227" s="42" t="s">
        <v>4402</v>
      </c>
      <c r="F227" s="319" t="s">
        <v>4390</v>
      </c>
      <c r="G227" s="319" t="s">
        <v>4390</v>
      </c>
      <c r="H227" s="42" t="s">
        <v>4435</v>
      </c>
      <c r="I227" s="38">
        <f>SUMIFS(Mov!$J:$J,Mov!$E:$E,A227)</f>
        <v>0</v>
      </c>
      <c r="J227" s="38">
        <f>SUMIF(Bce!A:A,A227,Bce!J:J)</f>
        <v>0</v>
      </c>
      <c r="K227" s="43">
        <f t="shared" si="59"/>
        <v>0</v>
      </c>
      <c r="L227" s="38">
        <f>SUMIF(BceAnt!A:A,A227,BceAnt!J:J)</f>
        <v>0</v>
      </c>
      <c r="M227" s="294">
        <f>SUMIF('P&amp;L'!B:B,A227,'P&amp;L'!Q:Q)*1000</f>
        <v>0</v>
      </c>
      <c r="N227" s="294">
        <f t="shared" si="50"/>
        <v>0</v>
      </c>
      <c r="P227" s="38">
        <f t="shared" si="42"/>
        <v>0</v>
      </c>
      <c r="Q227" s="294"/>
      <c r="R227" s="38">
        <f t="shared" si="30"/>
        <v>0</v>
      </c>
      <c r="S227" s="294"/>
      <c r="T227" s="38">
        <f t="shared" si="54"/>
        <v>0</v>
      </c>
    </row>
    <row r="228" spans="1:20">
      <c r="A228" s="39">
        <v>515595</v>
      </c>
      <c r="B228" s="42" t="s">
        <v>4440</v>
      </c>
      <c r="C228" s="42"/>
      <c r="D228" s="42" t="s">
        <v>4388</v>
      </c>
      <c r="E228" s="42" t="s">
        <v>4402</v>
      </c>
      <c r="F228" s="319" t="s">
        <v>4390</v>
      </c>
      <c r="G228" s="319" t="s">
        <v>4390</v>
      </c>
      <c r="H228" s="42" t="s">
        <v>4435</v>
      </c>
      <c r="I228" s="38">
        <f>SUMIFS(Mov!$J:$J,Mov!$E:$E,A228)</f>
        <v>0</v>
      </c>
      <c r="J228" s="38">
        <f>SUMIF(Bce!A:A,A228,Bce!J:J)</f>
        <v>0</v>
      </c>
      <c r="K228" s="43">
        <f t="shared" si="59"/>
        <v>0</v>
      </c>
      <c r="L228" s="38">
        <f>SUMIF(BceAnt!A:A,A228,BceAnt!J:J)</f>
        <v>0</v>
      </c>
      <c r="M228" s="294">
        <f>SUMIF('P&amp;L'!B:B,A228,'P&amp;L'!Q:Q)*1000</f>
        <v>0</v>
      </c>
      <c r="N228" s="294">
        <f t="shared" si="50"/>
        <v>0</v>
      </c>
      <c r="P228" s="38">
        <f t="shared" si="42"/>
        <v>0</v>
      </c>
      <c r="Q228" s="294"/>
      <c r="R228" s="38">
        <f t="shared" si="30"/>
        <v>0</v>
      </c>
      <c r="S228" s="294"/>
      <c r="T228" s="38">
        <f t="shared" si="54"/>
        <v>0</v>
      </c>
    </row>
    <row r="229" spans="1:20">
      <c r="A229" s="39">
        <v>515595</v>
      </c>
      <c r="B229" s="42" t="s">
        <v>1425</v>
      </c>
      <c r="C229" s="42"/>
      <c r="D229" s="42" t="s">
        <v>4388</v>
      </c>
      <c r="E229" s="42" t="s">
        <v>4402</v>
      </c>
      <c r="F229" s="319" t="s">
        <v>4390</v>
      </c>
      <c r="G229" s="319" t="s">
        <v>4390</v>
      </c>
      <c r="H229" s="42" t="s">
        <v>4435</v>
      </c>
      <c r="I229" s="38">
        <f>SUMIFS(Mov!$J:$J,Mov!$E:$E,A229)</f>
        <v>0</v>
      </c>
      <c r="J229" s="38">
        <f>SUMIF(Bce!A:A,A229,Bce!J:J)</f>
        <v>0</v>
      </c>
      <c r="K229" s="43">
        <f t="shared" si="59"/>
        <v>0</v>
      </c>
      <c r="L229" s="38">
        <f>SUMIF(BceAnt!A:A,A229,BceAnt!J:J)</f>
        <v>0</v>
      </c>
      <c r="M229" s="294">
        <f>SUMIF('P&amp;L'!B:B,A229,'P&amp;L'!Q:Q)*1000</f>
        <v>0</v>
      </c>
      <c r="N229" s="294">
        <f t="shared" si="50"/>
        <v>0</v>
      </c>
      <c r="P229" s="38">
        <f t="shared" si="42"/>
        <v>0</v>
      </c>
      <c r="Q229" s="294"/>
      <c r="R229" s="38">
        <f t="shared" si="30"/>
        <v>0</v>
      </c>
      <c r="S229" s="294"/>
      <c r="T229" s="38">
        <f t="shared" si="54"/>
        <v>0</v>
      </c>
    </row>
    <row r="230" spans="1:20">
      <c r="A230" s="39">
        <v>515595</v>
      </c>
      <c r="B230" s="42" t="s">
        <v>4440</v>
      </c>
      <c r="C230" s="42"/>
      <c r="D230" s="42" t="s">
        <v>4388</v>
      </c>
      <c r="E230" s="42" t="s">
        <v>4402</v>
      </c>
      <c r="F230" s="319" t="s">
        <v>4390</v>
      </c>
      <c r="G230" s="319" t="s">
        <v>4390</v>
      </c>
      <c r="H230" s="42" t="s">
        <v>4435</v>
      </c>
      <c r="I230" s="38">
        <f>SUMIFS(Mov!$J:$J,Mov!$E:$E,A230)</f>
        <v>0</v>
      </c>
      <c r="J230" s="38">
        <f>SUMIF(Bce!A:A,A230,Bce!J:J)</f>
        <v>0</v>
      </c>
      <c r="K230" s="43">
        <f t="shared" si="59"/>
        <v>0</v>
      </c>
      <c r="L230" s="38">
        <f>SUMIF(BceAnt!A:A,A230,BceAnt!J:J)</f>
        <v>0</v>
      </c>
      <c r="M230" s="294">
        <f>SUMIF('P&amp;L'!B:B,A230,'P&amp;L'!Q:Q)*1000</f>
        <v>0</v>
      </c>
      <c r="N230" s="294">
        <f t="shared" si="50"/>
        <v>0</v>
      </c>
      <c r="P230" s="38">
        <f t="shared" si="42"/>
        <v>0</v>
      </c>
      <c r="Q230" s="294"/>
      <c r="R230" s="38">
        <f t="shared" si="30"/>
        <v>0</v>
      </c>
      <c r="S230" s="294"/>
      <c r="T230" s="38">
        <f t="shared" si="54"/>
        <v>0</v>
      </c>
    </row>
    <row r="231" spans="1:20">
      <c r="A231" s="39">
        <v>516015</v>
      </c>
      <c r="B231" s="42" t="s">
        <v>4310</v>
      </c>
      <c r="C231" s="42"/>
      <c r="D231" s="42" t="s">
        <v>4388</v>
      </c>
      <c r="E231" s="42" t="s">
        <v>4402</v>
      </c>
      <c r="F231" s="319" t="s">
        <v>4390</v>
      </c>
      <c r="G231" s="319" t="s">
        <v>4390</v>
      </c>
      <c r="H231" s="42" t="s">
        <v>4441</v>
      </c>
      <c r="I231" s="38">
        <f>SUMIFS(Mov!$J:$J,Mov!$E:$E,A231)</f>
        <v>0</v>
      </c>
      <c r="J231" s="38">
        <f>SUMIF(Bce!A:A,A231,Bce!J:J)</f>
        <v>0</v>
      </c>
      <c r="K231" s="43">
        <f t="shared" si="59"/>
        <v>0</v>
      </c>
      <c r="L231" s="38">
        <f>SUMIF(BceAnt!A:A,A231,BceAnt!J:J)</f>
        <v>0</v>
      </c>
      <c r="M231" s="294">
        <f>SUMIF('P&amp;L'!B:B,A231,'P&amp;L'!Q:Q)*1000</f>
        <v>0</v>
      </c>
      <c r="N231" s="294">
        <f t="shared" si="50"/>
        <v>0</v>
      </c>
      <c r="P231" s="38">
        <f t="shared" si="42"/>
        <v>0</v>
      </c>
      <c r="Q231" s="294"/>
      <c r="R231" s="38">
        <f t="shared" si="30"/>
        <v>0</v>
      </c>
      <c r="S231" s="294"/>
      <c r="T231" s="38">
        <f t="shared" si="54"/>
        <v>0</v>
      </c>
    </row>
    <row r="232" spans="1:20">
      <c r="A232" s="39">
        <v>516015</v>
      </c>
      <c r="B232" s="42" t="s">
        <v>4317</v>
      </c>
      <c r="C232" s="42"/>
      <c r="D232" s="42" t="s">
        <v>4388</v>
      </c>
      <c r="E232" s="42" t="s">
        <v>4402</v>
      </c>
      <c r="F232" s="319" t="s">
        <v>4390</v>
      </c>
      <c r="G232" s="319" t="s">
        <v>4390</v>
      </c>
      <c r="H232" s="42" t="s">
        <v>4441</v>
      </c>
      <c r="I232" s="38">
        <f>SUMIFS(Mov!$J:$J,Mov!$E:$E,A232)</f>
        <v>0</v>
      </c>
      <c r="J232" s="38">
        <f>SUMIF(Bce!A:A,A232,Bce!J:J)</f>
        <v>0</v>
      </c>
      <c r="K232" s="43">
        <f t="shared" si="59"/>
        <v>0</v>
      </c>
      <c r="L232" s="38">
        <f>SUMIF(BceAnt!A:A,A232,BceAnt!J:J)</f>
        <v>0</v>
      </c>
      <c r="M232" s="294">
        <f>SUMIF('P&amp;L'!B:B,A232,'P&amp;L'!Q:Q)*1000</f>
        <v>0</v>
      </c>
      <c r="N232" s="294">
        <f t="shared" si="50"/>
        <v>0</v>
      </c>
      <c r="P232" s="38">
        <f t="shared" si="42"/>
        <v>0</v>
      </c>
      <c r="Q232" s="294"/>
      <c r="R232" s="38">
        <f t="shared" si="30"/>
        <v>0</v>
      </c>
      <c r="S232" s="294"/>
      <c r="T232" s="38">
        <f t="shared" si="54"/>
        <v>0</v>
      </c>
    </row>
    <row r="233" spans="1:20">
      <c r="A233" s="39">
        <v>51602001</v>
      </c>
      <c r="B233" s="42" t="s">
        <v>416</v>
      </c>
      <c r="C233" s="42"/>
      <c r="D233" s="42" t="s">
        <v>4388</v>
      </c>
      <c r="E233" s="42" t="s">
        <v>4402</v>
      </c>
      <c r="F233" s="319" t="s">
        <v>4390</v>
      </c>
      <c r="G233" s="319" t="s">
        <v>4390</v>
      </c>
      <c r="H233" s="42" t="s">
        <v>4441</v>
      </c>
      <c r="I233" s="38">
        <f>SUMIFS(Mov!$J:$J,Mov!$E:$E,A233)</f>
        <v>19161144</v>
      </c>
      <c r="J233" s="38">
        <f>SUMIF(Bce!A:A,A233,Bce!J:J)</f>
        <v>19161144</v>
      </c>
      <c r="K233" s="43">
        <f t="shared" si="59"/>
        <v>0</v>
      </c>
      <c r="L233" s="38">
        <f>SUMIF(BceAnt!A:A,A233,BceAnt!J:J)</f>
        <v>17752259</v>
      </c>
      <c r="M233" s="294">
        <f>SUMIF('P&amp;L'!B:B,A233,'P&amp;L'!Q:Q)*1000</f>
        <v>19161144</v>
      </c>
      <c r="N233" s="294">
        <f t="shared" si="50"/>
        <v>0</v>
      </c>
      <c r="P233" s="38">
        <f t="shared" si="42"/>
        <v>19161144</v>
      </c>
      <c r="Q233" s="294"/>
      <c r="R233" s="38">
        <f t="shared" si="30"/>
        <v>19161144</v>
      </c>
      <c r="S233" s="294"/>
      <c r="T233" s="38">
        <f t="shared" si="54"/>
        <v>19161144</v>
      </c>
    </row>
    <row r="234" spans="1:20">
      <c r="A234" s="39">
        <v>51602004</v>
      </c>
      <c r="B234" s="42" t="s">
        <v>404</v>
      </c>
      <c r="C234" s="42"/>
      <c r="D234" s="42" t="s">
        <v>4388</v>
      </c>
      <c r="E234" s="42" t="s">
        <v>4402</v>
      </c>
      <c r="F234" s="319" t="s">
        <v>4390</v>
      </c>
      <c r="G234" s="319" t="s">
        <v>4390</v>
      </c>
      <c r="H234" s="42" t="s">
        <v>4441</v>
      </c>
      <c r="I234" s="38">
        <f>SUMIFS(Mov!$J:$J,Mov!$E:$E,A234)</f>
        <v>1965516</v>
      </c>
      <c r="J234" s="38">
        <f>SUMIF(Bce!A:A,A234,Bce!J:J)</f>
        <v>1965516</v>
      </c>
      <c r="K234" s="43">
        <f t="shared" ref="K234" si="60">ROUND(I234-J234,2)</f>
        <v>0</v>
      </c>
      <c r="L234" s="38">
        <f>SUMIF(BceAnt!A:A,A234,BceAnt!J:J)</f>
        <v>1602417</v>
      </c>
      <c r="M234" s="294">
        <f>SUMIF('P&amp;L'!B:B,A234,'P&amp;L'!Q:Q)*1000</f>
        <v>1965516.0000000005</v>
      </c>
      <c r="N234" s="294">
        <f t="shared" si="50"/>
        <v>0</v>
      </c>
      <c r="P234" s="38">
        <f t="shared" si="42"/>
        <v>1965516.0000000005</v>
      </c>
      <c r="Q234" s="294"/>
      <c r="R234" s="38">
        <f t="shared" si="30"/>
        <v>1965516.0000000005</v>
      </c>
      <c r="S234" s="294"/>
      <c r="T234" s="38">
        <f t="shared" si="54"/>
        <v>1965516.0000000005</v>
      </c>
    </row>
    <row r="235" spans="1:20">
      <c r="A235" s="39">
        <v>516590</v>
      </c>
      <c r="B235" s="42" t="s">
        <v>4334</v>
      </c>
      <c r="C235" s="42"/>
      <c r="D235" s="42" t="s">
        <v>4388</v>
      </c>
      <c r="E235" s="42" t="s">
        <v>4402</v>
      </c>
      <c r="F235" s="319" t="s">
        <v>4390</v>
      </c>
      <c r="G235" s="319" t="s">
        <v>4390</v>
      </c>
      <c r="H235" s="42" t="s">
        <v>4441</v>
      </c>
      <c r="I235" s="38">
        <f>SUMIFS(Mov!$J:$J,Mov!$E:$E,A235)</f>
        <v>0</v>
      </c>
      <c r="J235" s="38">
        <f>SUMIF(Bce!A:A,A235,Bce!J:J)</f>
        <v>0</v>
      </c>
      <c r="K235" s="43">
        <f t="shared" si="59"/>
        <v>0</v>
      </c>
      <c r="L235" s="38">
        <f>SUMIF(BceAnt!A:A,A235,BceAnt!J:J)</f>
        <v>0</v>
      </c>
      <c r="M235" s="294">
        <f>SUMIF('P&amp;L'!B:B,A235,'P&amp;L'!Q:Q)*1000</f>
        <v>0</v>
      </c>
      <c r="N235" s="294">
        <f t="shared" si="50"/>
        <v>0</v>
      </c>
      <c r="P235" s="38">
        <f t="shared" si="42"/>
        <v>0</v>
      </c>
      <c r="Q235" s="294"/>
      <c r="R235" s="38">
        <f t="shared" si="30"/>
        <v>0</v>
      </c>
      <c r="S235" s="294"/>
      <c r="T235" s="38">
        <f t="shared" si="54"/>
        <v>0</v>
      </c>
    </row>
    <row r="236" spans="1:20">
      <c r="A236" s="39">
        <v>51700501</v>
      </c>
      <c r="B236" s="42" t="s">
        <v>4442</v>
      </c>
      <c r="C236" s="42"/>
      <c r="D236" s="42" t="s">
        <v>4388</v>
      </c>
      <c r="E236" s="42" t="s">
        <v>4402</v>
      </c>
      <c r="F236" s="319" t="s">
        <v>4390</v>
      </c>
      <c r="G236" s="319" t="s">
        <v>4390</v>
      </c>
      <c r="H236" s="42" t="s">
        <v>4441</v>
      </c>
      <c r="I236" s="38">
        <f>SUMIFS(Mov!$J:$J,Mov!$E:$E,A236)</f>
        <v>0</v>
      </c>
      <c r="J236" s="38">
        <f>SUMIF(Bce!A:A,A236,Bce!J:J)</f>
        <v>0</v>
      </c>
      <c r="K236" s="43">
        <f t="shared" ref="K236:K240" si="61">ROUND(I236-J236,2)</f>
        <v>0</v>
      </c>
      <c r="L236" s="38">
        <f>SUMIF(BceAnt!A:A,A236,BceAnt!J:J)</f>
        <v>154956.41</v>
      </c>
      <c r="M236" s="294">
        <f>SUMIF('P&amp;L'!B:B,A236,'P&amp;L'!Q:Q)*1000</f>
        <v>0</v>
      </c>
      <c r="N236" s="294">
        <f t="shared" si="50"/>
        <v>0</v>
      </c>
      <c r="P236" s="38">
        <f t="shared" si="42"/>
        <v>0</v>
      </c>
      <c r="Q236" s="294"/>
      <c r="R236" s="38">
        <f t="shared" si="30"/>
        <v>0</v>
      </c>
      <c r="S236" s="294"/>
      <c r="T236" s="38">
        <f t="shared" si="54"/>
        <v>0</v>
      </c>
    </row>
    <row r="237" spans="1:20">
      <c r="A237" s="39">
        <v>51700502</v>
      </c>
      <c r="B237" s="42" t="s">
        <v>1395</v>
      </c>
      <c r="C237" s="42"/>
      <c r="D237" s="42" t="s">
        <v>4388</v>
      </c>
      <c r="E237" s="42" t="s">
        <v>4402</v>
      </c>
      <c r="F237" s="319" t="s">
        <v>4390</v>
      </c>
      <c r="G237" s="319" t="s">
        <v>4390</v>
      </c>
      <c r="H237" s="42" t="s">
        <v>4441</v>
      </c>
      <c r="I237" s="38">
        <f>SUMIFS(Mov!$J:$J,Mov!$E:$E,A237)</f>
        <v>551395</v>
      </c>
      <c r="J237" s="38">
        <f>SUMIF(Bce!A:A,A237,Bce!J:J)</f>
        <v>551395</v>
      </c>
      <c r="K237" s="43">
        <f t="shared" si="61"/>
        <v>0</v>
      </c>
      <c r="L237" s="38">
        <f>SUMIF(BceAnt!A:A,A237,BceAnt!J:J)</f>
        <v>463211</v>
      </c>
      <c r="M237" s="294">
        <f>SUMIF('P&amp;L'!B:B,A237,'P&amp;L'!Q:Q)*1000</f>
        <v>551395</v>
      </c>
      <c r="N237" s="294">
        <f t="shared" si="50"/>
        <v>0</v>
      </c>
      <c r="P237" s="38">
        <f t="shared" si="42"/>
        <v>551395</v>
      </c>
      <c r="Q237" s="294"/>
      <c r="R237" s="38">
        <f t="shared" si="30"/>
        <v>551395</v>
      </c>
      <c r="S237" s="294"/>
      <c r="T237" s="38">
        <f t="shared" si="54"/>
        <v>551395</v>
      </c>
    </row>
    <row r="238" spans="1:20">
      <c r="A238" s="39">
        <v>51700503</v>
      </c>
      <c r="B238" s="42" t="s">
        <v>1397</v>
      </c>
      <c r="C238" s="42"/>
      <c r="D238" s="42" t="s">
        <v>4388</v>
      </c>
      <c r="E238" s="42" t="s">
        <v>4402</v>
      </c>
      <c r="F238" s="319" t="s">
        <v>4390</v>
      </c>
      <c r="G238" s="319" t="s">
        <v>4390</v>
      </c>
      <c r="H238" s="42" t="s">
        <v>4441</v>
      </c>
      <c r="I238" s="38">
        <f>SUMIFS(Mov!$J:$J,Mov!$E:$E,A238)</f>
        <v>4449950</v>
      </c>
      <c r="J238" s="38">
        <f>SUMIF(Bce!A:A,A238,Bce!J:J)</f>
        <v>4449950</v>
      </c>
      <c r="K238" s="43">
        <f t="shared" ref="K238" si="62">ROUND(I238-J238,2)</f>
        <v>0</v>
      </c>
      <c r="L238" s="38">
        <f>SUMIF(BceAnt!A:A,A238,BceAnt!J:J)</f>
        <v>4410000</v>
      </c>
      <c r="M238" s="294">
        <f>SUMIF('P&amp;L'!B:B,A238,'P&amp;L'!Q:Q)*1000</f>
        <v>4449950</v>
      </c>
      <c r="N238" s="294">
        <f t="shared" si="50"/>
        <v>0</v>
      </c>
      <c r="P238" s="38">
        <f t="shared" si="42"/>
        <v>4449950</v>
      </c>
      <c r="Q238" s="294"/>
      <c r="R238" s="38">
        <f t="shared" si="30"/>
        <v>4449950</v>
      </c>
      <c r="S238" s="294"/>
      <c r="T238" s="38">
        <f t="shared" si="54"/>
        <v>4449950</v>
      </c>
    </row>
    <row r="239" spans="1:20">
      <c r="A239" s="39">
        <v>51701001</v>
      </c>
      <c r="B239" s="42" t="s">
        <v>404</v>
      </c>
      <c r="C239" s="42"/>
      <c r="D239" s="42" t="s">
        <v>4388</v>
      </c>
      <c r="E239" s="42" t="s">
        <v>4402</v>
      </c>
      <c r="F239" s="319" t="s">
        <v>4390</v>
      </c>
      <c r="G239" s="319" t="s">
        <v>4390</v>
      </c>
      <c r="H239" s="42" t="s">
        <v>4441</v>
      </c>
      <c r="I239" s="38">
        <f>SUMIFS(Mov!$J:$J,Mov!$E:$E,A239)</f>
        <v>0</v>
      </c>
      <c r="J239" s="38">
        <f>SUMIF(Bce!A:A,A239,Bce!J:J)</f>
        <v>0</v>
      </c>
      <c r="K239" s="43">
        <f t="shared" si="61"/>
        <v>0</v>
      </c>
      <c r="L239" s="38">
        <f>SUMIF(BceAnt!A:A,A239,BceAnt!J:J)</f>
        <v>2877632.73</v>
      </c>
      <c r="M239" s="294">
        <f>SUMIF('P&amp;L'!B:B,A239,'P&amp;L'!Q:Q)*1000</f>
        <v>0</v>
      </c>
      <c r="N239" s="294">
        <f t="shared" si="50"/>
        <v>0</v>
      </c>
      <c r="P239" s="38">
        <f t="shared" si="42"/>
        <v>0</v>
      </c>
      <c r="Q239" s="294"/>
      <c r="R239" s="38">
        <f t="shared" si="30"/>
        <v>0</v>
      </c>
      <c r="S239" s="294"/>
      <c r="T239" s="38">
        <f t="shared" si="54"/>
        <v>0</v>
      </c>
    </row>
    <row r="240" spans="1:20">
      <c r="A240" s="39">
        <v>51701002</v>
      </c>
      <c r="B240" s="42" t="s">
        <v>419</v>
      </c>
      <c r="C240" s="42"/>
      <c r="D240" s="42" t="s">
        <v>4388</v>
      </c>
      <c r="E240" s="42" t="s">
        <v>4402</v>
      </c>
      <c r="F240" s="319" t="s">
        <v>4390</v>
      </c>
      <c r="G240" s="319" t="s">
        <v>4390</v>
      </c>
      <c r="H240" s="42" t="s">
        <v>4441</v>
      </c>
      <c r="I240" s="38">
        <f>SUMIFS(Mov!$J:$J,Mov!$E:$E,A240)</f>
        <v>0</v>
      </c>
      <c r="J240" s="38">
        <f>SUMIF(Bce!A:A,A240,Bce!J:J)</f>
        <v>0</v>
      </c>
      <c r="K240" s="43">
        <f t="shared" si="61"/>
        <v>0</v>
      </c>
      <c r="L240" s="38">
        <f>SUMIF(BceAnt!A:A,A240,BceAnt!J:J)</f>
        <v>0</v>
      </c>
      <c r="M240" s="294">
        <f>SUMIF('P&amp;L'!B:B,A240,'P&amp;L'!Q:Q)*1000</f>
        <v>0</v>
      </c>
      <c r="N240" s="294">
        <f t="shared" si="50"/>
        <v>0</v>
      </c>
      <c r="P240" s="38">
        <f t="shared" si="42"/>
        <v>0</v>
      </c>
      <c r="Q240" s="294"/>
      <c r="R240" s="38">
        <f t="shared" si="30"/>
        <v>0</v>
      </c>
      <c r="S240" s="294"/>
      <c r="T240" s="38">
        <f t="shared" si="54"/>
        <v>0</v>
      </c>
    </row>
    <row r="241" spans="1:20">
      <c r="A241" s="39">
        <v>519510</v>
      </c>
      <c r="B241" s="42" t="s">
        <v>4443</v>
      </c>
      <c r="C241" s="42"/>
      <c r="D241" s="42" t="s">
        <v>4388</v>
      </c>
      <c r="E241" s="42" t="s">
        <v>4402</v>
      </c>
      <c r="F241" s="319" t="s">
        <v>4390</v>
      </c>
      <c r="G241" s="319" t="s">
        <v>4390</v>
      </c>
      <c r="H241" s="42" t="s">
        <v>4444</v>
      </c>
      <c r="I241" s="38">
        <f>SUMIFS(Mov!$J:$J,Mov!$E:$E,A241)</f>
        <v>0</v>
      </c>
      <c r="J241" s="38">
        <f>SUMIF(Bce!A:A,A241,Bce!J:J)</f>
        <v>0</v>
      </c>
      <c r="K241" s="43">
        <f t="shared" si="59"/>
        <v>0</v>
      </c>
      <c r="L241" s="38">
        <f>SUMIF(BceAnt!A:A,A241,BceAnt!J:J)</f>
        <v>0</v>
      </c>
      <c r="M241" s="294">
        <f>SUMIF('P&amp;L'!B:B,A241,'P&amp;L'!Q:Q)*1000</f>
        <v>0</v>
      </c>
      <c r="N241" s="294">
        <f t="shared" si="50"/>
        <v>0</v>
      </c>
      <c r="P241" s="38">
        <f t="shared" si="42"/>
        <v>0</v>
      </c>
      <c r="Q241" s="294"/>
      <c r="R241" s="38">
        <f t="shared" ref="R241:T269" si="63">P241+Q241</f>
        <v>0</v>
      </c>
      <c r="S241" s="294"/>
      <c r="T241" s="38">
        <f t="shared" si="54"/>
        <v>0</v>
      </c>
    </row>
    <row r="242" spans="1:20">
      <c r="A242" s="39">
        <v>519520</v>
      </c>
      <c r="B242" s="42" t="s">
        <v>4445</v>
      </c>
      <c r="C242" s="42"/>
      <c r="D242" s="42" t="s">
        <v>4388</v>
      </c>
      <c r="E242" s="42" t="s">
        <v>4402</v>
      </c>
      <c r="F242" s="319" t="s">
        <v>4390</v>
      </c>
      <c r="G242" s="319" t="s">
        <v>4390</v>
      </c>
      <c r="H242" s="42" t="s">
        <v>4444</v>
      </c>
      <c r="I242" s="38">
        <f>SUMIFS(Mov!$J:$J,Mov!$E:$E,A242)</f>
        <v>0</v>
      </c>
      <c r="J242" s="38">
        <f>SUMIF(Bce!A:A,A242,Bce!J:J)</f>
        <v>0</v>
      </c>
      <c r="K242" s="43">
        <f t="shared" si="59"/>
        <v>0</v>
      </c>
      <c r="L242" s="38">
        <f>SUMIF(BceAnt!A:A,A242,BceAnt!J:J)</f>
        <v>0</v>
      </c>
      <c r="M242" s="294">
        <f>SUMIF('P&amp;L'!B:B,A242,'P&amp;L'!Q:Q)*1000</f>
        <v>0</v>
      </c>
      <c r="N242" s="294">
        <f t="shared" si="50"/>
        <v>0</v>
      </c>
      <c r="P242" s="38">
        <f t="shared" si="42"/>
        <v>0</v>
      </c>
      <c r="Q242" s="294"/>
      <c r="R242" s="38">
        <f t="shared" si="63"/>
        <v>0</v>
      </c>
      <c r="S242" s="294"/>
      <c r="T242" s="38">
        <f t="shared" si="54"/>
        <v>0</v>
      </c>
    </row>
    <row r="243" spans="1:20">
      <c r="A243" s="39">
        <v>51952501</v>
      </c>
      <c r="B243" s="42" t="s">
        <v>1412</v>
      </c>
      <c r="C243" s="42"/>
      <c r="D243" s="42" t="s">
        <v>4388</v>
      </c>
      <c r="E243" s="42" t="s">
        <v>4402</v>
      </c>
      <c r="F243" s="319" t="s">
        <v>4390</v>
      </c>
      <c r="G243" s="319" t="s">
        <v>4390</v>
      </c>
      <c r="H243" s="42" t="s">
        <v>4441</v>
      </c>
      <c r="I243" s="38">
        <f>SUMIFS(Mov!$J:$J,Mov!$E:$E,A243)</f>
        <v>23460653</v>
      </c>
      <c r="J243" s="38">
        <f>SUMIF(Bce!A:A,A243,Bce!J:J)</f>
        <v>23460653</v>
      </c>
      <c r="K243" s="43">
        <f t="shared" si="59"/>
        <v>0</v>
      </c>
      <c r="L243" s="38">
        <f>SUMIF(BceAnt!A:A,A243,BceAnt!J:J)</f>
        <v>7836293</v>
      </c>
      <c r="M243" s="294">
        <f>SUMIF('P&amp;L'!B:B,A243,'P&amp;L'!Q:Q)*1000</f>
        <v>23460653</v>
      </c>
      <c r="N243" s="294">
        <f t="shared" si="50"/>
        <v>0</v>
      </c>
      <c r="P243" s="38">
        <f t="shared" si="42"/>
        <v>23460653</v>
      </c>
      <c r="Q243" s="294"/>
      <c r="R243" s="38">
        <f t="shared" si="63"/>
        <v>23460653</v>
      </c>
      <c r="S243" s="294"/>
      <c r="T243" s="38">
        <f t="shared" si="54"/>
        <v>23460653</v>
      </c>
    </row>
    <row r="244" spans="1:20">
      <c r="A244" s="39">
        <v>51952502</v>
      </c>
      <c r="B244" s="42" t="s">
        <v>1414</v>
      </c>
      <c r="C244" s="42"/>
      <c r="D244" s="42" t="s">
        <v>4388</v>
      </c>
      <c r="E244" s="42" t="s">
        <v>4402</v>
      </c>
      <c r="F244" s="319" t="s">
        <v>4390</v>
      </c>
      <c r="G244" s="319" t="s">
        <v>4390</v>
      </c>
      <c r="H244" s="42" t="s">
        <v>4441</v>
      </c>
      <c r="I244" s="38">
        <f>SUMIFS(Mov!$J:$J,Mov!$E:$E,A244)</f>
        <v>32758106</v>
      </c>
      <c r="J244" s="38">
        <f>SUMIF(Bce!A:A,A244,Bce!J:J)</f>
        <v>32758106</v>
      </c>
      <c r="K244" s="43">
        <f t="shared" si="59"/>
        <v>0</v>
      </c>
      <c r="L244" s="38">
        <f>SUMIF(BceAnt!A:A,A244,BceAnt!J:J)</f>
        <v>9521147</v>
      </c>
      <c r="M244" s="294">
        <f>SUMIF('P&amp;L'!B:B,A244,'P&amp;L'!Q:Q)*1000</f>
        <v>32758106</v>
      </c>
      <c r="N244" s="294">
        <f t="shared" si="50"/>
        <v>0</v>
      </c>
      <c r="P244" s="38">
        <f t="shared" si="42"/>
        <v>32758106</v>
      </c>
      <c r="Q244" s="294"/>
      <c r="R244" s="38">
        <f t="shared" si="63"/>
        <v>32758106</v>
      </c>
      <c r="S244" s="294"/>
      <c r="T244" s="38">
        <f t="shared" si="54"/>
        <v>32758106</v>
      </c>
    </row>
    <row r="245" spans="1:20">
      <c r="A245" s="39">
        <v>51953001</v>
      </c>
      <c r="B245" s="42" t="s">
        <v>4446</v>
      </c>
      <c r="C245" s="42"/>
      <c r="D245" s="42" t="s">
        <v>4388</v>
      </c>
      <c r="E245" s="42" t="s">
        <v>4402</v>
      </c>
      <c r="F245" s="319" t="s">
        <v>4390</v>
      </c>
      <c r="G245" s="319" t="s">
        <v>4390</v>
      </c>
      <c r="H245" s="42" t="s">
        <v>4444</v>
      </c>
      <c r="I245" s="38">
        <f>SUMIFS(Mov!$J:$J,Mov!$E:$E,A245)</f>
        <v>2227029</v>
      </c>
      <c r="J245" s="38">
        <f>SUMIF(Bce!A:A,A245,Bce!J:J)</f>
        <v>2227029</v>
      </c>
      <c r="K245" s="43">
        <f t="shared" si="59"/>
        <v>0</v>
      </c>
      <c r="L245" s="38">
        <f>SUMIF(BceAnt!A:A,A245,BceAnt!J:J)</f>
        <v>1807447</v>
      </c>
      <c r="M245" s="294">
        <f>SUMIF('P&amp;L'!B:B,A245,'P&amp;L'!Q:Q)*1000</f>
        <v>2227029</v>
      </c>
      <c r="N245" s="294">
        <f t="shared" ref="N245:N269" si="64">I245-M245</f>
        <v>0</v>
      </c>
      <c r="P245" s="38">
        <f t="shared" si="42"/>
        <v>2227029</v>
      </c>
      <c r="Q245" s="294"/>
      <c r="R245" s="38">
        <f t="shared" si="63"/>
        <v>2227029</v>
      </c>
      <c r="S245" s="294"/>
      <c r="T245" s="38">
        <f t="shared" si="54"/>
        <v>2227029</v>
      </c>
    </row>
    <row r="246" spans="1:20">
      <c r="A246" s="39">
        <v>51954501</v>
      </c>
      <c r="B246" s="42" t="s">
        <v>1425</v>
      </c>
      <c r="C246" s="42"/>
      <c r="D246" s="42" t="s">
        <v>4388</v>
      </c>
      <c r="E246" s="42" t="s">
        <v>4402</v>
      </c>
      <c r="F246" s="319" t="s">
        <v>4390</v>
      </c>
      <c r="G246" s="319" t="s">
        <v>4390</v>
      </c>
      <c r="H246" s="42" t="s">
        <v>4444</v>
      </c>
      <c r="I246" s="38">
        <f>SUMIFS(Mov!$J:$J,Mov!$E:$E,A246)</f>
        <v>0</v>
      </c>
      <c r="J246" s="38">
        <f>SUMIF(Bce!A:A,A246,Bce!J:J)</f>
        <v>0</v>
      </c>
      <c r="K246" s="43">
        <f t="shared" si="59"/>
        <v>0</v>
      </c>
      <c r="L246" s="38">
        <f>SUMIF(BceAnt!A:A,A246,BceAnt!J:J)</f>
        <v>51600</v>
      </c>
      <c r="M246" s="294">
        <f>SUMIF('P&amp;L'!B:B,A246,'P&amp;L'!Q:Q)*1000</f>
        <v>0</v>
      </c>
      <c r="N246" s="294">
        <f t="shared" si="64"/>
        <v>0</v>
      </c>
      <c r="P246" s="38">
        <f t="shared" si="42"/>
        <v>0</v>
      </c>
      <c r="Q246" s="294"/>
      <c r="R246" s="38">
        <f t="shared" si="63"/>
        <v>0</v>
      </c>
      <c r="S246" s="294"/>
      <c r="T246" s="38">
        <f t="shared" si="54"/>
        <v>0</v>
      </c>
    </row>
    <row r="247" spans="1:20">
      <c r="A247" s="39">
        <v>51956001</v>
      </c>
      <c r="B247" s="42" t="s">
        <v>1436</v>
      </c>
      <c r="C247" s="42"/>
      <c r="D247" s="42" t="s">
        <v>4388</v>
      </c>
      <c r="E247" s="42" t="s">
        <v>4402</v>
      </c>
      <c r="F247" s="319" t="s">
        <v>4390</v>
      </c>
      <c r="G247" s="319" t="s">
        <v>4390</v>
      </c>
      <c r="H247" s="42" t="s">
        <v>4444</v>
      </c>
      <c r="I247" s="38">
        <f>SUMIFS(Mov!$J:$J,Mov!$E:$E,A247)</f>
        <v>0</v>
      </c>
      <c r="J247" s="38">
        <f>SUMIF(Bce!A:A,A247,Bce!J:J)</f>
        <v>0</v>
      </c>
      <c r="K247" s="43">
        <f t="shared" si="59"/>
        <v>0</v>
      </c>
      <c r="L247" s="38">
        <f>SUMIF(BceAnt!A:A,A247,BceAnt!J:J)</f>
        <v>0</v>
      </c>
      <c r="M247" s="294">
        <f>SUMIF('P&amp;L'!B:B,A247,'P&amp;L'!Q:Q)*1000</f>
        <v>0</v>
      </c>
      <c r="N247" s="294">
        <f t="shared" si="64"/>
        <v>0</v>
      </c>
      <c r="P247" s="38">
        <f t="shared" si="42"/>
        <v>0</v>
      </c>
      <c r="Q247" s="294"/>
      <c r="R247" s="38">
        <f t="shared" si="63"/>
        <v>0</v>
      </c>
      <c r="S247" s="294"/>
      <c r="T247" s="38">
        <f t="shared" si="54"/>
        <v>0</v>
      </c>
    </row>
    <row r="248" spans="1:20">
      <c r="A248" s="39">
        <v>51956002</v>
      </c>
      <c r="B248" s="42" t="s">
        <v>1439</v>
      </c>
      <c r="C248" s="42"/>
      <c r="D248" s="42" t="s">
        <v>4388</v>
      </c>
      <c r="E248" s="42" t="s">
        <v>4402</v>
      </c>
      <c r="F248" s="319" t="s">
        <v>4390</v>
      </c>
      <c r="G248" s="319" t="s">
        <v>4390</v>
      </c>
      <c r="H248" s="42" t="s">
        <v>4444</v>
      </c>
      <c r="I248" s="38">
        <f>SUMIFS(Mov!$J:$J,Mov!$E:$E,A248)</f>
        <v>0</v>
      </c>
      <c r="J248" s="38">
        <f>SUMIF(Bce!A:A,A248,Bce!J:J)</f>
        <v>0</v>
      </c>
      <c r="K248" s="43">
        <f t="shared" ref="K248" si="65">ROUND(I248-J248,2)</f>
        <v>0</v>
      </c>
      <c r="L248" s="38">
        <f>SUMIF(BceAnt!A:A,A248,BceAnt!J:J)</f>
        <v>0</v>
      </c>
      <c r="M248" s="294">
        <f>SUMIF('P&amp;L'!B:B,A248,'P&amp;L'!Q:Q)*1000</f>
        <v>0</v>
      </c>
      <c r="N248" s="294">
        <f t="shared" si="64"/>
        <v>0</v>
      </c>
      <c r="P248" s="38">
        <f t="shared" si="42"/>
        <v>0</v>
      </c>
      <c r="Q248" s="294"/>
      <c r="R248" s="38">
        <f t="shared" si="63"/>
        <v>0</v>
      </c>
      <c r="S248" s="294"/>
      <c r="T248" s="38">
        <f t="shared" si="54"/>
        <v>0</v>
      </c>
    </row>
    <row r="249" spans="1:20">
      <c r="A249" s="39">
        <v>519565</v>
      </c>
      <c r="B249" s="42" t="s">
        <v>4447</v>
      </c>
      <c r="C249" s="42"/>
      <c r="D249" s="42" t="s">
        <v>4388</v>
      </c>
      <c r="E249" s="42" t="s">
        <v>4402</v>
      </c>
      <c r="F249" s="319" t="s">
        <v>4390</v>
      </c>
      <c r="G249" s="319" t="s">
        <v>4390</v>
      </c>
      <c r="H249" s="42" t="s">
        <v>4444</v>
      </c>
      <c r="I249" s="38">
        <f>SUMIFS(Mov!$J:$J,Mov!$E:$E,A249)</f>
        <v>0</v>
      </c>
      <c r="J249" s="38">
        <f>SUMIF(Bce!A:A,A249,Bce!J:J)</f>
        <v>0</v>
      </c>
      <c r="K249" s="43">
        <f t="shared" si="59"/>
        <v>0</v>
      </c>
      <c r="L249" s="38">
        <f>SUMIF(BceAnt!A:A,A249,BceAnt!J:J)</f>
        <v>0</v>
      </c>
      <c r="M249" s="294">
        <f>SUMIF('P&amp;L'!B:B,A249,'P&amp;L'!Q:Q)*1000</f>
        <v>0</v>
      </c>
      <c r="N249" s="294">
        <f t="shared" si="64"/>
        <v>0</v>
      </c>
      <c r="P249" s="38">
        <f t="shared" si="42"/>
        <v>0</v>
      </c>
      <c r="Q249" s="294"/>
      <c r="R249" s="38">
        <f t="shared" si="63"/>
        <v>0</v>
      </c>
      <c r="S249" s="294"/>
      <c r="T249" s="38">
        <f t="shared" si="54"/>
        <v>0</v>
      </c>
    </row>
    <row r="250" spans="1:20">
      <c r="A250" s="39">
        <v>519595</v>
      </c>
      <c r="B250" s="42" t="s">
        <v>4448</v>
      </c>
      <c r="C250" s="42"/>
      <c r="D250" s="42" t="s">
        <v>4388</v>
      </c>
      <c r="E250" s="42" t="s">
        <v>4402</v>
      </c>
      <c r="F250" s="319" t="s">
        <v>4390</v>
      </c>
      <c r="G250" s="319" t="s">
        <v>4390</v>
      </c>
      <c r="H250" s="42" t="s">
        <v>4444</v>
      </c>
      <c r="I250" s="38">
        <f>SUMIFS(Mov!$J:$J,Mov!$E:$E,A250)</f>
        <v>0</v>
      </c>
      <c r="J250" s="38">
        <f>SUMIF(Bce!A:A,A250,Bce!J:J)</f>
        <v>0</v>
      </c>
      <c r="K250" s="43">
        <f t="shared" si="59"/>
        <v>0</v>
      </c>
      <c r="L250" s="38">
        <f>SUMIF(BceAnt!A:A,A250,BceAnt!J:J)</f>
        <v>0</v>
      </c>
      <c r="M250" s="294">
        <f>SUMIF('P&amp;L'!B:B,A250,'P&amp;L'!Q:Q)*1000</f>
        <v>0</v>
      </c>
      <c r="N250" s="294">
        <f t="shared" si="64"/>
        <v>0</v>
      </c>
      <c r="P250" s="38">
        <f t="shared" si="42"/>
        <v>0</v>
      </c>
      <c r="Q250" s="294"/>
      <c r="R250" s="38">
        <f t="shared" si="63"/>
        <v>0</v>
      </c>
      <c r="S250" s="294"/>
      <c r="T250" s="38">
        <f t="shared" si="54"/>
        <v>0</v>
      </c>
    </row>
    <row r="251" spans="1:20">
      <c r="A251" s="39">
        <v>519595</v>
      </c>
      <c r="B251" s="42" t="s">
        <v>4449</v>
      </c>
      <c r="C251" s="42"/>
      <c r="D251" s="42" t="s">
        <v>4388</v>
      </c>
      <c r="E251" s="42" t="s">
        <v>4402</v>
      </c>
      <c r="F251" s="319" t="s">
        <v>4390</v>
      </c>
      <c r="G251" s="319" t="s">
        <v>4390</v>
      </c>
      <c r="H251" s="42" t="s">
        <v>4444</v>
      </c>
      <c r="I251" s="38">
        <f>SUMIFS(Mov!$J:$J,Mov!$E:$E,A251)</f>
        <v>0</v>
      </c>
      <c r="J251" s="38">
        <f>SUMIF(Bce!A:A,A251,Bce!J:J)</f>
        <v>0</v>
      </c>
      <c r="K251" s="43">
        <f t="shared" si="59"/>
        <v>0</v>
      </c>
      <c r="L251" s="38">
        <f>SUMIF(BceAnt!A:A,A251,BceAnt!J:J)</f>
        <v>0</v>
      </c>
      <c r="M251" s="294">
        <f>SUMIF('P&amp;L'!B:B,A251,'P&amp;L'!Q:Q)*1000</f>
        <v>0</v>
      </c>
      <c r="N251" s="294">
        <f t="shared" si="64"/>
        <v>0</v>
      </c>
      <c r="P251" s="38">
        <f t="shared" si="42"/>
        <v>0</v>
      </c>
      <c r="Q251" s="294"/>
      <c r="R251" s="38">
        <f t="shared" si="63"/>
        <v>0</v>
      </c>
      <c r="S251" s="294"/>
      <c r="T251" s="38">
        <f t="shared" si="54"/>
        <v>0</v>
      </c>
    </row>
    <row r="252" spans="1:20">
      <c r="A252" s="39">
        <v>519910</v>
      </c>
      <c r="B252" s="42" t="s">
        <v>4450</v>
      </c>
      <c r="C252" s="42"/>
      <c r="D252" s="42" t="s">
        <v>4388</v>
      </c>
      <c r="E252" s="42" t="s">
        <v>4402</v>
      </c>
      <c r="F252" s="319" t="s">
        <v>4390</v>
      </c>
      <c r="G252" s="319" t="s">
        <v>4390</v>
      </c>
      <c r="H252" s="42" t="s">
        <v>4444</v>
      </c>
      <c r="I252" s="38">
        <f>SUMIFS(Mov!$J:$J,Mov!$E:$E,A252)</f>
        <v>0</v>
      </c>
      <c r="J252" s="38">
        <f>SUMIF(Bce!A:A,A252,Bce!J:J)</f>
        <v>0</v>
      </c>
      <c r="K252" s="43">
        <f t="shared" si="59"/>
        <v>0</v>
      </c>
      <c r="L252" s="38">
        <f>SUMIF(BceAnt!A:A,A252,BceAnt!J:J)</f>
        <v>0</v>
      </c>
      <c r="M252" s="294">
        <f>SUMIF('P&amp;L'!B:B,A252,'P&amp;L'!Q:Q)*1000</f>
        <v>0</v>
      </c>
      <c r="N252" s="294">
        <f t="shared" si="64"/>
        <v>0</v>
      </c>
      <c r="P252" s="38">
        <f t="shared" si="42"/>
        <v>0</v>
      </c>
      <c r="Q252" s="294"/>
      <c r="R252" s="38">
        <f t="shared" si="63"/>
        <v>0</v>
      </c>
      <c r="S252" s="294"/>
      <c r="T252" s="38">
        <f t="shared" si="54"/>
        <v>0</v>
      </c>
    </row>
    <row r="253" spans="1:20">
      <c r="A253" s="39">
        <v>523560</v>
      </c>
      <c r="B253" s="42" t="s">
        <v>4451</v>
      </c>
      <c r="C253" s="42"/>
      <c r="D253" s="42" t="s">
        <v>4388</v>
      </c>
      <c r="E253" s="42" t="s">
        <v>4452</v>
      </c>
      <c r="F253" s="319" t="s">
        <v>4390</v>
      </c>
      <c r="G253" s="319" t="s">
        <v>4390</v>
      </c>
      <c r="H253" s="42" t="s">
        <v>4453</v>
      </c>
      <c r="I253" s="38">
        <f>SUMIFS(Mov!$J:$J,Mov!$E:$E,A253)</f>
        <v>0</v>
      </c>
      <c r="J253" s="38">
        <f>SUMIF(Bce!A:A,A253,Bce!J:J)</f>
        <v>0</v>
      </c>
      <c r="K253" s="43">
        <f>ROUND(I253-J253,2)</f>
        <v>0</v>
      </c>
      <c r="L253" s="38">
        <f>SUMIF(BceAnt!A:A,A253,BceAnt!J:J)</f>
        <v>0</v>
      </c>
      <c r="M253" s="294">
        <f>SUMIF('P&amp;L'!B:B,A253,'P&amp;L'!Q:Q)*1000</f>
        <v>0</v>
      </c>
      <c r="N253" s="294">
        <f t="shared" si="64"/>
        <v>0</v>
      </c>
      <c r="P253" s="38">
        <f t="shared" si="42"/>
        <v>0</v>
      </c>
      <c r="Q253" s="294"/>
      <c r="R253" s="38">
        <f t="shared" si="63"/>
        <v>0</v>
      </c>
      <c r="S253" s="294"/>
      <c r="T253" s="38">
        <f t="shared" si="54"/>
        <v>0</v>
      </c>
    </row>
    <row r="254" spans="1:20">
      <c r="A254" s="39">
        <v>53050501</v>
      </c>
      <c r="B254" s="42" t="s">
        <v>4454</v>
      </c>
      <c r="C254" s="42"/>
      <c r="D254" s="42" t="s">
        <v>4388</v>
      </c>
      <c r="E254" s="42" t="s">
        <v>4452</v>
      </c>
      <c r="F254" s="319" t="s">
        <v>4390</v>
      </c>
      <c r="G254" s="319" t="s">
        <v>4390</v>
      </c>
      <c r="H254" s="42" t="s">
        <v>4453</v>
      </c>
      <c r="I254" s="38">
        <f>SUMIFS(Mov!$J:$J,Mov!$E:$E,A254)</f>
        <v>830400</v>
      </c>
      <c r="J254" s="38">
        <f>SUMIF(Bce!A:A,A254,Bce!J:J)</f>
        <v>830400</v>
      </c>
      <c r="K254" s="43">
        <f t="shared" si="59"/>
        <v>0</v>
      </c>
      <c r="L254" s="38">
        <f>SUMIF(BceAnt!A:A,A254,BceAnt!J:J)</f>
        <v>830400</v>
      </c>
      <c r="M254" s="294">
        <f>SUMIF('P&amp;L'!B:B,A254,'P&amp;L'!Q:Q)*1000</f>
        <v>830400.00000000023</v>
      </c>
      <c r="N254" s="294">
        <f t="shared" si="64"/>
        <v>0</v>
      </c>
      <c r="P254" s="38">
        <f t="shared" si="42"/>
        <v>830400.00000000023</v>
      </c>
      <c r="Q254" s="294"/>
      <c r="R254" s="38">
        <f t="shared" si="63"/>
        <v>830400.00000000023</v>
      </c>
      <c r="S254" s="294"/>
      <c r="T254" s="38">
        <f t="shared" si="54"/>
        <v>830400.00000000023</v>
      </c>
    </row>
    <row r="255" spans="1:20">
      <c r="A255" s="39">
        <v>53050502</v>
      </c>
      <c r="B255" s="42" t="s">
        <v>1466</v>
      </c>
      <c r="C255" s="42"/>
      <c r="D255" s="42" t="s">
        <v>4388</v>
      </c>
      <c r="E255" s="42" t="s">
        <v>4452</v>
      </c>
      <c r="F255" s="319" t="s">
        <v>4390</v>
      </c>
      <c r="G255" s="319" t="s">
        <v>4390</v>
      </c>
      <c r="H255" s="42" t="s">
        <v>4453</v>
      </c>
      <c r="I255" s="38">
        <f>SUMIFS(Mov!$J:$J,Mov!$E:$E,A255)</f>
        <v>157080</v>
      </c>
      <c r="J255" s="38">
        <f>SUMIF(Bce!A:A,A255,Bce!J:J)</f>
        <v>157080</v>
      </c>
      <c r="K255" s="43">
        <f t="shared" ref="K255:K256" si="66">ROUND(I255-J255,2)</f>
        <v>0</v>
      </c>
      <c r="L255" s="38">
        <f>SUMIF(BceAnt!A:A,A255,BceAnt!J:J)</f>
        <v>155880</v>
      </c>
      <c r="M255" s="294">
        <f>SUMIF('P&amp;L'!B:B,A255,'P&amp;L'!Q:Q)*1000</f>
        <v>157079.99999999997</v>
      </c>
      <c r="N255" s="294">
        <f t="shared" si="64"/>
        <v>0</v>
      </c>
      <c r="P255" s="38">
        <f t="shared" si="42"/>
        <v>157079.99999999997</v>
      </c>
      <c r="Q255" s="294"/>
      <c r="R255" s="38">
        <f t="shared" si="63"/>
        <v>157079.99999999997</v>
      </c>
      <c r="S255" s="294"/>
      <c r="T255" s="38">
        <f t="shared" si="54"/>
        <v>157079.99999999997</v>
      </c>
    </row>
    <row r="256" spans="1:20">
      <c r="A256" s="39">
        <v>53050503</v>
      </c>
      <c r="B256" s="42" t="s">
        <v>214</v>
      </c>
      <c r="C256" s="42"/>
      <c r="D256" s="42" t="s">
        <v>4388</v>
      </c>
      <c r="E256" s="42" t="s">
        <v>4452</v>
      </c>
      <c r="F256" s="319" t="s">
        <v>4390</v>
      </c>
      <c r="G256" s="319" t="s">
        <v>4390</v>
      </c>
      <c r="H256" s="42" t="s">
        <v>4453</v>
      </c>
      <c r="I256" s="38">
        <f>SUMIFS(Mov!$J:$J,Mov!$E:$E,A256)</f>
        <v>1465323.52</v>
      </c>
      <c r="J256" s="38">
        <f>SUMIF(Bce!A:A,A256,Bce!J:J)</f>
        <v>1465323.52</v>
      </c>
      <c r="K256" s="43">
        <f t="shared" si="66"/>
        <v>0</v>
      </c>
      <c r="L256" s="38">
        <f>SUMIF(BceAnt!A:A,A256,BceAnt!J:J)</f>
        <v>948384.05</v>
      </c>
      <c r="M256" s="294">
        <f>SUMIF('P&amp;L'!B:B,A256,'P&amp;L'!Q:Q)*1000</f>
        <v>1465323.52</v>
      </c>
      <c r="N256" s="294">
        <f t="shared" si="64"/>
        <v>0</v>
      </c>
      <c r="P256" s="38">
        <f t="shared" si="42"/>
        <v>1465323.52</v>
      </c>
      <c r="Q256" s="294"/>
      <c r="R256" s="38">
        <f t="shared" si="63"/>
        <v>1465323.52</v>
      </c>
      <c r="S256" s="294"/>
      <c r="T256" s="38">
        <f t="shared" si="54"/>
        <v>1465323.52</v>
      </c>
    </row>
    <row r="257" spans="1:20">
      <c r="A257" s="39">
        <v>53052001</v>
      </c>
      <c r="B257" s="42" t="s">
        <v>4455</v>
      </c>
      <c r="C257" s="42"/>
      <c r="D257" s="42" t="s">
        <v>4388</v>
      </c>
      <c r="E257" s="42" t="s">
        <v>4456</v>
      </c>
      <c r="F257" s="319" t="s">
        <v>4390</v>
      </c>
      <c r="G257" s="319" t="s">
        <v>4390</v>
      </c>
      <c r="H257" s="42" t="s">
        <v>4457</v>
      </c>
      <c r="I257" s="38">
        <f>SUMIFS(Mov!$J:$J,Mov!$E:$E,A257)</f>
        <v>123774.13</v>
      </c>
      <c r="J257" s="38">
        <f>SUMIF(Bce!A:A,A257,Bce!J:J)</f>
        <v>123774.13</v>
      </c>
      <c r="K257" s="43">
        <f t="shared" si="59"/>
        <v>0</v>
      </c>
      <c r="L257" s="38">
        <f>SUMIF(BceAnt!A:A,A257,BceAnt!J:J)</f>
        <v>17702.86</v>
      </c>
      <c r="M257" s="294">
        <f>SUMIF('P&amp;L'!B:B,A257,'P&amp;L'!Q:Q)*1000</f>
        <v>123774.13000000002</v>
      </c>
      <c r="N257" s="294">
        <f t="shared" si="64"/>
        <v>0</v>
      </c>
      <c r="P257" s="226">
        <f t="shared" si="42"/>
        <v>123774.13000000002</v>
      </c>
      <c r="Q257" s="295">
        <f>-M257</f>
        <v>-123774.13000000002</v>
      </c>
      <c r="R257" s="226">
        <f t="shared" si="63"/>
        <v>0</v>
      </c>
      <c r="S257" s="295"/>
      <c r="T257" s="226">
        <f t="shared" si="54"/>
        <v>0</v>
      </c>
    </row>
    <row r="258" spans="1:20">
      <c r="A258" s="39">
        <v>53052002</v>
      </c>
      <c r="B258" s="42" t="s">
        <v>97</v>
      </c>
      <c r="C258" s="42"/>
      <c r="D258" s="42" t="s">
        <v>4388</v>
      </c>
      <c r="E258" s="42" t="s">
        <v>4456</v>
      </c>
      <c r="F258" s="319" t="s">
        <v>4390</v>
      </c>
      <c r="G258" s="319" t="s">
        <v>4390</v>
      </c>
      <c r="H258" s="42" t="s">
        <v>4457</v>
      </c>
      <c r="I258" s="38">
        <f>SUMIFS(Mov!$J:$J,Mov!$E:$E,A258)</f>
        <v>3887420</v>
      </c>
      <c r="J258" s="38">
        <f>SUMIF(Bce!A:A,A258,Bce!J:J)</f>
        <v>3887420</v>
      </c>
      <c r="K258" s="43">
        <f t="shared" ref="K258" si="67">ROUND(I258-J258,2)</f>
        <v>0</v>
      </c>
      <c r="L258" s="38">
        <f>SUMIF(BceAnt!A:A,A258,BceAnt!J:J)</f>
        <v>0</v>
      </c>
      <c r="M258" s="294">
        <f>SUMIF('P&amp;L'!B:B,A258,'P&amp;L'!Q:Q)*1000</f>
        <v>3887420</v>
      </c>
      <c r="N258" s="294">
        <f t="shared" ref="N258" si="68">I258-M258</f>
        <v>0</v>
      </c>
      <c r="P258" s="226">
        <f t="shared" si="42"/>
        <v>3887420</v>
      </c>
      <c r="Q258" s="295">
        <f>-M258</f>
        <v>-3887420</v>
      </c>
      <c r="R258" s="226">
        <f t="shared" si="63"/>
        <v>0</v>
      </c>
      <c r="S258" s="295"/>
      <c r="T258" s="226">
        <f t="shared" si="54"/>
        <v>0</v>
      </c>
    </row>
    <row r="259" spans="1:20">
      <c r="A259" s="39">
        <v>53052501</v>
      </c>
      <c r="B259" s="42" t="s">
        <v>1752</v>
      </c>
      <c r="C259" s="42"/>
      <c r="D259" s="42" t="s">
        <v>4388</v>
      </c>
      <c r="E259" s="42" t="s">
        <v>4392</v>
      </c>
      <c r="F259" s="319" t="s">
        <v>4390</v>
      </c>
      <c r="G259" s="319" t="s">
        <v>4390</v>
      </c>
      <c r="H259" s="42"/>
      <c r="I259" s="38">
        <f>SUMIFS(Mov!$J:$J,Mov!$E:$E,A259)</f>
        <v>23703793.649999999</v>
      </c>
      <c r="J259" s="38">
        <f>SUMIF(Bce!A:A,A259,Bce!J:J)</f>
        <v>23703793.649999999</v>
      </c>
      <c r="K259" s="43">
        <f t="shared" si="59"/>
        <v>0</v>
      </c>
      <c r="L259" s="38">
        <f>SUMIF(BceAnt!A:A,A259,BceAnt!J:J)</f>
        <v>150954.16</v>
      </c>
      <c r="M259" s="295">
        <f>-SUMIF('P&amp;L'!B:B,A259,'P&amp;L'!Q:Q)*1000</f>
        <v>23703793.649999999</v>
      </c>
      <c r="N259" s="294">
        <f t="shared" si="64"/>
        <v>0</v>
      </c>
      <c r="P259" s="38">
        <f t="shared" si="42"/>
        <v>23703793.649999999</v>
      </c>
      <c r="Q259" s="294"/>
      <c r="R259" s="38">
        <f t="shared" si="63"/>
        <v>23703793.649999999</v>
      </c>
      <c r="S259" s="294"/>
      <c r="T259" s="38">
        <f t="shared" si="54"/>
        <v>23703793.649999999</v>
      </c>
    </row>
    <row r="260" spans="1:20">
      <c r="A260" s="39">
        <v>53059510</v>
      </c>
      <c r="B260" s="42" t="s">
        <v>1065</v>
      </c>
      <c r="C260" s="42"/>
      <c r="D260" s="42" t="s">
        <v>4388</v>
      </c>
      <c r="E260" s="42" t="s">
        <v>4392</v>
      </c>
      <c r="F260" s="319" t="s">
        <v>4390</v>
      </c>
      <c r="G260" s="319" t="s">
        <v>4390</v>
      </c>
      <c r="H260" s="42"/>
      <c r="I260" s="38">
        <f>SUMIFS(Mov!$J:$J,Mov!$E:$E,A260)</f>
        <v>835017.55</v>
      </c>
      <c r="J260" s="38">
        <f>SUMIF(Bce!A:A,A260,Bce!J:J)</f>
        <v>835017.55</v>
      </c>
      <c r="K260" s="43">
        <f t="shared" si="59"/>
        <v>0</v>
      </c>
      <c r="L260" s="38">
        <f>SUMIF(BceAnt!A:A,A260,BceAnt!J:J)</f>
        <v>25791.5</v>
      </c>
      <c r="M260" s="294">
        <f>SUMIF('P&amp;L'!B:B,A260,'P&amp;L'!Q:Q)*1000</f>
        <v>835017.54999999993</v>
      </c>
      <c r="N260" s="294">
        <f t="shared" si="64"/>
        <v>0</v>
      </c>
      <c r="P260" s="38">
        <f t="shared" si="42"/>
        <v>835017.54999999993</v>
      </c>
      <c r="Q260" s="295">
        <f>-M260</f>
        <v>-835017.54999999993</v>
      </c>
      <c r="R260" s="38">
        <f t="shared" si="63"/>
        <v>0</v>
      </c>
      <c r="S260" s="294"/>
      <c r="T260" s="38">
        <f t="shared" si="54"/>
        <v>0</v>
      </c>
    </row>
    <row r="261" spans="1:20">
      <c r="A261" s="39">
        <v>531015</v>
      </c>
      <c r="B261" s="42" t="s">
        <v>4458</v>
      </c>
      <c r="C261" s="42"/>
      <c r="D261" s="42" t="s">
        <v>4388</v>
      </c>
      <c r="E261" s="42" t="s">
        <v>4392</v>
      </c>
      <c r="F261" s="319" t="s">
        <v>4390</v>
      </c>
      <c r="G261" s="319" t="s">
        <v>4390</v>
      </c>
      <c r="H261" s="42"/>
      <c r="I261" s="38">
        <f>SUMIFS(Mov!$J:$J,Mov!$E:$E,A261)</f>
        <v>0</v>
      </c>
      <c r="J261" s="38">
        <f>SUMIF(Bce!A:A,A261,Bce!J:J)</f>
        <v>0</v>
      </c>
      <c r="K261" s="43">
        <f t="shared" ref="K261" si="69">ROUND(I261-J261,2)</f>
        <v>0</v>
      </c>
      <c r="L261" s="38">
        <f>SUMIF(BceAnt!A:A,A261,BceAnt!J:J)</f>
        <v>0</v>
      </c>
      <c r="M261" s="294">
        <f>SUMIF('P&amp;L'!B:B,A261,'P&amp;L'!Q:Q)*1000</f>
        <v>0</v>
      </c>
      <c r="N261" s="294">
        <f t="shared" ref="N261" si="70">I261-M261</f>
        <v>0</v>
      </c>
      <c r="P261" s="38">
        <f t="shared" ref="P261" si="71">M261+O261</f>
        <v>0</v>
      </c>
      <c r="Q261" s="294"/>
      <c r="R261" s="38">
        <f t="shared" ref="R261" si="72">P261+Q261</f>
        <v>0</v>
      </c>
      <c r="S261" s="294"/>
      <c r="T261" s="38">
        <f t="shared" ref="T261" si="73">R261+S261</f>
        <v>0</v>
      </c>
    </row>
    <row r="262" spans="1:20">
      <c r="A262" s="39">
        <v>53152001</v>
      </c>
      <c r="B262" s="42" t="s">
        <v>4459</v>
      </c>
      <c r="C262" s="42"/>
      <c r="D262" s="42" t="s">
        <v>4388</v>
      </c>
      <c r="E262" s="42" t="s">
        <v>4460</v>
      </c>
      <c r="F262" s="319" t="s">
        <v>4390</v>
      </c>
      <c r="G262" s="319" t="s">
        <v>4390</v>
      </c>
      <c r="H262" s="42" t="s">
        <v>4461</v>
      </c>
      <c r="I262" s="38">
        <f>SUMIFS(Mov!$J:$J,Mov!$E:$E,A262)</f>
        <v>0</v>
      </c>
      <c r="J262" s="38">
        <f>SUMIF(Bce!A:A,A262,Bce!J:J)</f>
        <v>0</v>
      </c>
      <c r="K262" s="43">
        <f t="shared" si="59"/>
        <v>0</v>
      </c>
      <c r="L262" s="38">
        <f>SUMIF(BceAnt!A:A,A262,BceAnt!J:J)</f>
        <v>0</v>
      </c>
      <c r="M262" s="294">
        <f>SUMIF('P&amp;L'!B:B,A262,'P&amp;L'!Q:Q)*1000</f>
        <v>0</v>
      </c>
      <c r="N262" s="294">
        <f t="shared" si="64"/>
        <v>0</v>
      </c>
      <c r="P262" s="38">
        <f t="shared" si="42"/>
        <v>0</v>
      </c>
      <c r="Q262" s="294"/>
      <c r="R262" s="38">
        <f t="shared" si="63"/>
        <v>0</v>
      </c>
      <c r="S262" s="294"/>
      <c r="T262" s="38">
        <f t="shared" si="54"/>
        <v>0</v>
      </c>
    </row>
    <row r="263" spans="1:20">
      <c r="A263" s="39">
        <v>53152002</v>
      </c>
      <c r="B263" s="42" t="s">
        <v>4462</v>
      </c>
      <c r="C263" s="42"/>
      <c r="D263" s="42" t="s">
        <v>4388</v>
      </c>
      <c r="E263" s="42" t="s">
        <v>4460</v>
      </c>
      <c r="F263" s="319" t="s">
        <v>4390</v>
      </c>
      <c r="G263" s="319" t="s">
        <v>4390</v>
      </c>
      <c r="H263" s="42" t="s">
        <v>4461</v>
      </c>
      <c r="I263" s="38">
        <f>SUMIFS(Mov!$J:$J,Mov!$E:$E,A263)</f>
        <v>0</v>
      </c>
      <c r="J263" s="38">
        <f>SUMIF(Bce!A:A,A263,Bce!J:J)</f>
        <v>0</v>
      </c>
      <c r="K263" s="43">
        <f>ROUND(I263-J263,2)</f>
        <v>0</v>
      </c>
      <c r="L263" s="38">
        <f>SUMIF(BceAnt!A:A,A263,BceAnt!J:J)</f>
        <v>0</v>
      </c>
      <c r="M263" s="294">
        <f>SUMIF('P&amp;L'!B:B,A263,'P&amp;L'!Q:Q)*1000</f>
        <v>0</v>
      </c>
      <c r="N263" s="294">
        <f t="shared" si="64"/>
        <v>0</v>
      </c>
      <c r="P263" s="38">
        <f t="shared" ref="P263:P269" si="74">M263+O263</f>
        <v>0</v>
      </c>
      <c r="Q263" s="294"/>
      <c r="R263" s="38">
        <f t="shared" si="63"/>
        <v>0</v>
      </c>
      <c r="S263" s="294"/>
      <c r="T263" s="38">
        <f t="shared" si="54"/>
        <v>0</v>
      </c>
    </row>
    <row r="264" spans="1:20">
      <c r="A264" s="39">
        <v>53152003</v>
      </c>
      <c r="B264" s="42" t="s">
        <v>1498</v>
      </c>
      <c r="C264" s="42"/>
      <c r="D264" s="42" t="s">
        <v>4388</v>
      </c>
      <c r="E264" s="42" t="s">
        <v>4460</v>
      </c>
      <c r="F264" s="319" t="s">
        <v>4390</v>
      </c>
      <c r="G264" s="319" t="s">
        <v>4390</v>
      </c>
      <c r="H264" s="42" t="s">
        <v>4461</v>
      </c>
      <c r="I264" s="38">
        <f>SUMIFS(Mov!$J:$J,Mov!$E:$E,A264)</f>
        <v>7890.93</v>
      </c>
      <c r="J264" s="38">
        <f>SUMIF(Bce!A:A,A264,Bce!J:J)</f>
        <v>7890.93</v>
      </c>
      <c r="K264" s="43">
        <f>ROUND(I264-J264,2)</f>
        <v>0</v>
      </c>
      <c r="L264" s="38">
        <f>SUMIF(BceAnt!A:A,A264,BceAnt!J:J)</f>
        <v>12200735.060000001</v>
      </c>
      <c r="M264" s="294">
        <f>SUMIF('P&amp;L'!B:B,A264,'P&amp;L'!Q:Q)*1000</f>
        <v>7890.9299999999994</v>
      </c>
      <c r="N264" s="294">
        <f t="shared" ref="N264" si="75">I264-M264</f>
        <v>0</v>
      </c>
      <c r="P264" s="226">
        <f t="shared" si="74"/>
        <v>7890.9299999999994</v>
      </c>
      <c r="Q264" s="295">
        <f>-M264</f>
        <v>-7890.9299999999994</v>
      </c>
      <c r="R264" s="226">
        <f t="shared" si="63"/>
        <v>0</v>
      </c>
      <c r="S264" s="295"/>
      <c r="T264" s="226">
        <f t="shared" si="54"/>
        <v>0</v>
      </c>
    </row>
    <row r="265" spans="1:20">
      <c r="A265" s="39">
        <v>53152004</v>
      </c>
      <c r="B265" s="42" t="s">
        <v>1754</v>
      </c>
      <c r="C265" s="42"/>
      <c r="D265" s="42" t="s">
        <v>4388</v>
      </c>
      <c r="E265" s="42" t="s">
        <v>4460</v>
      </c>
      <c r="F265" s="319" t="s">
        <v>4390</v>
      </c>
      <c r="G265" s="319" t="s">
        <v>4390</v>
      </c>
      <c r="H265" s="42" t="s">
        <v>4461</v>
      </c>
      <c r="I265" s="38">
        <f>SUMIFS(Mov!$J:$J,Mov!$E:$E,A265)</f>
        <v>2681000</v>
      </c>
      <c r="J265" s="38">
        <f>SUMIF(Bce!A:A,A265,Bce!J:J)</f>
        <v>2681000</v>
      </c>
      <c r="K265" s="43">
        <f>ROUND(I265-J265,2)</f>
        <v>0</v>
      </c>
      <c r="L265" s="38">
        <f>SUMIF(BceAnt!A:A,A265,BceAnt!J:J)</f>
        <v>1000</v>
      </c>
      <c r="M265" s="294">
        <f>SUMIF('P&amp;L'!B:B,A265,'P&amp;L'!Q:Q)*1000</f>
        <v>2681000</v>
      </c>
      <c r="N265" s="294">
        <f t="shared" ref="N265" si="76">I265-M265</f>
        <v>0</v>
      </c>
      <c r="P265" s="226">
        <f t="shared" si="74"/>
        <v>2681000</v>
      </c>
      <c r="Q265" s="295">
        <f>-M265</f>
        <v>-2681000</v>
      </c>
      <c r="R265" s="226">
        <f t="shared" si="63"/>
        <v>0</v>
      </c>
      <c r="S265" s="295"/>
      <c r="T265" s="226">
        <f t="shared" si="54"/>
        <v>0</v>
      </c>
    </row>
    <row r="266" spans="1:20">
      <c r="A266" s="39">
        <v>539505</v>
      </c>
      <c r="B266" s="42" t="s">
        <v>1065</v>
      </c>
      <c r="C266" s="42"/>
      <c r="D266" s="42" t="s">
        <v>4388</v>
      </c>
      <c r="E266" s="42" t="s">
        <v>4460</v>
      </c>
      <c r="F266" s="319" t="s">
        <v>4390</v>
      </c>
      <c r="G266" s="319" t="s">
        <v>4390</v>
      </c>
      <c r="H266" s="42" t="s">
        <v>4461</v>
      </c>
      <c r="I266" s="38">
        <f>SUMIFS(Mov!$J:$J,Mov!$E:$E,A266)</f>
        <v>0</v>
      </c>
      <c r="J266" s="38">
        <f>SUMIF(Bce!A:A,A266,Bce!J:J)</f>
        <v>0</v>
      </c>
      <c r="K266" s="43">
        <f t="shared" si="59"/>
        <v>0</v>
      </c>
      <c r="L266" s="38">
        <f>SUMIF(BceAnt!A:A,A266,BceAnt!J:J)</f>
        <v>0</v>
      </c>
      <c r="M266" s="294">
        <f>SUMIF('P&amp;L'!B:B,A266,'P&amp;L'!Q:Q)*1000</f>
        <v>0</v>
      </c>
      <c r="N266" s="294">
        <f t="shared" si="64"/>
        <v>0</v>
      </c>
      <c r="P266" s="38">
        <f t="shared" si="74"/>
        <v>0</v>
      </c>
      <c r="Q266" s="294"/>
      <c r="R266" s="38">
        <f t="shared" si="63"/>
        <v>0</v>
      </c>
      <c r="S266" s="294"/>
      <c r="T266" s="38">
        <f t="shared" si="54"/>
        <v>0</v>
      </c>
    </row>
    <row r="267" spans="1:20">
      <c r="A267" s="39">
        <v>539515</v>
      </c>
      <c r="B267" s="42" t="s">
        <v>4463</v>
      </c>
      <c r="C267" s="42"/>
      <c r="D267" s="42" t="s">
        <v>4388</v>
      </c>
      <c r="E267" s="42" t="s">
        <v>4460</v>
      </c>
      <c r="F267" s="319" t="s">
        <v>4390</v>
      </c>
      <c r="G267" s="319" t="s">
        <v>4390</v>
      </c>
      <c r="H267" s="42" t="s">
        <v>4461</v>
      </c>
      <c r="I267" s="38">
        <f>SUMIFS(Mov!$J:$J,Mov!$E:$E,A267)</f>
        <v>0</v>
      </c>
      <c r="J267" s="38">
        <f>SUMIF(Bce!A:A,A267,Bce!J:J)</f>
        <v>0</v>
      </c>
      <c r="K267" s="43">
        <f t="shared" si="59"/>
        <v>0</v>
      </c>
      <c r="L267" s="38">
        <f>SUMIF(BceAnt!A:A,A267,BceAnt!J:J)</f>
        <v>0</v>
      </c>
      <c r="M267" s="294">
        <f>SUMIF('P&amp;L'!B:B,A267,'P&amp;L'!Q:Q)*1000</f>
        <v>0</v>
      </c>
      <c r="N267" s="294">
        <f t="shared" si="64"/>
        <v>0</v>
      </c>
      <c r="P267" s="38">
        <f t="shared" si="74"/>
        <v>0</v>
      </c>
      <c r="Q267" s="294"/>
      <c r="R267" s="38">
        <f t="shared" si="63"/>
        <v>0</v>
      </c>
      <c r="S267" s="294"/>
      <c r="T267" s="38">
        <f t="shared" si="54"/>
        <v>0</v>
      </c>
    </row>
    <row r="268" spans="1:20">
      <c r="A268" s="39">
        <v>539520</v>
      </c>
      <c r="B268" s="42" t="s">
        <v>4464</v>
      </c>
      <c r="C268" s="42"/>
      <c r="D268" s="42" t="s">
        <v>4388</v>
      </c>
      <c r="E268" s="42" t="s">
        <v>4460</v>
      </c>
      <c r="F268" s="319" t="s">
        <v>4390</v>
      </c>
      <c r="G268" s="319" t="s">
        <v>4390</v>
      </c>
      <c r="H268" s="42" t="s">
        <v>4461</v>
      </c>
      <c r="I268" s="38">
        <f>SUMIFS(Mov!$J:$J,Mov!$E:$E,A268)</f>
        <v>1726000</v>
      </c>
      <c r="J268" s="38">
        <f>SUMIF(Bce!A:A,A268,Bce!J:J)</f>
        <v>1726000</v>
      </c>
      <c r="K268" s="43">
        <f t="shared" si="59"/>
        <v>0</v>
      </c>
      <c r="L268" s="38">
        <f>SUMIF(BceAnt!A:A,A268,BceAnt!J:J)</f>
        <v>380000</v>
      </c>
      <c r="M268" s="294">
        <f>SUMIF('P&amp;L'!B:B,A268,'P&amp;L'!Q:Q)*1000</f>
        <v>1726000</v>
      </c>
      <c r="N268" s="294">
        <f t="shared" si="64"/>
        <v>0</v>
      </c>
      <c r="P268" s="226">
        <f t="shared" si="74"/>
        <v>1726000</v>
      </c>
      <c r="Q268" s="295">
        <f>-M268</f>
        <v>-1726000</v>
      </c>
      <c r="R268" s="226">
        <f t="shared" si="63"/>
        <v>0</v>
      </c>
      <c r="S268" s="295"/>
      <c r="T268" s="226">
        <f t="shared" si="63"/>
        <v>0</v>
      </c>
    </row>
    <row r="269" spans="1:20">
      <c r="A269" s="39">
        <v>54050501</v>
      </c>
      <c r="B269" s="42" t="s">
        <v>4465</v>
      </c>
      <c r="C269" s="42"/>
      <c r="D269" s="42" t="s">
        <v>4388</v>
      </c>
      <c r="E269" s="42" t="s">
        <v>4466</v>
      </c>
      <c r="F269" s="319" t="s">
        <v>4390</v>
      </c>
      <c r="G269" s="319" t="s">
        <v>4390</v>
      </c>
      <c r="H269" s="42" t="s">
        <v>4466</v>
      </c>
      <c r="I269" s="38">
        <f>SUMIFS(Mov!$J:$J,Mov!$E:$E,A269)</f>
        <v>35603000</v>
      </c>
      <c r="J269" s="38">
        <f>SUMIF(Bce!A:A,A269,Bce!J:J)</f>
        <v>35603000</v>
      </c>
      <c r="K269" s="43">
        <f>ROUND(I269-J269,2)</f>
        <v>0</v>
      </c>
      <c r="L269" s="38">
        <f>SUMIF(BceAnt!A:A,A269,BceAnt!J:J)</f>
        <v>0</v>
      </c>
      <c r="M269" s="294">
        <f>-SUMIF('P&amp;L'!B:B,A269,'P&amp;L'!Q:Q)*1000</f>
        <v>35603000</v>
      </c>
      <c r="N269" s="294">
        <f t="shared" si="64"/>
        <v>0</v>
      </c>
      <c r="O269" s="294">
        <f>-M269</f>
        <v>-35603000</v>
      </c>
      <c r="P269" s="38">
        <f t="shared" si="74"/>
        <v>0</v>
      </c>
      <c r="Q269" s="294"/>
      <c r="R269" s="38">
        <f t="shared" si="63"/>
        <v>0</v>
      </c>
      <c r="S269" s="294"/>
      <c r="T269" s="38">
        <f t="shared" si="54"/>
        <v>0</v>
      </c>
    </row>
    <row r="270" spans="1:20">
      <c r="A270" s="39">
        <v>54050502</v>
      </c>
      <c r="B270" s="42" t="s">
        <v>4238</v>
      </c>
      <c r="C270" s="42"/>
      <c r="D270" s="42" t="s">
        <v>4388</v>
      </c>
      <c r="E270" s="42" t="s">
        <v>4466</v>
      </c>
      <c r="F270" s="319" t="s">
        <v>4390</v>
      </c>
      <c r="G270" s="319" t="s">
        <v>4390</v>
      </c>
      <c r="H270" s="42" t="s">
        <v>4466</v>
      </c>
      <c r="I270" s="38">
        <f>SUMIFS(Mov!$J:$J,Mov!$E:$E,A270)</f>
        <v>2790938</v>
      </c>
      <c r="J270" s="38">
        <f>SUMIF(Bce!A:A,A270,Bce!J:J)</f>
        <v>2790938</v>
      </c>
      <c r="K270" s="43">
        <f>ROUND(I270-J270,2)</f>
        <v>0</v>
      </c>
      <c r="L270" s="38">
        <f>SUMIF(BceAnt!A:A,A270,BceAnt!J:J)</f>
        <v>-26429000</v>
      </c>
      <c r="M270" s="294">
        <f>-SUMIF('P&amp;L'!B:B,A270,'P&amp;L'!Q:Q)*1000</f>
        <v>0</v>
      </c>
      <c r="N270" s="294">
        <f t="shared" ref="N270" si="77">I270-M270</f>
        <v>2790938</v>
      </c>
      <c r="O270" s="294">
        <f>-M270</f>
        <v>0</v>
      </c>
      <c r="P270" s="38">
        <f t="shared" ref="P270" si="78">M270+O270</f>
        <v>0</v>
      </c>
      <c r="Q270" s="294"/>
      <c r="R270" s="38">
        <f t="shared" ref="R270" si="79">P270+Q270</f>
        <v>0</v>
      </c>
      <c r="S270" s="294"/>
      <c r="T270" s="38">
        <f t="shared" ref="T270" si="80">R270+S270</f>
        <v>0</v>
      </c>
    </row>
    <row r="271" spans="1:20" ht="4.9000000000000004" customHeight="1">
      <c r="A271" s="39"/>
      <c r="B271" s="42"/>
      <c r="C271" s="42"/>
      <c r="D271" s="42"/>
      <c r="E271" s="42"/>
      <c r="F271" s="42"/>
      <c r="G271" s="42"/>
      <c r="H271" s="42"/>
      <c r="I271" s="38"/>
      <c r="J271" s="38"/>
      <c r="K271" s="38"/>
      <c r="L271" s="38"/>
      <c r="M271" s="38"/>
      <c r="N271" s="38"/>
      <c r="O271" s="38"/>
      <c r="P271" s="38"/>
      <c r="Q271" s="38"/>
      <c r="R271" s="38"/>
      <c r="S271" s="38"/>
      <c r="T271" s="38"/>
    </row>
    <row r="272" spans="1:20" ht="15.75" thickBot="1">
      <c r="A272" s="44"/>
      <c r="B272" s="44" t="s">
        <v>4467</v>
      </c>
      <c r="C272" s="42"/>
      <c r="D272" s="42"/>
      <c r="E272" s="42"/>
      <c r="F272" s="42"/>
      <c r="G272" s="42"/>
      <c r="H272" s="42"/>
      <c r="I272" s="45">
        <f>SUM(I2:I271)</f>
        <v>4.4703483581542969E-8</v>
      </c>
      <c r="J272" s="45">
        <f>ROUND(SUM(J2:J271),2)</f>
        <v>0</v>
      </c>
      <c r="K272" s="46">
        <f>SUM(K2:K271)</f>
        <v>0</v>
      </c>
      <c r="L272" s="45">
        <f>ROUND(SUM(L2:L271),2)</f>
        <v>0</v>
      </c>
      <c r="M272" s="45">
        <f>SUM(M150:M162)-SUM(M163:M271)</f>
        <v>52554338.080000043</v>
      </c>
      <c r="N272" s="45">
        <f>SUM(N2:N271)</f>
        <v>2790938</v>
      </c>
      <c r="O272" s="45">
        <f t="shared" ref="O272:T272" si="81">SUM(O150:O162)-SUM(O163:O271)</f>
        <v>35603000</v>
      </c>
      <c r="P272" s="45">
        <f t="shared" si="81"/>
        <v>88157338.080000043</v>
      </c>
      <c r="Q272" s="45">
        <f t="shared" si="81"/>
        <v>13565702.914999999</v>
      </c>
      <c r="R272" s="45">
        <f t="shared" si="81"/>
        <v>101723040.99499989</v>
      </c>
      <c r="S272" s="45">
        <f t="shared" si="81"/>
        <v>0</v>
      </c>
      <c r="T272" s="45">
        <f t="shared" si="81"/>
        <v>101723040.99499989</v>
      </c>
    </row>
    <row r="273" spans="1:20" ht="15.75" thickTop="1">
      <c r="A273" s="42"/>
      <c r="B273" s="42"/>
      <c r="C273" s="42"/>
      <c r="D273" s="42"/>
      <c r="E273" s="42"/>
      <c r="F273" s="42"/>
      <c r="G273" s="42"/>
      <c r="H273" s="42"/>
      <c r="I273" s="47"/>
      <c r="J273" s="47"/>
      <c r="K273" s="38"/>
      <c r="L273" s="38"/>
      <c r="M273" s="38"/>
      <c r="N273" s="38"/>
      <c r="O273" s="38">
        <v>35603000</v>
      </c>
      <c r="P273" s="38"/>
      <c r="Q273" s="296">
        <f>+Q272/P272</f>
        <v>0.15388058680593947</v>
      </c>
      <c r="R273" s="38"/>
      <c r="S273" s="296">
        <f>+S272/R272</f>
        <v>0</v>
      </c>
      <c r="T273" s="38"/>
    </row>
    <row r="274" spans="1:20">
      <c r="A274" s="42"/>
      <c r="B274" s="42" t="s">
        <v>984</v>
      </c>
      <c r="C274" s="42"/>
      <c r="D274" s="42"/>
      <c r="E274" s="42"/>
      <c r="F274" s="42"/>
      <c r="G274" s="42"/>
      <c r="H274" s="42"/>
      <c r="I274" s="38">
        <f>-SUM(I150:I162)</f>
        <v>768361532.98000002</v>
      </c>
      <c r="J274" s="38">
        <f>-SUM(J150:J162)</f>
        <v>768361532.98000002</v>
      </c>
      <c r="K274" s="38"/>
      <c r="L274" s="38">
        <f>-SUM(L150:L162)</f>
        <v>446148327.04000002</v>
      </c>
      <c r="M274" s="38"/>
      <c r="N274" s="38"/>
      <c r="O274" s="38">
        <f>+O272-O273</f>
        <v>0</v>
      </c>
      <c r="P274" s="38"/>
      <c r="Q274" s="38"/>
      <c r="R274" s="38"/>
      <c r="S274" t="s">
        <v>4468</v>
      </c>
      <c r="T274" s="38"/>
    </row>
    <row r="275" spans="1:20">
      <c r="A275" s="42"/>
      <c r="B275" s="42" t="s">
        <v>1068</v>
      </c>
      <c r="C275" s="42"/>
      <c r="D275" s="42"/>
      <c r="E275" s="42"/>
      <c r="F275" s="42"/>
      <c r="G275" s="42"/>
      <c r="H275" s="42"/>
      <c r="I275" s="38">
        <f>-SUM(I163:I271)</f>
        <v>-718598132.89999998</v>
      </c>
      <c r="J275" s="38">
        <f>-SUM(J163:J271)</f>
        <v>-718598132.89999998</v>
      </c>
      <c r="K275" s="38"/>
      <c r="L275" s="38">
        <f>-SUM(L163:L271)</f>
        <v>-517775835.59000015</v>
      </c>
      <c r="M275" s="38"/>
      <c r="N275" s="38"/>
      <c r="O275" s="38"/>
      <c r="P275" s="38"/>
      <c r="Q275" s="38"/>
      <c r="R275" s="38"/>
      <c r="S275" s="38">
        <f>+R272*15%</f>
        <v>15258456.149249982</v>
      </c>
      <c r="T275" s="38">
        <f>+M272+O272+Q272+S272</f>
        <v>101723040.99500003</v>
      </c>
    </row>
    <row r="276" spans="1:20">
      <c r="A276" s="42"/>
      <c r="B276" s="42" t="s">
        <v>4469</v>
      </c>
      <c r="C276" s="42"/>
      <c r="D276" s="42"/>
      <c r="E276" s="42"/>
      <c r="F276" s="42"/>
      <c r="G276" s="42"/>
      <c r="H276" s="42"/>
      <c r="I276" s="38">
        <v>0</v>
      </c>
      <c r="J276" s="38">
        <v>0</v>
      </c>
      <c r="K276" s="38"/>
      <c r="L276" s="38">
        <v>0</v>
      </c>
      <c r="M276" s="38"/>
      <c r="N276" s="38"/>
      <c r="O276" s="38"/>
      <c r="P276" s="38"/>
      <c r="Q276" s="38"/>
      <c r="R276" s="38"/>
      <c r="S276" s="38"/>
      <c r="T276" s="38"/>
    </row>
    <row r="277" spans="1:20" ht="15.75" thickBot="1">
      <c r="A277" s="42"/>
      <c r="B277" s="42"/>
      <c r="C277" s="42"/>
      <c r="D277" s="42"/>
      <c r="E277" s="42"/>
      <c r="F277" s="42"/>
      <c r="G277" s="42"/>
      <c r="H277" s="42"/>
      <c r="I277" s="48">
        <f>SUM(I274:I276)</f>
        <v>49763400.080000043</v>
      </c>
      <c r="J277" s="48">
        <f>SUM(J274:J276)</f>
        <v>49763400.080000043</v>
      </c>
      <c r="K277" s="38"/>
      <c r="L277" s="48">
        <f>SUM(L274:L276)</f>
        <v>-71627508.550000131</v>
      </c>
      <c r="M277" s="38"/>
      <c r="N277" s="38"/>
      <c r="O277" s="38" t="s">
        <v>4470</v>
      </c>
      <c r="P277" s="38"/>
      <c r="Q277" s="296">
        <f>+R277/P272</f>
        <v>0.40385820538207817</v>
      </c>
      <c r="R277" s="38">
        <f>R272*35%</f>
        <v>35603064.348249957</v>
      </c>
      <c r="S277" s="296">
        <f>+T277/R272</f>
        <v>0.35</v>
      </c>
      <c r="T277" s="38">
        <f>T272*35%</f>
        <v>35603064.348249957</v>
      </c>
    </row>
    <row r="278" spans="1:20" ht="15.75" thickTop="1">
      <c r="A278" s="47"/>
      <c r="B278" s="42"/>
      <c r="C278" s="42"/>
      <c r="D278" s="42"/>
      <c r="E278" s="42"/>
      <c r="F278" s="42"/>
      <c r="G278" s="42"/>
      <c r="H278" s="42"/>
      <c r="I278" s="38">
        <f>SUM(I150:I271)+I277</f>
        <v>0</v>
      </c>
      <c r="J278" s="38">
        <f>ROUND(M272-J277,2)</f>
        <v>2790938</v>
      </c>
      <c r="K278" s="38"/>
      <c r="L278" s="38"/>
      <c r="M278" s="38"/>
      <c r="N278" s="38"/>
      <c r="O278" s="38"/>
      <c r="P278" s="38"/>
      <c r="Q278" s="38"/>
      <c r="R278" s="38"/>
      <c r="S278" s="38"/>
      <c r="T278" s="38"/>
    </row>
    <row r="279" spans="1:20">
      <c r="B279" s="47"/>
      <c r="C279" s="47"/>
      <c r="D279" s="47"/>
      <c r="E279" s="47"/>
      <c r="F279" s="47"/>
      <c r="G279" s="47"/>
      <c r="H279" s="47"/>
      <c r="I279" s="47"/>
      <c r="J279" s="47"/>
      <c r="K279" s="38"/>
      <c r="L279" s="38"/>
      <c r="M279" s="38"/>
      <c r="N279" s="38"/>
      <c r="O279" s="38"/>
      <c r="P279" s="38"/>
      <c r="Q279" s="38"/>
      <c r="R279" s="38"/>
      <c r="S279" s="38"/>
      <c r="T279" s="38"/>
    </row>
    <row r="280" spans="1:20">
      <c r="B280" t="s">
        <v>4471</v>
      </c>
      <c r="I280" s="2">
        <f>SUM(I2:I55)</f>
        <v>-115285459.37999998</v>
      </c>
      <c r="J280" s="2">
        <f>SUM(J2:J55)</f>
        <v>165455641.00999999</v>
      </c>
      <c r="K280" s="38"/>
      <c r="L280" s="2">
        <f>SUM(L2:L55)</f>
        <v>280741100.38999999</v>
      </c>
      <c r="M280" s="38"/>
      <c r="N280" s="38"/>
      <c r="O280" s="38"/>
      <c r="P280" s="38"/>
      <c r="Q280" s="38"/>
      <c r="R280" s="38"/>
      <c r="S280" s="38"/>
      <c r="T280" s="38"/>
    </row>
    <row r="281" spans="1:20">
      <c r="B281" t="s">
        <v>4472</v>
      </c>
      <c r="I281" s="2">
        <f>SUM(I56:I140)</f>
        <v>265648859.45999998</v>
      </c>
      <c r="J281" s="2">
        <f>SUM(J56:J140)</f>
        <v>-135343148.62</v>
      </c>
      <c r="K281" s="38"/>
      <c r="L281" s="2">
        <f>SUM(L56:L140)</f>
        <v>-400992008.07999998</v>
      </c>
      <c r="M281" s="38"/>
      <c r="N281" s="38"/>
      <c r="O281" s="38"/>
      <c r="P281" s="38"/>
      <c r="Q281" s="38"/>
      <c r="R281" s="38"/>
      <c r="S281" s="38"/>
      <c r="T281" s="38"/>
    </row>
    <row r="282" spans="1:20">
      <c r="B282" t="s">
        <v>845</v>
      </c>
      <c r="I282" s="38">
        <f>SUM(I145:I149)-I277</f>
        <v>-49763400.080000043</v>
      </c>
      <c r="J282" s="38">
        <f>SUM(J145:J149)-J277</f>
        <v>70887507.609999955</v>
      </c>
      <c r="K282" s="38"/>
      <c r="L282" s="38">
        <f>SUM(L145:L149)-L277</f>
        <v>120650907.69000013</v>
      </c>
      <c r="M282" s="38"/>
      <c r="N282" s="38"/>
      <c r="O282" s="38"/>
      <c r="P282" s="38"/>
      <c r="Q282" s="38"/>
      <c r="R282" s="38"/>
      <c r="S282" s="38"/>
      <c r="T282" s="38"/>
    </row>
    <row r="283" spans="1:20" ht="15.75" thickBot="1">
      <c r="I283" s="48">
        <f>SUM(I280:I282)</f>
        <v>100599999.99999994</v>
      </c>
      <c r="K283" s="38"/>
      <c r="L283" s="48">
        <f>SUM(L280:L282)</f>
        <v>400000.00000013411</v>
      </c>
      <c r="M283" s="38"/>
      <c r="N283" s="38"/>
      <c r="O283" s="38"/>
      <c r="P283" s="38"/>
      <c r="Q283" s="38"/>
      <c r="R283" s="38"/>
      <c r="S283" s="38"/>
      <c r="T283" s="38"/>
    </row>
    <row r="284" spans="1:20" ht="15.75" thickTop="1">
      <c r="K284" s="38"/>
      <c r="L284" s="38"/>
      <c r="M284" s="38"/>
      <c r="N284" s="38"/>
      <c r="O284" s="38"/>
      <c r="P284" s="38"/>
      <c r="Q284" s="38"/>
      <c r="R284" s="38"/>
      <c r="S284" s="38"/>
      <c r="T284" s="38"/>
    </row>
    <row r="285" spans="1:20">
      <c r="K285" s="38"/>
      <c r="L285" s="38"/>
      <c r="M285" s="38"/>
      <c r="N285" s="38"/>
      <c r="O285" s="38"/>
      <c r="P285" s="38"/>
      <c r="Q285" s="38"/>
      <c r="R285" s="38"/>
      <c r="S285" s="38"/>
      <c r="T285" s="38"/>
    </row>
    <row r="286" spans="1:20">
      <c r="D286" t="s">
        <v>4473</v>
      </c>
      <c r="K286" s="38"/>
      <c r="L286" s="38"/>
      <c r="M286" s="38"/>
      <c r="N286" s="38">
        <f>'P&amp;L'!Q160*1000</f>
        <v>52554338.079999782</v>
      </c>
      <c r="O286" s="38"/>
      <c r="P286" s="38"/>
      <c r="Q286" s="38"/>
      <c r="R286" s="38"/>
      <c r="S286" s="38"/>
      <c r="T286" s="38"/>
    </row>
    <row r="287" spans="1:20">
      <c r="D287" t="s">
        <v>4474</v>
      </c>
      <c r="M287" s="12">
        <f>+M272-N286</f>
        <v>2.6077032089233398E-7</v>
      </c>
      <c r="N287" s="38">
        <f>ROUND(I277-N286,2)</f>
        <v>-2790938</v>
      </c>
      <c r="O287" s="12">
        <f>+O272-R286</f>
        <v>35603000</v>
      </c>
      <c r="P287" s="12"/>
      <c r="Q287" s="12"/>
      <c r="R287" s="12">
        <f>+R272-S286</f>
        <v>101723040.99499989</v>
      </c>
      <c r="S287" s="12"/>
      <c r="T287" s="12">
        <f>+T272-U286</f>
        <v>101723040.99499989</v>
      </c>
    </row>
    <row r="288" spans="1:20">
      <c r="T288" s="12"/>
    </row>
    <row r="289" spans="2:20">
      <c r="B289" s="298" t="s">
        <v>4475</v>
      </c>
      <c r="T289" s="12"/>
    </row>
    <row r="290" spans="2:20">
      <c r="B290" t="s">
        <v>4476</v>
      </c>
      <c r="T290" s="12"/>
    </row>
    <row r="291" spans="2:20" ht="30">
      <c r="B291" s="293" t="s">
        <v>4477</v>
      </c>
      <c r="D291" s="293"/>
      <c r="T291" s="12"/>
    </row>
    <row r="292" spans="2:20">
      <c r="B292" s="284" t="s">
        <v>4478</v>
      </c>
      <c r="T292" s="12"/>
    </row>
    <row r="293" spans="2:20">
      <c r="B293" t="s">
        <v>4479</v>
      </c>
      <c r="T293" s="12"/>
    </row>
    <row r="294" spans="2:20">
      <c r="T294" s="12"/>
    </row>
    <row r="295" spans="2:20">
      <c r="T295" s="12"/>
    </row>
    <row r="296" spans="2:20">
      <c r="B296" t="s">
        <v>4480</v>
      </c>
      <c r="T296" s="12"/>
    </row>
    <row r="297" spans="2:20">
      <c r="B297" s="297" t="s">
        <v>4481</v>
      </c>
      <c r="T297" s="12"/>
    </row>
    <row r="298" spans="2:20">
      <c r="T298" s="12"/>
    </row>
    <row r="299" spans="2:20">
      <c r="B299" t="s">
        <v>4482</v>
      </c>
      <c r="T299" s="12"/>
    </row>
    <row r="300" spans="2:20">
      <c r="B300" s="297" t="s">
        <v>4483</v>
      </c>
      <c r="T300" s="12"/>
    </row>
    <row r="301" spans="2:20">
      <c r="T301" s="12"/>
    </row>
    <row r="302" spans="2:20">
      <c r="T302" s="12"/>
    </row>
    <row r="303" spans="2:20">
      <c r="T303" s="12"/>
    </row>
    <row r="304" spans="2:20">
      <c r="T304" s="12"/>
    </row>
    <row r="305" spans="2:20">
      <c r="T305" s="12"/>
    </row>
    <row r="306" spans="2:20">
      <c r="B306" t="s">
        <v>4484</v>
      </c>
      <c r="T306" s="12"/>
    </row>
    <row r="307" spans="2:20">
      <c r="B307" s="297" t="s">
        <v>4485</v>
      </c>
      <c r="T307" s="12"/>
    </row>
    <row r="308" spans="2:20">
      <c r="T308" s="12"/>
    </row>
    <row r="309" spans="2:20">
      <c r="T309" s="12"/>
    </row>
    <row r="310" spans="2:20">
      <c r="T310" s="12"/>
    </row>
    <row r="311" spans="2:20">
      <c r="B311" t="s">
        <v>4486</v>
      </c>
      <c r="T311" s="12"/>
    </row>
    <row r="312" spans="2:20">
      <c r="B312" s="297" t="s">
        <v>4487</v>
      </c>
      <c r="T312" s="12"/>
    </row>
    <row r="313" spans="2:20">
      <c r="T313" s="12"/>
    </row>
    <row r="314" spans="2:20">
      <c r="B314" t="s">
        <v>4488</v>
      </c>
      <c r="T314" s="12">
        <v>74490000</v>
      </c>
    </row>
    <row r="315" spans="2:20">
      <c r="B315" t="s">
        <v>4489</v>
      </c>
      <c r="T315" s="12">
        <v>75818000</v>
      </c>
    </row>
    <row r="316" spans="2:20" ht="15.75" thickBot="1">
      <c r="B316" s="300" t="s">
        <v>4490</v>
      </c>
      <c r="M316" s="301"/>
      <c r="O316" s="301"/>
      <c r="P316" s="301"/>
      <c r="Q316" s="301"/>
      <c r="R316" s="301"/>
      <c r="S316" s="301"/>
      <c r="T316" s="302">
        <f>T314+T315</f>
        <v>150308000</v>
      </c>
    </row>
    <row r="317" spans="2:20">
      <c r="B317" t="s">
        <v>4491</v>
      </c>
      <c r="T317" s="12">
        <f>T272</f>
        <v>101723040.99499989</v>
      </c>
    </row>
    <row r="318" spans="2:20">
      <c r="B318" t="s">
        <v>4492</v>
      </c>
      <c r="T318" s="12">
        <f>T316-T317</f>
        <v>48584959.005000114</v>
      </c>
    </row>
    <row r="319" spans="2:20">
      <c r="T319" s="12"/>
    </row>
    <row r="320" spans="2:20">
      <c r="B320" t="s">
        <v>4493</v>
      </c>
      <c r="T320" s="12">
        <v>3488000</v>
      </c>
    </row>
    <row r="321" spans="2:20">
      <c r="B321" t="s">
        <v>4494</v>
      </c>
      <c r="S321" s="5" t="s">
        <v>4495</v>
      </c>
      <c r="T321" s="299">
        <v>8242736.9170000013</v>
      </c>
    </row>
    <row r="322" spans="2:20">
      <c r="B322" t="s">
        <v>4496</v>
      </c>
      <c r="S322" s="66">
        <f>T322/35*100</f>
        <v>33516391.191428572</v>
      </c>
      <c r="T322" s="66">
        <f>T320+T321</f>
        <v>11730736.917000001</v>
      </c>
    </row>
    <row r="323" spans="2:20">
      <c r="T323" s="12"/>
    </row>
    <row r="324" spans="2:20">
      <c r="B324" t="s">
        <v>4497</v>
      </c>
      <c r="T324" s="12">
        <f>Bce!J36</f>
        <v>95805676</v>
      </c>
    </row>
    <row r="325" spans="2:20">
      <c r="B325" t="s">
        <v>4498</v>
      </c>
      <c r="T325" s="12">
        <f>T324</f>
        <v>95805676</v>
      </c>
    </row>
    <row r="326" spans="2:20">
      <c r="T326" s="12"/>
    </row>
    <row r="327" spans="2:20">
      <c r="B327" s="297"/>
      <c r="T327" s="12"/>
    </row>
    <row r="328" spans="2:20">
      <c r="T328" s="12"/>
    </row>
    <row r="329" spans="2:20">
      <c r="B329" t="s">
        <v>4499</v>
      </c>
      <c r="T329" s="12"/>
    </row>
    <row r="330" spans="2:20">
      <c r="B330" s="297" t="s">
        <v>4500</v>
      </c>
      <c r="T330" s="12"/>
    </row>
    <row r="331" spans="2:20">
      <c r="T331" s="12"/>
    </row>
    <row r="332" spans="2:20">
      <c r="T332" s="12"/>
    </row>
    <row r="333" spans="2:20">
      <c r="B333" t="s">
        <v>4501</v>
      </c>
      <c r="T333" s="12"/>
    </row>
    <row r="334" spans="2:20">
      <c r="B334" t="s">
        <v>4502</v>
      </c>
      <c r="T334" s="12"/>
    </row>
    <row r="335" spans="2:20">
      <c r="B335" t="s">
        <v>4503</v>
      </c>
      <c r="T335" s="12"/>
    </row>
    <row r="336" spans="2:20">
      <c r="B336" t="s">
        <v>4504</v>
      </c>
      <c r="T336" s="12"/>
    </row>
    <row r="337" spans="2:20">
      <c r="B337" s="297" t="s">
        <v>4505</v>
      </c>
      <c r="T337" s="12"/>
    </row>
    <row r="338" spans="2:20">
      <c r="T338" s="12"/>
    </row>
    <row r="339" spans="2:20">
      <c r="T339" s="12"/>
    </row>
    <row r="340" spans="2:20">
      <c r="T340" s="12"/>
    </row>
    <row r="341" spans="2:20">
      <c r="T341" s="12"/>
    </row>
    <row r="342" spans="2:20">
      <c r="T342" s="12"/>
    </row>
    <row r="343" spans="2:20">
      <c r="T343" s="12"/>
    </row>
    <row r="344" spans="2:20">
      <c r="T344" s="12"/>
    </row>
    <row r="345" spans="2:20">
      <c r="T345" s="12"/>
    </row>
    <row r="346" spans="2:20">
      <c r="T346" s="12"/>
    </row>
    <row r="347" spans="2:20">
      <c r="T347" s="12"/>
    </row>
    <row r="348" spans="2:20">
      <c r="T348" s="12"/>
    </row>
    <row r="349" spans="2:20">
      <c r="T349" s="12"/>
    </row>
    <row r="350" spans="2:20">
      <c r="T350" s="12"/>
    </row>
    <row r="351" spans="2:20">
      <c r="T351" s="12"/>
    </row>
    <row r="352" spans="2:20">
      <c r="T352" s="12"/>
    </row>
    <row r="353" spans="20:20">
      <c r="T353" s="12"/>
    </row>
    <row r="354" spans="20:20">
      <c r="T354" s="12"/>
    </row>
    <row r="355" spans="20:20">
      <c r="T355" s="12"/>
    </row>
    <row r="356" spans="20:20">
      <c r="T356" s="12"/>
    </row>
    <row r="357" spans="20:20">
      <c r="T357" s="12"/>
    </row>
    <row r="358" spans="20:20">
      <c r="T358" s="12"/>
    </row>
    <row r="359" spans="20:20">
      <c r="T359" s="12"/>
    </row>
  </sheetData>
  <autoFilter ref="A1:R269" xr:uid="{BAE9BDEF-8C02-49EC-85F1-441F36854649}"/>
  <conditionalFormatting sqref="J272">
    <cfRule type="cellIs" dxfId="32" priority="17" operator="notEqual">
      <formula>0</formula>
    </cfRule>
    <cfRule type="cellIs" dxfId="31" priority="18" operator="equal">
      <formula>0</formula>
    </cfRule>
  </conditionalFormatting>
  <conditionalFormatting sqref="J278">
    <cfRule type="cellIs" dxfId="30" priority="3" operator="notEqual">
      <formula>0</formula>
    </cfRule>
    <cfRule type="cellIs" dxfId="29" priority="4" operator="equal">
      <formula>0</formula>
    </cfRule>
  </conditionalFormatting>
  <conditionalFormatting sqref="K269:K270">
    <cfRule type="cellIs" dxfId="28" priority="16" operator="notEqual">
      <formula>0</formula>
    </cfRule>
  </conditionalFormatting>
  <conditionalFormatting sqref="L272">
    <cfRule type="cellIs" dxfId="27" priority="1" operator="notEqual">
      <formula>0</formula>
    </cfRule>
    <cfRule type="cellIs" dxfId="26" priority="2" operator="equal">
      <formula>0</formula>
    </cfRule>
  </conditionalFormatting>
  <conditionalFormatting sqref="N287">
    <cfRule type="cellIs" dxfId="25" priority="5" operator="notEqual">
      <formula>0</formula>
    </cfRule>
    <cfRule type="cellIs" dxfId="24" priority="6" operator="equal">
      <formula>0</formula>
    </cfRule>
  </conditionalFormatting>
  <dataValidations disablePrompts="1" count="1">
    <dataValidation type="list" allowBlank="1" showInputMessage="1" showErrorMessage="1" sqref="H145:H149" xr:uid="{25974398-E888-449E-9E46-20E84EB3F287}">
      <formula1>$C$7:$C$110</formula1>
    </dataValidation>
  </dataValidations>
  <hyperlinks>
    <hyperlink ref="B292" r:id="rId1" xr:uid="{6419F46E-DCD0-41BB-85FD-3FCF1D0DD3AD}"/>
    <hyperlink ref="B297" r:id="rId2" xr:uid="{21664E1B-4111-4423-BE14-E8FE0EEE21B6}"/>
    <hyperlink ref="B300" r:id="rId3" xr:uid="{BDA9A03B-A588-4091-922D-D2220133B950}"/>
    <hyperlink ref="B307" r:id="rId4" xr:uid="{8B93551C-319C-4ED9-919A-2929898E6A85}"/>
    <hyperlink ref="B312" r:id="rId5" xr:uid="{D779940B-FB81-4672-AB4C-146FC6D4B5BF}"/>
    <hyperlink ref="B330" r:id="rId6" xr:uid="{4DC238AB-EBCD-4B06-A013-071CFA5CD535}"/>
    <hyperlink ref="B337" r:id="rId7" xr:uid="{39DD557A-304B-4814-BE09-9D2E133B227A}"/>
  </hyperlinks>
  <pageMargins left="0.7" right="0.7" top="0.75" bottom="0.75" header="0.3" footer="0.3"/>
  <pageSetup orientation="portrait" r:id="rId8"/>
  <legacyDrawing r:id="rId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0324B-933B-46DC-B53C-CDD1328A52A1}">
  <sheetPr>
    <tabColor rgb="FF00FF00"/>
  </sheetPr>
  <dimension ref="A1:V209"/>
  <sheetViews>
    <sheetView workbookViewId="0">
      <pane xSplit="4" ySplit="4" topLeftCell="E177" activePane="bottomRight" state="frozen"/>
      <selection pane="topRight" activeCell="P189" sqref="P189"/>
      <selection pane="bottomLeft" activeCell="P189" sqref="P189"/>
      <selection pane="bottomRight" activeCell="L186" sqref="L186"/>
    </sheetView>
  </sheetViews>
  <sheetFormatPr baseColWidth="10" defaultColWidth="11.42578125" defaultRowHeight="14.65" customHeight="1" outlineLevelRow="1" outlineLevelCol="1"/>
  <cols>
    <col min="1" max="1" width="2" bestFit="1" customWidth="1"/>
    <col min="3" max="3" width="30.7109375" customWidth="1"/>
    <col min="4" max="4" width="36.85546875" customWidth="1"/>
    <col min="5" max="6" width="12.7109375" customWidth="1" outlineLevel="1"/>
    <col min="7" max="7" width="10.7109375" bestFit="1" customWidth="1" outlineLevel="1"/>
    <col min="8" max="10" width="9.7109375" customWidth="1" outlineLevel="1"/>
    <col min="11" max="11" width="10.7109375" bestFit="1" customWidth="1" outlineLevel="1"/>
    <col min="12" max="16" width="9.7109375" customWidth="1" outlineLevel="1"/>
    <col min="17" max="17" width="11.7109375" bestFit="1" customWidth="1"/>
    <col min="18" max="18" width="1.7109375" customWidth="1"/>
    <col min="19" max="19" width="12.7109375" customWidth="1"/>
  </cols>
  <sheetData>
    <row r="1" spans="1:20" ht="14.65" customHeight="1">
      <c r="D1" s="17" t="s">
        <v>4506</v>
      </c>
    </row>
    <row r="2" spans="1:20" ht="14.65" customHeight="1">
      <c r="D2" s="17" t="s">
        <v>4507</v>
      </c>
      <c r="E2" s="5"/>
      <c r="F2" s="5"/>
      <c r="G2" s="5"/>
      <c r="H2" s="5"/>
      <c r="I2" s="5"/>
      <c r="J2" s="228"/>
      <c r="K2" s="5"/>
      <c r="L2" s="5"/>
      <c r="M2" s="5"/>
      <c r="N2" s="5"/>
      <c r="O2" s="5"/>
      <c r="P2" s="5"/>
      <c r="R2" s="2"/>
    </row>
    <row r="3" spans="1:20" ht="14.65" customHeight="1">
      <c r="D3" s="51" t="s">
        <v>4508</v>
      </c>
      <c r="E3" s="247">
        <v>1</v>
      </c>
      <c r="F3" s="247">
        <v>2</v>
      </c>
      <c r="G3" s="247">
        <v>3</v>
      </c>
      <c r="H3" s="247">
        <v>4</v>
      </c>
      <c r="I3" s="247">
        <v>5</v>
      </c>
      <c r="J3" s="247">
        <v>6</v>
      </c>
      <c r="K3" s="247">
        <v>7</v>
      </c>
      <c r="L3" s="247">
        <v>8</v>
      </c>
      <c r="M3" s="247">
        <v>9</v>
      </c>
      <c r="N3" s="247">
        <v>10</v>
      </c>
      <c r="O3" s="247">
        <v>11</v>
      </c>
      <c r="P3" s="247">
        <v>12</v>
      </c>
      <c r="R3" s="7"/>
      <c r="S3" s="6">
        <v>12</v>
      </c>
    </row>
    <row r="4" spans="1:20" ht="14.65" customHeight="1">
      <c r="A4" t="s">
        <v>4509</v>
      </c>
      <c r="B4" t="s">
        <v>4239</v>
      </c>
      <c r="C4" t="s">
        <v>4510</v>
      </c>
      <c r="E4" s="8" t="s">
        <v>4511</v>
      </c>
      <c r="F4" s="8" t="s">
        <v>4512</v>
      </c>
      <c r="G4" s="8" t="s">
        <v>4513</v>
      </c>
      <c r="H4" s="8" t="s">
        <v>4514</v>
      </c>
      <c r="I4" s="8" t="s">
        <v>4515</v>
      </c>
      <c r="J4" s="8" t="s">
        <v>4516</v>
      </c>
      <c r="K4" s="8" t="s">
        <v>4517</v>
      </c>
      <c r="L4" s="8" t="s">
        <v>4518</v>
      </c>
      <c r="M4" s="8" t="s">
        <v>4519</v>
      </c>
      <c r="N4" s="8" t="s">
        <v>4520</v>
      </c>
      <c r="O4" s="8" t="s">
        <v>4521</v>
      </c>
      <c r="P4" s="8" t="s">
        <v>4522</v>
      </c>
      <c r="Q4" s="8" t="s">
        <v>4523</v>
      </c>
      <c r="R4" s="7"/>
      <c r="S4" s="9" t="s">
        <v>4524</v>
      </c>
    </row>
    <row r="5" spans="1:20" ht="5.0999999999999996" customHeight="1">
      <c r="R5" s="7"/>
    </row>
    <row r="6" spans="1:20" ht="14.65" customHeight="1">
      <c r="A6" s="230">
        <f>A9</f>
        <v>1</v>
      </c>
      <c r="C6" s="10" t="s">
        <v>4525</v>
      </c>
      <c r="D6" s="10" t="s">
        <v>4525</v>
      </c>
      <c r="E6" s="3"/>
      <c r="F6" s="3"/>
      <c r="G6" s="3"/>
      <c r="R6" s="7"/>
    </row>
    <row r="7" spans="1:20" ht="14.65" customHeight="1" outlineLevel="1">
      <c r="A7" s="231">
        <f>IF(AND(E7=0,F7=0,G7=0,H7=0,I7=0,J7=0,K7=0,L7=0,M7=0,N7=0,O7=0,P7=0),0,1)</f>
        <v>1</v>
      </c>
      <c r="B7">
        <v>41559505</v>
      </c>
      <c r="C7" t="s">
        <v>132</v>
      </c>
      <c r="E7" s="3">
        <f>-SUMIFS(Mov!$J:$J,Mov!$E:$E,$B7,Mov!$K:$K,E$3)/1000</f>
        <v>45531.065799999997</v>
      </c>
      <c r="F7" s="3">
        <f>-SUMIFS(Mov!$J:$J,Mov!$E:$E,$B7,Mov!$K:$K,F$3)/1000</f>
        <v>56702.164479999999</v>
      </c>
      <c r="G7" s="3">
        <f>-SUMIFS(Mov!$J:$J,Mov!$E:$E,$B7,Mov!$K:$K,G$3)/1000</f>
        <v>30504.270960000002</v>
      </c>
      <c r="H7" s="3">
        <f>-SUMIFS(Mov!$J:$J,Mov!$E:$E,$B7,Mov!$K:$K,H$3)/1000</f>
        <v>72397.9476</v>
      </c>
      <c r="I7" s="3">
        <f>-SUMIFS(Mov!$J:$J,Mov!$E:$E,$B7,Mov!$K:$K,I$3)/1000</f>
        <v>53703.18</v>
      </c>
      <c r="J7" s="3">
        <f>-SUMIFS(Mov!$J:$J,Mov!$E:$E,$B7,Mov!$K:$K,J$3)/1000</f>
        <v>66542.880000000005</v>
      </c>
      <c r="K7" s="3">
        <f>-SUMIFS(Mov!$J:$J,Mov!$E:$E,$B7,Mov!$K:$K,K$3)/1000</f>
        <v>86189.2</v>
      </c>
      <c r="L7" s="3">
        <f>-SUMIFS(Mov!$J:$J,Mov!$E:$E,$B7,Mov!$K:$K,L$3)/1000</f>
        <v>129085.6</v>
      </c>
      <c r="M7" s="3">
        <f>-SUMIFS(Mov!$J:$J,Mov!$E:$E,$B7,Mov!$K:$K,M$3)/1000</f>
        <v>75126.48</v>
      </c>
      <c r="N7" s="3">
        <f>-SUMIFS(Mov!$J:$J,Mov!$E:$E,$B7,Mov!$K:$K,N$3)/1000</f>
        <v>70441.14</v>
      </c>
      <c r="O7" s="3">
        <f>-SUMIFS(Mov!$J:$J,Mov!$E:$E,$B7,Mov!$K:$K,O$3)/1000</f>
        <v>0</v>
      </c>
      <c r="P7" s="275">
        <f>-SUMIFS(Mov!$J:$J,Mov!$E:$E,$B7,Mov!$K:$K,P$3)/1000*1</f>
        <v>70104.960000000006</v>
      </c>
      <c r="Q7" s="3">
        <f>SUM(E7:P7)</f>
        <v>756328.88883999991</v>
      </c>
      <c r="R7" s="7"/>
      <c r="S7" s="4">
        <f ca="1">SUM(OFFSET(E7,0,0,1,S$3))</f>
        <v>756328.88883999991</v>
      </c>
    </row>
    <row r="8" spans="1:20" ht="14.65" customHeight="1" outlineLevel="1">
      <c r="A8" s="231">
        <f>IF(AND(E8=0,F8=0,G8=0,H8=0,I8=0,J8=0,K8=0,L8=0,M8=0,N8=0,O8=0,P8=0),0,1)</f>
        <v>1</v>
      </c>
      <c r="B8">
        <v>41559506</v>
      </c>
      <c r="C8" t="s">
        <v>4526</v>
      </c>
      <c r="E8" s="3">
        <f>-SUMIFS(Mov!$J:$J,Mov!$E:$E,$B8,Mov!$K:$K,E$3)/1000</f>
        <v>0</v>
      </c>
      <c r="F8" s="3">
        <f>-SUMIFS(Mov!$J:$J,Mov!$E:$E,$B8,Mov!$K:$K,F$3)/1000</f>
        <v>0</v>
      </c>
      <c r="G8" s="3">
        <f>-SUMIFS(Mov!$J:$J,Mov!$E:$E,$B8,Mov!$K:$K,G$3)/1000</f>
        <v>0</v>
      </c>
      <c r="H8" s="3">
        <f>-SUMIFS(Mov!$J:$J,Mov!$E:$E,$B8,Mov!$K:$K,H$3)/1000</f>
        <v>0</v>
      </c>
      <c r="I8" s="3">
        <f>-SUMIFS(Mov!$J:$J,Mov!$E:$E,$B8,Mov!$K:$K,I$3)/1000</f>
        <v>0</v>
      </c>
      <c r="J8" s="3">
        <f>-SUMIFS(Mov!$J:$J,Mov!$E:$E,$B8,Mov!$K:$K,J$3)/1000</f>
        <v>0</v>
      </c>
      <c r="K8" s="3">
        <f>-SUMIFS(Mov!$J:$J,Mov!$E:$E,$B8,Mov!$K:$K,K$3)/1000</f>
        <v>0</v>
      </c>
      <c r="L8" s="3">
        <f>-SUMIFS(Mov!$J:$J,Mov!$E:$E,$B8,Mov!$K:$K,L$3)/1000</f>
        <v>0</v>
      </c>
      <c r="M8" s="3">
        <f>-SUMIFS(Mov!$J:$J,Mov!$E:$E,$B8,Mov!$K:$K,M$3)/1000</f>
        <v>0</v>
      </c>
      <c r="N8" s="3">
        <f>-SUMIFS(Mov!$J:$J,Mov!$E:$E,$B8,Mov!$K:$K,N$3)/1000</f>
        <v>0</v>
      </c>
      <c r="O8" s="3">
        <f>-SUMIFS(Mov!$J:$J,Mov!$E:$E,$B8,Mov!$K:$K,O$3)/1000</f>
        <v>70104.960000000006</v>
      </c>
      <c r="P8" s="3">
        <f>-SUMIFS(Mov!$J:$J,Mov!$E:$E,$B8,Mov!$K:$K,P$3)/1000</f>
        <v>-70104.960000000006</v>
      </c>
      <c r="Q8" s="3">
        <f>SUM(E8:P8)</f>
        <v>0</v>
      </c>
      <c r="R8" s="7"/>
      <c r="S8" s="4">
        <f ca="1">SUM(OFFSET(E8,0,0,1,S$3))</f>
        <v>0</v>
      </c>
    </row>
    <row r="9" spans="1:20" ht="14.65" customHeight="1">
      <c r="A9" s="232">
        <f>IF(SUM(A7:A8)&gt;0,1,0)</f>
        <v>1</v>
      </c>
      <c r="C9" t="s">
        <v>4527</v>
      </c>
      <c r="E9" s="167">
        <f t="shared" ref="E9:Q9" si="0">SUM(E7:E8)</f>
        <v>45531.065799999997</v>
      </c>
      <c r="F9" s="167">
        <f t="shared" si="0"/>
        <v>56702.164479999999</v>
      </c>
      <c r="G9" s="167">
        <f t="shared" si="0"/>
        <v>30504.270960000002</v>
      </c>
      <c r="H9" s="167">
        <f t="shared" si="0"/>
        <v>72397.9476</v>
      </c>
      <c r="I9" s="167">
        <f t="shared" si="0"/>
        <v>53703.18</v>
      </c>
      <c r="J9" s="167">
        <f t="shared" si="0"/>
        <v>66542.880000000005</v>
      </c>
      <c r="K9" s="167">
        <f t="shared" si="0"/>
        <v>86189.2</v>
      </c>
      <c r="L9" s="167">
        <f t="shared" si="0"/>
        <v>129085.6</v>
      </c>
      <c r="M9" s="167">
        <f t="shared" si="0"/>
        <v>75126.48</v>
      </c>
      <c r="N9" s="167">
        <f t="shared" si="0"/>
        <v>70441.14</v>
      </c>
      <c r="O9" s="167">
        <f t="shared" si="0"/>
        <v>70104.960000000006</v>
      </c>
      <c r="P9" s="167">
        <f t="shared" si="0"/>
        <v>0</v>
      </c>
      <c r="Q9" s="167">
        <f t="shared" si="0"/>
        <v>756328.88883999991</v>
      </c>
      <c r="R9" s="7"/>
      <c r="S9" s="4">
        <f ca="1">SUM(S7:S8)</f>
        <v>756328.88883999991</v>
      </c>
    </row>
    <row r="10" spans="1:20" ht="14.65" customHeight="1">
      <c r="A10" s="230">
        <f>A11</f>
        <v>1</v>
      </c>
      <c r="E10" s="3"/>
      <c r="F10" s="3"/>
      <c r="G10" s="3"/>
      <c r="H10" s="3"/>
      <c r="I10" s="3"/>
      <c r="J10" s="3"/>
      <c r="K10" s="3"/>
      <c r="L10" s="3"/>
      <c r="M10" s="3"/>
      <c r="N10" s="3"/>
      <c r="O10" s="3"/>
      <c r="P10" s="3"/>
      <c r="Q10" s="3"/>
      <c r="R10" s="7"/>
      <c r="S10" s="3"/>
    </row>
    <row r="11" spans="1:20" ht="14.65" customHeight="1" outlineLevel="1">
      <c r="A11" s="231">
        <f t="shared" ref="A11:A36" si="1">IF(AND(E11=0,F11=0,G11=0,H11=0,I11=0,J11=0,K11=0,L11=0,M11=0,N11=0,O11=0,P11=0),0,1)</f>
        <v>1</v>
      </c>
      <c r="B11">
        <v>510506</v>
      </c>
      <c r="C11" t="s">
        <v>1076</v>
      </c>
      <c r="D11" t="s">
        <v>4528</v>
      </c>
      <c r="E11" s="3">
        <f>SUMIFS(Mov!$J:$J,Mov!$E:$E,$B11,Mov!$K:$K,E$3)/1000</f>
        <v>6636</v>
      </c>
      <c r="F11" s="3">
        <f>SUMIFS(Mov!$J:$J,Mov!$E:$E,$B11,Mov!$K:$K,F$3)/1000</f>
        <v>7510.7669999999998</v>
      </c>
      <c r="G11" s="3">
        <f>SUMIFS(Mov!$J:$J,Mov!$E:$E,$B11,Mov!$K:$K,G$3)/1000</f>
        <v>8729.991</v>
      </c>
      <c r="H11" s="3">
        <f>SUMIFS(Mov!$J:$J,Mov!$E:$E,$B11,Mov!$K:$K,H$3)/1000</f>
        <v>7634.5420000000004</v>
      </c>
      <c r="I11" s="3">
        <f>SUMIFS(Mov!$J:$J,Mov!$E:$E,$B11,Mov!$K:$K,I$3)/1000</f>
        <v>7514.5829999999996</v>
      </c>
      <c r="J11" s="3">
        <f>SUMIFS(Mov!$J:$J,Mov!$E:$E,$B11,Mov!$K:$K,J$3)/1000</f>
        <v>6656.8159999999998</v>
      </c>
      <c r="K11" s="3">
        <f>SUMIFS(Mov!$J:$J,Mov!$E:$E,$B11,Mov!$K:$K,K$3)/1000</f>
        <v>5949.3329999999996</v>
      </c>
      <c r="L11" s="3">
        <f>SUMIFS(Mov!$J:$J,Mov!$E:$E,$B11,Mov!$K:$K,L$3)/1000</f>
        <v>5436</v>
      </c>
      <c r="M11" s="3">
        <f>SUMIFS(Mov!$J:$J,Mov!$E:$E,$B11,Mov!$K:$K,M$3)/1000</f>
        <v>6556</v>
      </c>
      <c r="N11" s="3">
        <f>SUMIFS(Mov!$J:$J,Mov!$E:$E,$B11,Mov!$K:$K,N$3)/1000</f>
        <v>7036</v>
      </c>
      <c r="O11" s="3">
        <f>SUMIFS(Mov!$J:$J,Mov!$E:$E,$B11,Mov!$K:$K,O$3)/1000</f>
        <v>6936</v>
      </c>
      <c r="P11" s="3">
        <f>SUMIFS(Mov!$J:$J,Mov!$E:$E,$B11,Mov!$K:$K,P$3)/1000</f>
        <v>5216</v>
      </c>
      <c r="Q11" s="3">
        <f t="shared" ref="Q11:Q21" si="2">SUM(E11:P11)</f>
        <v>81812.032000000007</v>
      </c>
      <c r="R11" s="3"/>
      <c r="S11">
        <f t="shared" ref="S11:S21" ca="1" si="3">SUM(OFFSET(E11,0,0,1,S$3))</f>
        <v>81812.032000000007</v>
      </c>
    </row>
    <row r="12" spans="1:20" ht="14.65" customHeight="1" outlineLevel="1">
      <c r="A12" s="231">
        <f t="shared" ref="A12" si="4">IF(AND(E12=0,F12=0,G12=0,H12=0,I12=0,J12=0,K12=0,L12=0,M12=0,N12=0,O12=0,P12=0),0,1)</f>
        <v>1</v>
      </c>
      <c r="B12">
        <v>510507</v>
      </c>
      <c r="C12" t="s">
        <v>1076</v>
      </c>
      <c r="D12" t="s">
        <v>4528</v>
      </c>
      <c r="E12" s="3">
        <f>SUMIFS(Mov!$J:$J,Mov!$E:$E,$B12,Mov!$K:$K,E$3)/1000</f>
        <v>0</v>
      </c>
      <c r="F12" s="3">
        <f>SUMIFS(Mov!$J:$J,Mov!$E:$E,$B12,Mov!$K:$K,F$3)/1000</f>
        <v>0</v>
      </c>
      <c r="G12" s="3">
        <f>SUMIFS(Mov!$J:$J,Mov!$E:$E,$B12,Mov!$K:$K,G$3)/1000</f>
        <v>0</v>
      </c>
      <c r="H12" s="3">
        <f>SUMIFS(Mov!$J:$J,Mov!$E:$E,$B12,Mov!$K:$K,H$3)/1000</f>
        <v>0</v>
      </c>
      <c r="I12" s="3">
        <f>SUMIFS(Mov!$J:$J,Mov!$E:$E,$B12,Mov!$K:$K,I$3)/1000</f>
        <v>0</v>
      </c>
      <c r="J12" s="3">
        <f>SUMIFS(Mov!$J:$J,Mov!$E:$E,$B12,Mov!$K:$K,J$3)/1000</f>
        <v>0</v>
      </c>
      <c r="K12" s="3">
        <f>SUMIFS(Mov!$J:$J,Mov!$E:$E,$B12,Mov!$K:$K,K$3)/1000</f>
        <v>0</v>
      </c>
      <c r="L12" s="3">
        <f>SUMIFS(Mov!$J:$J,Mov!$E:$E,$B12,Mov!$K:$K,L$3)/1000</f>
        <v>0</v>
      </c>
      <c r="M12" s="3">
        <f>SUMIFS(Mov!$J:$J,Mov!$E:$E,$B12,Mov!$K:$K,M$3)/1000</f>
        <v>-1817.3330000000001</v>
      </c>
      <c r="N12" s="3">
        <f>SUMIFS(Mov!$J:$J,Mov!$E:$E,$B12,Mov!$K:$K,N$3)/1000</f>
        <v>0</v>
      </c>
      <c r="O12" s="3">
        <f>SUMIFS(Mov!$J:$J,Mov!$E:$E,$B12,Mov!$K:$K,O$3)/1000</f>
        <v>-4562.6660000000002</v>
      </c>
      <c r="P12" s="3">
        <f>SUMIFS(Mov!$J:$J,Mov!$E:$E,$B12,Mov!$K:$K,P$3)/1000</f>
        <v>-502.66699999999997</v>
      </c>
      <c r="Q12" s="3">
        <f t="shared" ref="Q12" si="5">SUM(E12:P12)</f>
        <v>-6882.6660000000002</v>
      </c>
      <c r="R12" s="3"/>
      <c r="S12">
        <f t="shared" ref="S12" ca="1" si="6">SUM(OFFSET(E12,0,0,1,S$3))</f>
        <v>-6882.6660000000002</v>
      </c>
    </row>
    <row r="13" spans="1:20" ht="14.65" customHeight="1" outlineLevel="1">
      <c r="A13" s="231">
        <f t="shared" si="1"/>
        <v>1</v>
      </c>
      <c r="B13">
        <v>510515</v>
      </c>
      <c r="C13" t="s">
        <v>1080</v>
      </c>
      <c r="D13" t="s">
        <v>4528</v>
      </c>
      <c r="E13" s="3">
        <f>SUMIFS(Mov!$J:$J,Mov!$E:$E,$B13,Mov!$K:$K,E$3)/1000</f>
        <v>295.625</v>
      </c>
      <c r="F13" s="3">
        <f>SUMIFS(Mov!$J:$J,Mov!$E:$E,$B13,Mov!$K:$K,F$3)/1000</f>
        <v>613.94299999999998</v>
      </c>
      <c r="G13" s="3">
        <f>SUMIFS(Mov!$J:$J,Mov!$E:$E,$B13,Mov!$K:$K,G$3)/1000</f>
        <v>82.5</v>
      </c>
      <c r="H13" s="3">
        <f>SUMIFS(Mov!$J:$J,Mov!$E:$E,$B13,Mov!$K:$K,H$3)/1000</f>
        <v>494.68799999999999</v>
      </c>
      <c r="I13" s="3">
        <f>SUMIFS(Mov!$J:$J,Mov!$E:$E,$B13,Mov!$K:$K,I$3)/1000</f>
        <v>706.09400000000005</v>
      </c>
      <c r="J13" s="3">
        <f>SUMIFS(Mov!$J:$J,Mov!$E:$E,$B13,Mov!$K:$K,J$3)/1000</f>
        <v>735.54700000000003</v>
      </c>
      <c r="K13" s="3">
        <f>SUMIFS(Mov!$J:$J,Mov!$E:$E,$B13,Mov!$K:$K,K$3)/1000</f>
        <v>906.25</v>
      </c>
      <c r="L13" s="3">
        <f>SUMIFS(Mov!$J:$J,Mov!$E:$E,$B13,Mov!$K:$K,L$3)/1000</f>
        <v>320.31200000000001</v>
      </c>
      <c r="M13" s="3">
        <f>SUMIFS(Mov!$J:$J,Mov!$E:$E,$B13,Mov!$K:$K,M$3)/1000</f>
        <v>379.06200000000001</v>
      </c>
      <c r="N13" s="3">
        <f>SUMIFS(Mov!$J:$J,Mov!$E:$E,$B13,Mov!$K:$K,N$3)/1000</f>
        <v>509.68799999999999</v>
      </c>
      <c r="O13" s="3">
        <f>SUMIFS(Mov!$J:$J,Mov!$E:$E,$B13,Mov!$K:$K,O$3)/1000</f>
        <v>340.93700000000001</v>
      </c>
      <c r="P13" s="3">
        <f>SUMIFS(Mov!$J:$J,Mov!$E:$E,$B13,Mov!$K:$K,P$3)/1000</f>
        <v>25.780999999999999</v>
      </c>
      <c r="Q13" s="3">
        <f t="shared" ref="Q13" si="7">SUM(E13:P13)</f>
        <v>5410.4269999999997</v>
      </c>
      <c r="R13" s="3"/>
      <c r="S13">
        <f t="shared" ref="S13" ca="1" si="8">SUM(OFFSET(E13,0,0,1,S$3))</f>
        <v>5410.4269999999997</v>
      </c>
    </row>
    <row r="14" spans="1:20" ht="14.65" customHeight="1" outlineLevel="1">
      <c r="A14" s="231">
        <f t="shared" si="1"/>
        <v>0</v>
      </c>
      <c r="B14">
        <v>51956001</v>
      </c>
      <c r="C14" t="s">
        <v>1436</v>
      </c>
      <c r="D14" t="s">
        <v>4528</v>
      </c>
      <c r="E14" s="3">
        <f>SUMIFS(Mov!$J:$J,Mov!$E:$E,$B14,Mov!$K:$K,E$3)/1000</f>
        <v>0</v>
      </c>
      <c r="F14" s="3">
        <f>SUMIFS(Mov!$J:$J,Mov!$E:$E,$B14,Mov!$K:$K,F$3)/1000</f>
        <v>0</v>
      </c>
      <c r="G14" s="3">
        <f>SUMIFS(Mov!$J:$J,Mov!$E:$E,$B14,Mov!$K:$K,G$3)/1000</f>
        <v>0</v>
      </c>
      <c r="H14" s="3">
        <f>SUMIFS(Mov!$J:$J,Mov!$E:$E,$B14,Mov!$K:$K,H$3)/1000</f>
        <v>0</v>
      </c>
      <c r="I14" s="3">
        <f>SUMIFS(Mov!$J:$J,Mov!$E:$E,$B14,Mov!$K:$K,I$3)/1000</f>
        <v>0</v>
      </c>
      <c r="J14" s="3">
        <f>SUMIFS(Mov!$J:$J,Mov!$E:$E,$B14,Mov!$K:$K,J$3)/1000</f>
        <v>0</v>
      </c>
      <c r="K14" s="3">
        <f>SUMIFS(Mov!$J:$J,Mov!$E:$E,$B14,Mov!$K:$K,K$3)/1000</f>
        <v>0</v>
      </c>
      <c r="L14" s="3">
        <f>SUMIFS(Mov!$J:$J,Mov!$E:$E,$B14,Mov!$K:$K,L$3)/1000</f>
        <v>0</v>
      </c>
      <c r="M14" s="3">
        <f>SUMIFS(Mov!$J:$J,Mov!$E:$E,$B14,Mov!$K:$K,M$3)/1000</f>
        <v>0</v>
      </c>
      <c r="N14" s="3">
        <f>SUMIFS(Mov!$J:$J,Mov!$E:$E,$B14,Mov!$K:$K,N$3)/1000</f>
        <v>0</v>
      </c>
      <c r="O14" s="3">
        <f>SUMIFS(Mov!$J:$J,Mov!$E:$E,$B14,Mov!$K:$K,O$3)/1000</f>
        <v>0</v>
      </c>
      <c r="P14" s="3">
        <f>SUMIFS(Mov!$J:$J,Mov!$E:$E,$B14,Mov!$K:$K,P$3)/1000</f>
        <v>0</v>
      </c>
      <c r="Q14" s="3">
        <f t="shared" si="2"/>
        <v>0</v>
      </c>
      <c r="R14" s="3"/>
      <c r="S14">
        <f t="shared" ca="1" si="3"/>
        <v>0</v>
      </c>
    </row>
    <row r="15" spans="1:20" ht="14.65" customHeight="1" outlineLevel="1">
      <c r="A15" s="231">
        <f t="shared" si="1"/>
        <v>1</v>
      </c>
      <c r="B15">
        <v>510527</v>
      </c>
      <c r="C15" t="s">
        <v>1089</v>
      </c>
      <c r="D15" t="s">
        <v>4529</v>
      </c>
      <c r="E15" s="3">
        <f>SUMIFS(Mov!$J:$J,Mov!$E:$E,$B15,Mov!$K:$K,E$3)/1000</f>
        <v>703.03</v>
      </c>
      <c r="F15" s="3">
        <f>SUMIFS(Mov!$J:$J,Mov!$E:$E,$B15,Mov!$K:$K,F$3)/1000</f>
        <v>754.58500000000004</v>
      </c>
      <c r="G15" s="3">
        <f>SUMIFS(Mov!$J:$J,Mov!$E:$E,$B15,Mov!$K:$K,G$3)/1000</f>
        <v>829.57500000000005</v>
      </c>
      <c r="H15" s="3">
        <f>SUMIFS(Mov!$J:$J,Mov!$E:$E,$B15,Mov!$K:$K,H$3)/1000</f>
        <v>768.64599999999996</v>
      </c>
      <c r="I15" s="3">
        <f>SUMIFS(Mov!$J:$J,Mov!$E:$E,$B15,Mov!$K:$K,I$3)/1000</f>
        <v>726.46400000000006</v>
      </c>
      <c r="J15" s="3">
        <f>SUMIFS(Mov!$J:$J,Mov!$E:$E,$B15,Mov!$K:$K,J$3)/1000</f>
        <v>703.03</v>
      </c>
      <c r="K15" s="3">
        <f>SUMIFS(Mov!$J:$J,Mov!$E:$E,$B15,Mov!$K:$K,K$3)/1000</f>
        <v>595.23199999999997</v>
      </c>
      <c r="L15" s="3">
        <f>SUMIFS(Mov!$J:$J,Mov!$E:$E,$B15,Mov!$K:$K,L$3)/1000</f>
        <v>562.42399999999998</v>
      </c>
      <c r="M15" s="3">
        <f>SUMIFS(Mov!$J:$J,Mov!$E:$E,$B15,Mov!$K:$K,M$3)/1000</f>
        <v>670.22199999999998</v>
      </c>
      <c r="N15" s="3">
        <f>SUMIFS(Mov!$J:$J,Mov!$E:$E,$B15,Mov!$K:$K,N$3)/1000</f>
        <v>703.03</v>
      </c>
      <c r="O15" s="3">
        <f>SUMIFS(Mov!$J:$J,Mov!$E:$E,$B15,Mov!$K:$K,O$3)/1000</f>
        <v>703.03</v>
      </c>
      <c r="P15" s="3">
        <f>SUMIFS(Mov!$J:$J,Mov!$E:$E,$B15,Mov!$K:$K,P$3)/1000</f>
        <v>524.92999999999995</v>
      </c>
      <c r="Q15" s="3">
        <f t="shared" si="2"/>
        <v>8244.1979999999985</v>
      </c>
      <c r="R15" s="3"/>
      <c r="S15">
        <f t="shared" ca="1" si="3"/>
        <v>8244.1979999999985</v>
      </c>
    </row>
    <row r="16" spans="1:20" ht="14.65" customHeight="1" outlineLevel="1">
      <c r="A16" s="231">
        <f t="shared" ref="A16:A18" si="9">IF(AND(E16=0,F16=0,G16=0,H16=0,I16=0,J16=0,K16=0,L16=0,M16=0,N16=0,O16=0,P16=0),0,1)</f>
        <v>1</v>
      </c>
      <c r="B16">
        <v>51052403</v>
      </c>
      <c r="C16" t="s">
        <v>1720</v>
      </c>
      <c r="D16" t="s">
        <v>4529</v>
      </c>
      <c r="E16" s="3">
        <f>SUMIFS(Mov!$J:$J,Mov!$E:$E,$B16,Mov!$K:$K,E$3)/1000</f>
        <v>0</v>
      </c>
      <c r="F16" s="3">
        <f>SUMIFS(Mov!$J:$J,Mov!$E:$E,$B16,Mov!$K:$K,F$3)/1000</f>
        <v>0</v>
      </c>
      <c r="G16" s="3">
        <f>SUMIFS(Mov!$J:$J,Mov!$E:$E,$B16,Mov!$K:$K,G$3)/1000</f>
        <v>0</v>
      </c>
      <c r="H16" s="3">
        <f>SUMIFS(Mov!$J:$J,Mov!$E:$E,$B16,Mov!$K:$K,H$3)/1000</f>
        <v>0</v>
      </c>
      <c r="I16" s="3">
        <f>SUMIFS(Mov!$J:$J,Mov!$E:$E,$B16,Mov!$K:$K,I$3)/1000</f>
        <v>580</v>
      </c>
      <c r="J16" s="3">
        <f>SUMIFS(Mov!$J:$J,Mov!$E:$E,$B16,Mov!$K:$K,J$3)/1000</f>
        <v>1273.1669999999999</v>
      </c>
      <c r="K16" s="3">
        <f>SUMIFS(Mov!$J:$J,Mov!$E:$E,$B16,Mov!$K:$K,K$3)/1000</f>
        <v>1168.0830000000001</v>
      </c>
      <c r="L16" s="3">
        <f>SUMIFS(Mov!$J:$J,Mov!$E:$E,$B16,Mov!$K:$K,L$3)/1000</f>
        <v>1160</v>
      </c>
      <c r="M16" s="3">
        <f>SUMIFS(Mov!$J:$J,Mov!$E:$E,$B16,Mov!$K:$K,M$3)/1000</f>
        <v>1160</v>
      </c>
      <c r="N16" s="3">
        <f>SUMIFS(Mov!$J:$J,Mov!$E:$E,$B16,Mov!$K:$K,N$3)/1000</f>
        <v>1160</v>
      </c>
      <c r="O16" s="3">
        <f>SUMIFS(Mov!$J:$J,Mov!$E:$E,$B16,Mov!$K:$K,O$3)/1000</f>
        <v>1160</v>
      </c>
      <c r="P16" s="3">
        <f>SUMIFS(Mov!$J:$J,Mov!$E:$E,$B16,Mov!$K:$K,P$3)/1000</f>
        <v>0</v>
      </c>
      <c r="Q16" s="3">
        <f t="shared" ref="Q16:Q18" si="10">SUM(E16:P16)</f>
        <v>7661.25</v>
      </c>
      <c r="R16" s="3"/>
      <c r="S16">
        <f t="shared" ref="S16:S17" ca="1" si="11">SUM(OFFSET(E16,0,0,1,S$3))</f>
        <v>7661.25</v>
      </c>
      <c r="T16" s="3"/>
    </row>
    <row r="17" spans="1:19" ht="14.65" customHeight="1" outlineLevel="1">
      <c r="A17" s="231">
        <f t="shared" si="9"/>
        <v>1</v>
      </c>
      <c r="B17">
        <v>51052408</v>
      </c>
      <c r="C17" t="s">
        <v>1722</v>
      </c>
      <c r="D17" t="s">
        <v>4529</v>
      </c>
      <c r="E17" s="3">
        <f>SUMIFS(Mov!$J:$J,Mov!$E:$E,$B17,Mov!$K:$K,E$3)/1000</f>
        <v>0</v>
      </c>
      <c r="F17" s="3">
        <f>SUMIFS(Mov!$J:$J,Mov!$E:$E,$B17,Mov!$K:$K,F$3)/1000</f>
        <v>0</v>
      </c>
      <c r="G17" s="3">
        <f>SUMIFS(Mov!$J:$J,Mov!$E:$E,$B17,Mov!$K:$K,G$3)/1000</f>
        <v>0</v>
      </c>
      <c r="H17" s="3">
        <f>SUMIFS(Mov!$J:$J,Mov!$E:$E,$B17,Mov!$K:$K,H$3)/1000</f>
        <v>0</v>
      </c>
      <c r="I17" s="3">
        <f>SUMIFS(Mov!$J:$J,Mov!$E:$E,$B17,Mov!$K:$K,I$3)/1000</f>
        <v>93.5</v>
      </c>
      <c r="J17" s="3">
        <f>SUMIFS(Mov!$J:$J,Mov!$E:$E,$B17,Mov!$K:$K,J$3)/1000</f>
        <v>0</v>
      </c>
      <c r="K17" s="3">
        <f>SUMIFS(Mov!$J:$J,Mov!$E:$E,$B17,Mov!$K:$K,K$3)/1000</f>
        <v>0</v>
      </c>
      <c r="L17" s="3">
        <f>SUMIFS(Mov!$J:$J,Mov!$E:$E,$B17,Mov!$K:$K,L$3)/1000</f>
        <v>0</v>
      </c>
      <c r="M17" s="3">
        <f>SUMIFS(Mov!$J:$J,Mov!$E:$E,$B17,Mov!$K:$K,M$3)/1000</f>
        <v>0</v>
      </c>
      <c r="N17" s="3">
        <f>SUMIFS(Mov!$J:$J,Mov!$E:$E,$B17,Mov!$K:$K,N$3)/1000</f>
        <v>0</v>
      </c>
      <c r="O17" s="3">
        <f>SUMIFS(Mov!$J:$J,Mov!$E:$E,$B17,Mov!$K:$K,O$3)/1000</f>
        <v>0</v>
      </c>
      <c r="P17" s="3">
        <f>SUMIFS(Mov!$J:$J,Mov!$E:$E,$B17,Mov!$K:$K,P$3)/1000</f>
        <v>0</v>
      </c>
      <c r="Q17" s="3">
        <f t="shared" si="10"/>
        <v>93.5</v>
      </c>
      <c r="R17" s="3"/>
      <c r="S17">
        <f t="shared" ca="1" si="11"/>
        <v>93.5</v>
      </c>
    </row>
    <row r="18" spans="1:19" ht="14.65" customHeight="1" outlineLevel="1">
      <c r="A18" s="231">
        <f t="shared" si="9"/>
        <v>1</v>
      </c>
      <c r="B18">
        <v>51054501</v>
      </c>
      <c r="C18" t="s">
        <v>1724</v>
      </c>
      <c r="D18" t="s">
        <v>4528</v>
      </c>
      <c r="E18" s="3">
        <f>SUMIFS(Mov!$J:$J,Mov!$E:$E,$B18,Mov!$K:$K,E$3)/1000</f>
        <v>0</v>
      </c>
      <c r="F18" s="3">
        <f>SUMIFS(Mov!$J:$J,Mov!$E:$E,$B18,Mov!$K:$K,F$3)/1000</f>
        <v>0</v>
      </c>
      <c r="G18" s="3">
        <f>SUMIFS(Mov!$J:$J,Mov!$E:$E,$B18,Mov!$K:$K,G$3)/1000</f>
        <v>0</v>
      </c>
      <c r="H18" s="3">
        <f>SUMIFS(Mov!$J:$J,Mov!$E:$E,$B18,Mov!$K:$K,H$3)/1000</f>
        <v>0</v>
      </c>
      <c r="I18" s="3">
        <f>SUMIFS(Mov!$J:$J,Mov!$E:$E,$B18,Mov!$K:$K,I$3)/1000</f>
        <v>0</v>
      </c>
      <c r="J18" s="3">
        <f>SUMIFS(Mov!$J:$J,Mov!$E:$E,$B18,Mov!$K:$K,J$3)/1000</f>
        <v>0</v>
      </c>
      <c r="K18" s="3">
        <f>SUMIFS(Mov!$J:$J,Mov!$E:$E,$B18,Mov!$K:$K,K$3)/1000</f>
        <v>0</v>
      </c>
      <c r="L18" s="3">
        <f>SUMIFS(Mov!$J:$J,Mov!$E:$E,$B18,Mov!$K:$K,L$3)/1000</f>
        <v>0</v>
      </c>
      <c r="M18" s="3">
        <f>SUMIFS(Mov!$J:$J,Mov!$E:$E,$B18,Mov!$K:$K,M$3)/1000</f>
        <v>150</v>
      </c>
      <c r="N18" s="3">
        <f>SUMIFS(Mov!$J:$J,Mov!$E:$E,$B18,Mov!$K:$K,N$3)/1000</f>
        <v>-50</v>
      </c>
      <c r="O18" s="3">
        <f>SUMIFS(Mov!$J:$J,Mov!$E:$E,$B18,Mov!$K:$K,O$3)/1000</f>
        <v>50</v>
      </c>
      <c r="P18" s="3">
        <f>SUMIFS(Mov!$J:$J,Mov!$E:$E,$B18,Mov!$K:$K,P$3)/1000</f>
        <v>50</v>
      </c>
      <c r="Q18" s="3">
        <f t="shared" si="10"/>
        <v>200</v>
      </c>
      <c r="R18" s="3"/>
      <c r="S18">
        <f t="shared" ref="S18" ca="1" si="12">SUM(OFFSET(E18,0,0,1,S$3))</f>
        <v>200</v>
      </c>
    </row>
    <row r="19" spans="1:19" ht="14.65" customHeight="1" outlineLevel="1">
      <c r="A19" s="231">
        <f t="shared" si="1"/>
        <v>1</v>
      </c>
      <c r="B19">
        <v>51054801</v>
      </c>
      <c r="C19" t="s">
        <v>802</v>
      </c>
      <c r="D19" t="s">
        <v>4530</v>
      </c>
      <c r="E19" s="3">
        <f>SUMIFS(Mov!$J:$J,Mov!$E:$E,$B19,Mov!$K:$K,E$3)/1000</f>
        <v>0</v>
      </c>
      <c r="F19" s="3">
        <f>SUMIFS(Mov!$J:$J,Mov!$E:$E,$B19,Mov!$K:$K,F$3)/1000</f>
        <v>0</v>
      </c>
      <c r="G19" s="3">
        <f>SUMIFS(Mov!$J:$J,Mov!$E:$E,$B19,Mov!$K:$K,G$3)/1000</f>
        <v>0</v>
      </c>
      <c r="H19" s="3">
        <f>SUMIFS(Mov!$J:$J,Mov!$E:$E,$B19,Mov!$K:$K,H$3)/1000</f>
        <v>0</v>
      </c>
      <c r="I19" s="3">
        <f>SUMIFS(Mov!$J:$J,Mov!$E:$E,$B19,Mov!$K:$K,I$3)/1000</f>
        <v>100</v>
      </c>
      <c r="J19" s="3">
        <f>SUMIFS(Mov!$J:$J,Mov!$E:$E,$B19,Mov!$K:$K,J$3)/1000</f>
        <v>100</v>
      </c>
      <c r="K19" s="3">
        <f>SUMIFS(Mov!$J:$J,Mov!$E:$E,$B19,Mov!$K:$K,K$3)/1000</f>
        <v>100</v>
      </c>
      <c r="L19" s="3">
        <f>SUMIFS(Mov!$J:$J,Mov!$E:$E,$B19,Mov!$K:$K,L$3)/1000</f>
        <v>0</v>
      </c>
      <c r="M19" s="3">
        <f>SUMIFS(Mov!$J:$J,Mov!$E:$E,$B19,Mov!$K:$K,M$3)/1000</f>
        <v>0</v>
      </c>
      <c r="N19" s="3">
        <f>SUMIFS(Mov!$J:$J,Mov!$E:$E,$B19,Mov!$K:$K,N$3)/1000</f>
        <v>0</v>
      </c>
      <c r="O19" s="3">
        <f>SUMIFS(Mov!$J:$J,Mov!$E:$E,$B19,Mov!$K:$K,O$3)/1000</f>
        <v>0</v>
      </c>
      <c r="P19" s="3">
        <f>SUMIFS(Mov!$J:$J,Mov!$E:$E,$B19,Mov!$K:$K,P$3)/1000</f>
        <v>310</v>
      </c>
      <c r="Q19" s="3">
        <f t="shared" si="2"/>
        <v>610</v>
      </c>
      <c r="R19" s="3"/>
      <c r="S19">
        <f t="shared" ca="1" si="3"/>
        <v>610</v>
      </c>
    </row>
    <row r="20" spans="1:19" ht="14.65" customHeight="1" outlineLevel="1">
      <c r="A20" s="231">
        <f t="shared" si="1"/>
        <v>1</v>
      </c>
      <c r="B20">
        <v>510560</v>
      </c>
      <c r="C20" t="s">
        <v>1107</v>
      </c>
      <c r="D20" t="s">
        <v>4531</v>
      </c>
      <c r="E20" s="3">
        <f>SUMIFS(Mov!$J:$J,Mov!$E:$E,$B20,Mov!$K:$K,E$3)/1000</f>
        <v>0</v>
      </c>
      <c r="F20" s="3">
        <f>SUMIFS(Mov!$J:$J,Mov!$E:$E,$B20,Mov!$K:$K,F$3)/1000</f>
        <v>0</v>
      </c>
      <c r="G20" s="3">
        <f>SUMIFS(Mov!$J:$J,Mov!$E:$E,$B20,Mov!$K:$K,G$3)/1000</f>
        <v>0</v>
      </c>
      <c r="H20" s="3">
        <f>SUMIFS(Mov!$J:$J,Mov!$E:$E,$B20,Mov!$K:$K,H$3)/1000</f>
        <v>0</v>
      </c>
      <c r="I20" s="3">
        <f>SUMIFS(Mov!$J:$J,Mov!$E:$E,$B20,Mov!$K:$K,I$3)/1000</f>
        <v>0</v>
      </c>
      <c r="J20" s="3">
        <f>SUMIFS(Mov!$J:$J,Mov!$E:$E,$B20,Mov!$K:$K,J$3)/1000</f>
        <v>0</v>
      </c>
      <c r="K20" s="3">
        <f>SUMIFS(Mov!$J:$J,Mov!$E:$E,$B20,Mov!$K:$K,K$3)/1000</f>
        <v>0</v>
      </c>
      <c r="L20" s="3">
        <f>SUMIFS(Mov!$J:$J,Mov!$E:$E,$B20,Mov!$K:$K,L$3)/1000</f>
        <v>0</v>
      </c>
      <c r="M20" s="3">
        <f>SUMIFS(Mov!$J:$J,Mov!$E:$E,$B20,Mov!$K:$K,M$3)/1000</f>
        <v>0</v>
      </c>
      <c r="N20" s="3">
        <f>SUMIFS(Mov!$J:$J,Mov!$E:$E,$B20,Mov!$K:$K,N$3)/1000</f>
        <v>0</v>
      </c>
      <c r="O20" s="3">
        <f>SUMIFS(Mov!$J:$J,Mov!$E:$E,$B20,Mov!$K:$K,O$3)/1000</f>
        <v>0</v>
      </c>
      <c r="P20" s="3">
        <f>SUMIFS(Mov!$J:$J,Mov!$E:$E,$B20,Mov!$K:$K,P$3)/1000</f>
        <v>6538.8869999999997</v>
      </c>
      <c r="Q20" s="3">
        <f t="shared" si="2"/>
        <v>6538.8869999999997</v>
      </c>
      <c r="R20" s="3"/>
      <c r="S20">
        <f t="shared" ca="1" si="3"/>
        <v>6538.8869999999997</v>
      </c>
    </row>
    <row r="21" spans="1:19" ht="14.65" customHeight="1" outlineLevel="1">
      <c r="A21" s="231">
        <f t="shared" si="1"/>
        <v>0</v>
      </c>
      <c r="B21">
        <v>513510</v>
      </c>
      <c r="C21" t="s">
        <v>1258</v>
      </c>
      <c r="D21" t="s">
        <v>4532</v>
      </c>
      <c r="E21" s="3">
        <f>SUMIFS(Mov!$J:$J,Mov!$E:$E,$B21,Mov!$K:$K,E$3)/1000</f>
        <v>0</v>
      </c>
      <c r="F21" s="3">
        <f>SUMIFS(Mov!$J:$J,Mov!$E:$E,$B21,Mov!$K:$K,F$3)/1000</f>
        <v>0</v>
      </c>
      <c r="G21" s="3">
        <f>SUMIFS(Mov!$J:$J,Mov!$E:$E,$B21,Mov!$K:$K,G$3)/1000</f>
        <v>0</v>
      </c>
      <c r="H21" s="3">
        <f>SUMIFS(Mov!$J:$J,Mov!$E:$E,$B21,Mov!$K:$K,H$3)/1000</f>
        <v>0</v>
      </c>
      <c r="I21" s="3">
        <f>SUMIFS(Mov!$J:$J,Mov!$E:$E,$B21,Mov!$K:$K,I$3)/1000</f>
        <v>0</v>
      </c>
      <c r="J21" s="3">
        <f>SUMIFS(Mov!$J:$J,Mov!$E:$E,$B21,Mov!$K:$K,J$3)/1000</f>
        <v>0</v>
      </c>
      <c r="K21" s="3">
        <f>SUMIFS(Mov!$J:$J,Mov!$E:$E,$B21,Mov!$K:$K,K$3)/1000</f>
        <v>0</v>
      </c>
      <c r="L21" s="3">
        <f>SUMIFS(Mov!$J:$J,Mov!$E:$E,$B21,Mov!$K:$K,L$3)/1000</f>
        <v>0</v>
      </c>
      <c r="M21" s="3">
        <f>SUMIFS(Mov!$J:$J,Mov!$E:$E,$B21,Mov!$K:$K,M$3)/1000</f>
        <v>0</v>
      </c>
      <c r="N21" s="3">
        <f>SUMIFS(Mov!$J:$J,Mov!$E:$E,$B21,Mov!$K:$K,N$3)/1000</f>
        <v>0</v>
      </c>
      <c r="O21" s="3">
        <f>SUMIFS(Mov!$J:$J,Mov!$E:$E,$B21,Mov!$K:$K,O$3)/1000</f>
        <v>0</v>
      </c>
      <c r="P21" s="3">
        <f>SUMIFS(Mov!$J:$J,Mov!$E:$E,$B21,Mov!$K:$K,P$3)/1000</f>
        <v>0</v>
      </c>
      <c r="Q21" s="3">
        <f t="shared" si="2"/>
        <v>0</v>
      </c>
      <c r="R21" s="3"/>
      <c r="S21">
        <f t="shared" ca="1" si="3"/>
        <v>0</v>
      </c>
    </row>
    <row r="22" spans="1:19" ht="14.65" customHeight="1">
      <c r="A22" s="232">
        <f>IF(SUM(A14:A21)&gt;0,1,0)</f>
        <v>1</v>
      </c>
      <c r="B22" s="11"/>
      <c r="D22" s="64" t="s">
        <v>4533</v>
      </c>
      <c r="E22" s="65">
        <f t="shared" ref="E22:Q22" si="13">SUM(E11:E21)</f>
        <v>7634.6549999999997</v>
      </c>
      <c r="F22" s="65">
        <f t="shared" si="13"/>
        <v>8879.2950000000001</v>
      </c>
      <c r="G22" s="65">
        <f t="shared" si="13"/>
        <v>9642.0660000000007</v>
      </c>
      <c r="H22" s="65">
        <f t="shared" si="13"/>
        <v>8897.8760000000002</v>
      </c>
      <c r="I22" s="65">
        <f t="shared" si="13"/>
        <v>9720.6409999999996</v>
      </c>
      <c r="J22" s="65">
        <f t="shared" ref="J22:P22" si="14">SUM(J11:J21)</f>
        <v>9468.56</v>
      </c>
      <c r="K22" s="65">
        <f t="shared" si="14"/>
        <v>8718.8979999999992</v>
      </c>
      <c r="L22" s="65">
        <f t="shared" si="14"/>
        <v>7478.7359999999999</v>
      </c>
      <c r="M22" s="65">
        <f t="shared" si="14"/>
        <v>7097.9509999999991</v>
      </c>
      <c r="N22" s="65">
        <f t="shared" si="14"/>
        <v>9358.7180000000008</v>
      </c>
      <c r="O22" s="65">
        <f t="shared" si="14"/>
        <v>4627.3009999999995</v>
      </c>
      <c r="P22" s="65">
        <f t="shared" si="14"/>
        <v>12162.931</v>
      </c>
      <c r="Q22" s="66">
        <f t="shared" si="13"/>
        <v>103687.62800000001</v>
      </c>
      <c r="R22" s="12"/>
      <c r="S22" s="66">
        <f ca="1">SUM(S11:S21)</f>
        <v>103687.62800000001</v>
      </c>
    </row>
    <row r="23" spans="1:19" ht="14.65" customHeight="1" outlineLevel="1">
      <c r="A23" s="231">
        <f t="shared" si="1"/>
        <v>1</v>
      </c>
      <c r="B23">
        <v>510530</v>
      </c>
      <c r="C23" t="s">
        <v>813</v>
      </c>
      <c r="D23" t="s">
        <v>4534</v>
      </c>
      <c r="E23" s="3">
        <f>SUMIFS(Mov!$J:$J,Mov!$E:$E,$B23,Mov!$K:$K,E$3)/1000</f>
        <v>614.95399999999995</v>
      </c>
      <c r="F23" s="3">
        <f>SUMIFS(Mov!$J:$J,Mov!$E:$E,$B23,Mov!$K:$K,F$3)/1000</f>
        <v>750.048</v>
      </c>
      <c r="G23" s="3">
        <f>SUMIFS(Mov!$J:$J,Mov!$E:$E,$B23,Mov!$K:$K,G$3)/1000</f>
        <v>801.80899999999997</v>
      </c>
      <c r="H23" s="3">
        <f>SUMIFS(Mov!$J:$J,Mov!$E:$E,$B23,Mov!$K:$K,H$3)/1000</f>
        <v>743.53499999999997</v>
      </c>
      <c r="I23" s="3">
        <f>SUMIFS(Mov!$J:$J,Mov!$E:$E,$B23,Mov!$K:$K,I$3)/1000</f>
        <v>810.15300000000002</v>
      </c>
      <c r="J23" s="3">
        <f>SUMIFS(Mov!$J:$J,Mov!$E:$E,$B23,Mov!$K:$K,J$3)/1000</f>
        <v>863.62900000000002</v>
      </c>
      <c r="K23" s="3">
        <f>SUMIFS(Mov!$J:$J,Mov!$E:$E,$B23,Mov!$K:$K,K$3)/1000</f>
        <v>719.33799999999997</v>
      </c>
      <c r="L23" s="3">
        <f>SUMIFS(Mov!$J:$J,Mov!$E:$E,$B23,Mov!$K:$K,L$3)/1000</f>
        <v>622.97699999999998</v>
      </c>
      <c r="M23" s="3">
        <f>SUMIFS(Mov!$J:$J,Mov!$E:$E,$B23,Mov!$K:$K,M$3)/1000</f>
        <v>730.14700000000005</v>
      </c>
      <c r="N23" s="3">
        <f>SUMIFS(Mov!$J:$J,Mov!$E:$E,$B23,Mov!$K:$K,N$3)/1000</f>
        <v>783.745</v>
      </c>
      <c r="O23" s="3">
        <f>SUMIFS(Mov!$J:$J,Mov!$E:$E,$B23,Mov!$K:$K,O$3)/1000</f>
        <v>761.35799999999995</v>
      </c>
      <c r="P23" s="3">
        <f>SUMIFS(Mov!$J:$J,Mov!$E:$E,$B23,Mov!$K:$K,P$3)/1000</f>
        <v>979.29</v>
      </c>
      <c r="Q23" s="12">
        <f t="shared" ref="Q23:Q30" si="15">SUM(E23:P23)</f>
        <v>9180.9830000000002</v>
      </c>
      <c r="R23" s="12"/>
      <c r="S23" s="12">
        <f t="shared" ref="S23:S37" ca="1" si="16">SUM(OFFSET(E23,0,0,1,S$3))</f>
        <v>9180.9830000000002</v>
      </c>
    </row>
    <row r="24" spans="1:19" ht="14.65" customHeight="1" outlineLevel="1">
      <c r="A24" s="231">
        <f t="shared" si="1"/>
        <v>1</v>
      </c>
      <c r="B24">
        <v>510533</v>
      </c>
      <c r="C24" t="s">
        <v>779</v>
      </c>
      <c r="D24" t="s">
        <v>4535</v>
      </c>
      <c r="E24" s="3">
        <f>SUMIFS(Mov!$J:$J,Mov!$E:$E,$B24,Mov!$K:$K,E$3)/1000</f>
        <v>76.346000000000004</v>
      </c>
      <c r="F24" s="3">
        <f>SUMIFS(Mov!$J:$J,Mov!$E:$E,$B24,Mov!$K:$K,F$3)/1000</f>
        <v>90.006</v>
      </c>
      <c r="G24" s="3">
        <f>SUMIFS(Mov!$J:$J,Mov!$E:$E,$B24,Mov!$K:$K,G$3)/1000</f>
        <v>96.254999999999995</v>
      </c>
      <c r="H24" s="3">
        <f>SUMIFS(Mov!$J:$J,Mov!$E:$E,$B24,Mov!$K:$K,H$3)/1000</f>
        <v>89.26</v>
      </c>
      <c r="I24" s="3">
        <f>SUMIFS(Mov!$J:$J,Mov!$E:$E,$B24,Mov!$K:$K,I$3)/1000</f>
        <v>47.054000000000002</v>
      </c>
      <c r="J24" s="3">
        <f>SUMIFS(Mov!$J:$J,Mov!$E:$E,$B24,Mov!$K:$K,J$3)/1000</f>
        <v>64.165000000000006</v>
      </c>
      <c r="K24" s="3">
        <f>SUMIFS(Mov!$J:$J,Mov!$E:$E,$B24,Mov!$K:$K,K$3)/1000</f>
        <v>74.581999999999994</v>
      </c>
      <c r="L24" s="3">
        <f>SUMIFS(Mov!$J:$J,Mov!$E:$E,$B24,Mov!$K:$K,L$3)/1000</f>
        <v>74.787000000000006</v>
      </c>
      <c r="M24" s="3">
        <f>SUMIFS(Mov!$J:$J,Mov!$E:$E,$B24,Mov!$K:$K,M$3)/1000</f>
        <v>87.653000000000006</v>
      </c>
      <c r="N24" s="3">
        <f>SUMIFS(Mov!$J:$J,Mov!$E:$E,$B24,Mov!$K:$K,N$3)/1000</f>
        <v>94.087000000000003</v>
      </c>
      <c r="O24" s="3">
        <f>SUMIFS(Mov!$J:$J,Mov!$E:$E,$B24,Mov!$K:$K,O$3)/1000</f>
        <v>91.4</v>
      </c>
      <c r="P24" s="3">
        <f>SUMIFS(Mov!$J:$J,Mov!$E:$E,$B24,Mov!$K:$K,P$3)/1000</f>
        <v>-437.99099999999999</v>
      </c>
      <c r="Q24" s="12">
        <f t="shared" si="15"/>
        <v>447.60399999999993</v>
      </c>
      <c r="R24" s="12"/>
      <c r="S24" s="12">
        <f t="shared" ca="1" si="16"/>
        <v>447.60399999999993</v>
      </c>
    </row>
    <row r="25" spans="1:19" ht="14.65" customHeight="1" outlineLevel="1">
      <c r="A25" s="231">
        <f t="shared" si="1"/>
        <v>1</v>
      </c>
      <c r="B25">
        <v>510536</v>
      </c>
      <c r="C25" t="s">
        <v>783</v>
      </c>
      <c r="D25" t="s">
        <v>4536</v>
      </c>
      <c r="E25" s="3">
        <f>SUMIFS(Mov!$J:$J,Mov!$E:$E,$B25,Mov!$K:$K,E$3)/1000</f>
        <v>636.221</v>
      </c>
      <c r="F25" s="3">
        <f>SUMIFS(Mov!$J:$J,Mov!$E:$E,$B25,Mov!$K:$K,F$3)/1000</f>
        <v>750.048</v>
      </c>
      <c r="G25" s="3">
        <f>SUMIFS(Mov!$J:$J,Mov!$E:$E,$B25,Mov!$K:$K,G$3)/1000</f>
        <v>801.80899999999997</v>
      </c>
      <c r="H25" s="3">
        <f>SUMIFS(Mov!$J:$J,Mov!$E:$E,$B25,Mov!$K:$K,H$3)/1000</f>
        <v>743.53499999999997</v>
      </c>
      <c r="I25" s="3">
        <f>SUMIFS(Mov!$J:$J,Mov!$E:$E,$B25,Mov!$K:$K,I$3)/1000</f>
        <v>808.58399999999995</v>
      </c>
      <c r="J25" s="3">
        <f>SUMIFS(Mov!$J:$J,Mov!$E:$E,$B25,Mov!$K:$K,J$3)/1000</f>
        <v>862.39599999999996</v>
      </c>
      <c r="K25" s="3">
        <f>SUMIFS(Mov!$J:$J,Mov!$E:$E,$B25,Mov!$K:$K,K$3)/1000</f>
        <v>718.24199999999996</v>
      </c>
      <c r="L25" s="3">
        <f>SUMIFS(Mov!$J:$J,Mov!$E:$E,$B25,Mov!$K:$K,L$3)/1000</f>
        <v>622.97699999999998</v>
      </c>
      <c r="M25" s="3">
        <f>SUMIFS(Mov!$J:$J,Mov!$E:$E,$B25,Mov!$K:$K,M$3)/1000</f>
        <v>730.14700000000005</v>
      </c>
      <c r="N25" s="3">
        <f>SUMIFS(Mov!$J:$J,Mov!$E:$E,$B25,Mov!$K:$K,N$3)/1000</f>
        <v>783.745</v>
      </c>
      <c r="O25" s="3">
        <f>SUMIFS(Mov!$J:$J,Mov!$E:$E,$B25,Mov!$K:$K,O$3)/1000</f>
        <v>1627.961</v>
      </c>
      <c r="P25" s="3">
        <f>SUMIFS(Mov!$J:$J,Mov!$E:$E,$B25,Mov!$K:$K,P$3)/1000</f>
        <v>553.50199999999995</v>
      </c>
      <c r="Q25" s="12">
        <f t="shared" si="15"/>
        <v>9639.1669999999995</v>
      </c>
      <c r="R25" s="12"/>
      <c r="S25" s="12">
        <f t="shared" ca="1" si="16"/>
        <v>9639.1669999999995</v>
      </c>
    </row>
    <row r="26" spans="1:19" ht="14.65" customHeight="1" outlineLevel="1">
      <c r="A26" s="231">
        <f t="shared" si="1"/>
        <v>1</v>
      </c>
      <c r="B26">
        <v>510539</v>
      </c>
      <c r="C26" t="s">
        <v>818</v>
      </c>
      <c r="D26" t="s">
        <v>4537</v>
      </c>
      <c r="E26" s="3">
        <f>SUMIFS(Mov!$J:$J,Mov!$E:$E,$B26,Mov!$K:$K,E$3)/1000</f>
        <v>288.81799999999998</v>
      </c>
      <c r="F26" s="3">
        <f>SUMIFS(Mov!$J:$J,Mov!$E:$E,$B26,Mov!$K:$K,F$3)/1000</f>
        <v>343.19299999999998</v>
      </c>
      <c r="G26" s="3">
        <f>SUMIFS(Mov!$J:$J,Mov!$E:$E,$B26,Mov!$K:$K,G$3)/1000</f>
        <v>366.79300000000001</v>
      </c>
      <c r="H26" s="3">
        <f>SUMIFS(Mov!$J:$J,Mov!$E:$E,$B26,Mov!$K:$K,H$3)/1000</f>
        <v>335.01400000000001</v>
      </c>
      <c r="I26" s="3">
        <f>SUMIFS(Mov!$J:$J,Mov!$E:$E,$B26,Mov!$K:$K,I$3)/1000</f>
        <v>375.99700000000001</v>
      </c>
      <c r="J26" s="3">
        <f>SUMIFS(Mov!$J:$J,Mov!$E:$E,$B26,Mov!$K:$K,J$3)/1000</f>
        <v>401.86399999999998</v>
      </c>
      <c r="K26" s="3">
        <f>SUMIFS(Mov!$J:$J,Mov!$E:$E,$B26,Mov!$K:$K,K$3)/1000</f>
        <v>334.31900000000002</v>
      </c>
      <c r="L26" s="3">
        <f>SUMIFS(Mov!$J:$J,Mov!$E:$E,$B26,Mov!$K:$K,L$3)/1000</f>
        <v>282.87200000000001</v>
      </c>
      <c r="M26" s="3">
        <f>SUMIFS(Mov!$J:$J,Mov!$E:$E,$B26,Mov!$K:$K,M$3)/1000</f>
        <v>333.32900000000001</v>
      </c>
      <c r="N26" s="3">
        <f>SUMIFS(Mov!$J:$J,Mov!$E:$E,$B26,Mov!$K:$K,N$3)/1000</f>
        <v>348.83499999999998</v>
      </c>
      <c r="O26" s="3">
        <f>SUMIFS(Mov!$J:$J,Mov!$E:$E,$B26,Mov!$K:$K,O$3)/1000</f>
        <v>341.2</v>
      </c>
      <c r="P26" s="3">
        <f>SUMIFS(Mov!$J:$J,Mov!$E:$E,$B26,Mov!$K:$K,P$3)/1000</f>
        <v>1063.97</v>
      </c>
      <c r="Q26" s="12">
        <f t="shared" si="15"/>
        <v>4816.2039999999997</v>
      </c>
      <c r="R26" s="12"/>
      <c r="S26" s="12">
        <f t="shared" ca="1" si="16"/>
        <v>4816.2039999999997</v>
      </c>
    </row>
    <row r="27" spans="1:19" ht="14.65" customHeight="1" outlineLevel="1">
      <c r="A27" s="231">
        <f t="shared" si="1"/>
        <v>1</v>
      </c>
      <c r="B27">
        <v>510568</v>
      </c>
      <c r="C27" t="s">
        <v>680</v>
      </c>
      <c r="D27" t="s">
        <v>4538</v>
      </c>
      <c r="E27" s="3">
        <f>SUMIFS(Mov!$J:$J,Mov!$E:$E,$B27,Mov!$K:$K,E$3)/1000</f>
        <v>36.4</v>
      </c>
      <c r="F27" s="3">
        <f>SUMIFS(Mov!$J:$J,Mov!$E:$E,$B27,Mov!$K:$K,F$3)/1000</f>
        <v>43.1</v>
      </c>
      <c r="G27" s="3">
        <f>SUMIFS(Mov!$J:$J,Mov!$E:$E,$B27,Mov!$K:$K,G$3)/1000</f>
        <v>45.914999999999999</v>
      </c>
      <c r="H27" s="3">
        <f>SUMIFS(Mov!$J:$J,Mov!$E:$E,$B27,Mov!$K:$K,H$3)/1000</f>
        <v>42.581000000000003</v>
      </c>
      <c r="I27" s="3">
        <f>SUMIFS(Mov!$J:$J,Mov!$E:$E,$B27,Mov!$K:$K,I$3)/1000</f>
        <v>44.9</v>
      </c>
      <c r="J27" s="3">
        <f>SUMIFS(Mov!$J:$J,Mov!$E:$E,$B27,Mov!$K:$K,J$3)/1000</f>
        <v>43.9</v>
      </c>
      <c r="K27" s="3">
        <f>SUMIFS(Mov!$J:$J,Mov!$E:$E,$B27,Mov!$K:$K,K$3)/1000</f>
        <v>36</v>
      </c>
      <c r="L27" s="3">
        <f>SUMIFS(Mov!$J:$J,Mov!$E:$E,$B27,Mov!$K:$K,L$3)/1000</f>
        <v>30.047999999999998</v>
      </c>
      <c r="M27" s="3">
        <f>SUMIFS(Mov!$J:$J,Mov!$E:$E,$B27,Mov!$K:$K,M$3)/1000</f>
        <v>36.201000000000001</v>
      </c>
      <c r="N27" s="3">
        <f>SUMIFS(Mov!$J:$J,Mov!$E:$E,$B27,Mov!$K:$K,N$3)/1000</f>
        <v>39.389000000000003</v>
      </c>
      <c r="O27" s="3">
        <f>SUMIFS(Mov!$J:$J,Mov!$E:$E,$B27,Mov!$K:$K,O$3)/1000</f>
        <v>37.985999999999997</v>
      </c>
      <c r="P27" s="3">
        <f>SUMIFS(Mov!$J:$J,Mov!$E:$E,$B27,Mov!$K:$K,P$3)/1000</f>
        <v>27.363</v>
      </c>
      <c r="Q27" s="12">
        <f>SUM(E27:P27)</f>
        <v>463.78300000000002</v>
      </c>
      <c r="R27" s="12"/>
      <c r="S27" s="12">
        <f t="shared" ca="1" si="16"/>
        <v>463.78300000000002</v>
      </c>
    </row>
    <row r="28" spans="1:19" ht="14.65" customHeight="1" outlineLevel="1">
      <c r="A28" s="231">
        <f t="shared" si="1"/>
        <v>1</v>
      </c>
      <c r="B28">
        <v>510570</v>
      </c>
      <c r="C28" t="s">
        <v>1116</v>
      </c>
      <c r="D28" t="s">
        <v>4539</v>
      </c>
      <c r="E28" s="3">
        <f>SUMIFS(Mov!$J:$J,Mov!$E:$E,$B28,Mov!$K:$K,E$3)/1000</f>
        <v>865.8</v>
      </c>
      <c r="F28" s="3">
        <f>SUMIFS(Mov!$J:$J,Mov!$E:$E,$B28,Mov!$K:$K,F$3)/1000</f>
        <v>988.6</v>
      </c>
      <c r="G28" s="3">
        <f>SUMIFS(Mov!$J:$J,Mov!$E:$E,$B28,Mov!$K:$K,G$3)/1000</f>
        <v>1065.52</v>
      </c>
      <c r="H28" s="3">
        <f>SUMIFS(Mov!$J:$J,Mov!$E:$E,$B28,Mov!$K:$K,H$3)/1000</f>
        <v>978.88300000000004</v>
      </c>
      <c r="I28" s="3">
        <f>SUMIFS(Mov!$J:$J,Mov!$E:$E,$B28,Mov!$K:$K,I$3)/1000</f>
        <v>1112.3430000000001</v>
      </c>
      <c r="J28" s="3">
        <f>SUMIFS(Mov!$J:$J,Mov!$E:$E,$B28,Mov!$K:$K,J$3)/1000</f>
        <v>1192.711</v>
      </c>
      <c r="K28" s="3">
        <f>SUMIFS(Mov!$J:$J,Mov!$E:$E,$B28,Mov!$K:$K,K$3)/1000</f>
        <v>1009.777</v>
      </c>
      <c r="L28" s="3">
        <f>SUMIFS(Mov!$J:$J,Mov!$E:$E,$B28,Mov!$K:$K,L$3)/1000</f>
        <v>876.35699999999997</v>
      </c>
      <c r="M28" s="3">
        <f>SUMIFS(Mov!$J:$J,Mov!$E:$E,$B28,Mov!$K:$K,M$3)/1000</f>
        <v>971.40700000000004</v>
      </c>
      <c r="N28" s="3">
        <f>SUMIFS(Mov!$J:$J,Mov!$E:$E,$B28,Mov!$K:$K,N$3)/1000</f>
        <v>1044.683</v>
      </c>
      <c r="O28" s="3">
        <f>SUMIFS(Mov!$J:$J,Mov!$E:$E,$B28,Mov!$K:$K,O$3)/1000</f>
        <v>1012.432</v>
      </c>
      <c r="P28" s="3">
        <f>SUMIFS(Mov!$J:$J,Mov!$E:$E,$B28,Mov!$K:$K,P$3)/1000</f>
        <v>734.37199999999996</v>
      </c>
      <c r="Q28" s="12">
        <f>SUM(E28:P28)</f>
        <v>11852.884999999998</v>
      </c>
      <c r="R28" s="12"/>
      <c r="S28" s="12">
        <f t="shared" ca="1" si="16"/>
        <v>11852.884999999998</v>
      </c>
    </row>
    <row r="29" spans="1:19" ht="14.65" customHeight="1" outlineLevel="1">
      <c r="A29" s="231">
        <f t="shared" si="1"/>
        <v>1</v>
      </c>
      <c r="B29">
        <v>510569</v>
      </c>
      <c r="C29" t="s">
        <v>4540</v>
      </c>
      <c r="D29" t="s">
        <v>4538</v>
      </c>
      <c r="E29" s="3">
        <f>SUMIFS(Mov!$J:$J,Mov!$E:$E,$B29,Mov!$K:$K,E$3)/1000</f>
        <v>8.6999999999999993</v>
      </c>
      <c r="F29" s="3">
        <f>SUMIFS(Mov!$J:$J,Mov!$E:$E,$B29,Mov!$K:$K,F$3)/1000</f>
        <v>0</v>
      </c>
      <c r="G29" s="3">
        <f>SUMIFS(Mov!$J:$J,Mov!$E:$E,$B29,Mov!$K:$K,G$3)/1000</f>
        <v>0</v>
      </c>
      <c r="H29" s="3">
        <f>SUMIFS(Mov!$J:$J,Mov!$E:$E,$B29,Mov!$K:$K,H$3)/1000</f>
        <v>0</v>
      </c>
      <c r="I29" s="3">
        <f>SUMIFS(Mov!$J:$J,Mov!$E:$E,$B29,Mov!$K:$K,I$3)/1000</f>
        <v>7.5430000000000001</v>
      </c>
      <c r="J29" s="3">
        <f>SUMIFS(Mov!$J:$J,Mov!$E:$E,$B29,Mov!$K:$K,J$3)/1000</f>
        <v>0</v>
      </c>
      <c r="K29" s="3">
        <f>SUMIFS(Mov!$J:$J,Mov!$E:$E,$B29,Mov!$K:$K,K$3)/1000</f>
        <v>11.454000000000001</v>
      </c>
      <c r="L29" s="3">
        <f>SUMIFS(Mov!$J:$J,Mov!$E:$E,$B29,Mov!$K:$K,L$3)/1000</f>
        <v>11.6</v>
      </c>
      <c r="M29" s="3">
        <f>SUMIFS(Mov!$J:$J,Mov!$E:$E,$B29,Mov!$K:$K,M$3)/1000</f>
        <v>0</v>
      </c>
      <c r="N29" s="3">
        <f>SUMIFS(Mov!$J:$J,Mov!$E:$E,$B29,Mov!$K:$K,N$3)/1000</f>
        <v>0</v>
      </c>
      <c r="O29" s="3">
        <f>SUMIFS(Mov!$J:$J,Mov!$E:$E,$B29,Mov!$K:$K,O$3)/1000</f>
        <v>0</v>
      </c>
      <c r="P29" s="3">
        <f>SUMIFS(Mov!$J:$J,Mov!$E:$E,$B29,Mov!$K:$K,P$3)/1000</f>
        <v>0</v>
      </c>
      <c r="Q29" s="12">
        <f t="shared" si="15"/>
        <v>39.296999999999997</v>
      </c>
      <c r="R29" s="12"/>
      <c r="S29" s="12">
        <f t="shared" ca="1" si="16"/>
        <v>39.296999999999997</v>
      </c>
    </row>
    <row r="30" spans="1:19" ht="14.65" customHeight="1" outlineLevel="1">
      <c r="A30" s="231">
        <f t="shared" si="1"/>
        <v>1</v>
      </c>
      <c r="B30">
        <v>510572</v>
      </c>
      <c r="C30" t="s">
        <v>1118</v>
      </c>
      <c r="D30" t="s">
        <v>4541</v>
      </c>
      <c r="E30" s="3">
        <f>SUMIFS(Mov!$J:$J,Mov!$E:$E,$B30,Mov!$K:$K,E$3)/1000</f>
        <v>144.30000000000001</v>
      </c>
      <c r="F30" s="3">
        <f>SUMIFS(Mov!$J:$J,Mov!$E:$E,$B30,Mov!$K:$K,F$3)/1000</f>
        <v>164.7</v>
      </c>
      <c r="G30" s="3">
        <f>SUMIFS(Mov!$J:$J,Mov!$E:$E,$B30,Mov!$K:$K,G$3)/1000</f>
        <v>174.7</v>
      </c>
      <c r="H30" s="3">
        <f>SUMIFS(Mov!$J:$J,Mov!$E:$E,$B30,Mov!$K:$K,H$3)/1000</f>
        <v>163.114</v>
      </c>
      <c r="I30" s="3">
        <f>SUMIFS(Mov!$J:$J,Mov!$E:$E,$B30,Mov!$K:$K,I$3)/1000</f>
        <v>187.4</v>
      </c>
      <c r="J30" s="3">
        <f>SUMIFS(Mov!$J:$J,Mov!$E:$E,$B30,Mov!$K:$K,J$3)/1000</f>
        <v>196.6</v>
      </c>
      <c r="K30" s="3">
        <f>SUMIFS(Mov!$J:$J,Mov!$E:$E,$B30,Mov!$K:$K,K$3)/1000</f>
        <v>164.4</v>
      </c>
      <c r="L30" s="3">
        <f>SUMIFS(Mov!$J:$J,Mov!$E:$E,$B30,Mov!$K:$K,L$3)/1000</f>
        <v>216.2</v>
      </c>
      <c r="M30" s="3">
        <f>SUMIFS(Mov!$J:$J,Mov!$E:$E,$B30,Mov!$K:$K,M$3)/1000</f>
        <v>208.29900000000001</v>
      </c>
      <c r="N30" s="3">
        <f>SUMIFS(Mov!$J:$J,Mov!$E:$E,$B30,Mov!$K:$K,N$3)/1000</f>
        <v>226.38</v>
      </c>
      <c r="O30" s="3">
        <f>SUMIFS(Mov!$J:$J,Mov!$E:$E,$B30,Mov!$K:$K,O$3)/1000</f>
        <v>218.30799999999999</v>
      </c>
      <c r="P30" s="3">
        <f>SUMIFS(Mov!$J:$J,Mov!$E:$E,$B30,Mov!$K:$K,P$3)/1000</f>
        <v>187.28899999999999</v>
      </c>
      <c r="Q30" s="12">
        <f t="shared" si="15"/>
        <v>2251.6899999999996</v>
      </c>
      <c r="R30" s="12"/>
      <c r="S30" s="12">
        <f t="shared" ca="1" si="16"/>
        <v>2251.6899999999996</v>
      </c>
    </row>
    <row r="31" spans="1:19" ht="14.65" customHeight="1">
      <c r="A31" s="232">
        <f>IF(SUM(A23:A30)&gt;0,1,0)</f>
        <v>1</v>
      </c>
      <c r="D31" s="64" t="s">
        <v>4356</v>
      </c>
      <c r="E31" s="66">
        <f t="shared" ref="E31:I31" si="17">SUM(E23:E30)</f>
        <v>2671.5389999999998</v>
      </c>
      <c r="F31" s="66">
        <f t="shared" si="17"/>
        <v>3129.6949999999997</v>
      </c>
      <c r="G31" s="66">
        <f t="shared" si="17"/>
        <v>3352.8009999999999</v>
      </c>
      <c r="H31" s="66">
        <f t="shared" si="17"/>
        <v>3095.922</v>
      </c>
      <c r="I31" s="66">
        <f t="shared" si="17"/>
        <v>3393.9740000000002</v>
      </c>
      <c r="J31" s="66">
        <f t="shared" ref="J31:P31" si="18">SUM(J23:J30)</f>
        <v>3625.2649999999999</v>
      </c>
      <c r="K31" s="66">
        <f t="shared" si="18"/>
        <v>3068.1120000000001</v>
      </c>
      <c r="L31" s="66">
        <f t="shared" si="18"/>
        <v>2737.8179999999998</v>
      </c>
      <c r="M31" s="66">
        <f t="shared" si="18"/>
        <v>3097.183</v>
      </c>
      <c r="N31" s="66">
        <f t="shared" si="18"/>
        <v>3320.864</v>
      </c>
      <c r="O31" s="66">
        <f t="shared" si="18"/>
        <v>4090.6449999999995</v>
      </c>
      <c r="P31" s="66">
        <f t="shared" si="18"/>
        <v>3107.7949999999992</v>
      </c>
      <c r="Q31" s="66">
        <f t="shared" ref="Q31:Q37" si="19">SUM(E31:P31)</f>
        <v>38691.612999999998</v>
      </c>
      <c r="R31" s="12"/>
      <c r="S31" s="66">
        <f t="shared" ca="1" si="16"/>
        <v>38691.612999999998</v>
      </c>
    </row>
    <row r="32" spans="1:19" ht="14.65" customHeight="1" outlineLevel="1">
      <c r="A32" s="231">
        <f t="shared" si="1"/>
        <v>1</v>
      </c>
      <c r="B32">
        <v>510551</v>
      </c>
      <c r="C32" t="s">
        <v>1644</v>
      </c>
      <c r="D32" t="s">
        <v>4542</v>
      </c>
      <c r="E32" s="3">
        <f>SUMIFS(Mov!$J:$J,Mov!$E:$E,$B32,Mov!$K:$K,E$3)/1000</f>
        <v>0</v>
      </c>
      <c r="F32" s="3">
        <f>SUMIFS(Mov!$J:$J,Mov!$E:$E,$B32,Mov!$K:$K,F$3)/1000</f>
        <v>0</v>
      </c>
      <c r="G32" s="3">
        <f>SUMIFS(Mov!$J:$J,Mov!$E:$E,$B32,Mov!$K:$K,G$3)/1000</f>
        <v>0</v>
      </c>
      <c r="H32" s="3">
        <f>SUMIFS(Mov!$J:$J,Mov!$E:$E,$B32,Mov!$K:$K,H$3)/1000</f>
        <v>0</v>
      </c>
      <c r="I32" s="3">
        <f>SUMIFS(Mov!$J:$J,Mov!$E:$E,$B32,Mov!$K:$K,I$3)/1000</f>
        <v>0</v>
      </c>
      <c r="J32" s="3">
        <f>SUMIFS(Mov!$J:$J,Mov!$E:$E,$B32,Mov!$K:$K,J$3)/1000</f>
        <v>0</v>
      </c>
      <c r="K32" s="3">
        <f>SUMIFS(Mov!$J:$J,Mov!$E:$E,$B32,Mov!$K:$K,K$3)/1000</f>
        <v>0</v>
      </c>
      <c r="L32" s="3">
        <f>SUMIFS(Mov!$J:$J,Mov!$E:$E,$B32,Mov!$K:$K,L$3)/1000</f>
        <v>864.20100000000002</v>
      </c>
      <c r="M32" s="3">
        <f>SUMIFS(Mov!$J:$J,Mov!$E:$E,$B32,Mov!$K:$K,M$3)/1000</f>
        <v>0</v>
      </c>
      <c r="N32" s="3">
        <f>SUMIFS(Mov!$J:$J,Mov!$E:$E,$B32,Mov!$K:$K,N$3)/1000</f>
        <v>839.55</v>
      </c>
      <c r="O32" s="3">
        <f>SUMIFS(Mov!$J:$J,Mov!$E:$E,$B32,Mov!$K:$K,O$3)/1000</f>
        <v>0</v>
      </c>
      <c r="P32" s="3">
        <f>SUMIFS(Mov!$J:$J,Mov!$E:$E,$B32,Mov!$K:$K,P$3)/1000</f>
        <v>900.19885999999997</v>
      </c>
      <c r="Q32" s="12">
        <f t="shared" si="19"/>
        <v>2603.9498599999997</v>
      </c>
      <c r="R32" s="12"/>
      <c r="S32" s="12">
        <f t="shared" ca="1" si="16"/>
        <v>2603.9498599999997</v>
      </c>
    </row>
    <row r="33" spans="1:19" ht="14.65" customHeight="1" outlineLevel="1">
      <c r="A33" s="231">
        <f t="shared" si="1"/>
        <v>0</v>
      </c>
      <c r="B33">
        <v>51052101</v>
      </c>
      <c r="C33" t="s">
        <v>1085</v>
      </c>
      <c r="D33" t="s">
        <v>4543</v>
      </c>
      <c r="E33" s="3">
        <f>SUMIFS(Mov!$J:$J,Mov!$E:$E,$B33,Mov!$K:$K,E$3)/1000</f>
        <v>0</v>
      </c>
      <c r="F33" s="3">
        <f>SUMIFS(Mov!$J:$J,Mov!$E:$E,$B33,Mov!$K:$K,F$3)/1000</f>
        <v>0</v>
      </c>
      <c r="G33" s="3">
        <f>SUMIFS(Mov!$J:$J,Mov!$E:$E,$B33,Mov!$K:$K,G$3)/1000</f>
        <v>0</v>
      </c>
      <c r="H33" s="3">
        <f>SUMIFS(Mov!$J:$J,Mov!$E:$E,$B33,Mov!$K:$K,H$3)/1000</f>
        <v>0</v>
      </c>
      <c r="I33" s="3">
        <f>SUMIFS(Mov!$J:$J,Mov!$E:$E,$B33,Mov!$K:$K,I$3)/1000</f>
        <v>0</v>
      </c>
      <c r="J33" s="3">
        <f>SUMIFS(Mov!$J:$J,Mov!$E:$E,$B33,Mov!$K:$K,J$3)/1000</f>
        <v>0</v>
      </c>
      <c r="K33" s="3">
        <f>SUMIFS(Mov!$J:$J,Mov!$E:$E,$B33,Mov!$K:$K,K$3)/1000</f>
        <v>0</v>
      </c>
      <c r="L33" s="3">
        <f>SUMIFS(Mov!$J:$J,Mov!$E:$E,$B33,Mov!$K:$K,L$3)/1000</f>
        <v>0</v>
      </c>
      <c r="M33" s="3">
        <f>SUMIFS(Mov!$J:$J,Mov!$E:$E,$B33,Mov!$K:$K,M$3)/1000</f>
        <v>0</v>
      </c>
      <c r="N33" s="3">
        <f>SUMIFS(Mov!$J:$J,Mov!$E:$E,$B33,Mov!$K:$K,N$3)/1000</f>
        <v>0</v>
      </c>
      <c r="O33" s="3">
        <f>SUMIFS(Mov!$J:$J,Mov!$E:$E,$B33,Mov!$K:$K,O$3)/1000</f>
        <v>0</v>
      </c>
      <c r="P33" s="3">
        <f>SUMIFS(Mov!$J:$J,Mov!$E:$E,$B33,Mov!$K:$K,P$3)/1000</f>
        <v>0</v>
      </c>
      <c r="Q33" s="12">
        <f t="shared" si="19"/>
        <v>0</v>
      </c>
      <c r="S33">
        <f t="shared" ca="1" si="16"/>
        <v>0</v>
      </c>
    </row>
    <row r="34" spans="1:19" ht="14.65" customHeight="1" outlineLevel="1">
      <c r="A34" s="231">
        <f t="shared" ref="A34" si="20">IF(AND(E34=0,F34=0,G34=0,H34=0,I34=0,J34=0,K34=0,L34=0,M34=0,N34=0,O34=0,P34=0),0,1)</f>
        <v>0</v>
      </c>
      <c r="B34">
        <v>510595</v>
      </c>
      <c r="C34" t="s">
        <v>150</v>
      </c>
      <c r="D34" t="s">
        <v>4544</v>
      </c>
      <c r="E34" s="3">
        <f>SUMIFS(Mov!$J:$J,Mov!$E:$E,$B34,Mov!$K:$K,E$3)/1000</f>
        <v>0</v>
      </c>
      <c r="F34" s="3">
        <f>SUMIFS(Mov!$J:$J,Mov!$E:$E,$B34,Mov!$K:$K,F$3)/1000</f>
        <v>0</v>
      </c>
      <c r="G34" s="3">
        <f>SUMIFS(Mov!$J:$J,Mov!$E:$E,$B34,Mov!$K:$K,G$3)/1000</f>
        <v>0</v>
      </c>
      <c r="H34" s="3">
        <f>SUMIFS(Mov!$J:$J,Mov!$E:$E,$B34,Mov!$K:$K,H$3)/1000</f>
        <v>0</v>
      </c>
      <c r="I34" s="3">
        <f>SUMIFS(Mov!$J:$J,Mov!$E:$E,$B34,Mov!$K:$K,I$3)/1000</f>
        <v>0</v>
      </c>
      <c r="J34" s="3">
        <f>SUMIFS(Mov!$J:$J,Mov!$E:$E,$B34,Mov!$K:$K,J$3)/1000</f>
        <v>0</v>
      </c>
      <c r="K34" s="3">
        <f>SUMIFS(Mov!$J:$J,Mov!$E:$E,$B34,Mov!$K:$K,K$3)/1000</f>
        <v>0</v>
      </c>
      <c r="L34" s="3">
        <f>SUMIFS(Mov!$J:$J,Mov!$E:$E,$B34,Mov!$K:$K,L$3)/1000</f>
        <v>0</v>
      </c>
      <c r="M34" s="3">
        <f>SUMIFS(Mov!$J:$J,Mov!$E:$E,$B34,Mov!$K:$K,M$3)/1000</f>
        <v>0</v>
      </c>
      <c r="N34" s="3">
        <f>SUMIFS(Mov!$J:$J,Mov!$E:$E,$B34,Mov!$K:$K,N$3)/1000</f>
        <v>0</v>
      </c>
      <c r="O34" s="3">
        <f>SUMIFS(Mov!$J:$J,Mov!$E:$E,$B34,Mov!$K:$K,O$3)/1000</f>
        <v>0</v>
      </c>
      <c r="P34" s="3">
        <f>SUMIFS(Mov!$J:$J,Mov!$E:$E,$B34,Mov!$K:$K,P$3)/1000</f>
        <v>0</v>
      </c>
      <c r="Q34" s="12">
        <f t="shared" ref="Q34" si="21">SUM(E34:P34)</f>
        <v>0</v>
      </c>
      <c r="R34" s="12"/>
      <c r="S34" s="12">
        <f t="shared" ref="S34" ca="1" si="22">SUM(OFFSET(E34,0,0,1,S$3))</f>
        <v>0</v>
      </c>
    </row>
    <row r="35" spans="1:19" ht="14.65" customHeight="1" outlineLevel="1">
      <c r="A35" s="231">
        <f t="shared" si="1"/>
        <v>1</v>
      </c>
      <c r="B35">
        <v>51059501</v>
      </c>
      <c r="C35" t="s">
        <v>1130</v>
      </c>
      <c r="D35" t="s">
        <v>4545</v>
      </c>
      <c r="E35" s="3">
        <f>SUMIFS(Mov!$J:$J,Mov!$E:$E,$B35,Mov!$K:$K,E$3)/1000</f>
        <v>0</v>
      </c>
      <c r="F35" s="3">
        <f>SUMIFS(Mov!$J:$J,Mov!$E:$E,$B35,Mov!$K:$K,F$3)/1000</f>
        <v>292.5</v>
      </c>
      <c r="G35" s="3">
        <f>SUMIFS(Mov!$J:$J,Mov!$E:$E,$B35,Mov!$K:$K,G$3)/1000</f>
        <v>0</v>
      </c>
      <c r="H35" s="3">
        <f>SUMIFS(Mov!$J:$J,Mov!$E:$E,$B35,Mov!$K:$K,H$3)/1000</f>
        <v>58.5</v>
      </c>
      <c r="I35" s="3">
        <f>SUMIFS(Mov!$J:$J,Mov!$E:$E,$B35,Mov!$K:$K,I$3)/1000</f>
        <v>58.5</v>
      </c>
      <c r="J35" s="3">
        <f>SUMIFS(Mov!$J:$J,Mov!$E:$E,$B35,Mov!$K:$K,J$3)/1000</f>
        <v>0</v>
      </c>
      <c r="K35" s="3">
        <f>SUMIFS(Mov!$J:$J,Mov!$E:$E,$B35,Mov!$K:$K,K$3)/1000</f>
        <v>0</v>
      </c>
      <c r="L35" s="3">
        <f>SUMIFS(Mov!$J:$J,Mov!$E:$E,$B35,Mov!$K:$K,L$3)/1000</f>
        <v>0</v>
      </c>
      <c r="M35" s="3">
        <f>SUMIFS(Mov!$J:$J,Mov!$E:$E,$B35,Mov!$K:$K,M$3)/1000</f>
        <v>58.5</v>
      </c>
      <c r="N35" s="3">
        <f>SUMIFS(Mov!$J:$J,Mov!$E:$E,$B35,Mov!$K:$K,N$3)/1000</f>
        <v>0</v>
      </c>
      <c r="O35" s="3">
        <f>SUMIFS(Mov!$J:$J,Mov!$E:$E,$B35,Mov!$K:$K,O$3)/1000</f>
        <v>0</v>
      </c>
      <c r="P35" s="3">
        <f>SUMIFS(Mov!$J:$J,Mov!$E:$E,$B35,Mov!$K:$K,P$3)/1000</f>
        <v>387</v>
      </c>
      <c r="Q35" s="12">
        <f t="shared" si="19"/>
        <v>855</v>
      </c>
      <c r="R35" s="12"/>
      <c r="S35" s="12">
        <f t="shared" ref="S35" ca="1" si="23">SUM(OFFSET(E35,0,0,1,S$3))</f>
        <v>855</v>
      </c>
    </row>
    <row r="36" spans="1:19" ht="14.65" customHeight="1" outlineLevel="1">
      <c r="A36" s="231">
        <f t="shared" si="1"/>
        <v>1</v>
      </c>
      <c r="B36">
        <v>51059510</v>
      </c>
      <c r="C36" t="s">
        <v>4546</v>
      </c>
      <c r="D36" t="s">
        <v>4545</v>
      </c>
      <c r="E36" s="3">
        <f>SUMIFS(Mov!$J:$J,Mov!$E:$E,$B36,Mov!$K:$K,E$3)/1000</f>
        <v>0</v>
      </c>
      <c r="F36" s="3">
        <f>SUMIFS(Mov!$J:$J,Mov!$E:$E,$B36,Mov!$K:$K,F$3)/1000</f>
        <v>0</v>
      </c>
      <c r="G36" s="3">
        <f>SUMIFS(Mov!$J:$J,Mov!$E:$E,$B36,Mov!$K:$K,G$3)/1000</f>
        <v>0</v>
      </c>
      <c r="H36" s="3">
        <f>SUMIFS(Mov!$J:$J,Mov!$E:$E,$B36,Mov!$K:$K,H$3)/1000</f>
        <v>0</v>
      </c>
      <c r="I36" s="3">
        <f>SUMIFS(Mov!$J:$J,Mov!$E:$E,$B36,Mov!$K:$K,I$3)/1000</f>
        <v>0</v>
      </c>
      <c r="J36" s="3">
        <f>SUMIFS(Mov!$J:$J,Mov!$E:$E,$B36,Mov!$K:$K,J$3)/1000</f>
        <v>0</v>
      </c>
      <c r="K36" s="3">
        <f>SUMIFS(Mov!$J:$J,Mov!$E:$E,$B36,Mov!$K:$K,K$3)/1000</f>
        <v>0</v>
      </c>
      <c r="L36" s="3">
        <f>SUMIFS(Mov!$J:$J,Mov!$E:$E,$B36,Mov!$K:$K,L$3)/1000</f>
        <v>9747.8989999999994</v>
      </c>
      <c r="M36" s="3">
        <f>SUMIFS(Mov!$J:$J,Mov!$E:$E,$B36,Mov!$K:$K,M$3)/1000</f>
        <v>1244.3</v>
      </c>
      <c r="N36" s="3">
        <f>SUMIFS(Mov!$J:$J,Mov!$E:$E,$B36,Mov!$K:$K,N$3)/1000</f>
        <v>0</v>
      </c>
      <c r="O36" s="3">
        <f>SUMIFS(Mov!$J:$J,Mov!$E:$E,$B36,Mov!$K:$K,O$3)/1000</f>
        <v>0</v>
      </c>
      <c r="P36" s="3">
        <f>SUMIFS(Mov!$J:$J,Mov!$E:$E,$B36,Mov!$K:$K,P$3)/1000</f>
        <v>0</v>
      </c>
      <c r="Q36" s="12">
        <f t="shared" si="19"/>
        <v>10992.198999999999</v>
      </c>
      <c r="R36" s="12"/>
      <c r="S36" s="12">
        <f t="shared" ca="1" si="16"/>
        <v>10992.198999999999</v>
      </c>
    </row>
    <row r="37" spans="1:19" ht="14.65" customHeight="1">
      <c r="A37" s="232">
        <f>IF(SUM(A32:A36)&gt;0,1,0)</f>
        <v>1</v>
      </c>
      <c r="D37" s="64" t="s">
        <v>4547</v>
      </c>
      <c r="E37" s="66">
        <f t="shared" ref="E37:I37" si="24">SUM(E32:E36)</f>
        <v>0</v>
      </c>
      <c r="F37" s="66">
        <f t="shared" si="24"/>
        <v>292.5</v>
      </c>
      <c r="G37" s="66">
        <f t="shared" si="24"/>
        <v>0</v>
      </c>
      <c r="H37" s="66">
        <f t="shared" si="24"/>
        <v>58.5</v>
      </c>
      <c r="I37" s="66">
        <f t="shared" si="24"/>
        <v>58.5</v>
      </c>
      <c r="J37" s="66">
        <f t="shared" ref="J37:P37" si="25">SUM(J32:J36)</f>
        <v>0</v>
      </c>
      <c r="K37" s="66">
        <f t="shared" si="25"/>
        <v>0</v>
      </c>
      <c r="L37" s="66">
        <f t="shared" si="25"/>
        <v>10612.099999999999</v>
      </c>
      <c r="M37" s="66">
        <f t="shared" si="25"/>
        <v>1302.8</v>
      </c>
      <c r="N37" s="66">
        <f t="shared" si="25"/>
        <v>839.55</v>
      </c>
      <c r="O37" s="66">
        <f t="shared" si="25"/>
        <v>0</v>
      </c>
      <c r="P37" s="66">
        <f t="shared" si="25"/>
        <v>1287.19886</v>
      </c>
      <c r="Q37" s="66">
        <f t="shared" si="19"/>
        <v>14451.148859999998</v>
      </c>
      <c r="R37" s="12"/>
      <c r="S37" s="66">
        <f t="shared" ca="1" si="16"/>
        <v>14451.148859999998</v>
      </c>
    </row>
    <row r="38" spans="1:19" ht="14.65" customHeight="1">
      <c r="A38" s="230">
        <f>IF(SUM(A11:A37)&gt;0,1,0)</f>
        <v>1</v>
      </c>
      <c r="C38" s="1" t="s">
        <v>4548</v>
      </c>
      <c r="D38" s="1" t="s">
        <v>4548</v>
      </c>
      <c r="E38" s="13">
        <f t="shared" ref="E38:Q38" si="26">E22+E31+E37</f>
        <v>10306.194</v>
      </c>
      <c r="F38" s="13">
        <f t="shared" si="26"/>
        <v>12301.49</v>
      </c>
      <c r="G38" s="13">
        <f t="shared" si="26"/>
        <v>12994.867</v>
      </c>
      <c r="H38" s="13">
        <f t="shared" si="26"/>
        <v>12052.298000000001</v>
      </c>
      <c r="I38" s="13">
        <f t="shared" si="26"/>
        <v>13173.115</v>
      </c>
      <c r="J38" s="13">
        <f t="shared" ref="J38:P38" si="27">J22+J31+J37</f>
        <v>13093.824999999999</v>
      </c>
      <c r="K38" s="13">
        <f t="shared" si="27"/>
        <v>11787.009999999998</v>
      </c>
      <c r="L38" s="13">
        <f t="shared" si="27"/>
        <v>20828.653999999999</v>
      </c>
      <c r="M38" s="13">
        <f t="shared" si="27"/>
        <v>11497.933999999997</v>
      </c>
      <c r="N38" s="13">
        <f t="shared" si="27"/>
        <v>13519.132</v>
      </c>
      <c r="O38" s="13">
        <f t="shared" si="27"/>
        <v>8717.9459999999999</v>
      </c>
      <c r="P38" s="13">
        <f t="shared" si="27"/>
        <v>16557.924859999999</v>
      </c>
      <c r="Q38" s="13">
        <f t="shared" si="26"/>
        <v>156830.38986</v>
      </c>
      <c r="R38" s="12"/>
      <c r="S38" s="13">
        <f ca="1">S22+S31+S37</f>
        <v>156830.38986</v>
      </c>
    </row>
    <row r="39" spans="1:19" ht="14.65" customHeight="1">
      <c r="A39" s="230">
        <f>A45</f>
        <v>1</v>
      </c>
      <c r="E39" s="12"/>
      <c r="F39" s="12"/>
      <c r="G39" s="12"/>
      <c r="H39" s="12"/>
      <c r="I39" s="12"/>
      <c r="J39" s="12"/>
      <c r="K39" s="12"/>
      <c r="L39" s="12"/>
      <c r="M39" s="12"/>
      <c r="N39" s="12"/>
      <c r="O39" s="12"/>
      <c r="P39" s="12"/>
      <c r="Q39" s="12"/>
      <c r="R39" s="12"/>
      <c r="S39" s="12"/>
    </row>
    <row r="40" spans="1:19" ht="14.65" customHeight="1" outlineLevel="1">
      <c r="A40" s="231">
        <f t="shared" ref="A40:A43" si="28">IF(AND(E40=0,F40=0,G40=0,H40=0,I40=0,J40=0,K40=0,L40=0,M40=0,N40=0,O40=0,P40=0),0,1)</f>
        <v>0</v>
      </c>
      <c r="B40">
        <v>511010</v>
      </c>
      <c r="C40" t="s">
        <v>1138</v>
      </c>
      <c r="D40" t="s">
        <v>4549</v>
      </c>
      <c r="E40" s="3">
        <f>SUMIFS(Mov!$J:$J,Mov!$E:$E,$B40,Mov!$K:$K,E$3)/1000</f>
        <v>0</v>
      </c>
      <c r="F40" s="3">
        <f>SUMIFS(Mov!$J:$J,Mov!$E:$E,$B40,Mov!$K:$K,F$3)/1000</f>
        <v>0</v>
      </c>
      <c r="G40" s="3">
        <f>SUMIFS(Mov!$J:$J,Mov!$E:$E,$B40,Mov!$K:$K,G$3)/1000</f>
        <v>0</v>
      </c>
      <c r="H40" s="3">
        <f>SUMIFS(Mov!$J:$J,Mov!$E:$E,$B40,Mov!$K:$K,H$3)/1000</f>
        <v>0</v>
      </c>
      <c r="I40" s="3">
        <f>SUMIFS(Mov!$J:$J,Mov!$E:$E,$B40,Mov!$K:$K,I$3)/1000</f>
        <v>0</v>
      </c>
      <c r="J40" s="3">
        <f>SUMIFS(Mov!$J:$J,Mov!$E:$E,$B40,Mov!$K:$K,J$3)/1000</f>
        <v>0</v>
      </c>
      <c r="K40" s="3">
        <f>SUMIFS(Mov!$J:$J,Mov!$E:$E,$B40,Mov!$K:$K,K$3)/1000</f>
        <v>0</v>
      </c>
      <c r="L40" s="3">
        <f>SUMIFS(Mov!$J:$J,Mov!$E:$E,$B40,Mov!$K:$K,L$3)/1000</f>
        <v>0</v>
      </c>
      <c r="M40" s="3">
        <f>SUMIFS(Mov!$J:$J,Mov!$E:$E,$B40,Mov!$K:$K,M$3)/1000</f>
        <v>0</v>
      </c>
      <c r="N40" s="3">
        <f>SUMIFS(Mov!$J:$J,Mov!$E:$E,$B40,Mov!$K:$K,N$3)/1000</f>
        <v>0</v>
      </c>
      <c r="O40" s="3">
        <f>SUMIFS(Mov!$J:$J,Mov!$E:$E,$B40,Mov!$K:$K,O$3)/1000</f>
        <v>0</v>
      </c>
      <c r="P40" s="3">
        <f>SUMIFS(Mov!$J:$J,Mov!$E:$E,$B40,Mov!$K:$K,P$3)/1000</f>
        <v>0</v>
      </c>
      <c r="Q40" s="12">
        <f>SUM(E40:P40)</f>
        <v>0</v>
      </c>
      <c r="R40" s="12"/>
      <c r="S40" s="12">
        <f ca="1">SUM(OFFSET(E40,0,0,1,S$3))</f>
        <v>0</v>
      </c>
    </row>
    <row r="41" spans="1:19" ht="14.65" customHeight="1" outlineLevel="1">
      <c r="A41" s="231">
        <f t="shared" si="28"/>
        <v>0</v>
      </c>
      <c r="B41">
        <v>51102501</v>
      </c>
      <c r="C41" t="s">
        <v>1147</v>
      </c>
      <c r="D41" t="s">
        <v>4550</v>
      </c>
      <c r="E41" s="3">
        <f>SUMIFS(Mov!$J:$J,Mov!$E:$E,$B41,Mov!$K:$K,E$3)/1000</f>
        <v>0</v>
      </c>
      <c r="F41" s="3">
        <f>SUMIFS(Mov!$J:$J,Mov!$E:$E,$B41,Mov!$K:$K,F$3)/1000</f>
        <v>0</v>
      </c>
      <c r="G41" s="3">
        <f>SUMIFS(Mov!$J:$J,Mov!$E:$E,$B41,Mov!$K:$K,G$3)/1000</f>
        <v>0</v>
      </c>
      <c r="H41" s="3">
        <f>SUMIFS(Mov!$J:$J,Mov!$E:$E,$B41,Mov!$K:$K,H$3)/1000</f>
        <v>0</v>
      </c>
      <c r="I41" s="3">
        <f>SUMIFS(Mov!$J:$J,Mov!$E:$E,$B41,Mov!$K:$K,I$3)/1000</f>
        <v>0</v>
      </c>
      <c r="J41" s="3">
        <f>SUMIFS(Mov!$J:$J,Mov!$E:$E,$B41,Mov!$K:$K,J$3)/1000</f>
        <v>0</v>
      </c>
      <c r="K41" s="3">
        <f>SUMIFS(Mov!$J:$J,Mov!$E:$E,$B41,Mov!$K:$K,K$3)/1000</f>
        <v>0</v>
      </c>
      <c r="L41" s="3">
        <f>SUMIFS(Mov!$J:$J,Mov!$E:$E,$B41,Mov!$K:$K,L$3)/1000</f>
        <v>0</v>
      </c>
      <c r="M41" s="3">
        <f>SUMIFS(Mov!$J:$J,Mov!$E:$E,$B41,Mov!$K:$K,M$3)/1000</f>
        <v>0</v>
      </c>
      <c r="N41" s="3">
        <f>SUMIFS(Mov!$J:$J,Mov!$E:$E,$B41,Mov!$K:$K,N$3)/1000</f>
        <v>0</v>
      </c>
      <c r="O41" s="3">
        <f>SUMIFS(Mov!$J:$J,Mov!$E:$E,$B41,Mov!$K:$K,O$3)/1000</f>
        <v>0</v>
      </c>
      <c r="P41" s="3">
        <f>SUMIFS(Mov!$J:$J,Mov!$E:$E,$B41,Mov!$K:$K,P$3)/1000</f>
        <v>0</v>
      </c>
      <c r="Q41" s="12">
        <f>SUM(E41:P41)</f>
        <v>0</v>
      </c>
      <c r="R41" s="12"/>
      <c r="S41" s="12">
        <f ca="1">SUM(OFFSET(E41,0,0,1,S$3))</f>
        <v>0</v>
      </c>
    </row>
    <row r="42" spans="1:19" ht="14.65" customHeight="1" outlineLevel="1">
      <c r="A42" s="231">
        <f t="shared" si="28"/>
        <v>1</v>
      </c>
      <c r="B42">
        <v>51109501</v>
      </c>
      <c r="C42" t="s">
        <v>1154</v>
      </c>
      <c r="D42" t="s">
        <v>4551</v>
      </c>
      <c r="E42" s="3">
        <f>SUMIFS(Mov!$J:$J,Mov!$E:$E,$B42,Mov!$K:$K,E$3)/1000</f>
        <v>0</v>
      </c>
      <c r="F42" s="3">
        <f>SUMIFS(Mov!$J:$J,Mov!$E:$E,$B42,Mov!$K:$K,F$3)/1000</f>
        <v>0</v>
      </c>
      <c r="G42" s="3">
        <f>SUMIFS(Mov!$J:$J,Mov!$E:$E,$B42,Mov!$K:$K,G$3)/1000</f>
        <v>0</v>
      </c>
      <c r="H42" s="3">
        <f>SUMIFS(Mov!$J:$J,Mov!$E:$E,$B42,Mov!$K:$K,H$3)/1000</f>
        <v>0</v>
      </c>
      <c r="I42" s="3">
        <f>SUMIFS(Mov!$J:$J,Mov!$E:$E,$B42,Mov!$K:$K,I$3)/1000</f>
        <v>0</v>
      </c>
      <c r="J42" s="3">
        <f>SUMIFS(Mov!$J:$J,Mov!$E:$E,$B42,Mov!$K:$K,J$3)/1000</f>
        <v>0</v>
      </c>
      <c r="K42" s="3">
        <f>SUMIFS(Mov!$J:$J,Mov!$E:$E,$B42,Mov!$K:$K,K$3)/1000</f>
        <v>0</v>
      </c>
      <c r="L42" s="3">
        <f>SUMIFS(Mov!$J:$J,Mov!$E:$E,$B42,Mov!$K:$K,L$3)/1000</f>
        <v>0</v>
      </c>
      <c r="M42" s="3">
        <f>SUMIFS(Mov!$J:$J,Mov!$E:$E,$B42,Mov!$K:$K,M$3)/1000</f>
        <v>0</v>
      </c>
      <c r="N42" s="3">
        <f>SUMIFS(Mov!$J:$J,Mov!$E:$E,$B42,Mov!$K:$K,N$3)/1000</f>
        <v>225</v>
      </c>
      <c r="O42" s="3">
        <f>SUMIFS(Mov!$J:$J,Mov!$E:$E,$B42,Mov!$K:$K,O$3)/1000</f>
        <v>36.119999999999997</v>
      </c>
      <c r="P42" s="3">
        <f>SUMIFS(Mov!$J:$J,Mov!$E:$E,$B42,Mov!$K:$K,P$3)/1000</f>
        <v>0</v>
      </c>
      <c r="Q42" s="12">
        <f>SUM(E42:P42)</f>
        <v>261.12</v>
      </c>
      <c r="R42" s="12"/>
      <c r="S42" s="12">
        <f ca="1">SUM(OFFSET(E42,0,0,1,S$3))</f>
        <v>261.12</v>
      </c>
    </row>
    <row r="43" spans="1:19" ht="14.65" customHeight="1" outlineLevel="1">
      <c r="A43" s="231">
        <f t="shared" si="28"/>
        <v>1</v>
      </c>
      <c r="B43">
        <v>51109502</v>
      </c>
      <c r="C43" t="s">
        <v>4552</v>
      </c>
      <c r="D43" t="s">
        <v>4553</v>
      </c>
      <c r="E43" s="3">
        <f>SUMIFS(Mov!$J:$J,Mov!$E:$E,$B43,Mov!$K:$K,E$3)/1000</f>
        <v>0</v>
      </c>
      <c r="F43" s="3">
        <f>SUMIFS(Mov!$J:$J,Mov!$E:$E,$B43,Mov!$K:$K,F$3)/1000</f>
        <v>0</v>
      </c>
      <c r="G43" s="3">
        <f>SUMIFS(Mov!$J:$J,Mov!$E:$E,$B43,Mov!$K:$K,G$3)/1000</f>
        <v>675</v>
      </c>
      <c r="H43" s="3">
        <f>SUMIFS(Mov!$J:$J,Mov!$E:$E,$B43,Mov!$K:$K,H$3)/1000</f>
        <v>0</v>
      </c>
      <c r="I43" s="3">
        <f>SUMIFS(Mov!$J:$J,Mov!$E:$E,$B43,Mov!$K:$K,I$3)/1000</f>
        <v>0</v>
      </c>
      <c r="J43" s="3">
        <f>SUMIFS(Mov!$J:$J,Mov!$E:$E,$B43,Mov!$K:$K,J$3)/1000</f>
        <v>0</v>
      </c>
      <c r="K43" s="3">
        <f>SUMIFS(Mov!$J:$J,Mov!$E:$E,$B43,Mov!$K:$K,K$3)/1000</f>
        <v>0</v>
      </c>
      <c r="L43" s="3">
        <f>SUMIFS(Mov!$J:$J,Mov!$E:$E,$B43,Mov!$K:$K,L$3)/1000</f>
        <v>0</v>
      </c>
      <c r="M43" s="3">
        <f>SUMIFS(Mov!$J:$J,Mov!$E:$E,$B43,Mov!$K:$K,M$3)/1000</f>
        <v>0</v>
      </c>
      <c r="N43" s="3">
        <f>SUMIFS(Mov!$J:$J,Mov!$E:$E,$B43,Mov!$K:$K,N$3)/1000</f>
        <v>0</v>
      </c>
      <c r="O43" s="3">
        <f>SUMIFS(Mov!$J:$J,Mov!$E:$E,$B43,Mov!$K:$K,O$3)/1000</f>
        <v>0</v>
      </c>
      <c r="P43" s="3">
        <f>SUMIFS(Mov!$J:$J,Mov!$E:$E,$B43,Mov!$K:$K,P$3)/1000</f>
        <v>0</v>
      </c>
      <c r="Q43" s="12">
        <f>SUM(E43:P43)</f>
        <v>675</v>
      </c>
      <c r="R43" s="12"/>
      <c r="S43" s="12">
        <f ca="1">SUM(OFFSET(E43,0,0,1,S$3))</f>
        <v>675</v>
      </c>
    </row>
    <row r="44" spans="1:19" ht="15" outlineLevel="1">
      <c r="A44" s="231">
        <f t="shared" ref="A44" si="29">IF(AND(E44=0,F44=0,G44=0,H44=0,I44=0,J44=0,K44=0,L44=0,M44=0,N44=0,O44=0,P44=0),0,1)</f>
        <v>0</v>
      </c>
      <c r="B44">
        <v>51351501</v>
      </c>
      <c r="C44" t="s">
        <v>476</v>
      </c>
      <c r="D44" t="s">
        <v>4554</v>
      </c>
      <c r="E44" s="3">
        <f>SUMIFS(Mov!$J:$J,Mov!$E:$E,$B44,Mov!$K:$K,E$3)/1000</f>
        <v>0</v>
      </c>
      <c r="F44" s="3">
        <f>SUMIFS(Mov!$J:$J,Mov!$E:$E,$B44,Mov!$K:$K,F$3)/1000</f>
        <v>0</v>
      </c>
      <c r="G44" s="3">
        <f>SUMIFS(Mov!$J:$J,Mov!$E:$E,$B44,Mov!$K:$K,G$3)/1000</f>
        <v>0</v>
      </c>
      <c r="H44" s="3">
        <f>SUMIFS(Mov!$J:$J,Mov!$E:$E,$B44,Mov!$K:$K,H$3)/1000</f>
        <v>0</v>
      </c>
      <c r="I44" s="3">
        <f>SUMIFS(Mov!$J:$J,Mov!$E:$E,$B44,Mov!$K:$K,I$3)/1000</f>
        <v>0</v>
      </c>
      <c r="J44" s="3">
        <f>SUMIFS(Mov!$J:$J,Mov!$E:$E,$B44,Mov!$K:$K,J$3)/1000</f>
        <v>0</v>
      </c>
      <c r="K44" s="3">
        <f>SUMIFS(Mov!$J:$J,Mov!$E:$E,$B44,Mov!$K:$K,K$3)/1000</f>
        <v>0</v>
      </c>
      <c r="L44" s="3">
        <f>SUMIFS(Mov!$J:$J,Mov!$E:$E,$B44,Mov!$K:$K,L$3)/1000</f>
        <v>0</v>
      </c>
      <c r="M44" s="3">
        <f>SUMIFS(Mov!$J:$J,Mov!$E:$E,$B44,Mov!$K:$K,M$3)/1000</f>
        <v>0</v>
      </c>
      <c r="N44" s="3">
        <f>SUMIFS(Mov!$J:$J,Mov!$E:$E,$B44,Mov!$K:$K,N$3)/1000</f>
        <v>0</v>
      </c>
      <c r="O44" s="3">
        <f>SUMIFS(Mov!$J:$J,Mov!$E:$E,$B44,Mov!$K:$K,O$3)/1000</f>
        <v>0</v>
      </c>
      <c r="P44" s="3">
        <f>SUMIFS(Mov!$J:$J,Mov!$E:$E,$B44,Mov!$K:$K,P$3)/1000</f>
        <v>0</v>
      </c>
      <c r="Q44" s="12">
        <f>SUM(E44:P44)</f>
        <v>0</v>
      </c>
      <c r="R44" s="12"/>
      <c r="S44" s="12">
        <f ca="1">SUM(OFFSET(E44,0,0,1,S$3))</f>
        <v>0</v>
      </c>
    </row>
    <row r="45" spans="1:19" ht="14.65" customHeight="1">
      <c r="A45" s="232">
        <f>IF(SUM(A40:A44)&gt;0,1,0)</f>
        <v>1</v>
      </c>
      <c r="C45" s="1"/>
      <c r="D45" s="1" t="s">
        <v>4555</v>
      </c>
      <c r="E45" s="13">
        <f t="shared" ref="E45:Q45" si="30">SUM(E40:E44)</f>
        <v>0</v>
      </c>
      <c r="F45" s="13">
        <f t="shared" si="30"/>
        <v>0</v>
      </c>
      <c r="G45" s="13">
        <f t="shared" si="30"/>
        <v>675</v>
      </c>
      <c r="H45" s="13">
        <f t="shared" si="30"/>
        <v>0</v>
      </c>
      <c r="I45" s="13">
        <f t="shared" si="30"/>
        <v>0</v>
      </c>
      <c r="J45" s="13">
        <f t="shared" ref="J45:P45" si="31">SUM(J40:J44)</f>
        <v>0</v>
      </c>
      <c r="K45" s="13">
        <f t="shared" si="31"/>
        <v>0</v>
      </c>
      <c r="L45" s="13">
        <f t="shared" si="31"/>
        <v>0</v>
      </c>
      <c r="M45" s="13">
        <f t="shared" si="31"/>
        <v>0</v>
      </c>
      <c r="N45" s="13">
        <f t="shared" si="31"/>
        <v>225</v>
      </c>
      <c r="O45" s="13">
        <f t="shared" si="31"/>
        <v>36.119999999999997</v>
      </c>
      <c r="P45" s="13">
        <f t="shared" si="31"/>
        <v>0</v>
      </c>
      <c r="Q45" s="13">
        <f t="shared" si="30"/>
        <v>936.12</v>
      </c>
      <c r="R45" s="12"/>
      <c r="S45" s="13">
        <f ca="1">SUM(S40:S44)</f>
        <v>936.12</v>
      </c>
    </row>
    <row r="46" spans="1:19" ht="14.65" customHeight="1">
      <c r="A46" s="230">
        <f>A52</f>
        <v>1</v>
      </c>
      <c r="E46" s="12"/>
      <c r="F46" s="12"/>
      <c r="G46" s="12"/>
      <c r="H46" s="12"/>
      <c r="I46" s="12"/>
      <c r="J46" s="12"/>
      <c r="K46" s="12"/>
      <c r="L46" s="12"/>
      <c r="M46" s="12"/>
      <c r="N46" s="12"/>
      <c r="O46" s="12"/>
      <c r="P46" s="12"/>
      <c r="Q46" s="12"/>
      <c r="R46" s="12"/>
      <c r="S46" s="12"/>
    </row>
    <row r="47" spans="1:19" ht="14.65" customHeight="1" outlineLevel="1">
      <c r="A47" s="231">
        <f t="shared" ref="A47:A52" si="32">IF(AND(E47=0,F47=0,G47=0,H47=0,I47=0,J47=0,K47=0,L47=0,M47=0,N47=0,O47=0,P47=0),0,1)</f>
        <v>0</v>
      </c>
      <c r="C47" t="s">
        <v>4556</v>
      </c>
      <c r="D47" t="s">
        <v>4556</v>
      </c>
      <c r="E47" s="3">
        <f>SUMIFS(Mov!$J:$J,Mov!$E:$E,$B47,Mov!$K:$K,E$3)/1000</f>
        <v>0</v>
      </c>
      <c r="F47" s="3">
        <f>SUMIFS(Mov!$J:$J,Mov!$E:$E,$B47,Mov!$K:$K,F$3)/1000</f>
        <v>0</v>
      </c>
      <c r="G47" s="3">
        <f>SUMIFS(Mov!$J:$J,Mov!$E:$E,$B47,Mov!$K:$K,G$3)/1000</f>
        <v>0</v>
      </c>
      <c r="H47" s="3">
        <f>SUMIFS(Mov!$J:$J,Mov!$E:$E,$B47,Mov!$K:$K,H$3)/1000</f>
        <v>0</v>
      </c>
      <c r="I47" s="3">
        <f>SUMIFS(Mov!$J:$J,Mov!$E:$E,$B47,Mov!$K:$K,I$3)/1000</f>
        <v>0</v>
      </c>
      <c r="J47" s="3">
        <f>SUMIFS(Mov!$J:$J,Mov!$E:$E,$B47,Mov!$K:$K,J$3)/1000</f>
        <v>0</v>
      </c>
      <c r="K47" s="3">
        <f>SUMIFS(Mov!$J:$J,Mov!$E:$E,$B47,Mov!$K:$K,K$3)/1000</f>
        <v>0</v>
      </c>
      <c r="L47" s="3">
        <f>SUMIFS(Mov!$J:$J,Mov!$E:$E,$B47,Mov!$K:$K,L$3)/1000</f>
        <v>0</v>
      </c>
      <c r="M47" s="3">
        <f>SUMIFS(Mov!$J:$J,Mov!$E:$E,$B47,Mov!$K:$K,M$3)/1000</f>
        <v>0</v>
      </c>
      <c r="N47" s="3">
        <f>SUMIFS(Mov!$J:$J,Mov!$E:$E,$B47,Mov!$K:$K,N$3)/1000</f>
        <v>0</v>
      </c>
      <c r="O47" s="3">
        <f>SUMIFS(Mov!$J:$J,Mov!$E:$E,$B47,Mov!$K:$K,O$3)/1000</f>
        <v>0</v>
      </c>
      <c r="P47" s="3">
        <f>SUMIFS(Mov!$J:$J,Mov!$E:$E,$B47,Mov!$K:$K,P$3)/1000</f>
        <v>0</v>
      </c>
      <c r="Q47" s="12">
        <f t="shared" ref="Q47:Q52" si="33">SUM(E47:P47)</f>
        <v>0</v>
      </c>
      <c r="R47" s="12"/>
      <c r="S47" s="12">
        <f t="shared" ref="S47:S52" ca="1" si="34">SUM(OFFSET(E47,0,0,1,S$3))</f>
        <v>0</v>
      </c>
    </row>
    <row r="48" spans="1:19" ht="14.65" customHeight="1" outlineLevel="1">
      <c r="A48" s="231">
        <f t="shared" si="32"/>
        <v>0</v>
      </c>
      <c r="B48">
        <v>516015</v>
      </c>
      <c r="C48" t="s">
        <v>1193</v>
      </c>
      <c r="D48" t="s">
        <v>4557</v>
      </c>
      <c r="E48" s="3">
        <f>SUMIFS(Mov!$J:$J,Mov!$E:$E,$B48,Mov!$K:$K,E$3)/1000</f>
        <v>0</v>
      </c>
      <c r="F48" s="3">
        <f>SUMIFS(Mov!$J:$J,Mov!$E:$E,$B48,Mov!$K:$K,F$3)/1000</f>
        <v>0</v>
      </c>
      <c r="G48" s="3">
        <f>SUMIFS(Mov!$J:$J,Mov!$E:$E,$B48,Mov!$K:$K,G$3)/1000</f>
        <v>0</v>
      </c>
      <c r="H48" s="3">
        <f>SUMIFS(Mov!$J:$J,Mov!$E:$E,$B48,Mov!$K:$K,H$3)/1000</f>
        <v>0</v>
      </c>
      <c r="I48" s="3">
        <f>SUMIFS(Mov!$J:$J,Mov!$E:$E,$B48,Mov!$K:$K,I$3)/1000</f>
        <v>0</v>
      </c>
      <c r="J48" s="3">
        <f>SUMIFS(Mov!$J:$J,Mov!$E:$E,$B48,Mov!$K:$K,J$3)/1000</f>
        <v>0</v>
      </c>
      <c r="K48" s="3">
        <f>SUMIFS(Mov!$J:$J,Mov!$E:$E,$B48,Mov!$K:$K,K$3)/1000</f>
        <v>0</v>
      </c>
      <c r="L48" s="3">
        <f>SUMIFS(Mov!$J:$J,Mov!$E:$E,$B48,Mov!$K:$K,L$3)/1000</f>
        <v>0</v>
      </c>
      <c r="M48" s="3">
        <f>SUMIFS(Mov!$J:$J,Mov!$E:$E,$B48,Mov!$K:$K,M$3)/1000</f>
        <v>0</v>
      </c>
      <c r="N48" s="3">
        <f>SUMIFS(Mov!$J:$J,Mov!$E:$E,$B48,Mov!$K:$K,N$3)/1000</f>
        <v>0</v>
      </c>
      <c r="O48" s="3">
        <f>SUMIFS(Mov!$J:$J,Mov!$E:$E,$B48,Mov!$K:$K,O$3)/1000</f>
        <v>0</v>
      </c>
      <c r="P48" s="3">
        <f>SUMIFS(Mov!$J:$J,Mov!$E:$E,$B48,Mov!$K:$K,P$3)/1000</f>
        <v>0</v>
      </c>
      <c r="Q48" s="12">
        <f t="shared" si="33"/>
        <v>0</v>
      </c>
      <c r="R48" s="12"/>
      <c r="S48" s="12">
        <f t="shared" ca="1" si="34"/>
        <v>0</v>
      </c>
    </row>
    <row r="49" spans="1:19" ht="14.65" customHeight="1" outlineLevel="1">
      <c r="A49" s="231">
        <f t="shared" si="32"/>
        <v>0</v>
      </c>
      <c r="B49">
        <v>516015</v>
      </c>
      <c r="C49" t="s">
        <v>1193</v>
      </c>
      <c r="D49" t="s">
        <v>4558</v>
      </c>
      <c r="E49" s="3">
        <f>SUMIFS(Mov!$J:$J,Mov!$E:$E,$B49,Mov!$K:$K,E$3)/1000</f>
        <v>0</v>
      </c>
      <c r="F49" s="3">
        <f>SUMIFS(Mov!$J:$J,Mov!$E:$E,$B49,Mov!$K:$K,F$3)/1000</f>
        <v>0</v>
      </c>
      <c r="G49" s="3">
        <f>SUMIFS(Mov!$J:$J,Mov!$E:$E,$B49,Mov!$K:$K,G$3)/1000</f>
        <v>0</v>
      </c>
      <c r="H49" s="3">
        <f>SUMIFS(Mov!$J:$J,Mov!$E:$E,$B49,Mov!$K:$K,H$3)/1000</f>
        <v>0</v>
      </c>
      <c r="I49" s="3">
        <f>SUMIFS(Mov!$J:$J,Mov!$E:$E,$B49,Mov!$K:$K,I$3)/1000</f>
        <v>0</v>
      </c>
      <c r="J49" s="3">
        <f>SUMIFS(Mov!$J:$J,Mov!$E:$E,$B49,Mov!$K:$K,J$3)/1000</f>
        <v>0</v>
      </c>
      <c r="K49" s="3">
        <f>SUMIFS(Mov!$J:$J,Mov!$E:$E,$B49,Mov!$K:$K,K$3)/1000</f>
        <v>0</v>
      </c>
      <c r="L49" s="3">
        <f>SUMIFS(Mov!$J:$J,Mov!$E:$E,$B49,Mov!$K:$K,L$3)/1000</f>
        <v>0</v>
      </c>
      <c r="M49" s="3">
        <f>SUMIFS(Mov!$J:$J,Mov!$E:$E,$B49,Mov!$K:$K,M$3)/1000</f>
        <v>0</v>
      </c>
      <c r="N49" s="3">
        <f>SUMIFS(Mov!$J:$J,Mov!$E:$E,$B49,Mov!$K:$K,N$3)/1000</f>
        <v>0</v>
      </c>
      <c r="O49" s="3">
        <f>SUMIFS(Mov!$J:$J,Mov!$E:$E,$B49,Mov!$K:$K,O$3)/1000</f>
        <v>0</v>
      </c>
      <c r="P49" s="3">
        <f>SUMIFS(Mov!$J:$J,Mov!$E:$E,$B49,Mov!$K:$K,P$3)/1000</f>
        <v>0</v>
      </c>
      <c r="Q49" s="12">
        <f t="shared" si="33"/>
        <v>0</v>
      </c>
      <c r="R49" s="12"/>
      <c r="S49" s="12">
        <f t="shared" ca="1" si="34"/>
        <v>0</v>
      </c>
    </row>
    <row r="50" spans="1:19" ht="14.65" customHeight="1" outlineLevel="1">
      <c r="A50" s="231">
        <f t="shared" si="32"/>
        <v>0</v>
      </c>
      <c r="C50" t="s">
        <v>4559</v>
      </c>
      <c r="D50" t="s">
        <v>4559</v>
      </c>
      <c r="E50" s="3">
        <f>SUMIFS(Mov!$J:$J,Mov!$E:$E,$B50,Mov!$K:$K,E$3)/1000</f>
        <v>0</v>
      </c>
      <c r="F50" s="3">
        <f>SUMIFS(Mov!$J:$J,Mov!$E:$E,$B50,Mov!$K:$K,F$3)/1000</f>
        <v>0</v>
      </c>
      <c r="G50" s="3">
        <f>SUMIFS(Mov!$J:$J,Mov!$E:$E,$B50,Mov!$K:$K,G$3)/1000</f>
        <v>0</v>
      </c>
      <c r="H50" s="3">
        <f>SUMIFS(Mov!$J:$J,Mov!$E:$E,$B50,Mov!$K:$K,H$3)/1000</f>
        <v>0</v>
      </c>
      <c r="I50" s="3">
        <f>SUMIFS(Mov!$J:$J,Mov!$E:$E,$B50,Mov!$K:$K,I$3)/1000</f>
        <v>0</v>
      </c>
      <c r="J50" s="3">
        <f>SUMIFS(Mov!$J:$J,Mov!$E:$E,$B50,Mov!$K:$K,J$3)/1000</f>
        <v>0</v>
      </c>
      <c r="K50" s="3">
        <f>SUMIFS(Mov!$J:$J,Mov!$E:$E,$B50,Mov!$K:$K,K$3)/1000</f>
        <v>0</v>
      </c>
      <c r="L50" s="3">
        <f>SUMIFS(Mov!$J:$J,Mov!$E:$E,$B50,Mov!$K:$K,L$3)/1000</f>
        <v>0</v>
      </c>
      <c r="M50" s="3">
        <f>SUMIFS(Mov!$J:$J,Mov!$E:$E,$B50,Mov!$K:$K,M$3)/1000</f>
        <v>0</v>
      </c>
      <c r="N50" s="3">
        <f>SUMIFS(Mov!$J:$J,Mov!$E:$E,$B50,Mov!$K:$K,N$3)/1000</f>
        <v>0</v>
      </c>
      <c r="O50" s="3">
        <f>SUMIFS(Mov!$J:$J,Mov!$E:$E,$B50,Mov!$K:$K,O$3)/1000</f>
        <v>0</v>
      </c>
      <c r="P50" s="3">
        <f>SUMIFS(Mov!$J:$J,Mov!$E:$E,$B50,Mov!$K:$K,P$3)/1000</f>
        <v>0</v>
      </c>
      <c r="Q50" s="12">
        <f t="shared" si="33"/>
        <v>0</v>
      </c>
      <c r="R50" s="12"/>
      <c r="S50" s="12">
        <f t="shared" ca="1" si="34"/>
        <v>0</v>
      </c>
    </row>
    <row r="51" spans="1:19" ht="14.65" customHeight="1" outlineLevel="1">
      <c r="A51" s="231">
        <f t="shared" si="32"/>
        <v>1</v>
      </c>
      <c r="B51">
        <v>51602001</v>
      </c>
      <c r="C51" t="s">
        <v>416</v>
      </c>
      <c r="D51" t="s">
        <v>4560</v>
      </c>
      <c r="E51" s="3">
        <f>SUMIFS(Mov!$J:$J,Mov!$E:$E,$B51,Mov!$K:$K,E$3)/1000</f>
        <v>1596.7619999999999</v>
      </c>
      <c r="F51" s="3">
        <f>SUMIFS(Mov!$J:$J,Mov!$E:$E,$B51,Mov!$K:$K,F$3)/1000</f>
        <v>1596.7619999999999</v>
      </c>
      <c r="G51" s="3">
        <f>SUMIFS(Mov!$J:$J,Mov!$E:$E,$B51,Mov!$K:$K,G$3)/1000</f>
        <v>1596.7619999999999</v>
      </c>
      <c r="H51" s="3">
        <f>SUMIFS(Mov!$J:$J,Mov!$E:$E,$B51,Mov!$K:$K,H$3)/1000</f>
        <v>1596.7619999999999</v>
      </c>
      <c r="I51" s="3">
        <f>SUMIFS(Mov!$J:$J,Mov!$E:$E,$B51,Mov!$K:$K,I$3)/1000</f>
        <v>1596.7619999999999</v>
      </c>
      <c r="J51" s="3">
        <f>SUMIFS(Mov!$J:$J,Mov!$E:$E,$B51,Mov!$K:$K,J$3)/1000</f>
        <v>1596.7619999999999</v>
      </c>
      <c r="K51" s="3">
        <f>SUMIFS(Mov!$J:$J,Mov!$E:$E,$B51,Mov!$K:$K,K$3)/1000</f>
        <v>1596.7619999999999</v>
      </c>
      <c r="L51" s="3">
        <f>SUMIFS(Mov!$J:$J,Mov!$E:$E,$B51,Mov!$K:$K,L$3)/1000</f>
        <v>1596.7619999999999</v>
      </c>
      <c r="M51" s="3">
        <f>SUMIFS(Mov!$J:$J,Mov!$E:$E,$B51,Mov!$K:$K,M$3)/1000</f>
        <v>1596.7619999999999</v>
      </c>
      <c r="N51" s="3">
        <f>SUMIFS(Mov!$J:$J,Mov!$E:$E,$B51,Mov!$K:$K,N$3)/1000</f>
        <v>1596.7619999999999</v>
      </c>
      <c r="O51" s="3">
        <f>SUMIFS(Mov!$J:$J,Mov!$E:$E,$B51,Mov!$K:$K,O$3)/1000</f>
        <v>1596.7619999999999</v>
      </c>
      <c r="P51" s="3">
        <f>SUMIFS(Mov!$J:$J,Mov!$E:$E,$B51,Mov!$K:$K,P$3)/1000</f>
        <v>1596.7619999999999</v>
      </c>
      <c r="Q51" s="12">
        <f t="shared" ref="Q51" si="35">SUM(E51:P51)</f>
        <v>19161.144</v>
      </c>
      <c r="R51" s="12"/>
      <c r="S51" s="12">
        <f t="shared" ca="1" si="34"/>
        <v>19161.144</v>
      </c>
    </row>
    <row r="52" spans="1:19" ht="14.65" customHeight="1" outlineLevel="1">
      <c r="A52" s="231">
        <f t="shared" si="32"/>
        <v>1</v>
      </c>
      <c r="B52">
        <v>51602004</v>
      </c>
      <c r="C52" t="s">
        <v>404</v>
      </c>
      <c r="D52" t="s">
        <v>4560</v>
      </c>
      <c r="E52" s="3">
        <f>SUMIFS(Mov!$J:$J,Mov!$E:$E,$B52,Mov!$K:$K,E$3)/1000</f>
        <v>163.79300000000001</v>
      </c>
      <c r="F52" s="3">
        <f>SUMIFS(Mov!$J:$J,Mov!$E:$E,$B52,Mov!$K:$K,F$3)/1000</f>
        <v>163.79300000000001</v>
      </c>
      <c r="G52" s="3">
        <f>SUMIFS(Mov!$J:$J,Mov!$E:$E,$B52,Mov!$K:$K,G$3)/1000</f>
        <v>163.79300000000001</v>
      </c>
      <c r="H52" s="3">
        <f>SUMIFS(Mov!$J:$J,Mov!$E:$E,$B52,Mov!$K:$K,H$3)/1000</f>
        <v>163.79300000000001</v>
      </c>
      <c r="I52" s="3">
        <f>SUMIFS(Mov!$J:$J,Mov!$E:$E,$B52,Mov!$K:$K,I$3)/1000</f>
        <v>163.79300000000001</v>
      </c>
      <c r="J52" s="3">
        <f>SUMIFS(Mov!$J:$J,Mov!$E:$E,$B52,Mov!$K:$K,J$3)/1000</f>
        <v>163.79300000000001</v>
      </c>
      <c r="K52" s="3">
        <f>SUMIFS(Mov!$J:$J,Mov!$E:$E,$B52,Mov!$K:$K,K$3)/1000</f>
        <v>163.79300000000001</v>
      </c>
      <c r="L52" s="3">
        <f>SUMIFS(Mov!$J:$J,Mov!$E:$E,$B52,Mov!$K:$K,L$3)/1000</f>
        <v>163.79300000000001</v>
      </c>
      <c r="M52" s="3">
        <f>SUMIFS(Mov!$J:$J,Mov!$E:$E,$B52,Mov!$K:$K,M$3)/1000</f>
        <v>163.79300000000001</v>
      </c>
      <c r="N52" s="3">
        <f>SUMIFS(Mov!$J:$J,Mov!$E:$E,$B52,Mov!$K:$K,N$3)/1000</f>
        <v>163.79300000000001</v>
      </c>
      <c r="O52" s="3">
        <f>SUMIFS(Mov!$J:$J,Mov!$E:$E,$B52,Mov!$K:$K,O$3)/1000</f>
        <v>163.79300000000001</v>
      </c>
      <c r="P52" s="3">
        <f>SUMIFS(Mov!$J:$J,Mov!$E:$E,$B52,Mov!$K:$K,P$3)/1000</f>
        <v>163.79300000000001</v>
      </c>
      <c r="Q52" s="12">
        <f t="shared" si="33"/>
        <v>1965.5160000000005</v>
      </c>
      <c r="R52" s="12"/>
      <c r="S52" s="12">
        <f t="shared" ca="1" si="34"/>
        <v>1965.5160000000005</v>
      </c>
    </row>
    <row r="53" spans="1:19" ht="14.65" customHeight="1">
      <c r="A53" s="232">
        <f>IF(SUM(A47:A52)&gt;0,1,0)</f>
        <v>1</v>
      </c>
      <c r="C53" s="1"/>
      <c r="D53" s="1" t="s">
        <v>4561</v>
      </c>
      <c r="E53" s="13">
        <f t="shared" ref="E53:Q53" si="36">SUM(E47:E52)</f>
        <v>1760.5549999999998</v>
      </c>
      <c r="F53" s="13">
        <f t="shared" si="36"/>
        <v>1760.5549999999998</v>
      </c>
      <c r="G53" s="13">
        <f t="shared" si="36"/>
        <v>1760.5549999999998</v>
      </c>
      <c r="H53" s="13">
        <f t="shared" si="36"/>
        <v>1760.5549999999998</v>
      </c>
      <c r="I53" s="13">
        <f t="shared" si="36"/>
        <v>1760.5549999999998</v>
      </c>
      <c r="J53" s="13">
        <f t="shared" ref="J53:P53" si="37">SUM(J47:J52)</f>
        <v>1760.5549999999998</v>
      </c>
      <c r="K53" s="13">
        <f t="shared" si="37"/>
        <v>1760.5549999999998</v>
      </c>
      <c r="L53" s="13">
        <f t="shared" si="37"/>
        <v>1760.5549999999998</v>
      </c>
      <c r="M53" s="13">
        <f t="shared" si="37"/>
        <v>1760.5549999999998</v>
      </c>
      <c r="N53" s="13">
        <f t="shared" si="37"/>
        <v>1760.5549999999998</v>
      </c>
      <c r="O53" s="13">
        <f t="shared" si="37"/>
        <v>1760.5549999999998</v>
      </c>
      <c r="P53" s="13">
        <f t="shared" si="37"/>
        <v>1760.5549999999998</v>
      </c>
      <c r="Q53" s="13">
        <f t="shared" si="36"/>
        <v>21126.66</v>
      </c>
      <c r="R53" s="12"/>
      <c r="S53" s="13">
        <f ca="1">SUM(S47:S52)</f>
        <v>21126.66</v>
      </c>
    </row>
    <row r="54" spans="1:19" ht="14.65" customHeight="1">
      <c r="A54" s="230">
        <f>A57</f>
        <v>0</v>
      </c>
      <c r="E54" s="12"/>
      <c r="F54" s="12"/>
      <c r="G54" s="12"/>
      <c r="H54" s="12"/>
      <c r="I54" s="12"/>
      <c r="J54" s="12"/>
      <c r="K54" s="12"/>
      <c r="L54" s="12"/>
      <c r="M54" s="12"/>
      <c r="N54" s="12"/>
      <c r="O54" s="12"/>
      <c r="P54" s="12"/>
      <c r="Q54" s="12"/>
      <c r="R54" s="12"/>
      <c r="S54" s="12"/>
    </row>
    <row r="55" spans="1:19" ht="14.65" customHeight="1" outlineLevel="1">
      <c r="A55" s="231">
        <f t="shared" ref="A55:A56" si="38">IF(AND(E55=0,F55=0,G55=0,H55=0,I55=0,J55=0,K55=0,L55=0,M55=0,N55=0,O55=0,P55=0),0,1)</f>
        <v>0</v>
      </c>
      <c r="B55">
        <v>516505</v>
      </c>
      <c r="C55" t="s">
        <v>1331</v>
      </c>
      <c r="D55" t="s">
        <v>4562</v>
      </c>
      <c r="E55" s="3">
        <f>SUMIFS(Mov!$J:$J,Mov!$E:$E,$B55,Mov!$K:$K,E$3)/1000</f>
        <v>0</v>
      </c>
      <c r="F55" s="3">
        <f>SUMIFS(Mov!$J:$J,Mov!$E:$E,$B55,Mov!$K:$K,F$3)/1000</f>
        <v>0</v>
      </c>
      <c r="G55" s="3">
        <f>SUMIFS(Mov!$J:$J,Mov!$E:$E,$B55,Mov!$K:$K,G$3)/1000</f>
        <v>0</v>
      </c>
      <c r="H55" s="3">
        <f>SUMIFS(Mov!$J:$J,Mov!$E:$E,$B55,Mov!$K:$K,H$3)/1000</f>
        <v>0</v>
      </c>
      <c r="I55" s="3">
        <f>SUMIFS(Mov!$J:$J,Mov!$E:$E,$B55,Mov!$K:$K,I$3)/1000</f>
        <v>0</v>
      </c>
      <c r="J55" s="3">
        <f>SUMIFS(Mov!$J:$J,Mov!$E:$E,$B55,Mov!$K:$K,J$3)/1000</f>
        <v>0</v>
      </c>
      <c r="K55" s="3">
        <f>SUMIFS(Mov!$J:$J,Mov!$E:$E,$B55,Mov!$K:$K,K$3)/1000</f>
        <v>0</v>
      </c>
      <c r="L55" s="3">
        <f>SUMIFS(Mov!$J:$J,Mov!$E:$E,$B55,Mov!$K:$K,L$3)/1000</f>
        <v>0</v>
      </c>
      <c r="M55" s="3">
        <f>SUMIFS(Mov!$J:$J,Mov!$E:$E,$B55,Mov!$K:$K,M$3)/1000</f>
        <v>0</v>
      </c>
      <c r="N55" s="3">
        <f>SUMIFS(Mov!$J:$J,Mov!$E:$E,$B55,Mov!$K:$K,N$3)/1000</f>
        <v>0</v>
      </c>
      <c r="O55" s="3">
        <f>SUMIFS(Mov!$J:$J,Mov!$E:$E,$B55,Mov!$K:$K,O$3)/1000</f>
        <v>0</v>
      </c>
      <c r="P55" s="3">
        <f>SUMIFS(Mov!$J:$J,Mov!$E:$E,$B55,Mov!$K:$K,P$3)/1000</f>
        <v>0</v>
      </c>
      <c r="Q55" s="12">
        <f>SUM(E55:P55)</f>
        <v>0</v>
      </c>
      <c r="R55" s="12"/>
      <c r="S55" s="12">
        <f ca="1">SUM(OFFSET(E55,0,0,1,S$3))</f>
        <v>0</v>
      </c>
    </row>
    <row r="56" spans="1:19" ht="14.65" customHeight="1" outlineLevel="1">
      <c r="A56" s="231">
        <f t="shared" si="38"/>
        <v>0</v>
      </c>
      <c r="B56">
        <v>516505</v>
      </c>
      <c r="C56" t="s">
        <v>1331</v>
      </c>
      <c r="D56" t="s">
        <v>4563</v>
      </c>
      <c r="E56" s="3">
        <f>SUMIFS(Mov!$J:$J,Mov!$E:$E,$B56,Mov!$K:$K,E$3)/1000</f>
        <v>0</v>
      </c>
      <c r="F56" s="3">
        <f>SUMIFS(Mov!$J:$J,Mov!$E:$E,$B56,Mov!$K:$K,F$3)/1000</f>
        <v>0</v>
      </c>
      <c r="G56" s="3">
        <f>SUMIFS(Mov!$J:$J,Mov!$E:$E,$B56,Mov!$K:$K,G$3)/1000</f>
        <v>0</v>
      </c>
      <c r="H56" s="3">
        <f>SUMIFS(Mov!$J:$J,Mov!$E:$E,$B56,Mov!$K:$K,H$3)/1000</f>
        <v>0</v>
      </c>
      <c r="I56" s="3">
        <f>SUMIFS(Mov!$J:$J,Mov!$E:$E,$B56,Mov!$K:$K,I$3)/1000</f>
        <v>0</v>
      </c>
      <c r="J56" s="3">
        <f>SUMIFS(Mov!$J:$J,Mov!$E:$E,$B56,Mov!$K:$K,J$3)/1000</f>
        <v>0</v>
      </c>
      <c r="K56" s="3">
        <f>SUMIFS(Mov!$J:$J,Mov!$E:$E,$B56,Mov!$K:$K,K$3)/1000</f>
        <v>0</v>
      </c>
      <c r="L56" s="3">
        <f>SUMIFS(Mov!$J:$J,Mov!$E:$E,$B56,Mov!$K:$K,L$3)/1000</f>
        <v>0</v>
      </c>
      <c r="M56" s="3">
        <f>SUMIFS(Mov!$J:$J,Mov!$E:$E,$B56,Mov!$K:$K,M$3)/1000</f>
        <v>0</v>
      </c>
      <c r="N56" s="3">
        <f>SUMIFS(Mov!$J:$J,Mov!$E:$E,$B56,Mov!$K:$K,N$3)/1000</f>
        <v>0</v>
      </c>
      <c r="O56" s="3">
        <f>SUMIFS(Mov!$J:$J,Mov!$E:$E,$B56,Mov!$K:$K,O$3)/1000</f>
        <v>0</v>
      </c>
      <c r="P56" s="3">
        <f>SUMIFS(Mov!$J:$J,Mov!$E:$E,$B56,Mov!$K:$K,P$3)/1000</f>
        <v>0</v>
      </c>
      <c r="Q56" s="12">
        <f>SUM(E56:P56)</f>
        <v>0</v>
      </c>
      <c r="R56" s="12"/>
      <c r="S56" s="12">
        <f ca="1">SUM(OFFSET(E56,0,0,1,S$3))</f>
        <v>0</v>
      </c>
    </row>
    <row r="57" spans="1:19" ht="14.65" customHeight="1">
      <c r="A57" s="232">
        <f>IF(SUM(A55:A56)&gt;0,1,0)</f>
        <v>0</v>
      </c>
      <c r="C57" s="1"/>
      <c r="D57" s="1" t="s">
        <v>4564</v>
      </c>
      <c r="E57" s="13">
        <f t="shared" ref="E57:Q57" si="39">SUM(E55:E56)</f>
        <v>0</v>
      </c>
      <c r="F57" s="13">
        <f t="shared" si="39"/>
        <v>0</v>
      </c>
      <c r="G57" s="13">
        <f t="shared" si="39"/>
        <v>0</v>
      </c>
      <c r="H57" s="13">
        <f t="shared" si="39"/>
        <v>0</v>
      </c>
      <c r="I57" s="13">
        <f t="shared" si="39"/>
        <v>0</v>
      </c>
      <c r="J57" s="13">
        <f t="shared" ref="J57:P57" si="40">SUM(J55:J56)</f>
        <v>0</v>
      </c>
      <c r="K57" s="13">
        <f t="shared" si="40"/>
        <v>0</v>
      </c>
      <c r="L57" s="13">
        <f t="shared" si="40"/>
        <v>0</v>
      </c>
      <c r="M57" s="13">
        <f t="shared" si="40"/>
        <v>0</v>
      </c>
      <c r="N57" s="13">
        <f t="shared" si="40"/>
        <v>0</v>
      </c>
      <c r="O57" s="13">
        <f t="shared" si="40"/>
        <v>0</v>
      </c>
      <c r="P57" s="13">
        <f t="shared" si="40"/>
        <v>0</v>
      </c>
      <c r="Q57" s="13">
        <f t="shared" si="39"/>
        <v>0</v>
      </c>
      <c r="R57" s="12"/>
      <c r="S57" s="13">
        <f ca="1">SUM(S55:S56)</f>
        <v>0</v>
      </c>
    </row>
    <row r="58" spans="1:19" ht="14.65" customHeight="1">
      <c r="A58" s="230">
        <f>A61</f>
        <v>1</v>
      </c>
      <c r="E58" s="12"/>
      <c r="F58" s="12"/>
      <c r="G58" s="12"/>
      <c r="H58" s="12"/>
      <c r="I58" s="12"/>
      <c r="J58" s="12"/>
      <c r="K58" s="12"/>
      <c r="L58" s="12"/>
      <c r="M58" s="12"/>
      <c r="N58" s="12"/>
      <c r="O58" s="12"/>
      <c r="P58" s="12"/>
      <c r="Q58" s="12"/>
      <c r="R58" s="12"/>
      <c r="S58" s="12"/>
    </row>
    <row r="59" spans="1:19" ht="14.65" customHeight="1">
      <c r="A59">
        <v>1</v>
      </c>
      <c r="C59" s="1" t="s">
        <v>4565</v>
      </c>
      <c r="D59" s="1"/>
      <c r="E59" s="12"/>
      <c r="F59" s="12"/>
      <c r="G59" s="12"/>
      <c r="H59" s="12"/>
      <c r="I59" s="12"/>
      <c r="J59" s="12"/>
      <c r="K59" s="12"/>
      <c r="L59" s="12"/>
      <c r="M59" s="12"/>
      <c r="N59" s="12"/>
      <c r="O59" s="12"/>
      <c r="P59" s="12"/>
      <c r="Q59" s="12"/>
      <c r="R59" s="12"/>
      <c r="S59" s="12"/>
    </row>
    <row r="60" spans="1:19" ht="14.65" customHeight="1" outlineLevel="1">
      <c r="A60" s="231">
        <f t="shared" ref="A60:A110" si="41">IF(AND(E60=0,F60=0,G60=0,H60=0,I60=0,J60=0,K60=0,L60=0,M60=0,N60=0,O60=0,P60=0),0,1)</f>
        <v>1</v>
      </c>
      <c r="B60">
        <v>51201001</v>
      </c>
      <c r="C60" t="s">
        <v>486</v>
      </c>
      <c r="D60" t="s">
        <v>4566</v>
      </c>
      <c r="E60" s="3">
        <f>SUMIFS(Mov!$J:$J,Mov!$E:$E,$B60,Mov!$K:$K,E$3)/1000</f>
        <v>22918.35</v>
      </c>
      <c r="F60" s="3">
        <f>SUMIFS(Mov!$J:$J,Mov!$E:$E,$B60,Mov!$K:$K,F$3)/1000</f>
        <v>22918.35</v>
      </c>
      <c r="G60" s="3">
        <f>SUMIFS(Mov!$J:$J,Mov!$E:$E,$B60,Mov!$K:$K,G$3)/1000</f>
        <v>12750</v>
      </c>
      <c r="H60" s="3">
        <f>SUMIFS(Mov!$J:$J,Mov!$E:$E,$B60,Mov!$K:$K,H$3)/1000</f>
        <v>12750</v>
      </c>
      <c r="I60" s="3">
        <f>SUMIFS(Mov!$J:$J,Mov!$E:$E,$B60,Mov!$K:$K,I$3)/1000</f>
        <v>12750</v>
      </c>
      <c r="J60" s="3">
        <f>SUMIFS(Mov!$J:$J,Mov!$E:$E,$B60,Mov!$K:$K,J$3)/1000</f>
        <v>12750</v>
      </c>
      <c r="K60" s="3">
        <f>SUMIFS(Mov!$J:$J,Mov!$E:$E,$B60,Mov!$K:$K,K$3)/1000</f>
        <v>12750</v>
      </c>
      <c r="L60" s="3">
        <f>SUMIFS(Mov!$J:$J,Mov!$E:$E,$B60,Mov!$K:$K,L$3)/1000</f>
        <v>12750</v>
      </c>
      <c r="M60" s="3">
        <f>SUMIFS(Mov!$J:$J,Mov!$E:$E,$B60,Mov!$K:$K,M$3)/1000</f>
        <v>12750</v>
      </c>
      <c r="N60" s="3">
        <f>SUMIFS(Mov!$J:$J,Mov!$E:$E,$B60,Mov!$K:$K,N$3)/1000</f>
        <v>12750</v>
      </c>
      <c r="O60" s="3">
        <f>SUMIFS(Mov!$J:$J,Mov!$E:$E,$B60,Mov!$K:$K,O$3)/1000</f>
        <v>12750</v>
      </c>
      <c r="P60" s="3">
        <f>SUMIFS(Mov!$J:$J,Mov!$E:$E,$B60,Mov!$K:$K,P$3)/1000</f>
        <v>15172.5</v>
      </c>
      <c r="Q60" s="12">
        <f t="shared" ref="Q60:Q72" si="42">SUM(E60:P60)</f>
        <v>175759.2</v>
      </c>
      <c r="R60" s="12"/>
      <c r="S60" s="12">
        <f t="shared" ref="S60:S82" ca="1" si="43">SUM(OFFSET(E60,0,0,1,S$3))</f>
        <v>175759.2</v>
      </c>
    </row>
    <row r="61" spans="1:19" ht="14.65" customHeight="1" outlineLevel="1">
      <c r="A61" s="231">
        <f t="shared" si="41"/>
        <v>1</v>
      </c>
      <c r="B61">
        <v>51359501</v>
      </c>
      <c r="C61" t="s">
        <v>1290</v>
      </c>
      <c r="D61" t="s">
        <v>4567</v>
      </c>
      <c r="E61" s="3">
        <f>SUMIFS(Mov!$J:$J,Mov!$E:$E,$B61,Mov!$K:$K,E$3)/1000</f>
        <v>2500</v>
      </c>
      <c r="F61" s="3">
        <f>SUMIFS(Mov!$J:$J,Mov!$E:$E,$B61,Mov!$K:$K,F$3)/1000</f>
        <v>2500</v>
      </c>
      <c r="G61" s="3">
        <f>SUMIFS(Mov!$J:$J,Mov!$E:$E,$B61,Mov!$K:$K,G$3)/1000</f>
        <v>3955.0880000000002</v>
      </c>
      <c r="H61" s="3">
        <f>SUMIFS(Mov!$J:$J,Mov!$E:$E,$B61,Mov!$K:$K,H$3)/1000</f>
        <v>3955.0880000000002</v>
      </c>
      <c r="I61" s="3">
        <f>SUMIFS(Mov!$J:$J,Mov!$E:$E,$B61,Mov!$K:$K,I$3)/1000</f>
        <v>3955.0880000000002</v>
      </c>
      <c r="J61" s="3">
        <f>SUMIFS(Mov!$J:$J,Mov!$E:$E,$B61,Mov!$K:$K,J$3)/1000</f>
        <v>3955.0880000000002</v>
      </c>
      <c r="K61" s="3">
        <f>SUMIFS(Mov!$J:$J,Mov!$E:$E,$B61,Mov!$K:$K,K$3)/1000</f>
        <v>3955.0880000000002</v>
      </c>
      <c r="L61" s="3">
        <f>SUMIFS(Mov!$J:$J,Mov!$E:$E,$B61,Mov!$K:$K,L$3)/1000</f>
        <v>3955.0880000000002</v>
      </c>
      <c r="M61" s="3">
        <f>SUMIFS(Mov!$J:$J,Mov!$E:$E,$B61,Mov!$K:$K,M$3)/1000</f>
        <v>3955.0880000000002</v>
      </c>
      <c r="N61" s="3">
        <f>SUMIFS(Mov!$J:$J,Mov!$E:$E,$B61,Mov!$K:$K,N$3)/1000</f>
        <v>3955.0880000000002</v>
      </c>
      <c r="O61" s="3">
        <f>SUMIFS(Mov!$J:$J,Mov!$E:$E,$B61,Mov!$K:$K,O$3)/1000</f>
        <v>3955.0880000000002</v>
      </c>
      <c r="P61" s="3">
        <f>SUMIFS(Mov!$J:$J,Mov!$E:$E,$B61,Mov!$K:$K,P$3)/1000</f>
        <v>3955.0880000000002</v>
      </c>
      <c r="Q61" s="12">
        <f>SUM(E61:P61)</f>
        <v>44550.880000000005</v>
      </c>
      <c r="R61" s="12"/>
      <c r="S61" s="12">
        <f t="shared" ca="1" si="43"/>
        <v>44550.880000000005</v>
      </c>
    </row>
    <row r="62" spans="1:19" ht="14.65" customHeight="1" outlineLevel="1">
      <c r="A62" s="231">
        <f t="shared" si="41"/>
        <v>1</v>
      </c>
      <c r="B62">
        <v>51350501</v>
      </c>
      <c r="C62" t="s">
        <v>513</v>
      </c>
      <c r="D62" t="s">
        <v>4568</v>
      </c>
      <c r="E62" s="3">
        <f>SUMIFS(Mov!$J:$J,Mov!$E:$E,$B62,Mov!$K:$K,E$3)/1000</f>
        <v>2183.2420000000002</v>
      </c>
      <c r="F62" s="3">
        <f>SUMIFS(Mov!$J:$J,Mov!$E:$E,$B62,Mov!$K:$K,F$3)/1000</f>
        <v>2130.2060000000001</v>
      </c>
      <c r="G62" s="3">
        <f>SUMIFS(Mov!$J:$J,Mov!$E:$E,$B62,Mov!$K:$K,G$3)/1000</f>
        <v>3070.33592</v>
      </c>
      <c r="H62" s="3">
        <f>SUMIFS(Mov!$J:$J,Mov!$E:$E,$B62,Mov!$K:$K,H$3)/1000</f>
        <v>2508.6684500000001</v>
      </c>
      <c r="I62" s="3">
        <f>SUMIFS(Mov!$J:$J,Mov!$E:$E,$B62,Mov!$K:$K,I$3)/1000</f>
        <v>2508.6677</v>
      </c>
      <c r="J62" s="3">
        <f>SUMIFS(Mov!$J:$J,Mov!$E:$E,$B62,Mov!$K:$K,J$3)/1000</f>
        <v>2508.6687999999999</v>
      </c>
      <c r="K62" s="3">
        <f>SUMIFS(Mov!$J:$J,Mov!$E:$E,$B62,Mov!$K:$K,K$3)/1000</f>
        <v>4111.8440000000001</v>
      </c>
      <c r="L62" s="3">
        <f>SUMIFS(Mov!$J:$J,Mov!$E:$E,$B62,Mov!$K:$K,L$3)/1000</f>
        <v>4090.3490000000002</v>
      </c>
      <c r="M62" s="3">
        <f>SUMIFS(Mov!$J:$J,Mov!$E:$E,$B62,Mov!$K:$K,M$3)/1000</f>
        <v>3923.2357999999999</v>
      </c>
      <c r="N62" s="3">
        <f>SUMIFS(Mov!$J:$J,Mov!$E:$E,$B62,Mov!$K:$K,N$3)/1000</f>
        <v>4006.8589999999999</v>
      </c>
      <c r="O62" s="3">
        <f>SUMIFS(Mov!$J:$J,Mov!$E:$E,$B62,Mov!$K:$K,O$3)/1000</f>
        <v>4090.4810000000002</v>
      </c>
      <c r="P62" s="3">
        <f>SUMIFS(Mov!$J:$J,Mov!$E:$E,$B62,Mov!$K:$K,P$3)/1000</f>
        <v>4090.4810000000002</v>
      </c>
      <c r="Q62" s="12">
        <f t="shared" si="42"/>
        <v>39223.038669999994</v>
      </c>
      <c r="R62" s="12"/>
      <c r="S62" s="12">
        <f t="shared" ca="1" si="43"/>
        <v>39223.038669999994</v>
      </c>
    </row>
    <row r="63" spans="1:19" ht="14.65" customHeight="1" outlineLevel="1">
      <c r="A63" s="231">
        <f t="shared" si="41"/>
        <v>1</v>
      </c>
      <c r="B63">
        <v>51350502</v>
      </c>
      <c r="C63" t="s">
        <v>513</v>
      </c>
      <c r="D63" t="s">
        <v>4568</v>
      </c>
      <c r="E63" s="3">
        <f>SUMIFS(Mov!$J:$J,Mov!$E:$E,$B63,Mov!$K:$K,E$3)/1000</f>
        <v>51.05</v>
      </c>
      <c r="F63" s="3">
        <f>SUMIFS(Mov!$J:$J,Mov!$E:$E,$B63,Mov!$K:$K,F$3)/1000</f>
        <v>52.89</v>
      </c>
      <c r="G63" s="3">
        <f>SUMIFS(Mov!$J:$J,Mov!$E:$E,$B63,Mov!$K:$K,G$3)/1000</f>
        <v>52.62</v>
      </c>
      <c r="H63" s="3">
        <f>SUMIFS(Mov!$J:$J,Mov!$E:$E,$B63,Mov!$K:$K,H$3)/1000</f>
        <v>43.84</v>
      </c>
      <c r="I63" s="3">
        <f>SUMIFS(Mov!$J:$J,Mov!$E:$E,$B63,Mov!$K:$K,I$3)/1000</f>
        <v>60.55</v>
      </c>
      <c r="J63" s="3">
        <f>SUMIFS(Mov!$J:$J,Mov!$E:$E,$B63,Mov!$K:$K,J$3)/1000</f>
        <v>53.18</v>
      </c>
      <c r="K63" s="3">
        <f>SUMIFS(Mov!$J:$J,Mov!$E:$E,$B63,Mov!$K:$K,K$3)/1000</f>
        <v>55.07</v>
      </c>
      <c r="L63" s="3">
        <f>SUMIFS(Mov!$J:$J,Mov!$E:$E,$B63,Mov!$K:$K,L$3)/1000</f>
        <v>50.5</v>
      </c>
      <c r="M63" s="3">
        <f>SUMIFS(Mov!$J:$J,Mov!$E:$E,$B63,Mov!$K:$K,M$3)/1000</f>
        <v>47.99</v>
      </c>
      <c r="N63" s="3">
        <f>SUMIFS(Mov!$J:$J,Mov!$E:$E,$B63,Mov!$K:$K,N$3)/1000</f>
        <v>49.18</v>
      </c>
      <c r="O63" s="3">
        <f>SUMIFS(Mov!$J:$J,Mov!$E:$E,$B63,Mov!$K:$K,O$3)/1000</f>
        <v>43.73</v>
      </c>
      <c r="P63" s="3">
        <f>SUMIFS(Mov!$J:$J,Mov!$E:$E,$B63,Mov!$K:$K,P$3)/1000</f>
        <v>51.82</v>
      </c>
      <c r="Q63" s="12">
        <f t="shared" si="42"/>
        <v>612.42000000000007</v>
      </c>
      <c r="R63" s="12"/>
      <c r="S63" s="12">
        <f t="shared" ref="S63" ca="1" si="44">SUM(OFFSET(E63,0,0,1,S$3))</f>
        <v>612.42000000000007</v>
      </c>
    </row>
    <row r="64" spans="1:19" ht="14.65" customHeight="1" outlineLevel="1">
      <c r="A64" s="231">
        <f t="shared" si="41"/>
        <v>1</v>
      </c>
      <c r="B64">
        <v>51350504</v>
      </c>
      <c r="C64" t="s">
        <v>1638</v>
      </c>
      <c r="D64" t="s">
        <v>4569</v>
      </c>
      <c r="E64" s="3">
        <f>SUMIFS(Mov!$J:$J,Mov!$E:$E,$B64,Mov!$K:$K,E$3)/1000</f>
        <v>164.12697999999997</v>
      </c>
      <c r="F64" s="3">
        <f>SUMIFS(Mov!$J:$J,Mov!$E:$E,$B64,Mov!$K:$K,F$3)/1000</f>
        <v>776.88177000000007</v>
      </c>
      <c r="G64" s="3">
        <f>SUMIFS(Mov!$J:$J,Mov!$E:$E,$B64,Mov!$K:$K,G$3)/1000</f>
        <v>117.48291999999999</v>
      </c>
      <c r="H64" s="3">
        <f>SUMIFS(Mov!$J:$J,Mov!$E:$E,$B64,Mov!$K:$K,H$3)/1000</f>
        <v>271.96658000000002</v>
      </c>
      <c r="I64" s="3">
        <f>SUMIFS(Mov!$J:$J,Mov!$E:$E,$B64,Mov!$K:$K,I$3)/1000</f>
        <v>843.58533</v>
      </c>
      <c r="J64" s="3">
        <f>SUMIFS(Mov!$J:$J,Mov!$E:$E,$B64,Mov!$K:$K,J$3)/1000</f>
        <v>104.31841</v>
      </c>
      <c r="K64" s="3">
        <f>SUMIFS(Mov!$J:$J,Mov!$E:$E,$B64,Mov!$K:$K,K$3)/1000</f>
        <v>294.78171999999995</v>
      </c>
      <c r="L64" s="3">
        <f>SUMIFS(Mov!$J:$J,Mov!$E:$E,$B64,Mov!$K:$K,L$3)/1000</f>
        <v>1006.3740300000001</v>
      </c>
      <c r="M64" s="3">
        <f>SUMIFS(Mov!$J:$J,Mov!$E:$E,$B64,Mov!$K:$K,M$3)/1000</f>
        <v>47.608580000000003</v>
      </c>
      <c r="N64" s="3">
        <f>SUMIFS(Mov!$J:$J,Mov!$E:$E,$B64,Mov!$K:$K,N$3)/1000</f>
        <v>301.68142000000006</v>
      </c>
      <c r="O64" s="3">
        <f>SUMIFS(Mov!$J:$J,Mov!$E:$E,$B64,Mov!$K:$K,O$3)/1000</f>
        <v>1004.87814</v>
      </c>
      <c r="P64" s="3">
        <f>SUMIFS(Mov!$J:$J,Mov!$E:$E,$B64,Mov!$K:$K,P$3)/1000</f>
        <v>48.193129999999996</v>
      </c>
      <c r="Q64" s="12">
        <f t="shared" ref="Q64:Q66" si="45">SUM(E64:P64)</f>
        <v>4981.8790099999997</v>
      </c>
      <c r="R64" s="12"/>
      <c r="S64" s="12">
        <f t="shared" ref="S64" ca="1" si="46">SUM(OFFSET(E64,0,0,1,S$3))</f>
        <v>4981.8790099999997</v>
      </c>
    </row>
    <row r="65" spans="1:19" ht="14.65" customHeight="1" outlineLevel="1">
      <c r="A65" s="231">
        <f t="shared" si="41"/>
        <v>1</v>
      </c>
      <c r="B65">
        <v>51353001</v>
      </c>
      <c r="C65" t="s">
        <v>516</v>
      </c>
      <c r="D65" t="s">
        <v>4570</v>
      </c>
      <c r="E65" s="3">
        <f>SUMIFS(Mov!$J:$J,Mov!$E:$E,$B65,Mov!$K:$K,E$3)/1000</f>
        <v>3287.9059999999999</v>
      </c>
      <c r="F65" s="3">
        <f>SUMIFS(Mov!$J:$J,Mov!$E:$E,$B65,Mov!$K:$K,F$3)/1000</f>
        <v>3773.68</v>
      </c>
      <c r="G65" s="3">
        <f>SUMIFS(Mov!$J:$J,Mov!$E:$E,$B65,Mov!$K:$K,G$3)/1000</f>
        <v>4382.54</v>
      </c>
      <c r="H65" s="3">
        <f>SUMIFS(Mov!$J:$J,Mov!$E:$E,$B65,Mov!$K:$K,H$3)/1000</f>
        <v>5154.2700000000004</v>
      </c>
      <c r="I65" s="3">
        <f>SUMIFS(Mov!$J:$J,Mov!$E:$E,$B65,Mov!$K:$K,I$3)/1000</f>
        <v>5647.14</v>
      </c>
      <c r="J65" s="3">
        <f>SUMIFS(Mov!$J:$J,Mov!$E:$E,$B65,Mov!$K:$K,J$3)/1000</f>
        <v>5552.26</v>
      </c>
      <c r="K65" s="3">
        <f>SUMIFS(Mov!$J:$J,Mov!$E:$E,$B65,Mov!$K:$K,K$3)/1000</f>
        <v>6568.15</v>
      </c>
      <c r="L65" s="3">
        <f>SUMIFS(Mov!$J:$J,Mov!$E:$E,$B65,Mov!$K:$K,L$3)/1000</f>
        <v>5739.38</v>
      </c>
      <c r="M65" s="3">
        <f>SUMIFS(Mov!$J:$J,Mov!$E:$E,$B65,Mov!$K:$K,M$3)/1000</f>
        <v>6760.99</v>
      </c>
      <c r="N65" s="3">
        <f>SUMIFS(Mov!$J:$J,Mov!$E:$E,$B65,Mov!$K:$K,N$3)/1000</f>
        <v>6921.78</v>
      </c>
      <c r="O65" s="3">
        <f>SUMIFS(Mov!$J:$J,Mov!$E:$E,$B65,Mov!$K:$K,O$3)/1000</f>
        <v>6995.11</v>
      </c>
      <c r="P65" s="3">
        <f>SUMIFS(Mov!$J:$J,Mov!$E:$E,$B65,Mov!$K:$K,P$3)/1000</f>
        <v>7684.88</v>
      </c>
      <c r="Q65" s="12">
        <f t="shared" si="45"/>
        <v>68468.085999999996</v>
      </c>
      <c r="R65" s="12"/>
      <c r="S65" s="12">
        <f t="shared" ref="S65" ca="1" si="47">SUM(OFFSET(E65,0,0,1,S$3))</f>
        <v>68468.085999999996</v>
      </c>
    </row>
    <row r="66" spans="1:19" ht="14.65" customHeight="1" outlineLevel="1">
      <c r="A66" s="231">
        <f t="shared" ref="A66" si="48">IF(AND(E66=0,F66=0,G66=0,H66=0,I66=0,J66=0,K66=0,L66=0,M66=0,N66=0,O66=0,P66=0),0,1)</f>
        <v>1</v>
      </c>
      <c r="B66">
        <v>51103501</v>
      </c>
      <c r="C66" t="s">
        <v>1732</v>
      </c>
      <c r="D66" t="s">
        <v>4569</v>
      </c>
      <c r="E66" s="3">
        <f>SUMIFS(Mov!$J:$J,Mov!$E:$E,$B66,Mov!$K:$K,E$3)/1000</f>
        <v>0</v>
      </c>
      <c r="F66" s="3">
        <f>SUMIFS(Mov!$J:$J,Mov!$E:$E,$B66,Mov!$K:$K,F$3)/1000</f>
        <v>0</v>
      </c>
      <c r="G66" s="3">
        <f>SUMIFS(Mov!$J:$J,Mov!$E:$E,$B66,Mov!$K:$K,G$3)/1000</f>
        <v>0</v>
      </c>
      <c r="H66" s="3">
        <f>SUMIFS(Mov!$J:$J,Mov!$E:$E,$B66,Mov!$K:$K,H$3)/1000</f>
        <v>0</v>
      </c>
      <c r="I66" s="3">
        <f>SUMIFS(Mov!$J:$J,Mov!$E:$E,$B66,Mov!$K:$K,I$3)/1000</f>
        <v>0</v>
      </c>
      <c r="J66" s="3">
        <f>SUMIFS(Mov!$J:$J,Mov!$E:$E,$B66,Mov!$K:$K,J$3)/1000</f>
        <v>0</v>
      </c>
      <c r="K66" s="3">
        <f>SUMIFS(Mov!$J:$J,Mov!$E:$E,$B66,Mov!$K:$K,K$3)/1000</f>
        <v>0</v>
      </c>
      <c r="L66" s="3">
        <f>SUMIFS(Mov!$J:$J,Mov!$E:$E,$B66,Mov!$K:$K,L$3)/1000</f>
        <v>350</v>
      </c>
      <c r="M66" s="3">
        <f>SUMIFS(Mov!$J:$J,Mov!$E:$E,$B66,Mov!$K:$K,M$3)/1000</f>
        <v>0</v>
      </c>
      <c r="N66" s="3">
        <f>SUMIFS(Mov!$J:$J,Mov!$E:$E,$B66,Mov!$K:$K,N$3)/1000</f>
        <v>0</v>
      </c>
      <c r="O66" s="3">
        <f>SUMIFS(Mov!$J:$J,Mov!$E:$E,$B66,Mov!$K:$K,O$3)/1000</f>
        <v>0</v>
      </c>
      <c r="P66" s="3">
        <f>SUMIFS(Mov!$J:$J,Mov!$E:$E,$B66,Mov!$K:$K,P$3)/1000</f>
        <v>0</v>
      </c>
      <c r="Q66" s="12">
        <f t="shared" si="45"/>
        <v>350</v>
      </c>
      <c r="R66" s="12"/>
      <c r="S66" s="12">
        <f t="shared" ref="S66" ca="1" si="49">SUM(OFFSET(E66,0,0,1,S$3))</f>
        <v>350</v>
      </c>
    </row>
    <row r="67" spans="1:19" ht="14.65" customHeight="1" outlineLevel="1">
      <c r="A67" s="231">
        <f t="shared" si="41"/>
        <v>0</v>
      </c>
      <c r="B67">
        <v>513595</v>
      </c>
      <c r="C67" t="s">
        <v>150</v>
      </c>
      <c r="D67" t="s">
        <v>4569</v>
      </c>
      <c r="E67" s="3">
        <f>SUMIFS(Mov!$J:$J,Mov!$E:$E,$B67,Mov!$K:$K,E$3)/1000</f>
        <v>0</v>
      </c>
      <c r="F67" s="3">
        <f>SUMIFS(Mov!$J:$J,Mov!$E:$E,$B67,Mov!$K:$K,F$3)/1000</f>
        <v>0</v>
      </c>
      <c r="G67" s="3">
        <f>SUMIFS(Mov!$J:$J,Mov!$E:$E,$B67,Mov!$K:$K,G$3)/1000</f>
        <v>0</v>
      </c>
      <c r="H67" s="3">
        <f>SUMIFS(Mov!$J:$J,Mov!$E:$E,$B67,Mov!$K:$K,H$3)/1000</f>
        <v>0</v>
      </c>
      <c r="I67" s="3">
        <f>SUMIFS(Mov!$J:$J,Mov!$E:$E,$B67,Mov!$K:$K,I$3)/1000</f>
        <v>0</v>
      </c>
      <c r="J67" s="3">
        <f>SUMIFS(Mov!$J:$J,Mov!$E:$E,$B67,Mov!$K:$K,J$3)/1000</f>
        <v>0</v>
      </c>
      <c r="K67" s="3">
        <f>SUMIFS(Mov!$J:$J,Mov!$E:$E,$B67,Mov!$K:$K,K$3)/1000</f>
        <v>0</v>
      </c>
      <c r="L67" s="3">
        <f>SUMIFS(Mov!$J:$J,Mov!$E:$E,$B67,Mov!$K:$K,L$3)/1000</f>
        <v>0</v>
      </c>
      <c r="M67" s="3">
        <f>SUMIFS(Mov!$J:$J,Mov!$E:$E,$B67,Mov!$K:$K,M$3)/1000</f>
        <v>0</v>
      </c>
      <c r="N67" s="3">
        <f>SUMIFS(Mov!$J:$J,Mov!$E:$E,$B67,Mov!$K:$K,N$3)/1000</f>
        <v>0</v>
      </c>
      <c r="O67" s="3">
        <f>SUMIFS(Mov!$J:$J,Mov!$E:$E,$B67,Mov!$K:$K,O$3)/1000</f>
        <v>0</v>
      </c>
      <c r="P67" s="3">
        <f>SUMIFS(Mov!$J:$J,Mov!$E:$E,$B67,Mov!$K:$K,P$3)/1000</f>
        <v>0</v>
      </c>
      <c r="Q67" s="12">
        <f t="shared" ref="Q67:Q68" si="50">SUM(E67:P67)</f>
        <v>0</v>
      </c>
      <c r="R67" s="12"/>
      <c r="S67" s="12">
        <f t="shared" ref="S67" ca="1" si="51">SUM(OFFSET(E67,0,0,1,S$3))</f>
        <v>0</v>
      </c>
    </row>
    <row r="68" spans="1:19" ht="14.65" customHeight="1" outlineLevel="1">
      <c r="A68" s="231">
        <f t="shared" si="41"/>
        <v>0</v>
      </c>
      <c r="B68">
        <v>514510</v>
      </c>
      <c r="C68" t="s">
        <v>1187</v>
      </c>
      <c r="D68" t="s">
        <v>4571</v>
      </c>
      <c r="E68" s="3">
        <f>SUMIFS(Mov!$J:$J,Mov!$E:$E,$B68,Mov!$K:$K,E$3)/1000</f>
        <v>0</v>
      </c>
      <c r="F68" s="3">
        <f>SUMIFS(Mov!$J:$J,Mov!$E:$E,$B68,Mov!$K:$K,F$3)/1000</f>
        <v>0</v>
      </c>
      <c r="G68" s="3">
        <f>SUMIFS(Mov!$J:$J,Mov!$E:$E,$B68,Mov!$K:$K,G$3)/1000</f>
        <v>0</v>
      </c>
      <c r="H68" s="3">
        <f>SUMIFS(Mov!$J:$J,Mov!$E:$E,$B68,Mov!$K:$K,H$3)/1000</f>
        <v>0</v>
      </c>
      <c r="I68" s="3">
        <f>SUMIFS(Mov!$J:$J,Mov!$E:$E,$B68,Mov!$K:$K,I$3)/1000</f>
        <v>0</v>
      </c>
      <c r="J68" s="3">
        <f>SUMIFS(Mov!$J:$J,Mov!$E:$E,$B68,Mov!$K:$K,J$3)/1000</f>
        <v>0</v>
      </c>
      <c r="K68" s="3">
        <f>SUMIFS(Mov!$J:$J,Mov!$E:$E,$B68,Mov!$K:$K,K$3)/1000</f>
        <v>0</v>
      </c>
      <c r="L68" s="3">
        <f>SUMIFS(Mov!$J:$J,Mov!$E:$E,$B68,Mov!$K:$K,L$3)/1000</f>
        <v>0</v>
      </c>
      <c r="M68" s="3">
        <f>SUMIFS(Mov!$J:$J,Mov!$E:$E,$B68,Mov!$K:$K,M$3)/1000</f>
        <v>0</v>
      </c>
      <c r="N68" s="3">
        <f>SUMIFS(Mov!$J:$J,Mov!$E:$E,$B68,Mov!$K:$K,N$3)/1000</f>
        <v>0</v>
      </c>
      <c r="O68" s="3">
        <f>SUMIFS(Mov!$J:$J,Mov!$E:$E,$B68,Mov!$K:$K,O$3)/1000</f>
        <v>0</v>
      </c>
      <c r="P68" s="3">
        <f>SUMIFS(Mov!$J:$J,Mov!$E:$E,$B68,Mov!$K:$K,P$3)/1000</f>
        <v>0</v>
      </c>
      <c r="Q68" s="12">
        <f t="shared" si="50"/>
        <v>0</v>
      </c>
      <c r="R68" s="12"/>
      <c r="S68" s="12">
        <f t="shared" ref="S68" ca="1" si="52">SUM(OFFSET(E68,0,0,1,S$3))</f>
        <v>0</v>
      </c>
    </row>
    <row r="69" spans="1:19" ht="14.65" customHeight="1" outlineLevel="1">
      <c r="A69" s="231">
        <v>1</v>
      </c>
      <c r="B69">
        <v>51500501</v>
      </c>
      <c r="C69" t="s">
        <v>1336</v>
      </c>
      <c r="D69" t="s">
        <v>4571</v>
      </c>
      <c r="E69" s="3">
        <f>SUMIFS(Mov!$J:$J,Mov!$E:$E,$B69,Mov!$K:$K,E$3)/1000</f>
        <v>0</v>
      </c>
      <c r="F69" s="3">
        <f>SUMIFS(Mov!$J:$J,Mov!$E:$E,$B69,Mov!$K:$K,F$3)/1000</f>
        <v>0</v>
      </c>
      <c r="G69" s="3">
        <f>SUMIFS(Mov!$J:$J,Mov!$E:$E,$B69,Mov!$K:$K,G$3)/1000</f>
        <v>0</v>
      </c>
      <c r="H69" s="3">
        <f>SUMIFS(Mov!$J:$J,Mov!$E:$E,$B69,Mov!$K:$K,H$3)/1000</f>
        <v>0</v>
      </c>
      <c r="I69" s="3">
        <f>SUMIFS(Mov!$J:$J,Mov!$E:$E,$B69,Mov!$K:$K,I$3)/1000</f>
        <v>0</v>
      </c>
      <c r="J69" s="3">
        <f>SUMIFS(Mov!$J:$J,Mov!$E:$E,$B69,Mov!$K:$K,J$3)/1000</f>
        <v>0</v>
      </c>
      <c r="K69" s="3">
        <f>SUMIFS(Mov!$J:$J,Mov!$E:$E,$B69,Mov!$K:$K,K$3)/1000</f>
        <v>0</v>
      </c>
      <c r="L69" s="3">
        <f>SUMIFS(Mov!$J:$J,Mov!$E:$E,$B69,Mov!$K:$K,L$3)/1000</f>
        <v>0</v>
      </c>
      <c r="M69" s="3">
        <f>SUMIFS(Mov!$J:$J,Mov!$E:$E,$B69,Mov!$K:$K,M$3)/1000</f>
        <v>0</v>
      </c>
      <c r="N69" s="3">
        <f>SUMIFS(Mov!$J:$J,Mov!$E:$E,$B69,Mov!$K:$K,N$3)/1000</f>
        <v>0</v>
      </c>
      <c r="O69" s="3">
        <f>SUMIFS(Mov!$J:$J,Mov!$E:$E,$B69,Mov!$K:$K,O$3)/1000</f>
        <v>0</v>
      </c>
      <c r="P69" s="3">
        <f>SUMIFS(Mov!$J:$J,Mov!$E:$E,$B69,Mov!$K:$K,P$3)/1000</f>
        <v>0</v>
      </c>
      <c r="Q69" s="12">
        <f t="shared" ref="Q69" si="53">SUM(E69:P69)</f>
        <v>0</v>
      </c>
      <c r="R69" s="12"/>
      <c r="S69" s="12">
        <f t="shared" ref="S69" ca="1" si="54">SUM(OFFSET(E69,0,0,1,S$3))</f>
        <v>0</v>
      </c>
    </row>
    <row r="70" spans="1:19" ht="14.65" customHeight="1" outlineLevel="1">
      <c r="A70" s="231">
        <f t="shared" si="41"/>
        <v>0</v>
      </c>
      <c r="B70">
        <v>51502001</v>
      </c>
      <c r="C70" t="s">
        <v>4234</v>
      </c>
      <c r="D70" t="s">
        <v>4571</v>
      </c>
      <c r="E70" s="3">
        <f>SUMIFS(Mov!$J:$J,Mov!$E:$E,$B70,Mov!$K:$K,E$3)/1000</f>
        <v>0</v>
      </c>
      <c r="F70" s="3">
        <f>SUMIFS(Mov!$J:$J,Mov!$E:$E,$B70,Mov!$K:$K,F$3)/1000</f>
        <v>0</v>
      </c>
      <c r="G70" s="3">
        <f>SUMIFS(Mov!$J:$J,Mov!$E:$E,$B70,Mov!$K:$K,G$3)/1000</f>
        <v>0</v>
      </c>
      <c r="H70" s="3">
        <f>SUMIFS(Mov!$J:$J,Mov!$E:$E,$B70,Mov!$K:$K,H$3)/1000</f>
        <v>0</v>
      </c>
      <c r="I70" s="3">
        <f>SUMIFS(Mov!$J:$J,Mov!$E:$E,$B70,Mov!$K:$K,I$3)/1000</f>
        <v>0</v>
      </c>
      <c r="J70" s="3">
        <f>SUMIFS(Mov!$J:$J,Mov!$E:$E,$B70,Mov!$K:$K,J$3)/1000</f>
        <v>0</v>
      </c>
      <c r="K70" s="3">
        <f>SUMIFS(Mov!$J:$J,Mov!$E:$E,$B70,Mov!$K:$K,K$3)/1000</f>
        <v>0</v>
      </c>
      <c r="L70" s="3">
        <f>SUMIFS(Mov!$J:$J,Mov!$E:$E,$B70,Mov!$K:$K,L$3)/1000</f>
        <v>0</v>
      </c>
      <c r="M70" s="3">
        <f>SUMIFS(Mov!$J:$J,Mov!$E:$E,$B70,Mov!$K:$K,M$3)/1000</f>
        <v>0</v>
      </c>
      <c r="N70" s="3">
        <f>SUMIFS(Mov!$J:$J,Mov!$E:$E,$B70,Mov!$K:$K,N$3)/1000</f>
        <v>0</v>
      </c>
      <c r="O70" s="3">
        <f>SUMIFS(Mov!$J:$J,Mov!$E:$E,$B70,Mov!$K:$K,O$3)/1000</f>
        <v>0</v>
      </c>
      <c r="P70" s="3">
        <f>SUMIFS(Mov!$J:$J,Mov!$E:$E,$B70,Mov!$K:$K,P$3)/1000</f>
        <v>0</v>
      </c>
      <c r="Q70" s="12">
        <f t="shared" si="42"/>
        <v>0</v>
      </c>
      <c r="R70" s="12"/>
      <c r="S70" s="12">
        <f t="shared" ca="1" si="43"/>
        <v>0</v>
      </c>
    </row>
    <row r="71" spans="1:19" ht="14.65" customHeight="1" outlineLevel="1">
      <c r="A71" s="231">
        <f t="shared" ref="A71" si="55">IF(AND(E71=0,F71=0,G71=0,H71=0,I71=0,J71=0,K71=0,L71=0,M71=0,N71=0,O71=0,P71=0),0,1)</f>
        <v>0</v>
      </c>
      <c r="B71">
        <v>51502002</v>
      </c>
      <c r="C71" t="s">
        <v>4236</v>
      </c>
      <c r="D71" t="s">
        <v>4571</v>
      </c>
      <c r="E71" s="3">
        <f>SUMIFS(Mov!$J:$J,Mov!$E:$E,$B71,Mov!$K:$K,E$3)/1000</f>
        <v>0</v>
      </c>
      <c r="F71" s="3">
        <f>SUMIFS(Mov!$J:$J,Mov!$E:$E,$B71,Mov!$K:$K,F$3)/1000</f>
        <v>0</v>
      </c>
      <c r="G71" s="3">
        <f>SUMIFS(Mov!$J:$J,Mov!$E:$E,$B71,Mov!$K:$K,G$3)/1000</f>
        <v>0</v>
      </c>
      <c r="H71" s="3">
        <f>SUMIFS(Mov!$J:$J,Mov!$E:$E,$B71,Mov!$K:$K,H$3)/1000</f>
        <v>0</v>
      </c>
      <c r="I71" s="3">
        <f>SUMIFS(Mov!$J:$J,Mov!$E:$E,$B71,Mov!$K:$K,I$3)/1000</f>
        <v>0</v>
      </c>
      <c r="J71" s="3">
        <f>SUMIFS(Mov!$J:$J,Mov!$E:$E,$B71,Mov!$K:$K,J$3)/1000</f>
        <v>0</v>
      </c>
      <c r="K71" s="3">
        <f>SUMIFS(Mov!$J:$J,Mov!$E:$E,$B71,Mov!$K:$K,K$3)/1000</f>
        <v>0</v>
      </c>
      <c r="L71" s="3">
        <f>SUMIFS(Mov!$J:$J,Mov!$E:$E,$B71,Mov!$K:$K,L$3)/1000</f>
        <v>0</v>
      </c>
      <c r="M71" s="3">
        <f>SUMIFS(Mov!$J:$J,Mov!$E:$E,$B71,Mov!$K:$K,M$3)/1000</f>
        <v>0</v>
      </c>
      <c r="N71" s="3">
        <f>SUMIFS(Mov!$J:$J,Mov!$E:$E,$B71,Mov!$K:$K,N$3)/1000</f>
        <v>0</v>
      </c>
      <c r="O71" s="3">
        <f>SUMIFS(Mov!$J:$J,Mov!$E:$E,$B71,Mov!$K:$K,O$3)/1000</f>
        <v>0</v>
      </c>
      <c r="P71" s="3">
        <f>SUMIFS(Mov!$J:$J,Mov!$E:$E,$B71,Mov!$K:$K,P$3)/1000</f>
        <v>0</v>
      </c>
      <c r="Q71" s="12">
        <f t="shared" ref="Q71" si="56">SUM(E71:P71)</f>
        <v>0</v>
      </c>
      <c r="R71" s="12"/>
      <c r="S71" s="12">
        <f t="shared" ref="S71" ca="1" si="57">SUM(OFFSET(E71,0,0,1,S$3))</f>
        <v>0</v>
      </c>
    </row>
    <row r="72" spans="1:19" ht="14.65" customHeight="1" outlineLevel="1">
      <c r="A72" s="231">
        <f t="shared" si="41"/>
        <v>1</v>
      </c>
      <c r="B72">
        <v>51502003</v>
      </c>
      <c r="C72" t="s">
        <v>1747</v>
      </c>
      <c r="D72" t="s">
        <v>4571</v>
      </c>
      <c r="E72" s="3">
        <f>SUMIFS(Mov!$J:$J,Mov!$E:$E,$B72,Mov!$K:$K,E$3)/1000</f>
        <v>0</v>
      </c>
      <c r="F72" s="3">
        <f>SUMIFS(Mov!$J:$J,Mov!$E:$E,$B72,Mov!$K:$K,F$3)/1000</f>
        <v>0</v>
      </c>
      <c r="G72" s="3">
        <f>SUMIFS(Mov!$J:$J,Mov!$E:$E,$B72,Mov!$K:$K,G$3)/1000</f>
        <v>0</v>
      </c>
      <c r="H72" s="3">
        <f>SUMIFS(Mov!$J:$J,Mov!$E:$E,$B72,Mov!$K:$K,H$3)/1000</f>
        <v>0</v>
      </c>
      <c r="I72" s="3">
        <f>SUMIFS(Mov!$J:$J,Mov!$E:$E,$B72,Mov!$K:$K,I$3)/1000</f>
        <v>0</v>
      </c>
      <c r="J72" s="3">
        <f>SUMIFS(Mov!$J:$J,Mov!$E:$E,$B72,Mov!$K:$K,J$3)/1000</f>
        <v>0</v>
      </c>
      <c r="K72" s="3">
        <f>SUMIFS(Mov!$J:$J,Mov!$E:$E,$B72,Mov!$K:$K,K$3)/1000</f>
        <v>0</v>
      </c>
      <c r="L72" s="3">
        <f>SUMIFS(Mov!$J:$J,Mov!$E:$E,$B72,Mov!$K:$K,L$3)/1000</f>
        <v>0</v>
      </c>
      <c r="M72" s="3">
        <f>SUMIFS(Mov!$J:$J,Mov!$E:$E,$B72,Mov!$K:$K,M$3)/1000</f>
        <v>266</v>
      </c>
      <c r="N72" s="3">
        <f>SUMIFS(Mov!$J:$J,Mov!$E:$E,$B72,Mov!$K:$K,N$3)/1000</f>
        <v>0</v>
      </c>
      <c r="O72" s="3">
        <f>SUMIFS(Mov!$J:$J,Mov!$E:$E,$B72,Mov!$K:$K,O$3)/1000</f>
        <v>0</v>
      </c>
      <c r="P72" s="3">
        <f>SUMIFS(Mov!$J:$J,Mov!$E:$E,$B72,Mov!$K:$K,P$3)/1000</f>
        <v>0</v>
      </c>
      <c r="Q72" s="12">
        <f t="shared" si="42"/>
        <v>266</v>
      </c>
      <c r="R72" s="12"/>
      <c r="S72" s="12">
        <f t="shared" ca="1" si="43"/>
        <v>266</v>
      </c>
    </row>
    <row r="73" spans="1:19" ht="14.65" customHeight="1">
      <c r="A73" s="232">
        <f>IF(SUM(A60:A72)&gt;0,1,0)</f>
        <v>1</v>
      </c>
      <c r="D73" s="64" t="s">
        <v>4572</v>
      </c>
      <c r="E73" s="66">
        <f t="shared" ref="E73:Q73" si="58">SUM(E60:E72)</f>
        <v>31104.674979999996</v>
      </c>
      <c r="F73" s="66">
        <f t="shared" si="58"/>
        <v>32152.007769999997</v>
      </c>
      <c r="G73" s="66">
        <f t="shared" si="58"/>
        <v>24328.06684</v>
      </c>
      <c r="H73" s="66">
        <f t="shared" si="58"/>
        <v>24683.833030000002</v>
      </c>
      <c r="I73" s="66">
        <f t="shared" si="58"/>
        <v>25765.031030000002</v>
      </c>
      <c r="J73" s="66">
        <f t="shared" si="58"/>
        <v>24923.515209999998</v>
      </c>
      <c r="K73" s="66">
        <f t="shared" si="58"/>
        <v>27734.933720000001</v>
      </c>
      <c r="L73" s="66">
        <f t="shared" si="58"/>
        <v>27941.691029999998</v>
      </c>
      <c r="M73" s="66">
        <f t="shared" si="58"/>
        <v>27750.912380000002</v>
      </c>
      <c r="N73" s="66">
        <f t="shared" si="58"/>
        <v>27984.58842</v>
      </c>
      <c r="O73" s="66">
        <f t="shared" si="58"/>
        <v>28839.28714</v>
      </c>
      <c r="P73" s="66">
        <f t="shared" si="58"/>
        <v>31002.96213</v>
      </c>
      <c r="Q73" s="66">
        <f t="shared" si="58"/>
        <v>334211.50368000002</v>
      </c>
      <c r="R73" s="12"/>
      <c r="S73" s="66">
        <f t="shared" ca="1" si="43"/>
        <v>334211.50367999997</v>
      </c>
    </row>
    <row r="74" spans="1:19" ht="14.65" customHeight="1" outlineLevel="1">
      <c r="A74" s="231">
        <f t="shared" si="41"/>
        <v>0</v>
      </c>
      <c r="B74">
        <v>512025</v>
      </c>
      <c r="C74" t="s">
        <v>4573</v>
      </c>
      <c r="D74" t="s">
        <v>4574</v>
      </c>
      <c r="E74" s="3">
        <f>SUMIFS(Mov!$J:$J,Mov!$E:$E,$B74,Mov!$K:$K,E$3)/1000</f>
        <v>0</v>
      </c>
      <c r="F74" s="3">
        <f>SUMIFS(Mov!$J:$J,Mov!$E:$E,$B74,Mov!$K:$K,F$3)/1000</f>
        <v>0</v>
      </c>
      <c r="G74" s="3">
        <f>SUMIFS(Mov!$J:$J,Mov!$E:$E,$B74,Mov!$K:$K,G$3)/1000</f>
        <v>0</v>
      </c>
      <c r="H74" s="3">
        <f>SUMIFS(Mov!$J:$J,Mov!$E:$E,$B74,Mov!$K:$K,H$3)/1000</f>
        <v>0</v>
      </c>
      <c r="I74" s="3">
        <f>SUMIFS(Mov!$J:$J,Mov!$E:$E,$B74,Mov!$K:$K,I$3)/1000</f>
        <v>0</v>
      </c>
      <c r="J74" s="3">
        <f>SUMIFS(Mov!$J:$J,Mov!$E:$E,$B74,Mov!$K:$K,J$3)/1000</f>
        <v>0</v>
      </c>
      <c r="K74" s="3">
        <f>SUMIFS(Mov!$J:$J,Mov!$E:$E,$B74,Mov!$K:$K,K$3)/1000</f>
        <v>0</v>
      </c>
      <c r="L74" s="3">
        <f>SUMIFS(Mov!$J:$J,Mov!$E:$E,$B74,Mov!$K:$K,L$3)/1000</f>
        <v>0</v>
      </c>
      <c r="M74" s="3">
        <f>SUMIFS(Mov!$J:$J,Mov!$E:$E,$B74,Mov!$K:$K,M$3)/1000</f>
        <v>0</v>
      </c>
      <c r="N74" s="3">
        <f>SUMIFS(Mov!$J:$J,Mov!$E:$E,$B74,Mov!$K:$K,N$3)/1000</f>
        <v>0</v>
      </c>
      <c r="O74" s="3">
        <f>SUMIFS(Mov!$J:$J,Mov!$E:$E,$B74,Mov!$K:$K,O$3)/1000</f>
        <v>0</v>
      </c>
      <c r="P74" s="3">
        <f>SUMIFS(Mov!$J:$J,Mov!$E:$E,$B74,Mov!$K:$K,P$3)/1000</f>
        <v>0</v>
      </c>
      <c r="Q74" s="12">
        <f t="shared" ref="Q74:Q82" si="59">SUM(E74:P74)</f>
        <v>0</v>
      </c>
      <c r="R74" s="12"/>
      <c r="S74" s="12">
        <f t="shared" ca="1" si="43"/>
        <v>0</v>
      </c>
    </row>
    <row r="75" spans="1:19" ht="14.65" customHeight="1" outlineLevel="1">
      <c r="A75" s="231">
        <f t="shared" si="41"/>
        <v>1</v>
      </c>
      <c r="B75">
        <v>51353501</v>
      </c>
      <c r="C75" t="s">
        <v>1278</v>
      </c>
      <c r="D75" t="s">
        <v>4575</v>
      </c>
      <c r="E75" s="3">
        <f>SUMIFS(Mov!$J:$J,Mov!$E:$E,$B75,Mov!$K:$K,E$3)/1000</f>
        <v>41.18186</v>
      </c>
      <c r="F75" s="3">
        <f>SUMIFS(Mov!$J:$J,Mov!$E:$E,$B75,Mov!$K:$K,F$3)/1000</f>
        <v>40.661910000000006</v>
      </c>
      <c r="G75" s="3">
        <f>SUMIFS(Mov!$J:$J,Mov!$E:$E,$B75,Mov!$K:$K,G$3)/1000</f>
        <v>40.662080000000003</v>
      </c>
      <c r="H75" s="3">
        <f>SUMIFS(Mov!$J:$J,Mov!$E:$E,$B75,Mov!$K:$K,H$3)/1000</f>
        <v>40.66225</v>
      </c>
      <c r="I75" s="3">
        <f>SUMIFS(Mov!$J:$J,Mov!$E:$E,$B75,Mov!$K:$K,I$3)/1000</f>
        <v>40.661910000000006</v>
      </c>
      <c r="J75" s="3">
        <f>SUMIFS(Mov!$J:$J,Mov!$E:$E,$B75,Mov!$K:$K,J$3)/1000</f>
        <v>40.662080000000003</v>
      </c>
      <c r="K75" s="3">
        <f>SUMIFS(Mov!$J:$J,Mov!$E:$E,$B75,Mov!$K:$K,K$3)/1000</f>
        <v>40.661910000000006</v>
      </c>
      <c r="L75" s="3">
        <f>SUMIFS(Mov!$J:$J,Mov!$E:$E,$B75,Mov!$K:$K,L$3)/1000</f>
        <v>40.661910000000006</v>
      </c>
      <c r="M75" s="3">
        <f>SUMIFS(Mov!$J:$J,Mov!$E:$E,$B75,Mov!$K:$K,M$3)/1000</f>
        <v>0</v>
      </c>
      <c r="N75" s="3">
        <f>SUMIFS(Mov!$J:$J,Mov!$E:$E,$B75,Mov!$K:$K,N$3)/1000</f>
        <v>0</v>
      </c>
      <c r="O75" s="3">
        <f>SUMIFS(Mov!$J:$J,Mov!$E:$E,$B75,Mov!$K:$K,O$3)/1000</f>
        <v>0</v>
      </c>
      <c r="P75" s="3">
        <f>SUMIFS(Mov!$J:$J,Mov!$E:$E,$B75,Mov!$K:$K,P$3)/1000</f>
        <v>0</v>
      </c>
      <c r="Q75" s="12">
        <f t="shared" ref="Q75" si="60">SUM(E75:P75)</f>
        <v>325.81591000000003</v>
      </c>
      <c r="R75" s="12"/>
      <c r="S75" s="12">
        <f t="shared" ref="S75" ca="1" si="61">SUM(OFFSET(E75,0,0,1,S$3))</f>
        <v>325.81591000000003</v>
      </c>
    </row>
    <row r="76" spans="1:19" ht="14.65" customHeight="1" outlineLevel="1">
      <c r="A76" s="231">
        <f t="shared" si="41"/>
        <v>0</v>
      </c>
      <c r="B76">
        <v>51353502</v>
      </c>
      <c r="C76" t="s">
        <v>4231</v>
      </c>
      <c r="D76" t="s">
        <v>4575</v>
      </c>
      <c r="E76" s="3">
        <f>SUMIFS(Mov!$J:$J,Mov!$E:$E,$B76,Mov!$K:$K,E$3)/1000</f>
        <v>0</v>
      </c>
      <c r="F76" s="3">
        <f>SUMIFS(Mov!$J:$J,Mov!$E:$E,$B76,Mov!$K:$K,F$3)/1000</f>
        <v>0</v>
      </c>
      <c r="G76" s="3">
        <f>SUMIFS(Mov!$J:$J,Mov!$E:$E,$B76,Mov!$K:$K,G$3)/1000</f>
        <v>0</v>
      </c>
      <c r="H76" s="3">
        <f>SUMIFS(Mov!$J:$J,Mov!$E:$E,$B76,Mov!$K:$K,H$3)/1000</f>
        <v>0</v>
      </c>
      <c r="I76" s="3">
        <f>SUMIFS(Mov!$J:$J,Mov!$E:$E,$B76,Mov!$K:$K,I$3)/1000</f>
        <v>0</v>
      </c>
      <c r="J76" s="3">
        <f>SUMIFS(Mov!$J:$J,Mov!$E:$E,$B76,Mov!$K:$K,J$3)/1000</f>
        <v>0</v>
      </c>
      <c r="K76" s="3">
        <f>SUMIFS(Mov!$J:$J,Mov!$E:$E,$B76,Mov!$K:$K,K$3)/1000</f>
        <v>0</v>
      </c>
      <c r="L76" s="3">
        <f>SUMIFS(Mov!$J:$J,Mov!$E:$E,$B76,Mov!$K:$K,L$3)/1000</f>
        <v>0</v>
      </c>
      <c r="M76" s="3">
        <f>SUMIFS(Mov!$J:$J,Mov!$E:$E,$B76,Mov!$K:$K,M$3)/1000</f>
        <v>0</v>
      </c>
      <c r="N76" s="3">
        <f>SUMIFS(Mov!$J:$J,Mov!$E:$E,$B76,Mov!$K:$K,N$3)/1000</f>
        <v>0</v>
      </c>
      <c r="O76" s="3">
        <f>SUMIFS(Mov!$J:$J,Mov!$E:$E,$B76,Mov!$K:$K,O$3)/1000</f>
        <v>0</v>
      </c>
      <c r="P76" s="3">
        <f>SUMIFS(Mov!$J:$J,Mov!$E:$E,$B76,Mov!$K:$K,P$3)/1000</f>
        <v>0</v>
      </c>
      <c r="Q76" s="12">
        <f t="shared" ref="Q76" si="62">SUM(E76:P76)</f>
        <v>0</v>
      </c>
      <c r="R76" s="12"/>
      <c r="S76" s="12">
        <f t="shared" ref="S76" ca="1" si="63">SUM(OFFSET(E76,0,0,1,S$3))</f>
        <v>0</v>
      </c>
    </row>
    <row r="77" spans="1:19" ht="14.65" customHeight="1" outlineLevel="1">
      <c r="A77" s="231">
        <f t="shared" si="41"/>
        <v>0</v>
      </c>
      <c r="B77">
        <v>513595</v>
      </c>
      <c r="C77" t="s">
        <v>150</v>
      </c>
      <c r="D77" t="s">
        <v>4576</v>
      </c>
      <c r="E77" s="3">
        <f>SUMIFS(Mov!$J:$J,Mov!$E:$E,$B77,Mov!$K:$K,E$3)/1000</f>
        <v>0</v>
      </c>
      <c r="F77" s="3">
        <f>SUMIFS(Mov!$J:$J,Mov!$E:$E,$B77,Mov!$K:$K,F$3)/1000</f>
        <v>0</v>
      </c>
      <c r="G77" s="3">
        <f>SUMIFS(Mov!$J:$J,Mov!$E:$E,$B77,Mov!$K:$K,G$3)/1000</f>
        <v>0</v>
      </c>
      <c r="H77" s="3">
        <f>SUMIFS(Mov!$J:$J,Mov!$E:$E,$B77,Mov!$K:$K,H$3)/1000</f>
        <v>0</v>
      </c>
      <c r="I77" s="3">
        <f>SUMIFS(Mov!$J:$J,Mov!$E:$E,$B77,Mov!$K:$K,I$3)/1000</f>
        <v>0</v>
      </c>
      <c r="J77" s="3">
        <f>SUMIFS(Mov!$J:$J,Mov!$E:$E,$B77,Mov!$K:$K,J$3)/1000</f>
        <v>0</v>
      </c>
      <c r="K77" s="3">
        <f>SUMIFS(Mov!$J:$J,Mov!$E:$E,$B77,Mov!$K:$K,K$3)/1000</f>
        <v>0</v>
      </c>
      <c r="L77" s="3">
        <f>SUMIFS(Mov!$J:$J,Mov!$E:$E,$B77,Mov!$K:$K,L$3)/1000</f>
        <v>0</v>
      </c>
      <c r="M77" s="3">
        <f>SUMIFS(Mov!$J:$J,Mov!$E:$E,$B77,Mov!$K:$K,M$3)/1000</f>
        <v>0</v>
      </c>
      <c r="N77" s="3">
        <f>SUMIFS(Mov!$J:$J,Mov!$E:$E,$B77,Mov!$K:$K,N$3)/1000</f>
        <v>0</v>
      </c>
      <c r="O77" s="3">
        <f>SUMIFS(Mov!$J:$J,Mov!$E:$E,$B77,Mov!$K:$K,O$3)/1000</f>
        <v>0</v>
      </c>
      <c r="P77" s="3">
        <f>SUMIFS(Mov!$J:$J,Mov!$E:$E,$B77,Mov!$K:$K,P$3)/1000</f>
        <v>0</v>
      </c>
      <c r="Q77" s="12">
        <f t="shared" si="59"/>
        <v>0</v>
      </c>
      <c r="R77" s="12"/>
      <c r="S77" s="12">
        <f t="shared" ca="1" si="43"/>
        <v>0</v>
      </c>
    </row>
    <row r="78" spans="1:19" ht="14.65" customHeight="1" outlineLevel="1">
      <c r="A78" s="231">
        <f t="shared" si="41"/>
        <v>0</v>
      </c>
      <c r="B78">
        <v>51354001</v>
      </c>
      <c r="C78" t="s">
        <v>497</v>
      </c>
      <c r="D78" t="s">
        <v>4577</v>
      </c>
      <c r="E78" s="3">
        <f>SUMIFS(Mov!$J:$J,Mov!$E:$E,$B78,Mov!$K:$K,E$3)/1000</f>
        <v>0</v>
      </c>
      <c r="F78" s="3">
        <f>SUMIFS(Mov!$J:$J,Mov!$E:$E,$B78,Mov!$K:$K,F$3)/1000</f>
        <v>0</v>
      </c>
      <c r="G78" s="3">
        <f>SUMIFS(Mov!$J:$J,Mov!$E:$E,$B78,Mov!$K:$K,G$3)/1000</f>
        <v>0</v>
      </c>
      <c r="H78" s="3">
        <f>SUMIFS(Mov!$J:$J,Mov!$E:$E,$B78,Mov!$K:$K,H$3)/1000</f>
        <v>0</v>
      </c>
      <c r="I78" s="3">
        <f>SUMIFS(Mov!$J:$J,Mov!$E:$E,$B78,Mov!$K:$K,I$3)/1000</f>
        <v>0</v>
      </c>
      <c r="J78" s="3">
        <f>SUMIFS(Mov!$J:$J,Mov!$E:$E,$B78,Mov!$K:$K,J$3)/1000</f>
        <v>0</v>
      </c>
      <c r="K78" s="3">
        <f>SUMIFS(Mov!$J:$J,Mov!$E:$E,$B78,Mov!$K:$K,K$3)/1000</f>
        <v>0</v>
      </c>
      <c r="L78" s="3">
        <f>SUMIFS(Mov!$J:$J,Mov!$E:$E,$B78,Mov!$K:$K,L$3)/1000</f>
        <v>0</v>
      </c>
      <c r="M78" s="3">
        <f>SUMIFS(Mov!$J:$J,Mov!$E:$E,$B78,Mov!$K:$K,M$3)/1000</f>
        <v>0</v>
      </c>
      <c r="N78" s="3">
        <f>SUMIFS(Mov!$J:$J,Mov!$E:$E,$B78,Mov!$K:$K,N$3)/1000</f>
        <v>0</v>
      </c>
      <c r="O78" s="3">
        <f>SUMIFS(Mov!$J:$J,Mov!$E:$E,$B78,Mov!$K:$K,O$3)/1000</f>
        <v>0</v>
      </c>
      <c r="P78" s="3">
        <f>SUMIFS(Mov!$J:$J,Mov!$E:$E,$B78,Mov!$K:$K,P$3)/1000</f>
        <v>0</v>
      </c>
      <c r="Q78" s="12">
        <f t="shared" si="59"/>
        <v>0</v>
      </c>
      <c r="R78" s="12"/>
      <c r="S78" s="12">
        <f t="shared" ca="1" si="43"/>
        <v>0</v>
      </c>
    </row>
    <row r="79" spans="1:19" ht="14.65" customHeight="1" outlineLevel="1">
      <c r="A79" s="231">
        <f t="shared" si="41"/>
        <v>1</v>
      </c>
      <c r="B79">
        <v>51352001</v>
      </c>
      <c r="C79" t="s">
        <v>1268</v>
      </c>
      <c r="D79" t="s">
        <v>4578</v>
      </c>
      <c r="E79" s="3">
        <f>SUMIFS(Mov!$J:$J,Mov!$E:$E,$B79,Mov!$K:$K,E$3)/1000</f>
        <v>228.05407</v>
      </c>
      <c r="F79" s="3">
        <f>SUMIFS(Mov!$J:$J,Mov!$E:$E,$B79,Mov!$K:$K,F$3)/1000</f>
        <v>0</v>
      </c>
      <c r="G79" s="3">
        <f>SUMIFS(Mov!$J:$J,Mov!$E:$E,$B79,Mov!$K:$K,G$3)/1000</f>
        <v>227.63166000000001</v>
      </c>
      <c r="H79" s="3">
        <f>SUMIFS(Mov!$J:$J,Mov!$E:$E,$B79,Mov!$K:$K,H$3)/1000</f>
        <v>112.21131</v>
      </c>
      <c r="I79" s="3">
        <f>SUMIFS(Mov!$J:$J,Mov!$E:$E,$B79,Mov!$K:$K,I$3)/1000</f>
        <v>106.90589999999999</v>
      </c>
      <c r="J79" s="3">
        <f>SUMIFS(Mov!$J:$J,Mov!$E:$E,$B79,Mov!$K:$K,J$3)/1000</f>
        <v>101.05176</v>
      </c>
      <c r="K79" s="3">
        <f>SUMIFS(Mov!$J:$J,Mov!$E:$E,$B79,Mov!$K:$K,K$3)/1000</f>
        <v>93.992350000000002</v>
      </c>
      <c r="L79" s="3">
        <f>SUMIFS(Mov!$J:$J,Mov!$E:$E,$B79,Mov!$K:$K,L$3)/1000</f>
        <v>98.831710000000001</v>
      </c>
      <c r="M79" s="3">
        <f>SUMIFS(Mov!$J:$J,Mov!$E:$E,$B79,Mov!$K:$K,M$3)/1000</f>
        <v>98.50309</v>
      </c>
      <c r="N79" s="3">
        <f>SUMIFS(Mov!$J:$J,Mov!$E:$E,$B79,Mov!$K:$K,N$3)/1000</f>
        <v>97.459919999999997</v>
      </c>
      <c r="O79" s="3">
        <f>SUMIFS(Mov!$J:$J,Mov!$E:$E,$B79,Mov!$K:$K,O$3)/1000</f>
        <v>358.00704999999999</v>
      </c>
      <c r="P79" s="3">
        <f>SUMIFS(Mov!$J:$J,Mov!$E:$E,$B79,Mov!$K:$K,P$3)/1000</f>
        <v>92.149619999999999</v>
      </c>
      <c r="Q79" s="12">
        <f t="shared" si="59"/>
        <v>1614.79844</v>
      </c>
      <c r="R79" s="12"/>
      <c r="S79" s="12">
        <f t="shared" ca="1" si="43"/>
        <v>1614.79844</v>
      </c>
    </row>
    <row r="80" spans="1:19" ht="14.65" customHeight="1" outlineLevel="1">
      <c r="A80" s="231">
        <f t="shared" si="41"/>
        <v>1</v>
      </c>
      <c r="B80">
        <v>51352002</v>
      </c>
      <c r="C80" t="s">
        <v>519</v>
      </c>
      <c r="D80" t="s">
        <v>4579</v>
      </c>
      <c r="E80" s="3">
        <f>SUMIFS(Mov!$J:$J,Mov!$E:$E,$B80,Mov!$K:$K,E$3)/1000</f>
        <v>4733.0860000000002</v>
      </c>
      <c r="F80" s="3">
        <f>SUMIFS(Mov!$J:$J,Mov!$E:$E,$B80,Mov!$K:$K,F$3)/1000</f>
        <v>4438.3999999999996</v>
      </c>
      <c r="G80" s="3">
        <f>SUMIFS(Mov!$J:$J,Mov!$E:$E,$B80,Mov!$K:$K,G$3)/1000</f>
        <v>5027.7719999999999</v>
      </c>
      <c r="H80" s="3">
        <f>SUMIFS(Mov!$J:$J,Mov!$E:$E,$B80,Mov!$K:$K,H$3)/1000</f>
        <v>5107.2539999999999</v>
      </c>
      <c r="I80" s="3">
        <f>SUMIFS(Mov!$J:$J,Mov!$E:$E,$B80,Mov!$K:$K,I$3)/1000</f>
        <v>4791.9399999999996</v>
      </c>
      <c r="J80" s="3">
        <f>SUMIFS(Mov!$J:$J,Mov!$E:$E,$B80,Mov!$K:$K,J$3)/1000</f>
        <v>4791.9399999999996</v>
      </c>
      <c r="K80" s="3">
        <f>SUMIFS(Mov!$J:$J,Mov!$E:$E,$B80,Mov!$K:$K,K$3)/1000</f>
        <v>4791.9399999999996</v>
      </c>
      <c r="L80" s="3">
        <f>SUMIFS(Mov!$J:$J,Mov!$E:$E,$B80,Mov!$K:$K,L$3)/1000</f>
        <v>4791.9399999999996</v>
      </c>
      <c r="M80" s="3">
        <f>SUMIFS(Mov!$J:$J,Mov!$E:$E,$B80,Mov!$K:$K,M$3)/1000</f>
        <v>8743.5529999999999</v>
      </c>
      <c r="N80" s="3">
        <f>SUMIFS(Mov!$J:$J,Mov!$E:$E,$B80,Mov!$K:$K,N$3)/1000</f>
        <v>3724.4</v>
      </c>
      <c r="O80" s="3">
        <f>SUMIFS(Mov!$J:$J,Mov!$E:$E,$B80,Mov!$K:$K,O$3)/1000</f>
        <v>5075.3459999999995</v>
      </c>
      <c r="P80" s="3">
        <f>SUMIFS(Mov!$J:$J,Mov!$E:$E,$B80,Mov!$K:$K,P$3)/1000</f>
        <v>3724.4</v>
      </c>
      <c r="Q80" s="12">
        <f t="shared" ref="Q80" si="64">SUM(E80:P80)</f>
        <v>59741.971000000005</v>
      </c>
      <c r="R80" s="12"/>
      <c r="S80" s="12">
        <f t="shared" ref="S80" ca="1" si="65">SUM(OFFSET(E80,0,0,1,S$3))</f>
        <v>59741.971000000005</v>
      </c>
    </row>
    <row r="81" spans="1:19" ht="14.65" customHeight="1" outlineLevel="1">
      <c r="A81" s="231">
        <f t="shared" si="41"/>
        <v>0</v>
      </c>
      <c r="B81">
        <v>513595</v>
      </c>
      <c r="C81" t="s">
        <v>150</v>
      </c>
      <c r="D81" t="s">
        <v>4580</v>
      </c>
      <c r="E81" s="3">
        <f>SUMIFS(Mov!$J:$J,Mov!$E:$E,$B81,Mov!$K:$K,E$3)/1000</f>
        <v>0</v>
      </c>
      <c r="F81" s="3">
        <f>SUMIFS(Mov!$J:$J,Mov!$E:$E,$B81,Mov!$K:$K,F$3)/1000</f>
        <v>0</v>
      </c>
      <c r="G81" s="3">
        <f>SUMIFS(Mov!$J:$J,Mov!$E:$E,$B81,Mov!$K:$K,G$3)/1000</f>
        <v>0</v>
      </c>
      <c r="H81" s="3">
        <f>SUMIFS(Mov!$J:$J,Mov!$E:$E,$B81,Mov!$K:$K,H$3)/1000</f>
        <v>0</v>
      </c>
      <c r="I81" s="3">
        <f>SUMIFS(Mov!$J:$J,Mov!$E:$E,$B81,Mov!$K:$K,I$3)/1000</f>
        <v>0</v>
      </c>
      <c r="J81" s="3">
        <f>SUMIFS(Mov!$J:$J,Mov!$E:$E,$B81,Mov!$K:$K,J$3)/1000</f>
        <v>0</v>
      </c>
      <c r="K81" s="3">
        <f>SUMIFS(Mov!$J:$J,Mov!$E:$E,$B81,Mov!$K:$K,K$3)/1000</f>
        <v>0</v>
      </c>
      <c r="L81" s="3">
        <f>SUMIFS(Mov!$J:$J,Mov!$E:$E,$B81,Mov!$K:$K,L$3)/1000</f>
        <v>0</v>
      </c>
      <c r="M81" s="3">
        <f>SUMIFS(Mov!$J:$J,Mov!$E:$E,$B81,Mov!$K:$K,M$3)/1000</f>
        <v>0</v>
      </c>
      <c r="N81" s="3">
        <f>SUMIFS(Mov!$J:$J,Mov!$E:$E,$B81,Mov!$K:$K,N$3)/1000</f>
        <v>0</v>
      </c>
      <c r="O81" s="3">
        <f>SUMIFS(Mov!$J:$J,Mov!$E:$E,$B81,Mov!$K:$K,O$3)/1000</f>
        <v>0</v>
      </c>
      <c r="P81" s="3">
        <f>SUMIFS(Mov!$J:$J,Mov!$E:$E,$B81,Mov!$K:$K,P$3)/1000</f>
        <v>0</v>
      </c>
      <c r="Q81" s="12">
        <f t="shared" si="59"/>
        <v>0</v>
      </c>
      <c r="R81" s="12"/>
      <c r="S81" s="12">
        <f t="shared" ca="1" si="43"/>
        <v>0</v>
      </c>
    </row>
    <row r="82" spans="1:19" ht="14.65" customHeight="1" outlineLevel="1">
      <c r="A82" s="231">
        <f t="shared" si="41"/>
        <v>0</v>
      </c>
      <c r="B82">
        <v>513595</v>
      </c>
      <c r="C82" t="s">
        <v>150</v>
      </c>
      <c r="D82" t="s">
        <v>4581</v>
      </c>
      <c r="E82" s="3">
        <f>SUMIFS(Mov!$J:$J,Mov!$E:$E,$B82,Mov!$K:$K,E$3)/1000</f>
        <v>0</v>
      </c>
      <c r="F82" s="3">
        <f>SUMIFS(Mov!$J:$J,Mov!$E:$E,$B82,Mov!$K:$K,F$3)/1000</f>
        <v>0</v>
      </c>
      <c r="G82" s="3">
        <f>SUMIFS(Mov!$J:$J,Mov!$E:$E,$B82,Mov!$K:$K,G$3)/1000</f>
        <v>0</v>
      </c>
      <c r="H82" s="3">
        <f>SUMIFS(Mov!$J:$J,Mov!$E:$E,$B82,Mov!$K:$K,H$3)/1000</f>
        <v>0</v>
      </c>
      <c r="I82" s="3">
        <f>SUMIFS(Mov!$J:$J,Mov!$E:$E,$B82,Mov!$K:$K,I$3)/1000</f>
        <v>0</v>
      </c>
      <c r="J82" s="3">
        <f>SUMIFS(Mov!$J:$J,Mov!$E:$E,$B82,Mov!$K:$K,J$3)/1000</f>
        <v>0</v>
      </c>
      <c r="K82" s="3">
        <f>SUMIFS(Mov!$J:$J,Mov!$E:$E,$B82,Mov!$K:$K,K$3)/1000</f>
        <v>0</v>
      </c>
      <c r="L82" s="3">
        <f>SUMIFS(Mov!$J:$J,Mov!$E:$E,$B82,Mov!$K:$K,L$3)/1000</f>
        <v>0</v>
      </c>
      <c r="M82" s="3">
        <f>SUMIFS(Mov!$J:$J,Mov!$E:$E,$B82,Mov!$K:$K,M$3)/1000</f>
        <v>0</v>
      </c>
      <c r="N82" s="3">
        <f>SUMIFS(Mov!$J:$J,Mov!$E:$E,$B82,Mov!$K:$K,N$3)/1000</f>
        <v>0</v>
      </c>
      <c r="O82" s="3">
        <f>SUMIFS(Mov!$J:$J,Mov!$E:$E,$B82,Mov!$K:$K,O$3)/1000</f>
        <v>0</v>
      </c>
      <c r="P82" s="3">
        <f>SUMIFS(Mov!$J:$J,Mov!$E:$E,$B82,Mov!$K:$K,P$3)/1000</f>
        <v>0</v>
      </c>
      <c r="Q82" s="12">
        <f t="shared" si="59"/>
        <v>0</v>
      </c>
      <c r="R82" s="12"/>
      <c r="S82" s="12">
        <f t="shared" ca="1" si="43"/>
        <v>0</v>
      </c>
    </row>
    <row r="83" spans="1:19" ht="14.65" customHeight="1">
      <c r="A83" s="232">
        <f>IF(SUM(A73:A82)&gt;0,1,0)</f>
        <v>1</v>
      </c>
      <c r="D83" s="64" t="s">
        <v>4582</v>
      </c>
      <c r="E83" s="65">
        <f t="shared" ref="E83:I83" si="66">SUM(E74:E82)</f>
        <v>5002.3219300000001</v>
      </c>
      <c r="F83" s="65">
        <f t="shared" si="66"/>
        <v>4479.0619099999994</v>
      </c>
      <c r="G83" s="65">
        <f t="shared" si="66"/>
        <v>5296.06574</v>
      </c>
      <c r="H83" s="65">
        <f t="shared" si="66"/>
        <v>5260.1275599999999</v>
      </c>
      <c r="I83" s="65">
        <f t="shared" si="66"/>
        <v>4939.5078099999992</v>
      </c>
      <c r="J83" s="65">
        <f t="shared" ref="J83:P83" si="67">SUM(J74:J82)</f>
        <v>4933.6538399999999</v>
      </c>
      <c r="K83" s="65">
        <f t="shared" si="67"/>
        <v>4926.5942599999998</v>
      </c>
      <c r="L83" s="65">
        <f t="shared" si="67"/>
        <v>4931.4336199999998</v>
      </c>
      <c r="M83" s="65">
        <f t="shared" si="67"/>
        <v>8842.05609</v>
      </c>
      <c r="N83" s="65">
        <f t="shared" si="67"/>
        <v>3821.8599199999999</v>
      </c>
      <c r="O83" s="65">
        <f t="shared" si="67"/>
        <v>5433.3530499999997</v>
      </c>
      <c r="P83" s="65">
        <f t="shared" si="67"/>
        <v>3816.5496200000002</v>
      </c>
      <c r="Q83" s="65">
        <f>SUM(Q74:Q82)</f>
        <v>61682.585350000008</v>
      </c>
      <c r="S83" s="65">
        <f ca="1">SUM(S74:S82)</f>
        <v>61682.585350000008</v>
      </c>
    </row>
    <row r="84" spans="1:19" ht="14.65" customHeight="1" outlineLevel="1">
      <c r="A84" s="231">
        <f t="shared" si="41"/>
        <v>0</v>
      </c>
      <c r="B84">
        <v>51400501</v>
      </c>
      <c r="C84" t="s">
        <v>1294</v>
      </c>
      <c r="D84" t="s">
        <v>4583</v>
      </c>
      <c r="E84" s="3">
        <f>SUMIFS(Mov!$J:$J,Mov!$E:$E,$B84,Mov!$K:$K,E$3)/1000</f>
        <v>0</v>
      </c>
      <c r="F84" s="3">
        <f>SUMIFS(Mov!$J:$J,Mov!$E:$E,$B84,Mov!$K:$K,F$3)/1000</f>
        <v>0</v>
      </c>
      <c r="G84" s="3">
        <f>SUMIFS(Mov!$J:$J,Mov!$E:$E,$B84,Mov!$K:$K,G$3)/1000</f>
        <v>0</v>
      </c>
      <c r="H84" s="3">
        <f>SUMIFS(Mov!$J:$J,Mov!$E:$E,$B84,Mov!$K:$K,H$3)/1000</f>
        <v>0</v>
      </c>
      <c r="I84" s="3">
        <f>SUMIFS(Mov!$J:$J,Mov!$E:$E,$B84,Mov!$K:$K,I$3)/1000</f>
        <v>0</v>
      </c>
      <c r="J84" s="3">
        <f>SUMIFS(Mov!$J:$J,Mov!$E:$E,$B84,Mov!$K:$K,J$3)/1000</f>
        <v>0</v>
      </c>
      <c r="K84" s="3">
        <f>SUMIFS(Mov!$J:$J,Mov!$E:$E,$B84,Mov!$K:$K,K$3)/1000</f>
        <v>0</v>
      </c>
      <c r="L84" s="3">
        <f>SUMIFS(Mov!$J:$J,Mov!$E:$E,$B84,Mov!$K:$K,L$3)/1000</f>
        <v>0</v>
      </c>
      <c r="M84" s="3">
        <f>SUMIFS(Mov!$J:$J,Mov!$E:$E,$B84,Mov!$K:$K,M$3)/1000</f>
        <v>0</v>
      </c>
      <c r="N84" s="3">
        <f>SUMIFS(Mov!$J:$J,Mov!$E:$E,$B84,Mov!$K:$K,N$3)/1000</f>
        <v>0</v>
      </c>
      <c r="O84" s="3">
        <f>SUMIFS(Mov!$J:$J,Mov!$E:$E,$B84,Mov!$K:$K,O$3)/1000</f>
        <v>0</v>
      </c>
      <c r="P84" s="3">
        <f>SUMIFS(Mov!$J:$J,Mov!$E:$E,$B84,Mov!$K:$K,P$3)/1000</f>
        <v>0</v>
      </c>
      <c r="Q84" s="12">
        <f t="shared" ref="Q84:Q87" si="68">SUM(E84:P84)</f>
        <v>0</v>
      </c>
      <c r="R84" s="12"/>
      <c r="S84" s="12">
        <f t="shared" ref="S84:S110" ca="1" si="69">SUM(OFFSET(E84,0,0,1,S$3))</f>
        <v>0</v>
      </c>
    </row>
    <row r="85" spans="1:19" ht="14.65" customHeight="1" outlineLevel="1">
      <c r="A85" s="231">
        <f t="shared" si="41"/>
        <v>1</v>
      </c>
      <c r="B85">
        <v>51401001</v>
      </c>
      <c r="C85" t="s">
        <v>1304</v>
      </c>
      <c r="D85" t="s">
        <v>4584</v>
      </c>
      <c r="E85" s="3">
        <f>SUMIFS(Mov!$J:$J,Mov!$E:$E,$B85,Mov!$K:$K,E$3)/1000</f>
        <v>0</v>
      </c>
      <c r="F85" s="3">
        <f>SUMIFS(Mov!$J:$J,Mov!$E:$E,$B85,Mov!$K:$K,F$3)/1000</f>
        <v>0</v>
      </c>
      <c r="G85" s="3">
        <f>SUMIFS(Mov!$J:$J,Mov!$E:$E,$B85,Mov!$K:$K,G$3)/1000</f>
        <v>1480.2</v>
      </c>
      <c r="H85" s="3">
        <f>SUMIFS(Mov!$J:$J,Mov!$E:$E,$B85,Mov!$K:$K,H$3)/1000</f>
        <v>0</v>
      </c>
      <c r="I85" s="3">
        <f>SUMIFS(Mov!$J:$J,Mov!$E:$E,$B85,Mov!$K:$K,I$3)/1000</f>
        <v>0</v>
      </c>
      <c r="J85" s="3">
        <f>SUMIFS(Mov!$J:$J,Mov!$E:$E,$B85,Mov!$K:$K,J$3)/1000</f>
        <v>0</v>
      </c>
      <c r="K85" s="3">
        <f>SUMIFS(Mov!$J:$J,Mov!$E:$E,$B85,Mov!$K:$K,K$3)/1000</f>
        <v>0</v>
      </c>
      <c r="L85" s="3">
        <f>SUMIFS(Mov!$J:$J,Mov!$E:$E,$B85,Mov!$K:$K,L$3)/1000</f>
        <v>0</v>
      </c>
      <c r="M85" s="3">
        <f>SUMIFS(Mov!$J:$J,Mov!$E:$E,$B85,Mov!$K:$K,M$3)/1000</f>
        <v>0</v>
      </c>
      <c r="N85" s="3">
        <f>SUMIFS(Mov!$J:$J,Mov!$E:$E,$B85,Mov!$K:$K,N$3)/1000</f>
        <v>0</v>
      </c>
      <c r="O85" s="3">
        <f>SUMIFS(Mov!$J:$J,Mov!$E:$E,$B85,Mov!$K:$K,O$3)/1000</f>
        <v>0</v>
      </c>
      <c r="P85" s="3">
        <f>SUMIFS(Mov!$J:$J,Mov!$E:$E,$B85,Mov!$K:$K,P$3)/1000</f>
        <v>0</v>
      </c>
      <c r="Q85" s="12">
        <f t="shared" si="68"/>
        <v>1480.2</v>
      </c>
      <c r="R85" s="12"/>
      <c r="S85" s="12">
        <f t="shared" ref="S85" ca="1" si="70">SUM(OFFSET(E85,0,0,1,S$3))</f>
        <v>1480.2</v>
      </c>
    </row>
    <row r="86" spans="1:19" ht="14.65" customHeight="1" outlineLevel="1">
      <c r="A86" s="231">
        <f t="shared" si="41"/>
        <v>1</v>
      </c>
      <c r="B86">
        <v>51401002</v>
      </c>
      <c r="C86" t="s">
        <v>1304</v>
      </c>
      <c r="D86" t="s">
        <v>4584</v>
      </c>
      <c r="E86" s="3">
        <f>SUMIFS(Mov!$J:$J,Mov!$E:$E,$B86,Mov!$K:$K,E$3)/1000</f>
        <v>7.9</v>
      </c>
      <c r="F86" s="3">
        <f>SUMIFS(Mov!$J:$J,Mov!$E:$E,$B86,Mov!$K:$K,F$3)/1000</f>
        <v>0</v>
      </c>
      <c r="G86" s="3">
        <f>SUMIFS(Mov!$J:$J,Mov!$E:$E,$B86,Mov!$K:$K,G$3)/1000</f>
        <v>0</v>
      </c>
      <c r="H86" s="3">
        <f>SUMIFS(Mov!$J:$J,Mov!$E:$E,$B86,Mov!$K:$K,H$3)/1000</f>
        <v>7.2</v>
      </c>
      <c r="I86" s="3">
        <f>SUMIFS(Mov!$J:$J,Mov!$E:$E,$B86,Mov!$K:$K,I$3)/1000</f>
        <v>0</v>
      </c>
      <c r="J86" s="3">
        <f>SUMIFS(Mov!$J:$J,Mov!$E:$E,$B86,Mov!$K:$K,J$3)/1000</f>
        <v>7.2</v>
      </c>
      <c r="K86" s="3">
        <f>SUMIFS(Mov!$J:$J,Mov!$E:$E,$B86,Mov!$K:$K,K$3)/1000</f>
        <v>7.2</v>
      </c>
      <c r="L86" s="3">
        <f>SUMIFS(Mov!$J:$J,Mov!$E:$E,$B86,Mov!$K:$K,L$3)/1000</f>
        <v>0</v>
      </c>
      <c r="M86" s="3">
        <f>SUMIFS(Mov!$J:$J,Mov!$E:$E,$B86,Mov!$K:$K,M$3)/1000</f>
        <v>0</v>
      </c>
      <c r="N86" s="3">
        <f>SUMIFS(Mov!$J:$J,Mov!$E:$E,$B86,Mov!$K:$K,N$3)/1000</f>
        <v>1232.2</v>
      </c>
      <c r="O86" s="3">
        <f>SUMIFS(Mov!$J:$J,Mov!$E:$E,$B86,Mov!$K:$K,O$3)/1000</f>
        <v>47.8</v>
      </c>
      <c r="P86" s="3">
        <f>SUMIFS(Mov!$J:$J,Mov!$E:$E,$B86,Mov!$K:$K,P$3)/1000</f>
        <v>14.4</v>
      </c>
      <c r="Q86" s="12">
        <f t="shared" ref="Q86" si="71">SUM(E86:P86)</f>
        <v>1323.9</v>
      </c>
      <c r="R86" s="12"/>
      <c r="S86" s="12">
        <f t="shared" ca="1" si="69"/>
        <v>1323.9</v>
      </c>
    </row>
    <row r="87" spans="1:19" ht="14.65" customHeight="1" outlineLevel="1">
      <c r="A87" s="231">
        <f t="shared" si="41"/>
        <v>0</v>
      </c>
      <c r="B87">
        <v>514015</v>
      </c>
      <c r="C87" t="s">
        <v>1306</v>
      </c>
      <c r="D87" t="s">
        <v>4584</v>
      </c>
      <c r="E87" s="3">
        <f>SUMIFS(Mov!$J:$J,Mov!$E:$E,$B87,Mov!$K:$K,E$3)/1000</f>
        <v>0</v>
      </c>
      <c r="F87" s="3">
        <f>SUMIFS(Mov!$J:$J,Mov!$E:$E,$B87,Mov!$K:$K,F$3)/1000</f>
        <v>0</v>
      </c>
      <c r="G87" s="3">
        <f>SUMIFS(Mov!$J:$J,Mov!$E:$E,$B87,Mov!$K:$K,G$3)/1000</f>
        <v>0</v>
      </c>
      <c r="H87" s="3">
        <f>SUMIFS(Mov!$J:$J,Mov!$E:$E,$B87,Mov!$K:$K,H$3)/1000</f>
        <v>0</v>
      </c>
      <c r="I87" s="3">
        <f>SUMIFS(Mov!$J:$J,Mov!$E:$E,$B87,Mov!$K:$K,I$3)/1000</f>
        <v>0</v>
      </c>
      <c r="J87" s="3">
        <f>SUMIFS(Mov!$J:$J,Mov!$E:$E,$B87,Mov!$K:$K,J$3)/1000</f>
        <v>0</v>
      </c>
      <c r="K87" s="3">
        <f>SUMIFS(Mov!$J:$J,Mov!$E:$E,$B87,Mov!$K:$K,K$3)/1000</f>
        <v>0</v>
      </c>
      <c r="L87" s="3">
        <f>SUMIFS(Mov!$J:$J,Mov!$E:$E,$B87,Mov!$K:$K,L$3)/1000</f>
        <v>0</v>
      </c>
      <c r="M87" s="3">
        <f>SUMIFS(Mov!$J:$J,Mov!$E:$E,$B87,Mov!$K:$K,M$3)/1000</f>
        <v>0</v>
      </c>
      <c r="N87" s="3">
        <f>SUMIFS(Mov!$J:$J,Mov!$E:$E,$B87,Mov!$K:$K,N$3)/1000</f>
        <v>0</v>
      </c>
      <c r="O87" s="3">
        <f>SUMIFS(Mov!$J:$J,Mov!$E:$E,$B87,Mov!$K:$K,O$3)/1000</f>
        <v>0</v>
      </c>
      <c r="P87" s="3">
        <f>SUMIFS(Mov!$J:$J,Mov!$E:$E,$B87,Mov!$K:$K,P$3)/1000</f>
        <v>0</v>
      </c>
      <c r="Q87" s="12">
        <f t="shared" si="68"/>
        <v>0</v>
      </c>
      <c r="R87" s="12"/>
      <c r="S87" s="12">
        <f t="shared" ca="1" si="69"/>
        <v>0</v>
      </c>
    </row>
    <row r="88" spans="1:19" ht="14.65" customHeight="1" outlineLevel="1">
      <c r="A88" s="231">
        <f t="shared" ref="A88" si="72">IF(AND(E88=0,F88=0,G88=0,H88=0,I88=0,J88=0,K88=0,L88=0,M88=0,N88=0,O88=0,P88=0),0,1)</f>
        <v>1</v>
      </c>
      <c r="B88">
        <v>51409501</v>
      </c>
      <c r="C88" t="s">
        <v>1743</v>
      </c>
      <c r="D88" t="s">
        <v>4584</v>
      </c>
      <c r="E88" s="3">
        <f>SUMIFS(Mov!$J:$J,Mov!$E:$E,$B88,Mov!$K:$K,E$3)/1000</f>
        <v>0</v>
      </c>
      <c r="F88" s="3">
        <f>SUMIFS(Mov!$J:$J,Mov!$E:$E,$B88,Mov!$K:$K,F$3)/1000</f>
        <v>0</v>
      </c>
      <c r="G88" s="3">
        <f>SUMIFS(Mov!$J:$J,Mov!$E:$E,$B88,Mov!$K:$K,G$3)/1000</f>
        <v>37</v>
      </c>
      <c r="H88" s="3">
        <f>SUMIFS(Mov!$J:$J,Mov!$E:$E,$B88,Mov!$K:$K,H$3)/1000</f>
        <v>0</v>
      </c>
      <c r="I88" s="3">
        <f>SUMIFS(Mov!$J:$J,Mov!$E:$E,$B88,Mov!$K:$K,I$3)/1000</f>
        <v>0</v>
      </c>
      <c r="J88" s="3">
        <f>SUMIFS(Mov!$J:$J,Mov!$E:$E,$B88,Mov!$K:$K,J$3)/1000</f>
        <v>0</v>
      </c>
      <c r="K88" s="3">
        <f>SUMIFS(Mov!$J:$J,Mov!$E:$E,$B88,Mov!$K:$K,K$3)/1000</f>
        <v>0</v>
      </c>
      <c r="L88" s="3">
        <f>SUMIFS(Mov!$J:$J,Mov!$E:$E,$B88,Mov!$K:$K,L$3)/1000</f>
        <v>0</v>
      </c>
      <c r="M88" s="3">
        <f>SUMIFS(Mov!$J:$J,Mov!$E:$E,$B88,Mov!$K:$K,M$3)/1000</f>
        <v>0</v>
      </c>
      <c r="N88" s="3">
        <f>SUMIFS(Mov!$J:$J,Mov!$E:$E,$B88,Mov!$K:$K,N$3)/1000</f>
        <v>0</v>
      </c>
      <c r="O88" s="3">
        <f>SUMIFS(Mov!$J:$J,Mov!$E:$E,$B88,Mov!$K:$K,O$3)/1000</f>
        <v>0</v>
      </c>
      <c r="P88" s="3">
        <f>SUMIFS(Mov!$J:$J,Mov!$E:$E,$B88,Mov!$K:$K,P$3)/1000</f>
        <v>0</v>
      </c>
      <c r="Q88" s="12">
        <f t="shared" ref="Q88" si="73">SUM(E88:P88)</f>
        <v>37</v>
      </c>
      <c r="R88" s="12"/>
      <c r="S88" s="12">
        <f t="shared" ref="S88" ca="1" si="74">SUM(OFFSET(E88,0,0,1,S$3))</f>
        <v>37</v>
      </c>
    </row>
    <row r="89" spans="1:19" ht="14.65" customHeight="1" outlineLevel="1">
      <c r="A89" s="231">
        <f t="shared" si="41"/>
        <v>0</v>
      </c>
      <c r="B89">
        <v>514520</v>
      </c>
      <c r="C89" t="s">
        <v>1193</v>
      </c>
      <c r="D89" t="s">
        <v>4585</v>
      </c>
      <c r="E89" s="3">
        <f>SUMIFS(Mov!$J:$J,Mov!$E:$E,$B89,Mov!$K:$K,E$3)/1000</f>
        <v>0</v>
      </c>
      <c r="F89" s="3">
        <f>SUMIFS(Mov!$J:$J,Mov!$E:$E,$B89,Mov!$K:$K,F$3)/1000</f>
        <v>0</v>
      </c>
      <c r="G89" s="3">
        <f>SUMIFS(Mov!$J:$J,Mov!$E:$E,$B89,Mov!$K:$K,G$3)/1000</f>
        <v>0</v>
      </c>
      <c r="H89" s="3">
        <f>SUMIFS(Mov!$J:$J,Mov!$E:$E,$B89,Mov!$K:$K,H$3)/1000</f>
        <v>0</v>
      </c>
      <c r="I89" s="3">
        <f>SUMIFS(Mov!$J:$J,Mov!$E:$E,$B89,Mov!$K:$K,I$3)/1000</f>
        <v>0</v>
      </c>
      <c r="J89" s="3">
        <f>SUMIFS(Mov!$J:$J,Mov!$E:$E,$B89,Mov!$K:$K,J$3)/1000</f>
        <v>0</v>
      </c>
      <c r="K89" s="3">
        <f>SUMIFS(Mov!$J:$J,Mov!$E:$E,$B89,Mov!$K:$K,K$3)/1000</f>
        <v>0</v>
      </c>
      <c r="L89" s="3">
        <f>SUMIFS(Mov!$J:$J,Mov!$E:$E,$B89,Mov!$K:$K,L$3)/1000</f>
        <v>0</v>
      </c>
      <c r="M89" s="3">
        <f>SUMIFS(Mov!$J:$J,Mov!$E:$E,$B89,Mov!$K:$K,M$3)/1000</f>
        <v>0</v>
      </c>
      <c r="N89" s="3">
        <f>SUMIFS(Mov!$J:$J,Mov!$E:$E,$B89,Mov!$K:$K,N$3)/1000</f>
        <v>0</v>
      </c>
      <c r="O89" s="3">
        <f>SUMIFS(Mov!$J:$J,Mov!$E:$E,$B89,Mov!$K:$K,O$3)/1000</f>
        <v>0</v>
      </c>
      <c r="P89" s="3">
        <f>SUMIFS(Mov!$J:$J,Mov!$E:$E,$B89,Mov!$K:$K,P$3)/1000</f>
        <v>0</v>
      </c>
      <c r="Q89" s="12">
        <f>SUM(E89:P89)</f>
        <v>0</v>
      </c>
      <c r="R89" s="12"/>
      <c r="S89" s="12">
        <f ca="1">SUM(OFFSET(E89,0,0,1,S$3))</f>
        <v>0</v>
      </c>
    </row>
    <row r="90" spans="1:19" ht="14.65" customHeight="1" outlineLevel="1">
      <c r="A90" s="231">
        <f t="shared" si="41"/>
        <v>0</v>
      </c>
      <c r="B90">
        <v>51700501</v>
      </c>
      <c r="C90" t="s">
        <v>1393</v>
      </c>
      <c r="D90" t="s">
        <v>4586</v>
      </c>
      <c r="E90" s="3">
        <f>SUMIFS(Mov!$J:$J,Mov!$E:$E,$B90,Mov!$K:$K,E$3)/1000</f>
        <v>0</v>
      </c>
      <c r="F90" s="3">
        <f>SUMIFS(Mov!$J:$J,Mov!$E:$E,$B90,Mov!$K:$K,F$3)/1000</f>
        <v>0</v>
      </c>
      <c r="G90" s="3">
        <f>SUMIFS(Mov!$J:$J,Mov!$E:$E,$B90,Mov!$K:$K,G$3)/1000</f>
        <v>0</v>
      </c>
      <c r="H90" s="3">
        <f>SUMIFS(Mov!$J:$J,Mov!$E:$E,$B90,Mov!$K:$K,H$3)/1000</f>
        <v>0</v>
      </c>
      <c r="I90" s="3">
        <f>SUMIFS(Mov!$J:$J,Mov!$E:$E,$B90,Mov!$K:$K,I$3)/1000</f>
        <v>0</v>
      </c>
      <c r="J90" s="3">
        <f>SUMIFS(Mov!$J:$J,Mov!$E:$E,$B90,Mov!$K:$K,J$3)/1000</f>
        <v>0</v>
      </c>
      <c r="K90" s="3">
        <f>SUMIFS(Mov!$J:$J,Mov!$E:$E,$B90,Mov!$K:$K,K$3)/1000</f>
        <v>0</v>
      </c>
      <c r="L90" s="3">
        <f>SUMIFS(Mov!$J:$J,Mov!$E:$E,$B90,Mov!$K:$K,L$3)/1000</f>
        <v>0</v>
      </c>
      <c r="M90" s="3">
        <f>SUMIFS(Mov!$J:$J,Mov!$E:$E,$B90,Mov!$K:$K,M$3)/1000</f>
        <v>0</v>
      </c>
      <c r="N90" s="3">
        <f>SUMIFS(Mov!$J:$J,Mov!$E:$E,$B90,Mov!$K:$K,N$3)/1000</f>
        <v>0</v>
      </c>
      <c r="O90" s="3">
        <f>SUMIFS(Mov!$J:$J,Mov!$E:$E,$B90,Mov!$K:$K,O$3)/1000</f>
        <v>0</v>
      </c>
      <c r="P90" s="3">
        <f>SUMIFS(Mov!$J:$J,Mov!$E:$E,$B90,Mov!$K:$K,P$3)/1000</f>
        <v>0</v>
      </c>
      <c r="Q90" s="12">
        <f t="shared" ref="Q90:Q94" si="75">SUM(E90:P90)</f>
        <v>0</v>
      </c>
      <c r="R90" s="12"/>
      <c r="S90" s="12">
        <f t="shared" ref="S90:S91" ca="1" si="76">SUM(OFFSET(E90,0,0,1,S$3))</f>
        <v>0</v>
      </c>
    </row>
    <row r="91" spans="1:19" ht="14.65" customHeight="1" outlineLevel="1">
      <c r="A91" s="231">
        <f t="shared" si="41"/>
        <v>1</v>
      </c>
      <c r="B91">
        <v>51700502</v>
      </c>
      <c r="C91" t="s">
        <v>1395</v>
      </c>
      <c r="D91" t="s">
        <v>4587</v>
      </c>
      <c r="E91" s="3">
        <f>SUMIFS(Mov!$J:$J,Mov!$E:$E,$B91,Mov!$K:$K,E$3)/1000</f>
        <v>0</v>
      </c>
      <c r="F91" s="3">
        <f>SUMIFS(Mov!$J:$J,Mov!$E:$E,$B91,Mov!$K:$K,F$3)/1000</f>
        <v>0</v>
      </c>
      <c r="G91" s="3">
        <f>SUMIFS(Mov!$J:$J,Mov!$E:$E,$B91,Mov!$K:$K,G$3)/1000</f>
        <v>0</v>
      </c>
      <c r="H91" s="3">
        <f>SUMIFS(Mov!$J:$J,Mov!$E:$E,$B91,Mov!$K:$K,H$3)/1000</f>
        <v>0</v>
      </c>
      <c r="I91" s="3">
        <f>SUMIFS(Mov!$J:$J,Mov!$E:$E,$B91,Mov!$K:$K,I$3)/1000</f>
        <v>0</v>
      </c>
      <c r="J91" s="3">
        <f>SUMIFS(Mov!$J:$J,Mov!$E:$E,$B91,Mov!$K:$K,J$3)/1000</f>
        <v>0</v>
      </c>
      <c r="K91" s="3">
        <f>SUMIFS(Mov!$J:$J,Mov!$E:$E,$B91,Mov!$K:$K,K$3)/1000</f>
        <v>0</v>
      </c>
      <c r="L91" s="3">
        <f>SUMIFS(Mov!$J:$J,Mov!$E:$E,$B91,Mov!$K:$K,L$3)/1000</f>
        <v>0</v>
      </c>
      <c r="M91" s="3">
        <f>SUMIFS(Mov!$J:$J,Mov!$E:$E,$B91,Mov!$K:$K,M$3)/1000</f>
        <v>172.261</v>
      </c>
      <c r="N91" s="3">
        <f>SUMIFS(Mov!$J:$J,Mov!$E:$E,$B91,Mov!$K:$K,N$3)/1000</f>
        <v>0</v>
      </c>
      <c r="O91" s="3">
        <f>SUMIFS(Mov!$J:$J,Mov!$E:$E,$B91,Mov!$K:$K,O$3)/1000</f>
        <v>0</v>
      </c>
      <c r="P91" s="3">
        <f>SUMIFS(Mov!$J:$J,Mov!$E:$E,$B91,Mov!$K:$K,P$3)/1000</f>
        <v>379.13400000000001</v>
      </c>
      <c r="Q91" s="12">
        <f t="shared" si="75"/>
        <v>551.39499999999998</v>
      </c>
      <c r="R91" s="12"/>
      <c r="S91" s="12">
        <f t="shared" ca="1" si="76"/>
        <v>551.39499999999998</v>
      </c>
    </row>
    <row r="92" spans="1:19" ht="14.65" customHeight="1" outlineLevel="1">
      <c r="A92" s="231">
        <f t="shared" si="41"/>
        <v>1</v>
      </c>
      <c r="B92">
        <v>51700503</v>
      </c>
      <c r="C92" t="s">
        <v>1397</v>
      </c>
      <c r="D92" t="s">
        <v>4587</v>
      </c>
      <c r="E92" s="3">
        <f>SUMIFS(Mov!$J:$J,Mov!$E:$E,$B92,Mov!$K:$K,E$3)/1000</f>
        <v>330</v>
      </c>
      <c r="F92" s="3">
        <f>SUMIFS(Mov!$J:$J,Mov!$E:$E,$B92,Mov!$K:$K,F$3)/1000</f>
        <v>330</v>
      </c>
      <c r="G92" s="3">
        <f>SUMIFS(Mov!$J:$J,Mov!$E:$E,$B92,Mov!$K:$K,G$3)/1000</f>
        <v>419.95</v>
      </c>
      <c r="H92" s="3">
        <f>SUMIFS(Mov!$J:$J,Mov!$E:$E,$B92,Mov!$K:$K,H$3)/1000</f>
        <v>330</v>
      </c>
      <c r="I92" s="3">
        <f>SUMIFS(Mov!$J:$J,Mov!$E:$E,$B92,Mov!$K:$K,I$3)/1000</f>
        <v>330</v>
      </c>
      <c r="J92" s="3">
        <f>SUMIFS(Mov!$J:$J,Mov!$E:$E,$B92,Mov!$K:$K,J$3)/1000</f>
        <v>330</v>
      </c>
      <c r="K92" s="3">
        <f>SUMIFS(Mov!$J:$J,Mov!$E:$E,$B92,Mov!$K:$K,K$3)/1000</f>
        <v>330</v>
      </c>
      <c r="L92" s="3">
        <f>SUMIFS(Mov!$J:$J,Mov!$E:$E,$B92,Mov!$K:$K,L$3)/1000</f>
        <v>330</v>
      </c>
      <c r="M92" s="3">
        <f>SUMIFS(Mov!$J:$J,Mov!$E:$E,$B92,Mov!$K:$K,M$3)/1000</f>
        <v>330</v>
      </c>
      <c r="N92" s="3">
        <f>SUMIFS(Mov!$J:$J,Mov!$E:$E,$B92,Mov!$K:$K,N$3)/1000</f>
        <v>330</v>
      </c>
      <c r="O92" s="3">
        <f>SUMIFS(Mov!$J:$J,Mov!$E:$E,$B92,Mov!$K:$K,O$3)/1000</f>
        <v>350</v>
      </c>
      <c r="P92" s="3">
        <f>SUMIFS(Mov!$J:$J,Mov!$E:$E,$B92,Mov!$K:$K,P$3)/1000</f>
        <v>710</v>
      </c>
      <c r="Q92" s="12">
        <f t="shared" si="75"/>
        <v>4449.95</v>
      </c>
      <c r="R92" s="12"/>
      <c r="S92" s="12">
        <f t="shared" ref="S92" ca="1" si="77">SUM(OFFSET(E92,0,0,1,S$3))</f>
        <v>4449.95</v>
      </c>
    </row>
    <row r="93" spans="1:19" ht="14.65" customHeight="1" outlineLevel="1">
      <c r="A93" s="231">
        <f t="shared" si="41"/>
        <v>0</v>
      </c>
      <c r="B93">
        <v>51701001</v>
      </c>
      <c r="C93" t="s">
        <v>404</v>
      </c>
      <c r="D93" t="s">
        <v>4585</v>
      </c>
      <c r="E93" s="3">
        <f>SUMIFS(Mov!$J:$J,Mov!$E:$E,$B93,Mov!$K:$K,E$3)/1000</f>
        <v>0</v>
      </c>
      <c r="F93" s="3">
        <f>SUMIFS(Mov!$J:$J,Mov!$E:$E,$B93,Mov!$K:$K,F$3)/1000</f>
        <v>0</v>
      </c>
      <c r="G93" s="3">
        <f>SUMIFS(Mov!$J:$J,Mov!$E:$E,$B93,Mov!$K:$K,G$3)/1000</f>
        <v>0</v>
      </c>
      <c r="H93" s="3">
        <f>SUMIFS(Mov!$J:$J,Mov!$E:$E,$B93,Mov!$K:$K,H$3)/1000</f>
        <v>0</v>
      </c>
      <c r="I93" s="3">
        <f>SUMIFS(Mov!$J:$J,Mov!$E:$E,$B93,Mov!$K:$K,I$3)/1000</f>
        <v>0</v>
      </c>
      <c r="J93" s="3">
        <f>SUMIFS(Mov!$J:$J,Mov!$E:$E,$B93,Mov!$K:$K,J$3)/1000</f>
        <v>0</v>
      </c>
      <c r="K93" s="3">
        <f>SUMIFS(Mov!$J:$J,Mov!$E:$E,$B93,Mov!$K:$K,K$3)/1000</f>
        <v>0</v>
      </c>
      <c r="L93" s="3">
        <f>SUMIFS(Mov!$J:$J,Mov!$E:$E,$B93,Mov!$K:$K,L$3)/1000</f>
        <v>0</v>
      </c>
      <c r="M93" s="3">
        <f>SUMIFS(Mov!$J:$J,Mov!$E:$E,$B93,Mov!$K:$K,M$3)/1000</f>
        <v>0</v>
      </c>
      <c r="N93" s="3">
        <f>SUMIFS(Mov!$J:$J,Mov!$E:$E,$B93,Mov!$K:$K,N$3)/1000</f>
        <v>0</v>
      </c>
      <c r="O93" s="3">
        <f>SUMIFS(Mov!$J:$J,Mov!$E:$E,$B93,Mov!$K:$K,O$3)/1000</f>
        <v>0</v>
      </c>
      <c r="P93" s="3">
        <f>SUMIFS(Mov!$J:$J,Mov!$E:$E,$B93,Mov!$K:$K,P$3)/1000</f>
        <v>0</v>
      </c>
      <c r="Q93" s="12">
        <f t="shared" si="75"/>
        <v>0</v>
      </c>
      <c r="R93" s="12"/>
      <c r="S93" s="12">
        <f t="shared" ref="S93:S94" ca="1" si="78">SUM(OFFSET(E93,0,0,1,S$3))</f>
        <v>0</v>
      </c>
    </row>
    <row r="94" spans="1:19" ht="14.65" customHeight="1" outlineLevel="1">
      <c r="A94" s="231">
        <f t="shared" si="41"/>
        <v>0</v>
      </c>
      <c r="B94">
        <v>51701002</v>
      </c>
      <c r="C94" t="s">
        <v>419</v>
      </c>
      <c r="D94" t="s">
        <v>4588</v>
      </c>
      <c r="E94" s="3">
        <f>SUMIFS(Mov!$J:$J,Mov!$E:$E,$B94,Mov!$K:$K,E$3)/1000</f>
        <v>0</v>
      </c>
      <c r="F94" s="3">
        <f>SUMIFS(Mov!$J:$J,Mov!$E:$E,$B94,Mov!$K:$K,F$3)/1000</f>
        <v>0</v>
      </c>
      <c r="G94" s="3">
        <f>SUMIFS(Mov!$J:$J,Mov!$E:$E,$B94,Mov!$K:$K,G$3)/1000</f>
        <v>0</v>
      </c>
      <c r="H94" s="3">
        <f>SUMIFS(Mov!$J:$J,Mov!$E:$E,$B94,Mov!$K:$K,H$3)/1000</f>
        <v>0</v>
      </c>
      <c r="I94" s="3">
        <f>SUMIFS(Mov!$J:$J,Mov!$E:$E,$B94,Mov!$K:$K,I$3)/1000</f>
        <v>0</v>
      </c>
      <c r="J94" s="3">
        <f>SUMIFS(Mov!$J:$J,Mov!$E:$E,$B94,Mov!$K:$K,J$3)/1000</f>
        <v>0</v>
      </c>
      <c r="K94" s="3">
        <f>SUMIFS(Mov!$J:$J,Mov!$E:$E,$B94,Mov!$K:$K,K$3)/1000</f>
        <v>0</v>
      </c>
      <c r="L94" s="3">
        <f>SUMIFS(Mov!$J:$J,Mov!$E:$E,$B94,Mov!$K:$K,L$3)/1000</f>
        <v>0</v>
      </c>
      <c r="M94" s="3">
        <f>SUMIFS(Mov!$J:$J,Mov!$E:$E,$B94,Mov!$K:$K,M$3)/1000</f>
        <v>0</v>
      </c>
      <c r="N94" s="3">
        <f>SUMIFS(Mov!$J:$J,Mov!$E:$E,$B94,Mov!$K:$K,N$3)/1000</f>
        <v>0</v>
      </c>
      <c r="O94" s="3">
        <f>SUMIFS(Mov!$J:$J,Mov!$E:$E,$B94,Mov!$K:$K,O$3)/1000</f>
        <v>0</v>
      </c>
      <c r="P94" s="3">
        <f>SUMIFS(Mov!$J:$J,Mov!$E:$E,$B94,Mov!$K:$K,P$3)/1000</f>
        <v>0</v>
      </c>
      <c r="Q94" s="12">
        <f t="shared" si="75"/>
        <v>0</v>
      </c>
      <c r="R94" s="12"/>
      <c r="S94" s="12">
        <f t="shared" ca="1" si="78"/>
        <v>0</v>
      </c>
    </row>
    <row r="95" spans="1:19" ht="14.65" customHeight="1" outlineLevel="1">
      <c r="A95" s="231">
        <f t="shared" si="41"/>
        <v>0</v>
      </c>
      <c r="B95">
        <v>519510</v>
      </c>
      <c r="C95" t="s">
        <v>455</v>
      </c>
      <c r="D95" t="s">
        <v>4584</v>
      </c>
      <c r="E95" s="3">
        <f>SUMIFS(Mov!$J:$J,Mov!$E:$E,$B95,Mov!$K:$K,E$3)/1000</f>
        <v>0</v>
      </c>
      <c r="F95" s="3">
        <f>SUMIFS(Mov!$J:$J,Mov!$E:$E,$B95,Mov!$K:$K,F$3)/1000</f>
        <v>0</v>
      </c>
      <c r="G95" s="3">
        <f>SUMIFS(Mov!$J:$J,Mov!$E:$E,$B95,Mov!$K:$K,G$3)/1000</f>
        <v>0</v>
      </c>
      <c r="H95" s="3">
        <f>SUMIFS(Mov!$J:$J,Mov!$E:$E,$B95,Mov!$K:$K,H$3)/1000</f>
        <v>0</v>
      </c>
      <c r="I95" s="3">
        <f>SUMIFS(Mov!$J:$J,Mov!$E:$E,$B95,Mov!$K:$K,I$3)/1000</f>
        <v>0</v>
      </c>
      <c r="J95" s="3">
        <f>SUMIFS(Mov!$J:$J,Mov!$E:$E,$B95,Mov!$K:$K,J$3)/1000</f>
        <v>0</v>
      </c>
      <c r="K95" s="3">
        <f>SUMIFS(Mov!$J:$J,Mov!$E:$E,$B95,Mov!$K:$K,K$3)/1000</f>
        <v>0</v>
      </c>
      <c r="L95" s="3">
        <f>SUMIFS(Mov!$J:$J,Mov!$E:$E,$B95,Mov!$K:$K,L$3)/1000</f>
        <v>0</v>
      </c>
      <c r="M95" s="3">
        <f>SUMIFS(Mov!$J:$J,Mov!$E:$E,$B95,Mov!$K:$K,M$3)/1000</f>
        <v>0</v>
      </c>
      <c r="N95" s="3">
        <f>SUMIFS(Mov!$J:$J,Mov!$E:$E,$B95,Mov!$K:$K,N$3)/1000</f>
        <v>0</v>
      </c>
      <c r="O95" s="3">
        <f>SUMIFS(Mov!$J:$J,Mov!$E:$E,$B95,Mov!$K:$K,O$3)/1000</f>
        <v>0</v>
      </c>
      <c r="P95" s="3">
        <f>SUMIFS(Mov!$J:$J,Mov!$E:$E,$B95,Mov!$K:$K,P$3)/1000</f>
        <v>0</v>
      </c>
      <c r="Q95" s="12">
        <f>SUM(E95:P95)</f>
        <v>0</v>
      </c>
      <c r="R95" s="12"/>
      <c r="S95" s="12">
        <f ca="1">SUM(OFFSET(E95,0,0,1,S$3))</f>
        <v>0</v>
      </c>
    </row>
    <row r="96" spans="1:19" ht="14.65" customHeight="1" outlineLevel="1">
      <c r="A96" s="231">
        <f t="shared" si="41"/>
        <v>1</v>
      </c>
      <c r="B96">
        <v>51953001</v>
      </c>
      <c r="C96" t="s">
        <v>1416</v>
      </c>
      <c r="D96" t="s">
        <v>4589</v>
      </c>
      <c r="E96" s="3">
        <f>SUMIFS(Mov!$J:$J,Mov!$E:$E,$B96,Mov!$K:$K,E$3)/1000</f>
        <v>429.1</v>
      </c>
      <c r="F96" s="3">
        <f>SUMIFS(Mov!$J:$J,Mov!$E:$E,$B96,Mov!$K:$K,F$3)/1000</f>
        <v>510.62900000000002</v>
      </c>
      <c r="G96" s="3">
        <f>SUMIFS(Mov!$J:$J,Mov!$E:$E,$B96,Mov!$K:$K,G$3)/1000</f>
        <v>0</v>
      </c>
      <c r="H96" s="3">
        <f>SUMIFS(Mov!$J:$J,Mov!$E:$E,$B96,Mov!$K:$K,H$3)/1000</f>
        <v>0</v>
      </c>
      <c r="I96" s="3">
        <f>SUMIFS(Mov!$J:$J,Mov!$E:$E,$B96,Mov!$K:$K,I$3)/1000</f>
        <v>0</v>
      </c>
      <c r="J96" s="3">
        <f>SUMIFS(Mov!$J:$J,Mov!$E:$E,$B96,Mov!$K:$K,J$3)/1000</f>
        <v>429.1</v>
      </c>
      <c r="K96" s="3">
        <f>SUMIFS(Mov!$J:$J,Mov!$E:$E,$B96,Mov!$K:$K,K$3)/1000</f>
        <v>0</v>
      </c>
      <c r="L96" s="3">
        <f>SUMIFS(Mov!$J:$J,Mov!$E:$E,$B96,Mov!$K:$K,L$3)/1000</f>
        <v>429.1</v>
      </c>
      <c r="M96" s="3">
        <f>SUMIFS(Mov!$J:$J,Mov!$E:$E,$B96,Mov!$K:$K,M$3)/1000</f>
        <v>0</v>
      </c>
      <c r="N96" s="3">
        <f>SUMIFS(Mov!$J:$J,Mov!$E:$E,$B96,Mov!$K:$K,N$3)/1000</f>
        <v>429.1</v>
      </c>
      <c r="O96" s="3">
        <f>SUMIFS(Mov!$J:$J,Mov!$E:$E,$B96,Mov!$K:$K,O$3)/1000</f>
        <v>0</v>
      </c>
      <c r="P96" s="3">
        <f>SUMIFS(Mov!$J:$J,Mov!$E:$E,$B96,Mov!$K:$K,P$3)/1000</f>
        <v>0</v>
      </c>
      <c r="Q96" s="12">
        <f t="shared" ref="Q96" si="79">SUM(E96:P96)</f>
        <v>2227.029</v>
      </c>
      <c r="R96" s="12"/>
      <c r="S96" s="12">
        <f t="shared" ca="1" si="69"/>
        <v>2227.029</v>
      </c>
    </row>
    <row r="97" spans="1:19" ht="14.65" customHeight="1" outlineLevel="1">
      <c r="A97" s="231">
        <f t="shared" si="41"/>
        <v>1</v>
      </c>
      <c r="B97">
        <v>51952501</v>
      </c>
      <c r="C97" t="s">
        <v>1412</v>
      </c>
      <c r="D97" t="s">
        <v>4590</v>
      </c>
      <c r="E97" s="3">
        <f>SUMIFS(Mov!$J:$J,Mov!$E:$E,$B97,Mov!$K:$K,E$3)/1000</f>
        <v>2301.5</v>
      </c>
      <c r="F97" s="3">
        <f>SUMIFS(Mov!$J:$J,Mov!$E:$E,$B97,Mov!$K:$K,F$3)/1000</f>
        <v>1678.9349999999999</v>
      </c>
      <c r="G97" s="3">
        <f>SUMIFS(Mov!$J:$J,Mov!$E:$E,$B97,Mov!$K:$K,G$3)/1000</f>
        <v>1331.7349999999999</v>
      </c>
      <c r="H97" s="3">
        <f>SUMIFS(Mov!$J:$J,Mov!$E:$E,$B97,Mov!$K:$K,H$3)/1000</f>
        <v>1516.5219999999999</v>
      </c>
      <c r="I97" s="3">
        <f>SUMIFS(Mov!$J:$J,Mov!$E:$E,$B97,Mov!$K:$K,I$3)/1000</f>
        <v>1197.672</v>
      </c>
      <c r="J97" s="3">
        <f>SUMIFS(Mov!$J:$J,Mov!$E:$E,$B97,Mov!$K:$K,J$3)/1000</f>
        <v>1579.453</v>
      </c>
      <c r="K97" s="3">
        <f>SUMIFS(Mov!$J:$J,Mov!$E:$E,$B97,Mov!$K:$K,K$3)/1000</f>
        <v>1537.4369999999999</v>
      </c>
      <c r="L97" s="3">
        <f>SUMIFS(Mov!$J:$J,Mov!$E:$E,$B97,Mov!$K:$K,L$3)/1000</f>
        <v>2325.0189999999998</v>
      </c>
      <c r="M97" s="3">
        <f>SUMIFS(Mov!$J:$J,Mov!$E:$E,$B97,Mov!$K:$K,M$3)/1000</f>
        <v>1940.5150000000001</v>
      </c>
      <c r="N97" s="3">
        <f>SUMIFS(Mov!$J:$J,Mov!$E:$E,$B97,Mov!$K:$K,N$3)/1000</f>
        <v>3248.8420000000001</v>
      </c>
      <c r="O97" s="3">
        <f>SUMIFS(Mov!$J:$J,Mov!$E:$E,$B97,Mov!$K:$K,O$3)/1000</f>
        <v>2074.9960000000001</v>
      </c>
      <c r="P97" s="3">
        <f>SUMIFS(Mov!$J:$J,Mov!$E:$E,$B97,Mov!$K:$K,P$3)/1000</f>
        <v>2728.027</v>
      </c>
      <c r="Q97" s="12">
        <f t="shared" ref="Q97" si="80">SUM(E97:P97)</f>
        <v>23460.652999999998</v>
      </c>
      <c r="R97" s="12"/>
      <c r="S97" s="12">
        <f t="shared" ca="1" si="69"/>
        <v>23460.652999999998</v>
      </c>
    </row>
    <row r="98" spans="1:19" ht="14.65" customHeight="1" outlineLevel="1">
      <c r="A98" s="231">
        <f t="shared" si="41"/>
        <v>1</v>
      </c>
      <c r="B98">
        <v>51952502</v>
      </c>
      <c r="C98" t="s">
        <v>1414</v>
      </c>
      <c r="D98" t="s">
        <v>4591</v>
      </c>
      <c r="E98" s="3">
        <f>SUMIFS(Mov!$J:$J,Mov!$E:$E,$B98,Mov!$K:$K,E$3)/1000</f>
        <v>107</v>
      </c>
      <c r="F98" s="3">
        <f>SUMIFS(Mov!$J:$J,Mov!$E:$E,$B98,Mov!$K:$K,F$3)/1000</f>
        <v>2570.5450000000001</v>
      </c>
      <c r="G98" s="3">
        <f>SUMIFS(Mov!$J:$J,Mov!$E:$E,$B98,Mov!$K:$K,G$3)/1000</f>
        <v>1846.5909999999999</v>
      </c>
      <c r="H98" s="3">
        <f>SUMIFS(Mov!$J:$J,Mov!$E:$E,$B98,Mov!$K:$K,H$3)/1000</f>
        <v>2183.1509999999998</v>
      </c>
      <c r="I98" s="3">
        <f>SUMIFS(Mov!$J:$J,Mov!$E:$E,$B98,Mov!$K:$K,I$3)/1000</f>
        <v>2244.8679999999999</v>
      </c>
      <c r="J98" s="3">
        <f>SUMIFS(Mov!$J:$J,Mov!$E:$E,$B98,Mov!$K:$K,J$3)/1000</f>
        <v>3462.06</v>
      </c>
      <c r="K98" s="3">
        <f>SUMIFS(Mov!$J:$J,Mov!$E:$E,$B98,Mov!$K:$K,K$3)/1000</f>
        <v>282.29599999999999</v>
      </c>
      <c r="L98" s="3">
        <f>SUMIFS(Mov!$J:$J,Mov!$E:$E,$B98,Mov!$K:$K,L$3)/1000</f>
        <v>1452.212</v>
      </c>
      <c r="M98" s="3">
        <f>SUMIFS(Mov!$J:$J,Mov!$E:$E,$B98,Mov!$K:$K,M$3)/1000</f>
        <v>3281.0940000000001</v>
      </c>
      <c r="N98" s="3">
        <f>SUMIFS(Mov!$J:$J,Mov!$E:$E,$B98,Mov!$K:$K,N$3)/1000</f>
        <v>6023.6049999999996</v>
      </c>
      <c r="O98" s="3">
        <f>SUMIFS(Mov!$J:$J,Mov!$E:$E,$B98,Mov!$K:$K,O$3)/1000</f>
        <v>3256.6819999999998</v>
      </c>
      <c r="P98" s="3">
        <f>SUMIFS(Mov!$J:$J,Mov!$E:$E,$B98,Mov!$K:$K,P$3)/1000</f>
        <v>6048.0020000000004</v>
      </c>
      <c r="Q98" s="12">
        <f t="shared" ref="Q98" si="81">SUM(E98:P98)</f>
        <v>32758.106</v>
      </c>
      <c r="R98" s="12"/>
      <c r="S98" s="12">
        <f t="shared" ca="1" si="69"/>
        <v>32758.106</v>
      </c>
    </row>
    <row r="99" spans="1:19" ht="14.65" customHeight="1">
      <c r="A99" s="232">
        <f>IF(SUM(A84:A98)&gt;0,1,0)</f>
        <v>1</v>
      </c>
      <c r="D99" s="64" t="s">
        <v>4592</v>
      </c>
      <c r="E99" s="66">
        <f t="shared" ref="E99:P99" si="82">SUM(E84:E98)</f>
        <v>3175.5</v>
      </c>
      <c r="F99" s="66">
        <f t="shared" si="82"/>
        <v>5090.1090000000004</v>
      </c>
      <c r="G99" s="66">
        <f t="shared" si="82"/>
        <v>5115.4760000000006</v>
      </c>
      <c r="H99" s="66">
        <f t="shared" si="82"/>
        <v>4036.8729999999996</v>
      </c>
      <c r="I99" s="66">
        <f t="shared" si="82"/>
        <v>3772.54</v>
      </c>
      <c r="J99" s="66">
        <f t="shared" si="82"/>
        <v>5807.8130000000001</v>
      </c>
      <c r="K99" s="66">
        <f t="shared" si="82"/>
        <v>2156.933</v>
      </c>
      <c r="L99" s="66">
        <f t="shared" si="82"/>
        <v>4536.3310000000001</v>
      </c>
      <c r="M99" s="66">
        <f t="shared" si="82"/>
        <v>5723.87</v>
      </c>
      <c r="N99" s="66">
        <f t="shared" si="82"/>
        <v>11263.746999999999</v>
      </c>
      <c r="O99" s="66">
        <f t="shared" si="82"/>
        <v>5729.4780000000001</v>
      </c>
      <c r="P99" s="66">
        <f t="shared" si="82"/>
        <v>9879.5630000000001</v>
      </c>
      <c r="Q99" s="66">
        <f>SUM(Q84:Q98)</f>
        <v>66288.233000000007</v>
      </c>
      <c r="R99" s="12"/>
      <c r="S99" s="66">
        <f t="shared" ca="1" si="69"/>
        <v>66288.233000000007</v>
      </c>
    </row>
    <row r="100" spans="1:19" ht="14.65" customHeight="1" outlineLevel="1">
      <c r="A100" s="231">
        <f t="shared" si="41"/>
        <v>0</v>
      </c>
      <c r="B100">
        <v>512095</v>
      </c>
      <c r="C100" t="s">
        <v>4418</v>
      </c>
      <c r="D100" t="s">
        <v>4593</v>
      </c>
      <c r="E100" s="3">
        <f>SUMIFS(Mov!$J:$J,Mov!$E:$E,$B100,Mov!$K:$K,E$3)/1000</f>
        <v>0</v>
      </c>
      <c r="F100" s="3">
        <f>SUMIFS(Mov!$J:$J,Mov!$E:$E,$B100,Mov!$K:$K,F$3)/1000</f>
        <v>0</v>
      </c>
      <c r="G100" s="3">
        <f>SUMIFS(Mov!$J:$J,Mov!$E:$E,$B100,Mov!$K:$K,G$3)/1000</f>
        <v>0</v>
      </c>
      <c r="H100" s="3">
        <f>SUMIFS(Mov!$J:$J,Mov!$E:$E,$B100,Mov!$K:$K,H$3)/1000</f>
        <v>0</v>
      </c>
      <c r="I100" s="3">
        <f>SUMIFS(Mov!$J:$J,Mov!$E:$E,$B100,Mov!$K:$K,I$3)/1000</f>
        <v>0</v>
      </c>
      <c r="J100" s="3">
        <f>SUMIFS(Mov!$J:$J,Mov!$E:$E,$B100,Mov!$K:$K,J$3)/1000</f>
        <v>0</v>
      </c>
      <c r="K100" s="3">
        <f>SUMIFS(Mov!$J:$J,Mov!$E:$E,$B100,Mov!$K:$K,K$3)/1000</f>
        <v>0</v>
      </c>
      <c r="L100" s="3">
        <f>SUMIFS(Mov!$J:$J,Mov!$E:$E,$B100,Mov!$K:$K,L$3)/1000</f>
        <v>0</v>
      </c>
      <c r="M100" s="3">
        <f>SUMIFS(Mov!$J:$J,Mov!$E:$E,$B100,Mov!$K:$K,M$3)/1000</f>
        <v>0</v>
      </c>
      <c r="N100" s="3">
        <f>SUMIFS(Mov!$J:$J,Mov!$E:$E,$B100,Mov!$K:$K,N$3)/1000</f>
        <v>0</v>
      </c>
      <c r="O100" s="3">
        <f>SUMIFS(Mov!$J:$J,Mov!$E:$E,$B100,Mov!$K:$K,O$3)/1000</f>
        <v>0</v>
      </c>
      <c r="P100" s="3">
        <f>SUMIFS(Mov!$J:$J,Mov!$E:$E,$B100,Mov!$K:$K,P$3)/1000</f>
        <v>0</v>
      </c>
      <c r="Q100" s="12">
        <f>SUM(E100:P100)</f>
        <v>0</v>
      </c>
      <c r="R100" s="12"/>
      <c r="S100" s="12">
        <f t="shared" ca="1" si="69"/>
        <v>0</v>
      </c>
    </row>
    <row r="101" spans="1:19" ht="14.65" customHeight="1" outlineLevel="1">
      <c r="A101" s="231">
        <f t="shared" ref="A101" si="83">IF(AND(E101=0,F101=0,G101=0,H101=0,I101=0,J101=0,K101=0,L101=0,M101=0,N101=0,O101=0,P101=0),0,1)</f>
        <v>0</v>
      </c>
      <c r="B101">
        <v>513010</v>
      </c>
      <c r="C101" t="s">
        <v>1225</v>
      </c>
      <c r="D101" t="s">
        <v>4593</v>
      </c>
      <c r="E101" s="3">
        <f>SUMIFS(Mov!$J:$J,Mov!$E:$E,$B101,Mov!$K:$K,E$3)/1000</f>
        <v>0</v>
      </c>
      <c r="F101" s="3">
        <f>SUMIFS(Mov!$J:$J,Mov!$E:$E,$B101,Mov!$K:$K,F$3)/1000</f>
        <v>0</v>
      </c>
      <c r="G101" s="3">
        <f>SUMIFS(Mov!$J:$J,Mov!$E:$E,$B101,Mov!$K:$K,G$3)/1000</f>
        <v>0</v>
      </c>
      <c r="H101" s="3">
        <f>SUMIFS(Mov!$J:$J,Mov!$E:$E,$B101,Mov!$K:$K,H$3)/1000</f>
        <v>0</v>
      </c>
      <c r="I101" s="3">
        <f>SUMIFS(Mov!$J:$J,Mov!$E:$E,$B101,Mov!$K:$K,I$3)/1000</f>
        <v>0</v>
      </c>
      <c r="J101" s="3">
        <f>SUMIFS(Mov!$J:$J,Mov!$E:$E,$B101,Mov!$K:$K,J$3)/1000</f>
        <v>0</v>
      </c>
      <c r="K101" s="3">
        <f>SUMIFS(Mov!$J:$J,Mov!$E:$E,$B101,Mov!$K:$K,K$3)/1000</f>
        <v>0</v>
      </c>
      <c r="L101" s="3">
        <f>SUMIFS(Mov!$J:$J,Mov!$E:$E,$B101,Mov!$K:$K,L$3)/1000</f>
        <v>0</v>
      </c>
      <c r="M101" s="3">
        <f>SUMIFS(Mov!$J:$J,Mov!$E:$E,$B101,Mov!$K:$K,M$3)/1000</f>
        <v>0</v>
      </c>
      <c r="N101" s="3">
        <f>SUMIFS(Mov!$J:$J,Mov!$E:$E,$B101,Mov!$K:$K,N$3)/1000</f>
        <v>0</v>
      </c>
      <c r="O101" s="3">
        <f>SUMIFS(Mov!$J:$J,Mov!$E:$E,$B101,Mov!$K:$K,O$3)/1000</f>
        <v>0</v>
      </c>
      <c r="P101" s="3">
        <f>SUMIFS(Mov!$J:$J,Mov!$E:$E,$B101,Mov!$K:$K,P$3)/1000</f>
        <v>0</v>
      </c>
      <c r="Q101" s="12">
        <f>SUM(E101:P101)</f>
        <v>0</v>
      </c>
      <c r="R101" s="12"/>
      <c r="S101" s="12">
        <f t="shared" ref="S101" ca="1" si="84">SUM(OFFSET(E101,0,0,1,S$3))</f>
        <v>0</v>
      </c>
    </row>
    <row r="102" spans="1:19" ht="14.65" customHeight="1" outlineLevel="1">
      <c r="A102" s="231">
        <f t="shared" si="41"/>
        <v>1</v>
      </c>
      <c r="B102">
        <v>513060</v>
      </c>
      <c r="C102" t="s">
        <v>1241</v>
      </c>
      <c r="D102" t="s">
        <v>4593</v>
      </c>
      <c r="E102" s="3">
        <f>SUMIFS(Mov!$J:$J,Mov!$E:$E,$B102,Mov!$K:$K,E$3)/1000</f>
        <v>0</v>
      </c>
      <c r="F102" s="3">
        <f>SUMIFS(Mov!$J:$J,Mov!$E:$E,$B102,Mov!$K:$K,F$3)/1000</f>
        <v>307.04399999999998</v>
      </c>
      <c r="G102" s="3">
        <f>SUMIFS(Mov!$J:$J,Mov!$E:$E,$B102,Mov!$K:$K,G$3)/1000</f>
        <v>0</v>
      </c>
      <c r="H102" s="3">
        <f>SUMIFS(Mov!$J:$J,Mov!$E:$E,$B102,Mov!$K:$K,H$3)/1000</f>
        <v>0</v>
      </c>
      <c r="I102" s="3">
        <f>SUMIFS(Mov!$J:$J,Mov!$E:$E,$B102,Mov!$K:$K,I$3)/1000</f>
        <v>0</v>
      </c>
      <c r="J102" s="3">
        <f>SUMIFS(Mov!$J:$J,Mov!$E:$E,$B102,Mov!$K:$K,J$3)/1000</f>
        <v>0</v>
      </c>
      <c r="K102" s="3">
        <f>SUMIFS(Mov!$J:$J,Mov!$E:$E,$B102,Mov!$K:$K,K$3)/1000</f>
        <v>0</v>
      </c>
      <c r="L102" s="3">
        <f>SUMIFS(Mov!$J:$J,Mov!$E:$E,$B102,Mov!$K:$K,L$3)/1000</f>
        <v>0</v>
      </c>
      <c r="M102" s="3">
        <f>SUMIFS(Mov!$J:$J,Mov!$E:$E,$B102,Mov!$K:$K,M$3)/1000</f>
        <v>0</v>
      </c>
      <c r="N102" s="3">
        <f>SUMIFS(Mov!$J:$J,Mov!$E:$E,$B102,Mov!$K:$K,N$3)/1000</f>
        <v>0</v>
      </c>
      <c r="O102" s="3">
        <f>SUMIFS(Mov!$J:$J,Mov!$E:$E,$B102,Mov!$K:$K,O$3)/1000</f>
        <v>0</v>
      </c>
      <c r="P102" s="3">
        <f>SUMIFS(Mov!$J:$J,Mov!$E:$E,$B102,Mov!$K:$K,P$3)/1000</f>
        <v>0</v>
      </c>
      <c r="Q102" s="12">
        <f>SUM(E102:P102)</f>
        <v>307.04399999999998</v>
      </c>
      <c r="R102" s="12"/>
      <c r="S102" s="12">
        <f t="shared" ca="1" si="69"/>
        <v>307.04399999999998</v>
      </c>
    </row>
    <row r="103" spans="1:19" ht="14.65" customHeight="1" outlineLevel="1">
      <c r="A103" s="231">
        <f t="shared" si="41"/>
        <v>0</v>
      </c>
      <c r="B103">
        <v>519520</v>
      </c>
      <c r="C103" t="s">
        <v>532</v>
      </c>
      <c r="D103" t="s">
        <v>4594</v>
      </c>
      <c r="E103" s="3">
        <f>SUMIFS(Mov!$J:$J,Mov!$E:$E,$B103,Mov!$K:$K,E$3)/1000</f>
        <v>0</v>
      </c>
      <c r="F103" s="3">
        <f>SUMIFS(Mov!$J:$J,Mov!$E:$E,$B103,Mov!$K:$K,F$3)/1000</f>
        <v>0</v>
      </c>
      <c r="G103" s="3">
        <f>SUMIFS(Mov!$J:$J,Mov!$E:$E,$B103,Mov!$K:$K,G$3)/1000</f>
        <v>0</v>
      </c>
      <c r="H103" s="3">
        <f>SUMIFS(Mov!$J:$J,Mov!$E:$E,$B103,Mov!$K:$K,H$3)/1000</f>
        <v>0</v>
      </c>
      <c r="I103" s="3">
        <f>SUMIFS(Mov!$J:$J,Mov!$E:$E,$B103,Mov!$K:$K,I$3)/1000</f>
        <v>0</v>
      </c>
      <c r="J103" s="3">
        <f>SUMIFS(Mov!$J:$J,Mov!$E:$E,$B103,Mov!$K:$K,J$3)/1000</f>
        <v>0</v>
      </c>
      <c r="K103" s="3">
        <f>SUMIFS(Mov!$J:$J,Mov!$E:$E,$B103,Mov!$K:$K,K$3)/1000</f>
        <v>0</v>
      </c>
      <c r="L103" s="3">
        <f>SUMIFS(Mov!$J:$J,Mov!$E:$E,$B103,Mov!$K:$K,L$3)/1000</f>
        <v>0</v>
      </c>
      <c r="M103" s="3">
        <f>SUMIFS(Mov!$J:$J,Mov!$E:$E,$B103,Mov!$K:$K,M$3)/1000</f>
        <v>0</v>
      </c>
      <c r="N103" s="3">
        <f>SUMIFS(Mov!$J:$J,Mov!$E:$E,$B103,Mov!$K:$K,N$3)/1000</f>
        <v>0</v>
      </c>
      <c r="O103" s="3">
        <f>SUMIFS(Mov!$J:$J,Mov!$E:$E,$B103,Mov!$K:$K,O$3)/1000</f>
        <v>0</v>
      </c>
      <c r="P103" s="3">
        <f>SUMIFS(Mov!$J:$J,Mov!$E:$E,$B103,Mov!$K:$K,P$3)/1000</f>
        <v>0</v>
      </c>
      <c r="Q103" s="12">
        <f t="shared" ref="Q103:Q110" si="85">SUM(E103:P103)</f>
        <v>0</v>
      </c>
      <c r="R103" s="12"/>
      <c r="S103" s="12">
        <f t="shared" ca="1" si="69"/>
        <v>0</v>
      </c>
    </row>
    <row r="104" spans="1:19" ht="14.65" customHeight="1" outlineLevel="1">
      <c r="A104" s="231">
        <f t="shared" si="41"/>
        <v>0</v>
      </c>
      <c r="B104">
        <v>523560</v>
      </c>
      <c r="C104" t="s">
        <v>4595</v>
      </c>
      <c r="D104" t="s">
        <v>4596</v>
      </c>
      <c r="E104" s="3">
        <f>SUMIFS(Mov!$J:$J,Mov!$E:$E,$B104,Mov!$K:$K,E$3)/1000</f>
        <v>0</v>
      </c>
      <c r="F104" s="3">
        <f>SUMIFS(Mov!$J:$J,Mov!$E:$E,$B104,Mov!$K:$K,F$3)/1000</f>
        <v>0</v>
      </c>
      <c r="G104" s="3">
        <f>SUMIFS(Mov!$J:$J,Mov!$E:$E,$B104,Mov!$K:$K,G$3)/1000</f>
        <v>0</v>
      </c>
      <c r="H104" s="3">
        <f>SUMIFS(Mov!$J:$J,Mov!$E:$E,$B104,Mov!$K:$K,H$3)/1000</f>
        <v>0</v>
      </c>
      <c r="I104" s="3">
        <f>SUMIFS(Mov!$J:$J,Mov!$E:$E,$B104,Mov!$K:$K,I$3)/1000</f>
        <v>0</v>
      </c>
      <c r="J104" s="3">
        <f>SUMIFS(Mov!$J:$J,Mov!$E:$E,$B104,Mov!$K:$K,J$3)/1000</f>
        <v>0</v>
      </c>
      <c r="K104" s="3">
        <f>SUMIFS(Mov!$J:$J,Mov!$E:$E,$B104,Mov!$K:$K,K$3)/1000</f>
        <v>0</v>
      </c>
      <c r="L104" s="3">
        <f>SUMIFS(Mov!$J:$J,Mov!$E:$E,$B104,Mov!$K:$K,L$3)/1000</f>
        <v>0</v>
      </c>
      <c r="M104" s="3">
        <f>SUMIFS(Mov!$J:$J,Mov!$E:$E,$B104,Mov!$K:$K,M$3)/1000</f>
        <v>0</v>
      </c>
      <c r="N104" s="3">
        <f>SUMIFS(Mov!$J:$J,Mov!$E:$E,$B104,Mov!$K:$K,N$3)/1000</f>
        <v>0</v>
      </c>
      <c r="O104" s="3">
        <f>SUMIFS(Mov!$J:$J,Mov!$E:$E,$B104,Mov!$K:$K,O$3)/1000</f>
        <v>0</v>
      </c>
      <c r="P104" s="3">
        <f>SUMIFS(Mov!$J:$J,Mov!$E:$E,$B104,Mov!$K:$K,P$3)/1000</f>
        <v>0</v>
      </c>
      <c r="Q104" s="12">
        <f t="shared" si="85"/>
        <v>0</v>
      </c>
      <c r="R104" s="12"/>
      <c r="S104" s="12">
        <f t="shared" ca="1" si="69"/>
        <v>0</v>
      </c>
    </row>
    <row r="105" spans="1:19" ht="14.65" customHeight="1" outlineLevel="1">
      <c r="A105" s="231">
        <f t="shared" si="41"/>
        <v>0</v>
      </c>
      <c r="B105">
        <v>51956002</v>
      </c>
      <c r="C105" t="s">
        <v>1439</v>
      </c>
      <c r="D105" t="s">
        <v>4597</v>
      </c>
      <c r="E105" s="3">
        <f>SUMIFS(Mov!$J:$J,Mov!$E:$E,$B105,Mov!$K:$K,E$3)/1000</f>
        <v>0</v>
      </c>
      <c r="F105" s="3">
        <f>SUMIFS(Mov!$J:$J,Mov!$E:$E,$B105,Mov!$K:$K,F$3)/1000</f>
        <v>0</v>
      </c>
      <c r="G105" s="3">
        <f>SUMIFS(Mov!$J:$J,Mov!$E:$E,$B105,Mov!$K:$K,G$3)/1000</f>
        <v>0</v>
      </c>
      <c r="H105" s="3">
        <f>SUMIFS(Mov!$J:$J,Mov!$E:$E,$B105,Mov!$K:$K,H$3)/1000</f>
        <v>0</v>
      </c>
      <c r="I105" s="3">
        <f>SUMIFS(Mov!$J:$J,Mov!$E:$E,$B105,Mov!$K:$K,I$3)/1000</f>
        <v>0</v>
      </c>
      <c r="J105" s="3">
        <f>SUMIFS(Mov!$J:$J,Mov!$E:$E,$B105,Mov!$K:$K,J$3)/1000</f>
        <v>0</v>
      </c>
      <c r="K105" s="3">
        <f>SUMIFS(Mov!$J:$J,Mov!$E:$E,$B105,Mov!$K:$K,K$3)/1000</f>
        <v>0</v>
      </c>
      <c r="L105" s="3">
        <f>SUMIFS(Mov!$J:$J,Mov!$E:$E,$B105,Mov!$K:$K,L$3)/1000</f>
        <v>0</v>
      </c>
      <c r="M105" s="3">
        <f>SUMIFS(Mov!$J:$J,Mov!$E:$E,$B105,Mov!$K:$K,M$3)/1000</f>
        <v>0</v>
      </c>
      <c r="N105" s="3">
        <f>SUMIFS(Mov!$J:$J,Mov!$E:$E,$B105,Mov!$K:$K,N$3)/1000</f>
        <v>0</v>
      </c>
      <c r="O105" s="3">
        <f>SUMIFS(Mov!$J:$J,Mov!$E:$E,$B105,Mov!$K:$K,O$3)/1000</f>
        <v>0</v>
      </c>
      <c r="P105" s="3">
        <f>SUMIFS(Mov!$J:$J,Mov!$E:$E,$B105,Mov!$K:$K,P$3)/1000</f>
        <v>0</v>
      </c>
      <c r="Q105" s="12">
        <f t="shared" si="85"/>
        <v>0</v>
      </c>
      <c r="R105" s="12"/>
      <c r="S105" s="12">
        <f t="shared" ca="1" si="69"/>
        <v>0</v>
      </c>
    </row>
    <row r="106" spans="1:19" ht="14.65" customHeight="1" outlineLevel="1">
      <c r="A106" s="231">
        <f t="shared" si="41"/>
        <v>0</v>
      </c>
      <c r="B106">
        <v>51954501</v>
      </c>
      <c r="C106" t="s">
        <v>1428</v>
      </c>
      <c r="D106" t="s">
        <v>4598</v>
      </c>
      <c r="E106" s="3">
        <f>SUMIFS(Mov!$J:$J,Mov!$E:$E,$B106,Mov!$K:$K,E$3)/1000</f>
        <v>0</v>
      </c>
      <c r="F106" s="3">
        <f>SUMIFS(Mov!$J:$J,Mov!$E:$E,$B106,Mov!$K:$K,F$3)/1000</f>
        <v>0</v>
      </c>
      <c r="G106" s="3">
        <f>SUMIFS(Mov!$J:$J,Mov!$E:$E,$B106,Mov!$K:$K,G$3)/1000</f>
        <v>0</v>
      </c>
      <c r="H106" s="3">
        <f>SUMIFS(Mov!$J:$J,Mov!$E:$E,$B106,Mov!$K:$K,H$3)/1000</f>
        <v>0</v>
      </c>
      <c r="I106" s="3">
        <f>SUMIFS(Mov!$J:$J,Mov!$E:$E,$B106,Mov!$K:$K,I$3)/1000</f>
        <v>0</v>
      </c>
      <c r="J106" s="3">
        <f>SUMIFS(Mov!$J:$J,Mov!$E:$E,$B106,Mov!$K:$K,J$3)/1000</f>
        <v>0</v>
      </c>
      <c r="K106" s="3">
        <f>SUMIFS(Mov!$J:$J,Mov!$E:$E,$B106,Mov!$K:$K,K$3)/1000</f>
        <v>0</v>
      </c>
      <c r="L106" s="3">
        <f>SUMIFS(Mov!$J:$J,Mov!$E:$E,$B106,Mov!$K:$K,L$3)/1000</f>
        <v>0</v>
      </c>
      <c r="M106" s="3">
        <f>SUMIFS(Mov!$J:$J,Mov!$E:$E,$B106,Mov!$K:$K,M$3)/1000</f>
        <v>0</v>
      </c>
      <c r="N106" s="3">
        <f>SUMIFS(Mov!$J:$J,Mov!$E:$E,$B106,Mov!$K:$K,N$3)/1000</f>
        <v>0</v>
      </c>
      <c r="O106" s="3">
        <f>SUMIFS(Mov!$J:$J,Mov!$E:$E,$B106,Mov!$K:$K,O$3)/1000</f>
        <v>0</v>
      </c>
      <c r="P106" s="3">
        <f>SUMIFS(Mov!$J:$J,Mov!$E:$E,$B106,Mov!$K:$K,P$3)/1000</f>
        <v>0</v>
      </c>
      <c r="Q106" s="12">
        <f t="shared" si="85"/>
        <v>0</v>
      </c>
      <c r="R106" s="12"/>
      <c r="S106" s="12">
        <f t="shared" ca="1" si="69"/>
        <v>0</v>
      </c>
    </row>
    <row r="107" spans="1:19" ht="14.65" customHeight="1" outlineLevel="1">
      <c r="A107" s="231">
        <f t="shared" si="41"/>
        <v>1</v>
      </c>
      <c r="B107">
        <v>53059510</v>
      </c>
      <c r="C107" t="s">
        <v>1065</v>
      </c>
      <c r="D107" t="s">
        <v>4584</v>
      </c>
      <c r="E107" s="3">
        <f>SUMIFS(Mov!$J:$J,Mov!$E:$E,$B107,Mov!$K:$K,E$3)/1000</f>
        <v>70.947500000000005</v>
      </c>
      <c r="F107" s="3">
        <f>SUMIFS(Mov!$J:$J,Mov!$E:$E,$B107,Mov!$K:$K,F$3)/1000</f>
        <v>5.2548399999999997</v>
      </c>
      <c r="G107" s="3">
        <f>SUMIFS(Mov!$J:$J,Mov!$E:$E,$B107,Mov!$K:$K,G$3)/1000</f>
        <v>0.91265999999999992</v>
      </c>
      <c r="H107" s="3">
        <f>SUMIFS(Mov!$J:$J,Mov!$E:$E,$B107,Mov!$K:$K,H$3)/1000</f>
        <v>1.371</v>
      </c>
      <c r="I107" s="3">
        <f>SUMIFS(Mov!$J:$J,Mov!$E:$E,$B107,Mov!$K:$K,I$3)/1000</f>
        <v>4.2300000000000003E-3</v>
      </c>
      <c r="J107" s="3">
        <f>SUMIFS(Mov!$J:$J,Mov!$E:$E,$B107,Mov!$K:$K,J$3)/1000</f>
        <v>0.29042000000000001</v>
      </c>
      <c r="K107" s="3">
        <f>SUMIFS(Mov!$J:$J,Mov!$E:$E,$B107,Mov!$K:$K,K$3)/1000</f>
        <v>4.5973999999999995</v>
      </c>
      <c r="L107" s="3">
        <f>SUMIFS(Mov!$J:$J,Mov!$E:$E,$B107,Mov!$K:$K,L$3)/1000</f>
        <v>1.6020999999999999</v>
      </c>
      <c r="M107" s="3">
        <f>SUMIFS(Mov!$J:$J,Mov!$E:$E,$B107,Mov!$K:$K,M$3)/1000</f>
        <v>751.04340000000002</v>
      </c>
      <c r="N107" s="3">
        <f>SUMIFS(Mov!$J:$J,Mov!$E:$E,$B107,Mov!$K:$K,N$3)/1000</f>
        <v>-1.87</v>
      </c>
      <c r="O107" s="3">
        <f>SUMIFS(Mov!$J:$J,Mov!$E:$E,$B107,Mov!$K:$K,O$3)/1000</f>
        <v>1.252</v>
      </c>
      <c r="P107" s="3">
        <f>SUMIFS(Mov!$J:$J,Mov!$E:$E,$B107,Mov!$K:$K,P$3)/1000</f>
        <v>-0.38800000000000001</v>
      </c>
      <c r="Q107" s="12">
        <f t="shared" si="85"/>
        <v>835.01754999999991</v>
      </c>
      <c r="R107" s="12"/>
      <c r="S107" s="12">
        <f t="shared" ca="1" si="69"/>
        <v>835.01754999999991</v>
      </c>
    </row>
    <row r="108" spans="1:19" ht="14.65" customHeight="1" outlineLevel="1">
      <c r="A108" s="231">
        <f t="shared" si="41"/>
        <v>0</v>
      </c>
      <c r="B108">
        <v>42109501</v>
      </c>
      <c r="C108" t="s">
        <v>1065</v>
      </c>
      <c r="D108" t="s">
        <v>4584</v>
      </c>
      <c r="E108" s="3">
        <f>SUMIFS(Mov!$J:$J,Mov!$E:$E,$B108,Mov!$K:$K,E$3)/1000</f>
        <v>0</v>
      </c>
      <c r="F108" s="3">
        <f>SUMIFS(Mov!$J:$J,Mov!$E:$E,$B108,Mov!$K:$K,F$3)/1000</f>
        <v>0</v>
      </c>
      <c r="G108" s="3">
        <f>SUMIFS(Mov!$J:$J,Mov!$E:$E,$B108,Mov!$K:$K,G$3)/1000</f>
        <v>0</v>
      </c>
      <c r="H108" s="3">
        <f>SUMIFS(Mov!$J:$J,Mov!$E:$E,$B108,Mov!$K:$K,H$3)/1000</f>
        <v>0</v>
      </c>
      <c r="I108" s="3">
        <f>SUMIFS(Mov!$J:$J,Mov!$E:$E,$B108,Mov!$K:$K,I$3)/1000</f>
        <v>0</v>
      </c>
      <c r="J108" s="3">
        <f>SUMIFS(Mov!$J:$J,Mov!$E:$E,$B108,Mov!$K:$K,J$3)/1000</f>
        <v>0</v>
      </c>
      <c r="K108" s="3">
        <f>SUMIFS(Mov!$J:$J,Mov!$E:$E,$B108,Mov!$K:$K,K$3)/1000</f>
        <v>0</v>
      </c>
      <c r="L108" s="3">
        <f>SUMIFS(Mov!$J:$J,Mov!$E:$E,$B108,Mov!$K:$K,L$3)/1000</f>
        <v>0</v>
      </c>
      <c r="M108" s="3">
        <f>SUMIFS(Mov!$J:$J,Mov!$E:$E,$B108,Mov!$K:$K,M$3)/1000</f>
        <v>0</v>
      </c>
      <c r="N108" s="3">
        <f>SUMIFS(Mov!$J:$J,Mov!$E:$E,$B108,Mov!$K:$K,N$3)/1000</f>
        <v>0</v>
      </c>
      <c r="O108" s="3">
        <f>SUMIFS(Mov!$J:$J,Mov!$E:$E,$B108,Mov!$K:$K,O$3)/1000</f>
        <v>0</v>
      </c>
      <c r="P108" s="3">
        <f>SUMIFS(Mov!$J:$J,Mov!$E:$E,$B108,Mov!$K:$K,P$3)/1000</f>
        <v>0</v>
      </c>
      <c r="Q108" s="12">
        <f t="shared" ref="Q108" si="86">SUM(E108:P108)</f>
        <v>0</v>
      </c>
      <c r="R108" s="12"/>
      <c r="S108" s="12">
        <f t="shared" ca="1" si="69"/>
        <v>0</v>
      </c>
    </row>
    <row r="109" spans="1:19" ht="14.65" customHeight="1" outlineLevel="1">
      <c r="A109" s="231">
        <f t="shared" si="41"/>
        <v>1</v>
      </c>
      <c r="B109">
        <v>42109502</v>
      </c>
      <c r="C109" t="s">
        <v>1714</v>
      </c>
      <c r="D109" t="s">
        <v>4584</v>
      </c>
      <c r="E109" s="3">
        <f>SUMIFS(Mov!$J:$J,Mov!$E:$E,$B109,Mov!$K:$K,E$3)/1000</f>
        <v>0</v>
      </c>
      <c r="F109" s="3">
        <f>SUMIFS(Mov!$J:$J,Mov!$E:$E,$B109,Mov!$K:$K,F$3)/1000</f>
        <v>-179.17</v>
      </c>
      <c r="G109" s="3">
        <f>SUMIFS(Mov!$J:$J,Mov!$E:$E,$B109,Mov!$K:$K,G$3)/1000</f>
        <v>0</v>
      </c>
      <c r="H109" s="3">
        <f>SUMIFS(Mov!$J:$J,Mov!$E:$E,$B109,Mov!$K:$K,H$3)/1000</f>
        <v>0</v>
      </c>
      <c r="I109" s="3">
        <f>SUMIFS(Mov!$J:$J,Mov!$E:$E,$B109,Mov!$K:$K,I$3)/1000</f>
        <v>0</v>
      </c>
      <c r="J109" s="3">
        <f>SUMIFS(Mov!$J:$J,Mov!$E:$E,$B109,Mov!$K:$K,J$3)/1000</f>
        <v>0</v>
      </c>
      <c r="K109" s="3">
        <f>SUMIFS(Mov!$J:$J,Mov!$E:$E,$B109,Mov!$K:$K,K$3)/1000</f>
        <v>1.7489999999999999E-2</v>
      </c>
      <c r="L109" s="3">
        <f>SUMIFS(Mov!$J:$J,Mov!$E:$E,$B109,Mov!$K:$K,L$3)/1000</f>
        <v>0</v>
      </c>
      <c r="M109" s="3">
        <f>SUMIFS(Mov!$J:$J,Mov!$E:$E,$B109,Mov!$K:$K,M$3)/1000</f>
        <v>0</v>
      </c>
      <c r="N109" s="3">
        <f>SUMIFS(Mov!$J:$J,Mov!$E:$E,$B109,Mov!$K:$K,N$3)/1000</f>
        <v>0</v>
      </c>
      <c r="O109" s="3">
        <f>SUMIFS(Mov!$J:$J,Mov!$E:$E,$B109,Mov!$K:$K,O$3)/1000</f>
        <v>0</v>
      </c>
      <c r="P109" s="3">
        <f>SUMIFS(Mov!$J:$J,Mov!$E:$E,$B109,Mov!$K:$K,P$3)/1000</f>
        <v>-5.57</v>
      </c>
      <c r="Q109" s="12">
        <f t="shared" si="85"/>
        <v>-184.72250999999997</v>
      </c>
      <c r="R109" s="12"/>
      <c r="S109" s="12">
        <f t="shared" ca="1" si="69"/>
        <v>-184.72250999999997</v>
      </c>
    </row>
    <row r="110" spans="1:19" ht="14.65" customHeight="1" outlineLevel="1">
      <c r="A110" s="231">
        <f t="shared" si="41"/>
        <v>0</v>
      </c>
      <c r="B110">
        <v>429581</v>
      </c>
      <c r="C110" t="s">
        <v>1065</v>
      </c>
      <c r="D110" t="s">
        <v>4584</v>
      </c>
      <c r="E110" s="3">
        <f>SUMIFS(Mov!$J:$J,Mov!$E:$E,$B110,Mov!$K:$K,E$3)/1000</f>
        <v>0</v>
      </c>
      <c r="F110" s="3">
        <f>SUMIFS(Mov!$J:$J,Mov!$E:$E,$B110,Mov!$K:$K,F$3)/1000</f>
        <v>0</v>
      </c>
      <c r="G110" s="3">
        <f>SUMIFS(Mov!$J:$J,Mov!$E:$E,$B110,Mov!$K:$K,G$3)/1000</f>
        <v>0</v>
      </c>
      <c r="H110" s="3">
        <f>SUMIFS(Mov!$J:$J,Mov!$E:$E,$B110,Mov!$K:$K,H$3)/1000</f>
        <v>0</v>
      </c>
      <c r="I110" s="3">
        <f>SUMIFS(Mov!$J:$J,Mov!$E:$E,$B110,Mov!$K:$K,I$3)/1000</f>
        <v>0</v>
      </c>
      <c r="J110" s="3">
        <f>SUMIFS(Mov!$J:$J,Mov!$E:$E,$B110,Mov!$K:$K,J$3)/1000</f>
        <v>0</v>
      </c>
      <c r="K110" s="3">
        <f>SUMIFS(Mov!$J:$J,Mov!$E:$E,$B110,Mov!$K:$K,K$3)/1000</f>
        <v>0</v>
      </c>
      <c r="L110" s="3">
        <f>SUMIFS(Mov!$J:$J,Mov!$E:$E,$B110,Mov!$K:$K,L$3)/1000</f>
        <v>0</v>
      </c>
      <c r="M110" s="3">
        <f>SUMIFS(Mov!$J:$J,Mov!$E:$E,$B110,Mov!$K:$K,M$3)/1000</f>
        <v>0</v>
      </c>
      <c r="N110" s="3">
        <f>SUMIFS(Mov!$J:$J,Mov!$E:$E,$B110,Mov!$K:$K,N$3)/1000</f>
        <v>0</v>
      </c>
      <c r="O110" s="3">
        <f>SUMIFS(Mov!$J:$J,Mov!$E:$E,$B110,Mov!$K:$K,O$3)/1000</f>
        <v>0</v>
      </c>
      <c r="P110" s="3">
        <f>SUMIFS(Mov!$J:$J,Mov!$E:$E,$B110,Mov!$K:$K,P$3)/1000</f>
        <v>0</v>
      </c>
      <c r="Q110" s="12">
        <f t="shared" si="85"/>
        <v>0</v>
      </c>
      <c r="R110" s="12"/>
      <c r="S110" s="12">
        <f t="shared" ca="1" si="69"/>
        <v>0</v>
      </c>
    </row>
    <row r="111" spans="1:19" ht="14.65" customHeight="1">
      <c r="A111" s="232">
        <f>IF(SUM(A100:A110)&gt;0,1,0)</f>
        <v>1</v>
      </c>
      <c r="D111" s="64" t="s">
        <v>4584</v>
      </c>
      <c r="E111" s="12">
        <f t="shared" ref="E111" si="87">SUM(E100:E110)</f>
        <v>70.947500000000005</v>
      </c>
      <c r="F111" s="12">
        <f>SUM(F100:F110)</f>
        <v>133.12884</v>
      </c>
      <c r="G111" s="12">
        <f t="shared" ref="G111:I111" si="88">SUM(G100:G110)</f>
        <v>0.91265999999999992</v>
      </c>
      <c r="H111" s="12">
        <f t="shared" si="88"/>
        <v>1.371</v>
      </c>
      <c r="I111" s="12">
        <f t="shared" si="88"/>
        <v>4.2300000000000003E-3</v>
      </c>
      <c r="J111" s="12">
        <f t="shared" ref="J111:P111" si="89">SUM(J100:J110)</f>
        <v>0.29042000000000001</v>
      </c>
      <c r="K111" s="12">
        <f t="shared" si="89"/>
        <v>4.614889999999999</v>
      </c>
      <c r="L111" s="12">
        <f t="shared" si="89"/>
        <v>1.6020999999999999</v>
      </c>
      <c r="M111" s="12">
        <f t="shared" si="89"/>
        <v>751.04340000000002</v>
      </c>
      <c r="N111" s="12">
        <f t="shared" si="89"/>
        <v>-1.87</v>
      </c>
      <c r="O111" s="12">
        <f t="shared" si="89"/>
        <v>1.252</v>
      </c>
      <c r="P111" s="12">
        <f t="shared" si="89"/>
        <v>-5.9580000000000002</v>
      </c>
      <c r="Q111" s="66">
        <f>SUM(Q100:Q110)</f>
        <v>957.33903999999995</v>
      </c>
      <c r="R111" s="12"/>
      <c r="S111" s="66">
        <f t="shared" ref="S111" ca="1" si="90">SUM(S100:S110)</f>
        <v>957.33903999999995</v>
      </c>
    </row>
    <row r="112" spans="1:19" ht="14.65" customHeight="1">
      <c r="A112" s="230">
        <f>IF(SUM(A60:A111)&gt;0,1,0)</f>
        <v>1</v>
      </c>
      <c r="C112" s="1" t="s">
        <v>4599</v>
      </c>
      <c r="D112" s="1" t="s">
        <v>4599</v>
      </c>
      <c r="E112" s="13">
        <f t="shared" ref="E112:P112" si="91">E73+E83+E99+E111</f>
        <v>39353.444409999996</v>
      </c>
      <c r="F112" s="13">
        <f t="shared" si="91"/>
        <v>41854.307519999995</v>
      </c>
      <c r="G112" s="13">
        <f t="shared" si="91"/>
        <v>34740.521240000002</v>
      </c>
      <c r="H112" s="13">
        <f t="shared" si="91"/>
        <v>33982.204590000001</v>
      </c>
      <c r="I112" s="13">
        <f t="shared" si="91"/>
        <v>34477.083070000001</v>
      </c>
      <c r="J112" s="13">
        <f t="shared" si="91"/>
        <v>35665.272469999996</v>
      </c>
      <c r="K112" s="13">
        <f t="shared" si="91"/>
        <v>34823.075869999993</v>
      </c>
      <c r="L112" s="13">
        <f t="shared" si="91"/>
        <v>37411.057749999993</v>
      </c>
      <c r="M112" s="13">
        <f t="shared" si="91"/>
        <v>43067.881870000005</v>
      </c>
      <c r="N112" s="13">
        <f t="shared" si="91"/>
        <v>43068.325339999996</v>
      </c>
      <c r="O112" s="13">
        <f t="shared" si="91"/>
        <v>40003.370190000001</v>
      </c>
      <c r="P112" s="13">
        <f t="shared" si="91"/>
        <v>44693.116750000001</v>
      </c>
      <c r="Q112" s="13">
        <f>Q73+Q83+Q99+Q111</f>
        <v>463139.66107000003</v>
      </c>
      <c r="R112" s="12"/>
      <c r="S112" s="13">
        <f ca="1">S73+S83+S99+S111</f>
        <v>463139.66106999997</v>
      </c>
    </row>
    <row r="113" spans="1:19" ht="14.65" customHeight="1">
      <c r="A113" s="230">
        <f>A120</f>
        <v>0</v>
      </c>
      <c r="E113" s="12"/>
      <c r="F113" s="12"/>
      <c r="G113" s="12"/>
      <c r="H113" s="12"/>
      <c r="I113" s="12"/>
      <c r="J113" s="12"/>
      <c r="K113" s="12"/>
      <c r="L113" s="12"/>
      <c r="M113" s="12"/>
      <c r="N113" s="12"/>
      <c r="O113" s="12"/>
      <c r="P113" s="12"/>
      <c r="Q113" s="12"/>
      <c r="R113" s="12"/>
      <c r="S113" s="12"/>
    </row>
    <row r="114" spans="1:19" ht="14.65" customHeight="1" outlineLevel="1">
      <c r="A114" s="231">
        <f t="shared" ref="A114:A119" si="92">IF(AND(E114=0,F114=0,G114=0,H114=0,I114=0,J114=0,K114=0,L114=0,M114=0,N114=0,O114=0,P114=0),0,1)</f>
        <v>0</v>
      </c>
      <c r="B114">
        <v>515505</v>
      </c>
      <c r="C114" t="s">
        <v>1345</v>
      </c>
      <c r="D114" t="s">
        <v>4600</v>
      </c>
      <c r="E114" s="3">
        <f>SUMIFS(Mov!$J:$J,Mov!$E:$E,$B114,Mov!$K:$K,E$3)/1000</f>
        <v>0</v>
      </c>
      <c r="F114" s="3">
        <f>SUMIFS(Mov!$J:$J,Mov!$E:$E,$B114,Mov!$K:$K,F$3)/1000</f>
        <v>0</v>
      </c>
      <c r="G114" s="3">
        <f>SUMIFS(Mov!$J:$J,Mov!$E:$E,$B114,Mov!$K:$K,G$3)/1000</f>
        <v>0</v>
      </c>
      <c r="H114" s="3">
        <f>SUMIFS(Mov!$J:$J,Mov!$E:$E,$B114,Mov!$K:$K,H$3)/1000</f>
        <v>0</v>
      </c>
      <c r="I114" s="3">
        <f>SUMIFS(Mov!$J:$J,Mov!$E:$E,$B114,Mov!$K:$K,I$3)/1000</f>
        <v>0</v>
      </c>
      <c r="J114" s="3">
        <f>SUMIFS(Mov!$J:$J,Mov!$E:$E,$B114,Mov!$K:$K,J$3)/1000</f>
        <v>0</v>
      </c>
      <c r="K114" s="3">
        <f>SUMIFS(Mov!$J:$J,Mov!$E:$E,$B114,Mov!$K:$K,K$3)/1000</f>
        <v>0</v>
      </c>
      <c r="L114" s="3">
        <f>SUMIFS(Mov!$J:$J,Mov!$E:$E,$B114,Mov!$K:$K,L$3)/1000</f>
        <v>0</v>
      </c>
      <c r="M114" s="3">
        <f>SUMIFS(Mov!$J:$J,Mov!$E:$E,$B114,Mov!$K:$K,M$3)/1000</f>
        <v>0</v>
      </c>
      <c r="N114" s="3">
        <f>SUMIFS(Mov!$J:$J,Mov!$E:$E,$B114,Mov!$K:$K,N$3)/1000</f>
        <v>0</v>
      </c>
      <c r="O114" s="3">
        <f>SUMIFS(Mov!$J:$J,Mov!$E:$E,$B114,Mov!$K:$K,O$3)/1000</f>
        <v>0</v>
      </c>
      <c r="P114" s="3">
        <f>SUMIFS(Mov!$J:$J,Mov!$E:$E,$B114,Mov!$K:$K,P$3)/1000</f>
        <v>0</v>
      </c>
      <c r="Q114" s="12">
        <f t="shared" ref="Q114:Q119" si="93">SUM(E114:P114)</f>
        <v>0</v>
      </c>
      <c r="R114" s="12"/>
      <c r="S114" s="12">
        <f t="shared" ref="S114:S120" ca="1" si="94">SUM(OFFSET(E114,0,0,1,S$3))</f>
        <v>0</v>
      </c>
    </row>
    <row r="115" spans="1:19" ht="14.65" customHeight="1" outlineLevel="1">
      <c r="A115" s="231">
        <f t="shared" si="92"/>
        <v>0</v>
      </c>
      <c r="B115">
        <v>515505</v>
      </c>
      <c r="C115" t="s">
        <v>1345</v>
      </c>
      <c r="D115" t="s">
        <v>4597</v>
      </c>
      <c r="E115" s="3">
        <f>SUMIFS(Mov!$J:$J,Mov!$E:$E,$B115,Mov!$K:$K,E$3)/1000</f>
        <v>0</v>
      </c>
      <c r="F115" s="3">
        <f>SUMIFS(Mov!$J:$J,Mov!$E:$E,$B115,Mov!$K:$K,F$3)/1000</f>
        <v>0</v>
      </c>
      <c r="G115" s="3">
        <f>SUMIFS(Mov!$J:$J,Mov!$E:$E,$B115,Mov!$K:$K,G$3)/1000</f>
        <v>0</v>
      </c>
      <c r="H115" s="3">
        <f>SUMIFS(Mov!$J:$J,Mov!$E:$E,$B115,Mov!$K:$K,H$3)/1000</f>
        <v>0</v>
      </c>
      <c r="I115" s="3">
        <f>SUMIFS(Mov!$J:$J,Mov!$E:$E,$B115,Mov!$K:$K,I$3)/1000</f>
        <v>0</v>
      </c>
      <c r="J115" s="3">
        <f>SUMIFS(Mov!$J:$J,Mov!$E:$E,$B115,Mov!$K:$K,J$3)/1000</f>
        <v>0</v>
      </c>
      <c r="K115" s="3">
        <f>SUMIFS(Mov!$J:$J,Mov!$E:$E,$B115,Mov!$K:$K,K$3)/1000</f>
        <v>0</v>
      </c>
      <c r="L115" s="3">
        <f>SUMIFS(Mov!$J:$J,Mov!$E:$E,$B115,Mov!$K:$K,L$3)/1000</f>
        <v>0</v>
      </c>
      <c r="M115" s="3">
        <f>SUMIFS(Mov!$J:$J,Mov!$E:$E,$B115,Mov!$K:$K,M$3)/1000</f>
        <v>0</v>
      </c>
      <c r="N115" s="3">
        <f>SUMIFS(Mov!$J:$J,Mov!$E:$E,$B115,Mov!$K:$K,N$3)/1000</f>
        <v>0</v>
      </c>
      <c r="O115" s="3">
        <f>SUMIFS(Mov!$J:$J,Mov!$E:$E,$B115,Mov!$K:$K,O$3)/1000</f>
        <v>0</v>
      </c>
      <c r="P115" s="3">
        <f>SUMIFS(Mov!$J:$J,Mov!$E:$E,$B115,Mov!$K:$K,P$3)/1000</f>
        <v>0</v>
      </c>
      <c r="Q115" s="12">
        <f t="shared" si="93"/>
        <v>0</v>
      </c>
      <c r="R115" s="12"/>
      <c r="S115" s="12">
        <f t="shared" ca="1" si="94"/>
        <v>0</v>
      </c>
    </row>
    <row r="116" spans="1:19" ht="14.65" customHeight="1" outlineLevel="1">
      <c r="A116" s="231">
        <f t="shared" si="92"/>
        <v>0</v>
      </c>
      <c r="B116">
        <v>515505</v>
      </c>
      <c r="C116" t="s">
        <v>1345</v>
      </c>
      <c r="D116" t="s">
        <v>4601</v>
      </c>
      <c r="E116" s="3">
        <f>SUMIFS(Mov!$J:$J,Mov!$E:$E,$B116,Mov!$K:$K,E$3)/1000</f>
        <v>0</v>
      </c>
      <c r="F116" s="3">
        <f>SUMIFS(Mov!$J:$J,Mov!$E:$E,$B116,Mov!$K:$K,F$3)/1000</f>
        <v>0</v>
      </c>
      <c r="G116" s="3">
        <f>SUMIFS(Mov!$J:$J,Mov!$E:$E,$B116,Mov!$K:$K,G$3)/1000</f>
        <v>0</v>
      </c>
      <c r="H116" s="3">
        <f>SUMIFS(Mov!$J:$J,Mov!$E:$E,$B116,Mov!$K:$K,H$3)/1000</f>
        <v>0</v>
      </c>
      <c r="I116" s="3">
        <f>SUMIFS(Mov!$J:$J,Mov!$E:$E,$B116,Mov!$K:$K,I$3)/1000</f>
        <v>0</v>
      </c>
      <c r="J116" s="3">
        <f>SUMIFS(Mov!$J:$J,Mov!$E:$E,$B116,Mov!$K:$K,J$3)/1000</f>
        <v>0</v>
      </c>
      <c r="K116" s="3">
        <f>SUMIFS(Mov!$J:$J,Mov!$E:$E,$B116,Mov!$K:$K,K$3)/1000</f>
        <v>0</v>
      </c>
      <c r="L116" s="3">
        <f>SUMIFS(Mov!$J:$J,Mov!$E:$E,$B116,Mov!$K:$K,L$3)/1000</f>
        <v>0</v>
      </c>
      <c r="M116" s="3">
        <f>SUMIFS(Mov!$J:$J,Mov!$E:$E,$B116,Mov!$K:$K,M$3)/1000</f>
        <v>0</v>
      </c>
      <c r="N116" s="3">
        <f>SUMIFS(Mov!$J:$J,Mov!$E:$E,$B116,Mov!$K:$K,N$3)/1000</f>
        <v>0</v>
      </c>
      <c r="O116" s="3">
        <f>SUMIFS(Mov!$J:$J,Mov!$E:$E,$B116,Mov!$K:$K,O$3)/1000</f>
        <v>0</v>
      </c>
      <c r="P116" s="3">
        <f>SUMIFS(Mov!$J:$J,Mov!$E:$E,$B116,Mov!$K:$K,P$3)/1000</f>
        <v>0</v>
      </c>
      <c r="Q116" s="12">
        <f t="shared" si="93"/>
        <v>0</v>
      </c>
      <c r="R116" s="12"/>
      <c r="S116" s="12">
        <f t="shared" ca="1" si="94"/>
        <v>0</v>
      </c>
    </row>
    <row r="117" spans="1:19" ht="14.65" customHeight="1" outlineLevel="1">
      <c r="A117" s="231">
        <f t="shared" si="92"/>
        <v>0</v>
      </c>
      <c r="B117">
        <v>515595</v>
      </c>
      <c r="C117" t="s">
        <v>150</v>
      </c>
      <c r="D117" t="s">
        <v>4598</v>
      </c>
      <c r="E117" s="3">
        <f>SUMIFS(Mov!$J:$J,Mov!$E:$E,$B117,Mov!$K:$K,E$3)/1000</f>
        <v>0</v>
      </c>
      <c r="F117" s="3">
        <f>SUMIFS(Mov!$J:$J,Mov!$E:$E,$B117,Mov!$K:$K,F$3)/1000</f>
        <v>0</v>
      </c>
      <c r="G117" s="3">
        <f>SUMIFS(Mov!$J:$J,Mov!$E:$E,$B117,Mov!$K:$K,G$3)/1000</f>
        <v>0</v>
      </c>
      <c r="H117" s="3">
        <f>SUMIFS(Mov!$J:$J,Mov!$E:$E,$B117,Mov!$K:$K,H$3)/1000</f>
        <v>0</v>
      </c>
      <c r="I117" s="3">
        <f>SUMIFS(Mov!$J:$J,Mov!$E:$E,$B117,Mov!$K:$K,I$3)/1000</f>
        <v>0</v>
      </c>
      <c r="J117" s="3">
        <f>SUMIFS(Mov!$J:$J,Mov!$E:$E,$B117,Mov!$K:$K,J$3)/1000</f>
        <v>0</v>
      </c>
      <c r="K117" s="3">
        <f>SUMIFS(Mov!$J:$J,Mov!$E:$E,$B117,Mov!$K:$K,K$3)/1000</f>
        <v>0</v>
      </c>
      <c r="L117" s="3">
        <f>SUMIFS(Mov!$J:$J,Mov!$E:$E,$B117,Mov!$K:$K,L$3)/1000</f>
        <v>0</v>
      </c>
      <c r="M117" s="3">
        <f>SUMIFS(Mov!$J:$J,Mov!$E:$E,$B117,Mov!$K:$K,M$3)/1000</f>
        <v>0</v>
      </c>
      <c r="N117" s="3">
        <f>SUMIFS(Mov!$J:$J,Mov!$E:$E,$B117,Mov!$K:$K,N$3)/1000</f>
        <v>0</v>
      </c>
      <c r="O117" s="3">
        <f>SUMIFS(Mov!$J:$J,Mov!$E:$E,$B117,Mov!$K:$K,O$3)/1000</f>
        <v>0</v>
      </c>
      <c r="P117" s="3">
        <f>SUMIFS(Mov!$J:$J,Mov!$E:$E,$B117,Mov!$K:$K,P$3)/1000</f>
        <v>0</v>
      </c>
      <c r="Q117" s="12">
        <f t="shared" si="93"/>
        <v>0</v>
      </c>
      <c r="R117" s="12"/>
      <c r="S117" s="12">
        <f t="shared" ca="1" si="94"/>
        <v>0</v>
      </c>
    </row>
    <row r="118" spans="1:19" ht="14.65" customHeight="1" outlineLevel="1">
      <c r="A118" s="231">
        <f t="shared" si="92"/>
        <v>0</v>
      </c>
      <c r="B118">
        <v>51551501</v>
      </c>
      <c r="C118" t="s">
        <v>1352</v>
      </c>
      <c r="D118" t="s">
        <v>4602</v>
      </c>
      <c r="E118" s="3">
        <f>SUMIFS(Mov!$J:$J,Mov!$E:$E,$B118,Mov!$K:$K,E$3)/1000</f>
        <v>0</v>
      </c>
      <c r="F118" s="3">
        <f>SUMIFS(Mov!$J:$J,Mov!$E:$E,$B118,Mov!$K:$K,F$3)/1000</f>
        <v>0</v>
      </c>
      <c r="G118" s="3">
        <f>SUMIFS(Mov!$J:$J,Mov!$E:$E,$B118,Mov!$K:$K,G$3)/1000</f>
        <v>0</v>
      </c>
      <c r="H118" s="3">
        <f>SUMIFS(Mov!$J:$J,Mov!$E:$E,$B118,Mov!$K:$K,H$3)/1000</f>
        <v>0</v>
      </c>
      <c r="I118" s="3">
        <f>SUMIFS(Mov!$J:$J,Mov!$E:$E,$B118,Mov!$K:$K,I$3)/1000</f>
        <v>0</v>
      </c>
      <c r="J118" s="3">
        <f>SUMIFS(Mov!$J:$J,Mov!$E:$E,$B118,Mov!$K:$K,J$3)/1000</f>
        <v>0</v>
      </c>
      <c r="K118" s="3">
        <f>SUMIFS(Mov!$J:$J,Mov!$E:$E,$B118,Mov!$K:$K,K$3)/1000</f>
        <v>0</v>
      </c>
      <c r="L118" s="3">
        <f>SUMIFS(Mov!$J:$J,Mov!$E:$E,$B118,Mov!$K:$K,L$3)/1000</f>
        <v>0</v>
      </c>
      <c r="M118" s="3">
        <f>SUMIFS(Mov!$J:$J,Mov!$E:$E,$B118,Mov!$K:$K,M$3)/1000</f>
        <v>0</v>
      </c>
      <c r="N118" s="3">
        <f>SUMIFS(Mov!$J:$J,Mov!$E:$E,$B118,Mov!$K:$K,N$3)/1000</f>
        <v>0</v>
      </c>
      <c r="O118" s="3">
        <f>SUMIFS(Mov!$J:$J,Mov!$E:$E,$B118,Mov!$K:$K,O$3)/1000</f>
        <v>0</v>
      </c>
      <c r="P118" s="3">
        <f>SUMIFS(Mov!$J:$J,Mov!$E:$E,$B118,Mov!$K:$K,P$3)/1000</f>
        <v>0</v>
      </c>
      <c r="Q118" s="12">
        <f t="shared" si="93"/>
        <v>0</v>
      </c>
      <c r="R118" s="12"/>
      <c r="S118" s="12">
        <f t="shared" ca="1" si="94"/>
        <v>0</v>
      </c>
    </row>
    <row r="119" spans="1:19" ht="14.65" customHeight="1" outlineLevel="1">
      <c r="A119" s="231">
        <f t="shared" si="92"/>
        <v>0</v>
      </c>
      <c r="B119">
        <v>515595</v>
      </c>
      <c r="C119" t="s">
        <v>150</v>
      </c>
      <c r="D119" t="s">
        <v>4603</v>
      </c>
      <c r="E119" s="3">
        <f>SUMIFS(Mov!$J:$J,Mov!$E:$E,$B119,Mov!$K:$K,E$3)/1000</f>
        <v>0</v>
      </c>
      <c r="F119" s="3">
        <f>SUMIFS(Mov!$J:$J,Mov!$E:$E,$B119,Mov!$K:$K,F$3)/1000</f>
        <v>0</v>
      </c>
      <c r="G119" s="3">
        <f>SUMIFS(Mov!$J:$J,Mov!$E:$E,$B119,Mov!$K:$K,G$3)/1000</f>
        <v>0</v>
      </c>
      <c r="H119" s="3">
        <f>SUMIFS(Mov!$J:$J,Mov!$E:$E,$B119,Mov!$K:$K,H$3)/1000</f>
        <v>0</v>
      </c>
      <c r="I119" s="3">
        <f>SUMIFS(Mov!$J:$J,Mov!$E:$E,$B119,Mov!$K:$K,I$3)/1000</f>
        <v>0</v>
      </c>
      <c r="J119" s="3">
        <f>SUMIFS(Mov!$J:$J,Mov!$E:$E,$B119,Mov!$K:$K,J$3)/1000</f>
        <v>0</v>
      </c>
      <c r="K119" s="3">
        <f>SUMIFS(Mov!$J:$J,Mov!$E:$E,$B119,Mov!$K:$K,K$3)/1000</f>
        <v>0</v>
      </c>
      <c r="L119" s="3">
        <f>SUMIFS(Mov!$J:$J,Mov!$E:$E,$B119,Mov!$K:$K,L$3)/1000</f>
        <v>0</v>
      </c>
      <c r="M119" s="3">
        <f>SUMIFS(Mov!$J:$J,Mov!$E:$E,$B119,Mov!$K:$K,M$3)/1000</f>
        <v>0</v>
      </c>
      <c r="N119" s="3">
        <f>SUMIFS(Mov!$J:$J,Mov!$E:$E,$B119,Mov!$K:$K,N$3)/1000</f>
        <v>0</v>
      </c>
      <c r="O119" s="3">
        <f>SUMIFS(Mov!$J:$J,Mov!$E:$E,$B119,Mov!$K:$K,O$3)/1000</f>
        <v>0</v>
      </c>
      <c r="P119" s="3">
        <f>SUMIFS(Mov!$J:$J,Mov!$E:$E,$B119,Mov!$K:$K,P$3)/1000</f>
        <v>0</v>
      </c>
      <c r="Q119" s="12">
        <f t="shared" si="93"/>
        <v>0</v>
      </c>
      <c r="R119" s="12"/>
      <c r="S119" s="12">
        <f t="shared" ca="1" si="94"/>
        <v>0</v>
      </c>
    </row>
    <row r="120" spans="1:19" ht="14.65" customHeight="1">
      <c r="A120" s="232">
        <f>IF(SUM(A114:A119)&gt;0,1,0)</f>
        <v>0</v>
      </c>
      <c r="D120" s="1" t="s">
        <v>4604</v>
      </c>
      <c r="E120" s="13">
        <f t="shared" ref="E120:Q120" si="95">SUM(E114:E119)</f>
        <v>0</v>
      </c>
      <c r="F120" s="13">
        <f t="shared" si="95"/>
        <v>0</v>
      </c>
      <c r="G120" s="13">
        <f t="shared" si="95"/>
        <v>0</v>
      </c>
      <c r="H120" s="13">
        <f t="shared" si="95"/>
        <v>0</v>
      </c>
      <c r="I120" s="13">
        <f t="shared" si="95"/>
        <v>0</v>
      </c>
      <c r="J120" s="13">
        <f t="shared" si="95"/>
        <v>0</v>
      </c>
      <c r="K120" s="13">
        <f t="shared" si="95"/>
        <v>0</v>
      </c>
      <c r="L120" s="13">
        <f t="shared" si="95"/>
        <v>0</v>
      </c>
      <c r="M120" s="13">
        <f t="shared" si="95"/>
        <v>0</v>
      </c>
      <c r="N120" s="13">
        <f t="shared" si="95"/>
        <v>0</v>
      </c>
      <c r="O120" s="13">
        <f t="shared" si="95"/>
        <v>0</v>
      </c>
      <c r="P120" s="13">
        <f t="shared" si="95"/>
        <v>0</v>
      </c>
      <c r="Q120" s="13">
        <f t="shared" si="95"/>
        <v>0</v>
      </c>
      <c r="R120" s="12"/>
      <c r="S120" s="13">
        <f t="shared" ca="1" si="94"/>
        <v>0</v>
      </c>
    </row>
    <row r="121" spans="1:19" ht="14.65" customHeight="1">
      <c r="A121" s="230">
        <f>A128</f>
        <v>1</v>
      </c>
      <c r="E121" s="12"/>
      <c r="F121" s="12"/>
      <c r="G121" s="12"/>
      <c r="H121" s="12"/>
      <c r="I121" s="12"/>
      <c r="J121" s="12"/>
      <c r="K121" s="12"/>
      <c r="L121" s="12"/>
      <c r="M121" s="12"/>
      <c r="N121" s="12"/>
      <c r="O121" s="12"/>
      <c r="P121" s="12"/>
      <c r="Q121" s="12"/>
      <c r="R121" s="12"/>
      <c r="S121" s="12"/>
    </row>
    <row r="122" spans="1:19" ht="14.65" customHeight="1" outlineLevel="1">
      <c r="A122" s="231">
        <f t="shared" ref="A122:A127" si="96">IF(AND(E122=0,F122=0,G122=0,H122=0,I122=0,J122=0,K122=0,L122=0,M122=0,N122=0,O122=0,P122=0),0,1)</f>
        <v>1</v>
      </c>
      <c r="B122">
        <v>53050501</v>
      </c>
      <c r="C122" t="s">
        <v>1463</v>
      </c>
      <c r="D122" t="s">
        <v>4605</v>
      </c>
      <c r="E122" s="3">
        <f>SUMIFS(Mov!$J:$J,Mov!$E:$E,$B122,Mov!$K:$K,E$3)/1000</f>
        <v>69.2</v>
      </c>
      <c r="F122" s="3">
        <f>SUMIFS(Mov!$J:$J,Mov!$E:$E,$B122,Mov!$K:$K,F$3)/1000</f>
        <v>69.2</v>
      </c>
      <c r="G122" s="3">
        <f>SUMIFS(Mov!$J:$J,Mov!$E:$E,$B122,Mov!$K:$K,G$3)/1000</f>
        <v>69.2</v>
      </c>
      <c r="H122" s="3">
        <f>SUMIFS(Mov!$J:$J,Mov!$E:$E,$B122,Mov!$K:$K,H$3)/1000</f>
        <v>69.2</v>
      </c>
      <c r="I122" s="3">
        <f>SUMIFS(Mov!$J:$J,Mov!$E:$E,$B122,Mov!$K:$K,I$3)/1000</f>
        <v>69.2</v>
      </c>
      <c r="J122" s="3">
        <f>SUMIFS(Mov!$J:$J,Mov!$E:$E,$B122,Mov!$K:$K,J$3)/1000</f>
        <v>69.2</v>
      </c>
      <c r="K122" s="3">
        <f>SUMIFS(Mov!$J:$J,Mov!$E:$E,$B122,Mov!$K:$K,K$3)/1000</f>
        <v>69.2</v>
      </c>
      <c r="L122" s="3">
        <f>SUMIFS(Mov!$J:$J,Mov!$E:$E,$B122,Mov!$K:$K,L$3)/1000</f>
        <v>69.2</v>
      </c>
      <c r="M122" s="3">
        <f>SUMIFS(Mov!$J:$J,Mov!$E:$E,$B122,Mov!$K:$K,M$3)/1000</f>
        <v>69.2</v>
      </c>
      <c r="N122" s="3">
        <f>SUMIFS(Mov!$J:$J,Mov!$E:$E,$B122,Mov!$K:$K,N$3)/1000</f>
        <v>69.2</v>
      </c>
      <c r="O122" s="3">
        <f>SUMIFS(Mov!$J:$J,Mov!$E:$E,$B122,Mov!$K:$K,O$3)/1000</f>
        <v>69.2</v>
      </c>
      <c r="P122" s="3">
        <f>SUMIFS(Mov!$J:$J,Mov!$E:$E,$B122,Mov!$K:$K,P$3)/1000</f>
        <v>69.2</v>
      </c>
      <c r="Q122" s="12">
        <f t="shared" ref="Q122:Q124" si="97">SUM(E122:P122)</f>
        <v>830.4000000000002</v>
      </c>
      <c r="R122" s="12"/>
      <c r="S122" s="12">
        <f t="shared" ref="S122:S128" ca="1" si="98">SUM(OFFSET(E122,0,0,1,S$3))</f>
        <v>830.4000000000002</v>
      </c>
    </row>
    <row r="123" spans="1:19" ht="14.65" customHeight="1" outlineLevel="1">
      <c r="A123" s="231">
        <f t="shared" si="96"/>
        <v>1</v>
      </c>
      <c r="B123">
        <v>53050502</v>
      </c>
      <c r="C123" t="s">
        <v>1466</v>
      </c>
      <c r="D123" t="s">
        <v>4606</v>
      </c>
      <c r="E123" s="3">
        <f>SUMIFS(Mov!$J:$J,Mov!$E:$E,$B123,Mov!$K:$K,E$3)/1000</f>
        <v>12.99</v>
      </c>
      <c r="F123" s="3">
        <f>SUMIFS(Mov!$J:$J,Mov!$E:$E,$B123,Mov!$K:$K,F$3)/1000</f>
        <v>12.99</v>
      </c>
      <c r="G123" s="3">
        <f>SUMIFS(Mov!$J:$J,Mov!$E:$E,$B123,Mov!$K:$K,G$3)/1000</f>
        <v>12.99</v>
      </c>
      <c r="H123" s="3">
        <f>SUMIFS(Mov!$J:$J,Mov!$E:$E,$B123,Mov!$K:$K,H$3)/1000</f>
        <v>12.99</v>
      </c>
      <c r="I123" s="3">
        <f>SUMIFS(Mov!$J:$J,Mov!$E:$E,$B123,Mov!$K:$K,I$3)/1000</f>
        <v>12.99</v>
      </c>
      <c r="J123" s="3">
        <f>SUMIFS(Mov!$J:$J,Mov!$E:$E,$B123,Mov!$K:$K,J$3)/1000</f>
        <v>12.99</v>
      </c>
      <c r="K123" s="3">
        <f>SUMIFS(Mov!$J:$J,Mov!$E:$E,$B123,Mov!$K:$K,K$3)/1000</f>
        <v>12.99</v>
      </c>
      <c r="L123" s="3">
        <f>SUMIFS(Mov!$J:$J,Mov!$E:$E,$B123,Mov!$K:$K,L$3)/1000</f>
        <v>12.99</v>
      </c>
      <c r="M123" s="3">
        <f>SUMIFS(Mov!$J:$J,Mov!$E:$E,$B123,Mov!$K:$K,M$3)/1000</f>
        <v>12.99</v>
      </c>
      <c r="N123" s="3">
        <f>SUMIFS(Mov!$J:$J,Mov!$E:$E,$B123,Mov!$K:$K,N$3)/1000</f>
        <v>12.99</v>
      </c>
      <c r="O123" s="3">
        <f>SUMIFS(Mov!$J:$J,Mov!$E:$E,$B123,Mov!$K:$K,O$3)/1000</f>
        <v>12.99</v>
      </c>
      <c r="P123" s="3">
        <f>SUMIFS(Mov!$J:$J,Mov!$E:$E,$B123,Mov!$K:$K,P$3)/1000</f>
        <v>14.19</v>
      </c>
      <c r="Q123" s="12">
        <f t="shared" si="97"/>
        <v>157.07999999999998</v>
      </c>
      <c r="R123" s="12"/>
      <c r="S123" s="12">
        <f t="shared" ca="1" si="98"/>
        <v>157.07999999999998</v>
      </c>
    </row>
    <row r="124" spans="1:19" ht="14.65" customHeight="1" outlineLevel="1">
      <c r="A124" s="231">
        <f t="shared" si="96"/>
        <v>1</v>
      </c>
      <c r="B124">
        <v>53050503</v>
      </c>
      <c r="C124" t="s">
        <v>1468</v>
      </c>
      <c r="D124" t="s">
        <v>4607</v>
      </c>
      <c r="E124" s="3">
        <f>SUMIFS(Mov!$J:$J,Mov!$E:$E,$B124,Mov!$K:$K,E$3)/1000</f>
        <v>67.078919999999997</v>
      </c>
      <c r="F124" s="3">
        <f>SUMIFS(Mov!$J:$J,Mov!$E:$E,$B124,Mov!$K:$K,F$3)/1000</f>
        <v>95.21838000000001</v>
      </c>
      <c r="G124" s="3">
        <f>SUMIFS(Mov!$J:$J,Mov!$E:$E,$B124,Mov!$K:$K,G$3)/1000</f>
        <v>77.548649999999995</v>
      </c>
      <c r="H124" s="3">
        <f>SUMIFS(Mov!$J:$J,Mov!$E:$E,$B124,Mov!$K:$K,H$3)/1000</f>
        <v>70.568830000000005</v>
      </c>
      <c r="I124" s="3">
        <f>SUMIFS(Mov!$J:$J,Mov!$E:$E,$B124,Mov!$K:$K,I$3)/1000</f>
        <v>74.05874</v>
      </c>
      <c r="J124" s="3">
        <f>SUMIFS(Mov!$J:$J,Mov!$E:$E,$B124,Mov!$K:$K,J$3)/1000</f>
        <v>66.97</v>
      </c>
      <c r="K124" s="3">
        <f>SUMIFS(Mov!$J:$J,Mov!$E:$E,$B124,Mov!$K:$K,K$3)/1000</f>
        <v>0</v>
      </c>
      <c r="L124" s="3">
        <f>SUMIFS(Mov!$J:$J,Mov!$E:$E,$B124,Mov!$K:$K,L$3)/1000</f>
        <v>144.52000000000001</v>
      </c>
      <c r="M124" s="3">
        <f>SUMIFS(Mov!$J:$J,Mov!$E:$E,$B124,Mov!$K:$K,M$3)/1000</f>
        <v>98.82</v>
      </c>
      <c r="N124" s="3">
        <f>SUMIFS(Mov!$J:$J,Mov!$E:$E,$B124,Mov!$K:$K,N$3)/1000</f>
        <v>541.04999999999995</v>
      </c>
      <c r="O124" s="3">
        <f>SUMIFS(Mov!$J:$J,Mov!$E:$E,$B124,Mov!$K:$K,O$3)/1000</f>
        <v>91.73</v>
      </c>
      <c r="P124" s="3">
        <f>SUMIFS(Mov!$J:$J,Mov!$E:$E,$B124,Mov!$K:$K,P$3)/1000</f>
        <v>137.76</v>
      </c>
      <c r="Q124" s="12">
        <f t="shared" si="97"/>
        <v>1465.3235199999999</v>
      </c>
      <c r="R124" s="12"/>
      <c r="S124" s="12">
        <f t="shared" ca="1" si="98"/>
        <v>1465.3235199999999</v>
      </c>
    </row>
    <row r="125" spans="1:19" ht="14.65" customHeight="1" outlineLevel="1">
      <c r="A125" s="231">
        <f t="shared" si="96"/>
        <v>1</v>
      </c>
      <c r="B125">
        <v>53052001</v>
      </c>
      <c r="C125" t="s">
        <v>211</v>
      </c>
      <c r="D125" t="s">
        <v>4608</v>
      </c>
      <c r="E125" s="3">
        <f>SUMIFS(Mov!$J:$J,Mov!$E:$E,$B125,Mov!$K:$K,E$3)/1000</f>
        <v>0</v>
      </c>
      <c r="F125" s="3">
        <f>SUMIFS(Mov!$J:$J,Mov!$E:$E,$B125,Mov!$K:$K,F$3)/1000</f>
        <v>0</v>
      </c>
      <c r="G125" s="3">
        <f>SUMIFS(Mov!$J:$J,Mov!$E:$E,$B125,Mov!$K:$K,G$3)/1000</f>
        <v>27.974</v>
      </c>
      <c r="H125" s="3">
        <f>SUMIFS(Mov!$J:$J,Mov!$E:$E,$B125,Mov!$K:$K,H$3)/1000</f>
        <v>0</v>
      </c>
      <c r="I125" s="3">
        <f>SUMIFS(Mov!$J:$J,Mov!$E:$E,$B125,Mov!$K:$K,I$3)/1000</f>
        <v>10</v>
      </c>
      <c r="J125" s="3">
        <f>SUMIFS(Mov!$J:$J,Mov!$E:$E,$B125,Mov!$K:$K,J$3)/1000</f>
        <v>0</v>
      </c>
      <c r="K125" s="3">
        <f>SUMIFS(Mov!$J:$J,Mov!$E:$E,$B125,Mov!$K:$K,K$3)/1000</f>
        <v>0</v>
      </c>
      <c r="L125" s="3">
        <f>SUMIFS(Mov!$J:$J,Mov!$E:$E,$B125,Mov!$K:$K,L$3)/1000</f>
        <v>0.25413000000000002</v>
      </c>
      <c r="M125" s="3">
        <f>SUMIFS(Mov!$J:$J,Mov!$E:$E,$B125,Mov!$K:$K,M$3)/1000</f>
        <v>1</v>
      </c>
      <c r="N125" s="3">
        <f>SUMIFS(Mov!$J:$J,Mov!$E:$E,$B125,Mov!$K:$K,N$3)/1000</f>
        <v>0</v>
      </c>
      <c r="O125" s="3">
        <f>SUMIFS(Mov!$J:$J,Mov!$E:$E,$B125,Mov!$K:$K,O$3)/1000</f>
        <v>84.546000000000006</v>
      </c>
      <c r="P125" s="3">
        <f>SUMIFS(Mov!$J:$J,Mov!$E:$E,$B125,Mov!$K:$K,P$3)/1000</f>
        <v>0</v>
      </c>
      <c r="Q125" s="12">
        <f>SUM(E125:P125)</f>
        <v>123.77413000000001</v>
      </c>
      <c r="R125" s="12"/>
      <c r="S125" s="12">
        <f t="shared" ca="1" si="98"/>
        <v>123.77413000000001</v>
      </c>
    </row>
    <row r="126" spans="1:19" ht="14.65" customHeight="1" outlineLevel="1">
      <c r="A126" s="231">
        <f t="shared" ref="A126" si="99">IF(AND(E126=0,F126=0,G126=0,H126=0,I126=0,J126=0,K126=0,L126=0,M126=0,N126=0,O126=0,P126=0),0,1)</f>
        <v>1</v>
      </c>
      <c r="B126">
        <v>53052002</v>
      </c>
      <c r="C126" t="s">
        <v>4609</v>
      </c>
      <c r="D126" t="s">
        <v>4608</v>
      </c>
      <c r="E126" s="3">
        <f>SUMIFS(Mov!$J:$J,Mov!$E:$E,$B126,Mov!$K:$K,E$3)/1000</f>
        <v>0</v>
      </c>
      <c r="F126" s="3">
        <f>SUMIFS(Mov!$J:$J,Mov!$E:$E,$B126,Mov!$K:$K,F$3)/1000</f>
        <v>0</v>
      </c>
      <c r="G126" s="3">
        <f>SUMIFS(Mov!$J:$J,Mov!$E:$E,$B126,Mov!$K:$K,G$3)/1000</f>
        <v>0</v>
      </c>
      <c r="H126" s="3">
        <f>SUMIFS(Mov!$J:$J,Mov!$E:$E,$B126,Mov!$K:$K,H$3)/1000</f>
        <v>0</v>
      </c>
      <c r="I126" s="3">
        <f>SUMIFS(Mov!$J:$J,Mov!$E:$E,$B126,Mov!$K:$K,I$3)/1000</f>
        <v>0</v>
      </c>
      <c r="J126" s="3">
        <f>SUMIFS(Mov!$J:$J,Mov!$E:$E,$B126,Mov!$K:$K,J$3)/1000</f>
        <v>0</v>
      </c>
      <c r="K126" s="3">
        <f>SUMIFS(Mov!$J:$J,Mov!$E:$E,$B126,Mov!$K:$K,K$3)/1000</f>
        <v>0</v>
      </c>
      <c r="L126" s="3">
        <f>SUMIFS(Mov!$J:$J,Mov!$E:$E,$B126,Mov!$K:$K,L$3)/1000</f>
        <v>3887.42</v>
      </c>
      <c r="M126" s="3">
        <f>SUMIFS(Mov!$J:$J,Mov!$E:$E,$B126,Mov!$K:$K,M$3)/1000</f>
        <v>0</v>
      </c>
      <c r="N126" s="3">
        <f>SUMIFS(Mov!$J:$J,Mov!$E:$E,$B126,Mov!$K:$K,N$3)/1000</f>
        <v>0</v>
      </c>
      <c r="O126" s="3">
        <f>SUMIFS(Mov!$J:$J,Mov!$E:$E,$B126,Mov!$K:$K,O$3)/1000</f>
        <v>0</v>
      </c>
      <c r="P126" s="3">
        <f>SUMIFS(Mov!$J:$J,Mov!$E:$E,$B126,Mov!$K:$K,P$3)/1000</f>
        <v>0</v>
      </c>
      <c r="Q126" s="12">
        <f>SUM(E126:P126)</f>
        <v>3887.42</v>
      </c>
      <c r="R126" s="12"/>
      <c r="S126" s="12">
        <f t="shared" ref="S126" ca="1" si="100">SUM(OFFSET(E126,0,0,1,S$3))</f>
        <v>3887.42</v>
      </c>
    </row>
    <row r="127" spans="1:19" ht="14.65" customHeight="1" outlineLevel="1">
      <c r="A127" s="231">
        <f t="shared" si="96"/>
        <v>0</v>
      </c>
      <c r="B127">
        <v>530535</v>
      </c>
      <c r="C127" t="s">
        <v>1054</v>
      </c>
      <c r="D127" t="s">
        <v>4610</v>
      </c>
      <c r="E127" s="3">
        <f>SUMIFS(Mov!$J:$J,Mov!$E:$E,$B127,Mov!$K:$K,E$3)/1000</f>
        <v>0</v>
      </c>
      <c r="F127" s="3">
        <f>SUMIFS(Mov!$J:$J,Mov!$E:$E,$B127,Mov!$K:$K,F$3)/1000</f>
        <v>0</v>
      </c>
      <c r="G127" s="3">
        <f>SUMIFS(Mov!$J:$J,Mov!$E:$E,$B127,Mov!$K:$K,G$3)/1000</f>
        <v>0</v>
      </c>
      <c r="H127" s="3">
        <f>SUMIFS(Mov!$J:$J,Mov!$E:$E,$B127,Mov!$K:$K,H$3)/1000</f>
        <v>0</v>
      </c>
      <c r="I127" s="3">
        <f>SUMIFS(Mov!$J:$J,Mov!$E:$E,$B127,Mov!$K:$K,I$3)/1000</f>
        <v>0</v>
      </c>
      <c r="J127" s="3">
        <f>SUMIFS(Mov!$J:$J,Mov!$E:$E,$B127,Mov!$K:$K,J$3)/1000</f>
        <v>0</v>
      </c>
      <c r="K127" s="3">
        <f>SUMIFS(Mov!$J:$J,Mov!$E:$E,$B127,Mov!$K:$K,K$3)/1000</f>
        <v>0</v>
      </c>
      <c r="L127" s="3">
        <f>SUMIFS(Mov!$J:$J,Mov!$E:$E,$B127,Mov!$K:$K,L$3)/1000</f>
        <v>0</v>
      </c>
      <c r="M127" s="3">
        <f>SUMIFS(Mov!$J:$J,Mov!$E:$E,$B127,Mov!$K:$K,M$3)/1000</f>
        <v>0</v>
      </c>
      <c r="N127" s="3">
        <f>SUMIFS(Mov!$J:$J,Mov!$E:$E,$B127,Mov!$K:$K,N$3)/1000</f>
        <v>0</v>
      </c>
      <c r="O127" s="3">
        <f>SUMIFS(Mov!$J:$J,Mov!$E:$E,$B127,Mov!$K:$K,O$3)/1000</f>
        <v>0</v>
      </c>
      <c r="P127" s="3">
        <f>SUMIFS(Mov!$J:$J,Mov!$E:$E,$B127,Mov!$K:$K,P$3)/1000</f>
        <v>0</v>
      </c>
      <c r="Q127" s="12">
        <f>SUM(E127:P127)</f>
        <v>0</v>
      </c>
      <c r="R127" s="12"/>
      <c r="S127" s="12">
        <f t="shared" ca="1" si="98"/>
        <v>0</v>
      </c>
    </row>
    <row r="128" spans="1:19" ht="14.65" customHeight="1">
      <c r="A128" s="232">
        <f>IF(SUM(A122:A127)&gt;0,1,0)</f>
        <v>1</v>
      </c>
      <c r="D128" s="1" t="s">
        <v>4611</v>
      </c>
      <c r="E128" s="13">
        <f>SUM(E122:E127)</f>
        <v>149.26891999999998</v>
      </c>
      <c r="F128" s="13">
        <f t="shared" ref="F128:I128" si="101">SUM(F122:F127)</f>
        <v>177.40838000000002</v>
      </c>
      <c r="G128" s="13">
        <f t="shared" si="101"/>
        <v>187.71265</v>
      </c>
      <c r="H128" s="13">
        <f t="shared" si="101"/>
        <v>152.75882999999999</v>
      </c>
      <c r="I128" s="13">
        <f t="shared" si="101"/>
        <v>166.24874</v>
      </c>
      <c r="J128" s="13">
        <f t="shared" ref="J128:P128" si="102">SUM(J122:J127)</f>
        <v>149.16</v>
      </c>
      <c r="K128" s="13">
        <f t="shared" si="102"/>
        <v>82.19</v>
      </c>
      <c r="L128" s="13">
        <f t="shared" si="102"/>
        <v>4114.3841300000004</v>
      </c>
      <c r="M128" s="13">
        <f t="shared" si="102"/>
        <v>182.01</v>
      </c>
      <c r="N128" s="13">
        <f t="shared" si="102"/>
        <v>623.24</v>
      </c>
      <c r="O128" s="13">
        <f t="shared" si="102"/>
        <v>258.46600000000001</v>
      </c>
      <c r="P128" s="13">
        <f t="shared" si="102"/>
        <v>221.14999999999998</v>
      </c>
      <c r="Q128" s="13">
        <f>SUM(Q122:Q127)</f>
        <v>6463.9976500000002</v>
      </c>
      <c r="R128" s="12"/>
      <c r="S128" s="13">
        <f t="shared" ca="1" si="98"/>
        <v>6463.9976500000002</v>
      </c>
    </row>
    <row r="129" spans="1:22" ht="14.65" customHeight="1">
      <c r="A129" s="230">
        <f>A134</f>
        <v>1</v>
      </c>
      <c r="E129" s="12"/>
      <c r="F129" s="12"/>
      <c r="G129" s="12"/>
      <c r="H129" s="12"/>
      <c r="I129" s="12"/>
      <c r="J129" s="12"/>
      <c r="K129" s="12"/>
      <c r="L129" s="12"/>
      <c r="M129" s="12"/>
      <c r="N129" s="12"/>
      <c r="O129" s="12"/>
      <c r="P129" s="12"/>
      <c r="Q129" s="12"/>
      <c r="R129" s="12"/>
      <c r="S129" s="12"/>
    </row>
    <row r="130" spans="1:22" ht="14.65" customHeight="1" outlineLevel="1">
      <c r="A130" s="231">
        <f t="shared" ref="A130:A133" si="103">IF(AND(E130=0,F130=0,G130=0,H130=0,I130=0,J130=0,K130=0,L130=0,M130=0,N130=0,O130=0,P130=0),0,1)</f>
        <v>1</v>
      </c>
      <c r="B130">
        <v>511505</v>
      </c>
      <c r="C130" t="s">
        <v>1159</v>
      </c>
      <c r="D130" t="s">
        <v>4612</v>
      </c>
      <c r="E130" s="3">
        <f>SUMIFS(Mov!$J:$J,Mov!$E:$E,$B130,Mov!$K:$K,E$3)/1000</f>
        <v>0</v>
      </c>
      <c r="F130" s="3">
        <f>SUMIFS(Mov!$J:$J,Mov!$E:$E,$B130,Mov!$K:$K,F$3)/1000</f>
        <v>0</v>
      </c>
      <c r="G130" s="3">
        <f>SUMIFS(Mov!$J:$J,Mov!$E:$E,$B130,Mov!$K:$K,G$3)/1000</f>
        <v>0</v>
      </c>
      <c r="H130" s="3">
        <f>SUMIFS(Mov!$J:$J,Mov!$E:$E,$B130,Mov!$K:$K,H$3)/1000</f>
        <v>0</v>
      </c>
      <c r="I130" s="3">
        <f>SUMIFS(Mov!$J:$J,Mov!$E:$E,$B130,Mov!$K:$K,I$3)/1000</f>
        <v>1</v>
      </c>
      <c r="J130" s="227">
        <f>SUMIFS(Mov!$J:$J,Mov!$E:$E,$B130,Mov!$K:$K,J$3)/1000</f>
        <v>0</v>
      </c>
      <c r="K130" s="227">
        <f>SUMIFS(Mov!$J:$J,Mov!$E:$E,$B130,Mov!$K:$K,K$3)/1000</f>
        <v>0</v>
      </c>
      <c r="L130" s="227">
        <f>SUMIFS(Mov!$J:$J,Mov!$E:$E,$B130,Mov!$K:$K,L$3)/1000</f>
        <v>0</v>
      </c>
      <c r="M130" s="227">
        <f>SUMIFS(Mov!$J:$J,Mov!$E:$E,$B130,Mov!$K:$K,M$3)/1000</f>
        <v>0</v>
      </c>
      <c r="N130" s="3">
        <f>SUMIFS(Mov!$J:$J,Mov!$E:$E,$B130,Mov!$K:$K,N$3)/1000</f>
        <v>0</v>
      </c>
      <c r="O130" s="3">
        <f>SUMIFS(Mov!$J:$J,Mov!$E:$E,$B130,Mov!$K:$K,O$3)/1000</f>
        <v>0</v>
      </c>
      <c r="P130" s="3">
        <f>SUMIFS(Mov!$J:$J,Mov!$E:$E,$B130,Mov!$K:$K,P$3)/1000</f>
        <v>0</v>
      </c>
      <c r="Q130" s="12">
        <f>SUM(E130:P130)</f>
        <v>1</v>
      </c>
      <c r="R130" s="12"/>
      <c r="S130" s="12">
        <f t="shared" ref="S130" ca="1" si="104">SUM(OFFSET(E130,0,0,1,S$3))</f>
        <v>1</v>
      </c>
    </row>
    <row r="131" spans="1:22" ht="14.65" customHeight="1" outlineLevel="1">
      <c r="A131" s="231">
        <f t="shared" si="103"/>
        <v>1</v>
      </c>
      <c r="B131">
        <v>51159501</v>
      </c>
      <c r="C131" t="s">
        <v>1181</v>
      </c>
      <c r="D131" t="s">
        <v>4613</v>
      </c>
      <c r="E131" s="3">
        <f>SUMIFS(Mov!$J:$J,Mov!$E:$E,$B131,Mov!$K:$K,E$3)/1000</f>
        <v>218.48685999999998</v>
      </c>
      <c r="F131" s="3">
        <f>SUMIFS(Mov!$J:$J,Mov!$E:$E,$B131,Mov!$K:$K,F$3)/1000</f>
        <v>247.55892</v>
      </c>
      <c r="G131" s="3">
        <f>SUMIFS(Mov!$J:$J,Mov!$E:$E,$B131,Mov!$K:$K,G$3)/1000</f>
        <v>207.09542000000002</v>
      </c>
      <c r="H131" s="3">
        <f>SUMIFS(Mov!$J:$J,Mov!$E:$E,$B131,Mov!$K:$K,H$3)/1000</f>
        <v>191.84287</v>
      </c>
      <c r="I131" s="3">
        <f>SUMIFS(Mov!$J:$J,Mov!$E:$E,$B131,Mov!$K:$K,I$3)/1000</f>
        <v>213.70948000000001</v>
      </c>
      <c r="J131" s="3">
        <f>SUMIFS(Mov!$J:$J,Mov!$E:$E,$B131,Mov!$K:$K,J$3)/1000</f>
        <v>213.71293</v>
      </c>
      <c r="K131" s="3">
        <f>SUMIFS(Mov!$J:$J,Mov!$E:$E,$B131,Mov!$K:$K,K$3)/1000</f>
        <v>214.24286999999998</v>
      </c>
      <c r="L131" s="3">
        <f>SUMIFS(Mov!$J:$J,Mov!$E:$E,$B131,Mov!$K:$K,L$3)/1000</f>
        <v>429.74243000000001</v>
      </c>
      <c r="M131" s="3">
        <f>SUMIFS(Mov!$J:$J,Mov!$E:$E,$B131,Mov!$K:$K,M$3)/1000</f>
        <v>226.56565000000001</v>
      </c>
      <c r="N131" s="3">
        <f>SUMIFS(Mov!$J:$J,Mov!$E:$E,$B131,Mov!$K:$K,N$3)/1000</f>
        <v>693.92345</v>
      </c>
      <c r="O131" s="3">
        <f>SUMIFS(Mov!$J:$J,Mov!$E:$E,$B131,Mov!$K:$K,O$3)/1000</f>
        <v>224.42884000000001</v>
      </c>
      <c r="P131" s="3">
        <f>SUMIFS(Mov!$J:$J,Mov!$E:$E,$B131,Mov!$K:$K,P$3)/1000</f>
        <v>319.99117000000001</v>
      </c>
      <c r="Q131" s="12">
        <f t="shared" ref="Q131:Q132" si="105">SUM(E131:P131)</f>
        <v>3401.3008899999995</v>
      </c>
      <c r="R131" s="12"/>
      <c r="S131" s="12">
        <f t="shared" ref="S131:S132" ca="1" si="106">SUM(OFFSET(E131,0,0,1,S$3))</f>
        <v>3401.3008899999995</v>
      </c>
      <c r="V131" s="12"/>
    </row>
    <row r="132" spans="1:22" ht="14.65" customHeight="1" outlineLevel="1">
      <c r="A132" s="231">
        <v>1</v>
      </c>
      <c r="B132">
        <v>51159502</v>
      </c>
      <c r="C132" t="s">
        <v>1736</v>
      </c>
      <c r="D132" t="s">
        <v>4613</v>
      </c>
      <c r="E132" s="3">
        <f>SUMIFS(Mov!$J:$J,Mov!$E:$E,$B132,Mov!$K:$K,E$3)/1000</f>
        <v>0</v>
      </c>
      <c r="F132" s="3">
        <f>SUMIFS(Mov!$J:$J,Mov!$E:$E,$B132,Mov!$K:$K,F$3)/1000</f>
        <v>0</v>
      </c>
      <c r="G132" s="3">
        <f>SUMIFS(Mov!$J:$J,Mov!$E:$E,$B132,Mov!$K:$K,G$3)/1000</f>
        <v>0.27650000000000002</v>
      </c>
      <c r="H132" s="3">
        <f>SUMIFS(Mov!$J:$J,Mov!$E:$E,$B132,Mov!$K:$K,H$3)/1000</f>
        <v>0.27650000000000002</v>
      </c>
      <c r="I132" s="3">
        <f>SUMIFS(Mov!$J:$J,Mov!$E:$E,$B132,Mov!$K:$K,I$3)/1000</f>
        <v>0.27650000000000002</v>
      </c>
      <c r="J132" s="3">
        <f>SUMIFS(Mov!$J:$J,Mov!$E:$E,$B132,Mov!$K:$K,J$3)/1000</f>
        <v>0.27650000000000002</v>
      </c>
      <c r="K132" s="3">
        <f>SUMIFS(Mov!$J:$J,Mov!$E:$E,$B132,Mov!$K:$K,K$3)/1000</f>
        <v>0.27583999999999997</v>
      </c>
      <c r="L132" s="3">
        <f>SUMIFS(Mov!$J:$J,Mov!$E:$E,$B132,Mov!$K:$K,L$3)/1000</f>
        <v>0.27650000000000002</v>
      </c>
      <c r="M132" s="3">
        <f>SUMIFS(Mov!$J:$J,Mov!$E:$E,$B132,Mov!$K:$K,M$3)/1000</f>
        <v>0</v>
      </c>
      <c r="N132" s="3">
        <f>SUMIFS(Mov!$J:$J,Mov!$E:$E,$B132,Mov!$K:$K,N$3)/1000</f>
        <v>0</v>
      </c>
      <c r="O132" s="3">
        <f>SUMIFS(Mov!$J:$J,Mov!$E:$E,$B132,Mov!$K:$K,O$3)/1000</f>
        <v>0</v>
      </c>
      <c r="P132" s="3">
        <f>SUMIFS(Mov!$J:$J,Mov!$E:$E,$B132,Mov!$K:$K,P$3)/1000</f>
        <v>0</v>
      </c>
      <c r="Q132" s="12">
        <f t="shared" si="105"/>
        <v>1.6583399999999999</v>
      </c>
      <c r="R132" s="12"/>
      <c r="S132" s="12">
        <f t="shared" ca="1" si="106"/>
        <v>1.6583399999999999</v>
      </c>
      <c r="T132" s="12"/>
    </row>
    <row r="133" spans="1:22" ht="14.65" customHeight="1" outlineLevel="1">
      <c r="A133" s="231">
        <f t="shared" si="103"/>
        <v>0</v>
      </c>
      <c r="B133">
        <v>511570</v>
      </c>
      <c r="C133" t="s">
        <v>745</v>
      </c>
      <c r="D133" t="s">
        <v>4614</v>
      </c>
      <c r="E133" s="3">
        <f>SUMIFS(Mov!$J:$J,Mov!$E:$E,$B133,Mov!$K:$K,E$3)/1000</f>
        <v>0</v>
      </c>
      <c r="F133" s="3">
        <f>SUMIFS(Mov!$J:$J,Mov!$E:$E,$B133,Mov!$K:$K,F$3)/1000</f>
        <v>0</v>
      </c>
      <c r="G133" s="3">
        <f>SUMIFS(Mov!$J:$J,Mov!$E:$E,$B133,Mov!$K:$K,G$3)/1000</f>
        <v>0</v>
      </c>
      <c r="H133" s="3">
        <f>SUMIFS(Mov!$J:$J,Mov!$E:$E,$B133,Mov!$K:$K,H$3)/1000</f>
        <v>0</v>
      </c>
      <c r="I133" s="3">
        <f>SUMIFS(Mov!$J:$J,Mov!$E:$E,$B133,Mov!$K:$K,I$3)/1000</f>
        <v>0</v>
      </c>
      <c r="J133" s="3">
        <f>SUMIFS(Mov!$J:$J,Mov!$E:$E,$B133,Mov!$K:$K,J$3)/1000</f>
        <v>0</v>
      </c>
      <c r="K133" s="3">
        <f>SUMIFS(Mov!$J:$J,Mov!$E:$E,$B133,Mov!$K:$K,K$3)/1000</f>
        <v>0</v>
      </c>
      <c r="L133" s="3">
        <f>SUMIFS(Mov!$J:$J,Mov!$E:$E,$B133,Mov!$K:$K,L$3)/1000</f>
        <v>0</v>
      </c>
      <c r="M133" s="3">
        <f>SUMIFS(Mov!$J:$J,Mov!$E:$E,$B133,Mov!$K:$K,M$3)/1000</f>
        <v>0</v>
      </c>
      <c r="N133" s="3">
        <f>SUMIFS(Mov!$J:$J,Mov!$E:$E,$B133,Mov!$K:$K,N$3)/1000</f>
        <v>0</v>
      </c>
      <c r="O133" s="3">
        <f>SUMIFS(Mov!$J:$J,Mov!$E:$E,$B133,Mov!$K:$K,O$3)/1000</f>
        <v>0</v>
      </c>
      <c r="P133" s="3">
        <f>SUMIFS(Mov!$J:$J,Mov!$E:$E,$B133,Mov!$K:$K,P$3)/1000</f>
        <v>0</v>
      </c>
      <c r="Q133" s="12">
        <f t="shared" ref="Q133" si="107">SUM(E133:P133)</f>
        <v>0</v>
      </c>
      <c r="R133" s="12"/>
      <c r="S133" s="12">
        <f ca="1">SUM(OFFSET(E133,0,0,1,S$3))</f>
        <v>0</v>
      </c>
    </row>
    <row r="134" spans="1:22" ht="14.65" customHeight="1">
      <c r="A134" s="232">
        <f>IF(SUM(A130:A133)&gt;0,1,0)</f>
        <v>1</v>
      </c>
      <c r="D134" s="1" t="s">
        <v>4615</v>
      </c>
      <c r="E134" s="13">
        <f t="shared" ref="E134:I134" si="108">SUM(E130:E133)</f>
        <v>218.48685999999998</v>
      </c>
      <c r="F134" s="13">
        <f t="shared" si="108"/>
        <v>247.55892</v>
      </c>
      <c r="G134" s="13">
        <f t="shared" si="108"/>
        <v>207.37192000000002</v>
      </c>
      <c r="H134" s="13">
        <f t="shared" si="108"/>
        <v>192.11937</v>
      </c>
      <c r="I134" s="13">
        <f t="shared" si="108"/>
        <v>214.98598000000001</v>
      </c>
      <c r="J134" s="13">
        <f t="shared" ref="J134:Q134" si="109">SUM(J130:J133)</f>
        <v>213.98943</v>
      </c>
      <c r="K134" s="13">
        <f t="shared" si="109"/>
        <v>214.51870999999997</v>
      </c>
      <c r="L134" s="13">
        <f t="shared" si="109"/>
        <v>430.01893000000001</v>
      </c>
      <c r="M134" s="13">
        <f t="shared" si="109"/>
        <v>226.56565000000001</v>
      </c>
      <c r="N134" s="13">
        <f t="shared" si="109"/>
        <v>693.92345</v>
      </c>
      <c r="O134" s="13">
        <f t="shared" si="109"/>
        <v>224.42884000000001</v>
      </c>
      <c r="P134" s="13">
        <f t="shared" si="109"/>
        <v>319.99117000000001</v>
      </c>
      <c r="Q134" s="13">
        <f t="shared" si="109"/>
        <v>3403.9592299999995</v>
      </c>
      <c r="R134" s="12"/>
      <c r="S134" s="12">
        <f ca="1">SUM(OFFSET(E134,0,0,1,S$3))</f>
        <v>3403.9592300000004</v>
      </c>
    </row>
    <row r="135" spans="1:22" ht="14.65" customHeight="1">
      <c r="A135">
        <v>1</v>
      </c>
      <c r="B135" s="124"/>
      <c r="C135" s="124"/>
      <c r="D135" s="124"/>
      <c r="E135" s="180"/>
      <c r="F135" s="180"/>
      <c r="G135" s="180"/>
      <c r="H135" s="180"/>
      <c r="I135" s="180"/>
      <c r="J135" s="180"/>
      <c r="K135" s="180"/>
      <c r="L135" s="180"/>
      <c r="M135" s="180"/>
      <c r="N135" s="180"/>
      <c r="O135" s="180"/>
      <c r="P135" s="180"/>
      <c r="Q135" s="180"/>
      <c r="R135" s="180"/>
      <c r="S135" s="180"/>
    </row>
    <row r="136" spans="1:22" ht="14.65" customHeight="1">
      <c r="A136">
        <v>1</v>
      </c>
      <c r="C136" s="1"/>
      <c r="D136" s="1" t="s">
        <v>4616</v>
      </c>
      <c r="E136" s="13">
        <f t="shared" ref="E136:Q136" si="110">E38+E45+E53+E57+E112+E120+E128+E134</f>
        <v>51787.949189999992</v>
      </c>
      <c r="F136" s="13">
        <f t="shared" si="110"/>
        <v>56341.319819999997</v>
      </c>
      <c r="G136" s="13">
        <f t="shared" si="110"/>
        <v>50566.02781</v>
      </c>
      <c r="H136" s="13">
        <f t="shared" si="110"/>
        <v>48139.935790000003</v>
      </c>
      <c r="I136" s="13">
        <f t="shared" si="110"/>
        <v>49791.987789999999</v>
      </c>
      <c r="J136" s="13">
        <f t="shared" si="110"/>
        <v>50882.801899999999</v>
      </c>
      <c r="K136" s="13">
        <f t="shared" si="110"/>
        <v>48667.349579999987</v>
      </c>
      <c r="L136" s="13">
        <f t="shared" si="110"/>
        <v>64544.669809999992</v>
      </c>
      <c r="M136" s="13">
        <f t="shared" si="110"/>
        <v>56734.946519999998</v>
      </c>
      <c r="N136" s="13">
        <f t="shared" si="110"/>
        <v>59890.175789999994</v>
      </c>
      <c r="O136" s="13">
        <f t="shared" si="110"/>
        <v>51000.886030000001</v>
      </c>
      <c r="P136" s="13">
        <f t="shared" si="110"/>
        <v>63552.737780000003</v>
      </c>
      <c r="Q136" s="13">
        <f t="shared" si="110"/>
        <v>651900.78781000013</v>
      </c>
      <c r="R136" s="12"/>
      <c r="S136" s="13">
        <f ca="1">S38+S45+S53+S57+S112+S120+S128+S134</f>
        <v>651900.78781000001</v>
      </c>
    </row>
    <row r="137" spans="1:22" ht="14.65" customHeight="1">
      <c r="A137" s="230">
        <f>A145</f>
        <v>1</v>
      </c>
      <c r="E137" s="12"/>
      <c r="F137" s="12"/>
      <c r="G137" s="12"/>
      <c r="H137" s="12"/>
      <c r="I137" s="12"/>
      <c r="J137" s="12"/>
      <c r="K137" s="12"/>
      <c r="L137" s="12"/>
      <c r="M137" s="12"/>
      <c r="N137" s="12"/>
      <c r="O137" s="12"/>
      <c r="P137" s="12"/>
      <c r="Q137" s="12"/>
      <c r="R137" s="12"/>
      <c r="S137" s="12"/>
    </row>
    <row r="138" spans="1:22" ht="14.65" customHeight="1" outlineLevel="1">
      <c r="A138" s="231">
        <f t="shared" ref="A138:A144" si="111">IF(AND(E138=0,F138=0,G138=0,H138=0,I138=0,J138=0,K138=0,L138=0,M138=0,N138=0,O138=0,P138=0),0,1)</f>
        <v>0</v>
      </c>
      <c r="B138">
        <v>519910</v>
      </c>
      <c r="C138" t="s">
        <v>57</v>
      </c>
      <c r="D138" t="s">
        <v>4610</v>
      </c>
      <c r="E138" s="3">
        <f>SUMIFS(Mov!$J:$J,Mov!$E:$E,$B138,Mov!$K:$K,E$3)/1000</f>
        <v>0</v>
      </c>
      <c r="F138" s="3">
        <f>SUMIFS(Mov!$J:$J,Mov!$E:$E,$B138,Mov!$K:$K,F$3)/1000</f>
        <v>0</v>
      </c>
      <c r="G138" s="3">
        <f>SUMIFS(Mov!$J:$J,Mov!$E:$E,$B138,Mov!$K:$K,G$3)/1000</f>
        <v>0</v>
      </c>
      <c r="H138" s="3">
        <f>SUMIFS(Mov!$J:$J,Mov!$E:$E,$B138,Mov!$K:$K,H$3)/1000</f>
        <v>0</v>
      </c>
      <c r="I138" s="3">
        <f>SUMIFS(Mov!$J:$J,Mov!$E:$E,$B138,Mov!$K:$K,I$3)/1000</f>
        <v>0</v>
      </c>
      <c r="J138" s="3">
        <f>SUMIFS(Mov!$J:$J,Mov!$E:$E,$B138,Mov!$K:$K,J$3)/1000</f>
        <v>0</v>
      </c>
      <c r="K138" s="3">
        <f>SUMIFS(Mov!$J:$J,Mov!$E:$E,$B138,Mov!$K:$K,K$3)/1000</f>
        <v>0</v>
      </c>
      <c r="L138" s="3">
        <f>SUMIFS(Mov!$J:$J,Mov!$E:$E,$B138,Mov!$K:$K,L$3)/1000</f>
        <v>0</v>
      </c>
      <c r="M138" s="3">
        <f>SUMIFS(Mov!$J:$J,Mov!$E:$E,$B138,Mov!$K:$K,M$3)/1000</f>
        <v>0</v>
      </c>
      <c r="N138" s="3">
        <f>SUMIFS(Mov!$J:$J,Mov!$E:$E,$B138,Mov!$K:$K,N$3)/1000</f>
        <v>0</v>
      </c>
      <c r="O138" s="3">
        <f>SUMIFS(Mov!$J:$J,Mov!$E:$E,$B138,Mov!$K:$K,O$3)/1000</f>
        <v>0</v>
      </c>
      <c r="P138" s="3">
        <f>SUMIFS(Mov!$J:$J,Mov!$E:$E,$B138,Mov!$K:$K,P$3)/1000</f>
        <v>0</v>
      </c>
      <c r="Q138" s="12">
        <f t="shared" ref="Q138:Q140" si="112">SUM(E138:P138)</f>
        <v>0</v>
      </c>
      <c r="R138" s="12"/>
      <c r="S138" s="12">
        <f t="shared" ref="S138:S145" ca="1" si="113">SUM(OFFSET(E138,0,0,1,S$3))</f>
        <v>0</v>
      </c>
    </row>
    <row r="139" spans="1:22" ht="14.65" customHeight="1" outlineLevel="1">
      <c r="A139" s="231">
        <f t="shared" si="111"/>
        <v>0</v>
      </c>
      <c r="B139">
        <v>539515</v>
      </c>
      <c r="C139" t="s">
        <v>4617</v>
      </c>
      <c r="D139" t="s">
        <v>4610</v>
      </c>
      <c r="E139" s="3">
        <f>SUMIFS(Mov!$J:$J,Mov!$E:$E,$B139,Mov!$K:$K,E$3)/1000</f>
        <v>0</v>
      </c>
      <c r="F139" s="3">
        <f>SUMIFS(Mov!$J:$J,Mov!$E:$E,$B139,Mov!$K:$K,F$3)/1000</f>
        <v>0</v>
      </c>
      <c r="G139" s="3">
        <f>SUMIFS(Mov!$J:$J,Mov!$E:$E,$B139,Mov!$K:$K,G$3)/1000</f>
        <v>0</v>
      </c>
      <c r="H139" s="3">
        <f>SUMIFS(Mov!$J:$J,Mov!$E:$E,$B139,Mov!$K:$K,H$3)/1000</f>
        <v>0</v>
      </c>
      <c r="I139" s="3">
        <f>SUMIFS(Mov!$J:$J,Mov!$E:$E,$B139,Mov!$K:$K,I$3)/1000</f>
        <v>0</v>
      </c>
      <c r="J139" s="3">
        <f>SUMIFS(Mov!$J:$J,Mov!$E:$E,$B139,Mov!$K:$K,J$3)/1000</f>
        <v>0</v>
      </c>
      <c r="K139" s="3">
        <f>SUMIFS(Mov!$J:$J,Mov!$E:$E,$B139,Mov!$K:$K,K$3)/1000</f>
        <v>0</v>
      </c>
      <c r="L139" s="3">
        <f>SUMIFS(Mov!$J:$J,Mov!$E:$E,$B139,Mov!$K:$K,L$3)/1000</f>
        <v>0</v>
      </c>
      <c r="M139" s="3">
        <f>SUMIFS(Mov!$J:$J,Mov!$E:$E,$B139,Mov!$K:$K,M$3)/1000</f>
        <v>0</v>
      </c>
      <c r="N139" s="3">
        <f>SUMIFS(Mov!$J:$J,Mov!$E:$E,$B139,Mov!$K:$K,N$3)/1000</f>
        <v>0</v>
      </c>
      <c r="O139" s="3">
        <f>SUMIFS(Mov!$J:$J,Mov!$E:$E,$B139,Mov!$K:$K,O$3)/1000</f>
        <v>0</v>
      </c>
      <c r="P139" s="3">
        <f>SUMIFS(Mov!$J:$J,Mov!$E:$E,$B139,Mov!$K:$K,P$3)/1000</f>
        <v>0</v>
      </c>
      <c r="Q139" s="12">
        <f t="shared" si="112"/>
        <v>0</v>
      </c>
      <c r="R139" s="12"/>
      <c r="S139" s="12">
        <f t="shared" ca="1" si="113"/>
        <v>0</v>
      </c>
    </row>
    <row r="140" spans="1:22" ht="14.65" customHeight="1" outlineLevel="1">
      <c r="A140" s="231">
        <f t="shared" si="111"/>
        <v>1</v>
      </c>
      <c r="B140">
        <v>539520</v>
      </c>
      <c r="C140" t="s">
        <v>4618</v>
      </c>
      <c r="D140" t="s">
        <v>4610</v>
      </c>
      <c r="E140" s="3">
        <f>SUMIFS(Mov!$J:$J,Mov!$E:$E,$B140,Mov!$K:$K,E$3)/1000</f>
        <v>0</v>
      </c>
      <c r="F140" s="3">
        <f>SUMIFS(Mov!$J:$J,Mov!$E:$E,$B140,Mov!$K:$K,F$3)/1000</f>
        <v>0</v>
      </c>
      <c r="G140" s="3">
        <f>SUMIFS(Mov!$J:$J,Mov!$E:$E,$B140,Mov!$K:$K,G$3)/1000</f>
        <v>0</v>
      </c>
      <c r="H140" s="3">
        <f>SUMIFS(Mov!$J:$J,Mov!$E:$E,$B140,Mov!$K:$K,H$3)/1000</f>
        <v>424</v>
      </c>
      <c r="I140" s="3">
        <f>SUMIFS(Mov!$J:$J,Mov!$E:$E,$B140,Mov!$K:$K,I$3)/1000</f>
        <v>0</v>
      </c>
      <c r="J140" s="3">
        <f>SUMIFS(Mov!$J:$J,Mov!$E:$E,$B140,Mov!$K:$K,J$3)/1000</f>
        <v>0</v>
      </c>
      <c r="K140" s="3">
        <f>SUMIFS(Mov!$J:$J,Mov!$E:$E,$B140,Mov!$K:$K,K$3)/1000</f>
        <v>0</v>
      </c>
      <c r="L140" s="3">
        <f>SUMIFS(Mov!$J:$J,Mov!$E:$E,$B140,Mov!$K:$K,L$3)/1000</f>
        <v>0</v>
      </c>
      <c r="M140" s="3">
        <f>SUMIFS(Mov!$J:$J,Mov!$E:$E,$B140,Mov!$K:$K,M$3)/1000</f>
        <v>424</v>
      </c>
      <c r="N140" s="3">
        <f>SUMIFS(Mov!$J:$J,Mov!$E:$E,$B140,Mov!$K:$K,N$3)/1000</f>
        <v>0</v>
      </c>
      <c r="O140" s="3">
        <f>SUMIFS(Mov!$J:$J,Mov!$E:$E,$B140,Mov!$K:$K,O$3)/1000</f>
        <v>0</v>
      </c>
      <c r="P140" s="3">
        <f>SUMIFS(Mov!$J:$J,Mov!$E:$E,$B140,Mov!$K:$K,P$3)/1000</f>
        <v>878</v>
      </c>
      <c r="Q140" s="12">
        <f t="shared" si="112"/>
        <v>1726</v>
      </c>
      <c r="R140" s="12"/>
      <c r="S140" s="12">
        <f t="shared" ca="1" si="113"/>
        <v>1726</v>
      </c>
    </row>
    <row r="141" spans="1:22" ht="14.65" customHeight="1" outlineLevel="1">
      <c r="A141" s="231">
        <f t="shared" si="111"/>
        <v>0</v>
      </c>
      <c r="B141">
        <v>53152001</v>
      </c>
      <c r="C141" t="s">
        <v>1493</v>
      </c>
      <c r="D141" t="s">
        <v>4610</v>
      </c>
      <c r="E141" s="3">
        <f>SUMIFS(Mov!$J:$J,Mov!$E:$E,$B141,Mov!$K:$K,E$3)/1000</f>
        <v>0</v>
      </c>
      <c r="F141" s="3">
        <f>SUMIFS(Mov!$J:$J,Mov!$E:$E,$B141,Mov!$K:$K,F$3)/1000</f>
        <v>0</v>
      </c>
      <c r="G141" s="3">
        <f>SUMIFS(Mov!$J:$J,Mov!$E:$E,$B141,Mov!$K:$K,G$3)/1000</f>
        <v>0</v>
      </c>
      <c r="H141" s="3">
        <f>SUMIFS(Mov!$J:$J,Mov!$E:$E,$B141,Mov!$K:$K,H$3)/1000</f>
        <v>0</v>
      </c>
      <c r="I141" s="3">
        <f>SUMIFS(Mov!$J:$J,Mov!$E:$E,$B141,Mov!$K:$K,I$3)/1000</f>
        <v>0</v>
      </c>
      <c r="J141" s="3">
        <f>SUMIFS(Mov!$J:$J,Mov!$E:$E,$B141,Mov!$K:$K,J$3)/1000</f>
        <v>0</v>
      </c>
      <c r="K141" s="3">
        <f>SUMIFS(Mov!$J:$J,Mov!$E:$E,$B141,Mov!$K:$K,K$3)/1000</f>
        <v>0</v>
      </c>
      <c r="L141" s="3">
        <f>SUMIFS(Mov!$J:$J,Mov!$E:$E,$B141,Mov!$K:$K,L$3)/1000</f>
        <v>0</v>
      </c>
      <c r="M141" s="3">
        <f>SUMIFS(Mov!$J:$J,Mov!$E:$E,$B141,Mov!$K:$K,M$3)/1000</f>
        <v>0</v>
      </c>
      <c r="N141" s="3">
        <f>SUMIFS(Mov!$J:$J,Mov!$E:$E,$B141,Mov!$K:$K,N$3)/1000</f>
        <v>0</v>
      </c>
      <c r="O141" s="3">
        <f>SUMIFS(Mov!$J:$J,Mov!$E:$E,$B141,Mov!$K:$K,O$3)/1000</f>
        <v>0</v>
      </c>
      <c r="P141" s="3">
        <f>SUMIFS(Mov!$J:$J,Mov!$E:$E,$B141,Mov!$K:$K,P$3)/1000</f>
        <v>0</v>
      </c>
      <c r="Q141" s="12">
        <f t="shared" ref="Q141" si="114">SUM(E141:P141)</f>
        <v>0</v>
      </c>
      <c r="R141" s="12"/>
      <c r="S141" s="12">
        <f t="shared" ca="1" si="113"/>
        <v>0</v>
      </c>
    </row>
    <row r="142" spans="1:22" ht="14.65" customHeight="1" outlineLevel="1">
      <c r="A142" s="231">
        <f t="shared" si="111"/>
        <v>0</v>
      </c>
      <c r="B142">
        <v>53152002</v>
      </c>
      <c r="C142" t="s">
        <v>1496</v>
      </c>
      <c r="D142" t="s">
        <v>4610</v>
      </c>
      <c r="E142" s="3">
        <f>SUMIFS(Mov!$J:$J,Mov!$E:$E,$B142,Mov!$K:$K,E$3)/1000</f>
        <v>0</v>
      </c>
      <c r="F142" s="3">
        <f>SUMIFS(Mov!$J:$J,Mov!$E:$E,$B142,Mov!$K:$K,F$3)/1000</f>
        <v>0</v>
      </c>
      <c r="G142" s="3">
        <f>SUMIFS(Mov!$J:$J,Mov!$E:$E,$B142,Mov!$K:$K,G$3)/1000</f>
        <v>0</v>
      </c>
      <c r="H142" s="3">
        <f>SUMIFS(Mov!$J:$J,Mov!$E:$E,$B142,Mov!$K:$K,H$3)/1000</f>
        <v>0</v>
      </c>
      <c r="I142" s="3">
        <f>SUMIFS(Mov!$J:$J,Mov!$E:$E,$B142,Mov!$K:$K,I$3)/1000</f>
        <v>0</v>
      </c>
      <c r="J142" s="3">
        <f>SUMIFS(Mov!$J:$J,Mov!$E:$E,$B142,Mov!$K:$K,J$3)/1000</f>
        <v>0</v>
      </c>
      <c r="K142" s="3">
        <f>SUMIFS(Mov!$J:$J,Mov!$E:$E,$B142,Mov!$K:$K,K$3)/1000</f>
        <v>0</v>
      </c>
      <c r="L142" s="3">
        <f>SUMIFS(Mov!$J:$J,Mov!$E:$E,$B142,Mov!$K:$K,L$3)/1000</f>
        <v>0</v>
      </c>
      <c r="M142" s="3">
        <f>SUMIFS(Mov!$J:$J,Mov!$E:$E,$B142,Mov!$K:$K,M$3)/1000</f>
        <v>0</v>
      </c>
      <c r="N142" s="3">
        <f>SUMIFS(Mov!$J:$J,Mov!$E:$E,$B142,Mov!$K:$K,N$3)/1000</f>
        <v>0</v>
      </c>
      <c r="O142" s="3">
        <f>SUMIFS(Mov!$J:$J,Mov!$E:$E,$B142,Mov!$K:$K,O$3)/1000</f>
        <v>0</v>
      </c>
      <c r="P142" s="3">
        <f>SUMIFS(Mov!$J:$J,Mov!$E:$E,$B142,Mov!$K:$K,P$3)/1000</f>
        <v>0</v>
      </c>
      <c r="Q142" s="12">
        <f>SUM(E142:P142)</f>
        <v>0</v>
      </c>
      <c r="R142" s="12"/>
      <c r="S142" s="12">
        <f t="shared" ref="S142" ca="1" si="115">SUM(OFFSET(E142,0,0,1,S$3))</f>
        <v>0</v>
      </c>
    </row>
    <row r="143" spans="1:22" ht="14.65" customHeight="1" outlineLevel="1">
      <c r="A143" s="231">
        <f t="shared" ref="A143" si="116">IF(AND(E143=0,F143=0,G143=0,H143=0,I143=0,J143=0,K143=0,L143=0,M143=0,N143=0,O143=0,P143=0),0,1)</f>
        <v>1</v>
      </c>
      <c r="B143">
        <v>53152003</v>
      </c>
      <c r="C143" t="s">
        <v>1498</v>
      </c>
      <c r="D143" t="s">
        <v>4610</v>
      </c>
      <c r="E143" s="3">
        <f>SUMIFS(Mov!$J:$J,Mov!$E:$E,$B143,Mov!$K:$K,E$3)/1000</f>
        <v>0</v>
      </c>
      <c r="F143" s="3">
        <f>SUMIFS(Mov!$J:$J,Mov!$E:$E,$B143,Mov!$K:$K,F$3)/1000</f>
        <v>1</v>
      </c>
      <c r="G143" s="3">
        <f>SUMIFS(Mov!$J:$J,Mov!$E:$E,$B143,Mov!$K:$K,G$3)/1000</f>
        <v>0</v>
      </c>
      <c r="H143" s="3">
        <f>SUMIFS(Mov!$J:$J,Mov!$E:$E,$B143,Mov!$K:$K,H$3)/1000</f>
        <v>1.5676700000000001</v>
      </c>
      <c r="I143" s="3">
        <f>SUMIFS(Mov!$J:$J,Mov!$E:$E,$B143,Mov!$K:$K,I$3)/1000</f>
        <v>0</v>
      </c>
      <c r="J143" s="3">
        <f>SUMIFS(Mov!$J:$J,Mov!$E:$E,$B143,Mov!$K:$K,J$3)/1000</f>
        <v>0</v>
      </c>
      <c r="K143" s="3">
        <f>SUMIFS(Mov!$J:$J,Mov!$E:$E,$B143,Mov!$K:$K,K$3)/1000</f>
        <v>0</v>
      </c>
      <c r="L143" s="3">
        <f>SUMIFS(Mov!$J:$J,Mov!$E:$E,$B143,Mov!$K:$K,L$3)/1000</f>
        <v>1.5995200000000001</v>
      </c>
      <c r="M143" s="3">
        <f>SUMIFS(Mov!$J:$J,Mov!$E:$E,$B143,Mov!$K:$K,M$3)/1000</f>
        <v>0</v>
      </c>
      <c r="N143" s="3">
        <f>SUMIFS(Mov!$J:$J,Mov!$E:$E,$B143,Mov!$K:$K,N$3)/1000</f>
        <v>3.6015000000000001</v>
      </c>
      <c r="O143" s="3">
        <f>SUMIFS(Mov!$J:$J,Mov!$E:$E,$B143,Mov!$K:$K,O$3)/1000</f>
        <v>0</v>
      </c>
      <c r="P143" s="3">
        <f>SUMIFS(Mov!$J:$J,Mov!$E:$E,$B143,Mov!$K:$K,P$3)/1000</f>
        <v>0.12224</v>
      </c>
      <c r="Q143" s="12">
        <f>SUM(E143:P143)</f>
        <v>7.8909299999999991</v>
      </c>
      <c r="R143" s="12"/>
      <c r="S143" s="12">
        <f t="shared" ref="S143" ca="1" si="117">SUM(OFFSET(E143,0,0,1,S$3))</f>
        <v>7.8909299999999991</v>
      </c>
    </row>
    <row r="144" spans="1:22" ht="14.65" customHeight="1" outlineLevel="1">
      <c r="A144" s="231">
        <f t="shared" si="111"/>
        <v>1</v>
      </c>
      <c r="B144">
        <v>53152004</v>
      </c>
      <c r="C144" t="s">
        <v>1498</v>
      </c>
      <c r="D144" t="s">
        <v>4610</v>
      </c>
      <c r="E144" s="3">
        <f>SUMIFS(Mov!$J:$J,Mov!$E:$E,$B144,Mov!$K:$K,E$3)/1000</f>
        <v>0</v>
      </c>
      <c r="F144" s="3">
        <f>SUMIFS(Mov!$J:$J,Mov!$E:$E,$B144,Mov!$K:$K,F$3)/1000</f>
        <v>0</v>
      </c>
      <c r="G144" s="3">
        <f>SUMIFS(Mov!$J:$J,Mov!$E:$E,$B144,Mov!$K:$K,G$3)/1000</f>
        <v>0</v>
      </c>
      <c r="H144" s="3">
        <f>SUMIFS(Mov!$J:$J,Mov!$E:$E,$B144,Mov!$K:$K,H$3)/1000</f>
        <v>0</v>
      </c>
      <c r="I144" s="3">
        <f>SUMIFS(Mov!$J:$J,Mov!$E:$E,$B144,Mov!$K:$K,I$3)/1000</f>
        <v>0</v>
      </c>
      <c r="J144" s="3">
        <f>SUMIFS(Mov!$J:$J,Mov!$E:$E,$B144,Mov!$K:$K,J$3)/1000</f>
        <v>0</v>
      </c>
      <c r="K144" s="3">
        <f>SUMIFS(Mov!$J:$J,Mov!$E:$E,$B144,Mov!$K:$K,K$3)/1000</f>
        <v>0</v>
      </c>
      <c r="L144" s="3">
        <f>SUMIFS(Mov!$J:$J,Mov!$E:$E,$B144,Mov!$K:$K,L$3)/1000</f>
        <v>0</v>
      </c>
      <c r="M144" s="3">
        <f>SUMIFS(Mov!$J:$J,Mov!$E:$E,$B144,Mov!$K:$K,M$3)/1000</f>
        <v>2681</v>
      </c>
      <c r="N144" s="3">
        <f>SUMIFS(Mov!$J:$J,Mov!$E:$E,$B144,Mov!$K:$K,N$3)/1000</f>
        <v>0</v>
      </c>
      <c r="O144" s="3">
        <f>SUMIFS(Mov!$J:$J,Mov!$E:$E,$B144,Mov!$K:$K,O$3)/1000</f>
        <v>0</v>
      </c>
      <c r="P144" s="3">
        <f>SUMIFS(Mov!$J:$J,Mov!$E:$E,$B144,Mov!$K:$K,P$3)/1000</f>
        <v>0</v>
      </c>
      <c r="Q144" s="12">
        <f>SUM(E144:P144)</f>
        <v>2681</v>
      </c>
      <c r="R144" s="12"/>
      <c r="S144" s="12">
        <f t="shared" ca="1" si="113"/>
        <v>2681</v>
      </c>
    </row>
    <row r="145" spans="1:19" ht="14.65" customHeight="1">
      <c r="A145" s="232">
        <f>IF(SUM(A138:A144)&gt;0,1,0)</f>
        <v>1</v>
      </c>
      <c r="D145" s="1" t="s">
        <v>4619</v>
      </c>
      <c r="E145" s="13">
        <f t="shared" ref="E145:I145" si="118">SUM(E138:E144)</f>
        <v>0</v>
      </c>
      <c r="F145" s="13">
        <f t="shared" si="118"/>
        <v>1</v>
      </c>
      <c r="G145" s="13">
        <f t="shared" si="118"/>
        <v>0</v>
      </c>
      <c r="H145" s="13">
        <f t="shared" si="118"/>
        <v>425.56767000000002</v>
      </c>
      <c r="I145" s="13">
        <f t="shared" si="118"/>
        <v>0</v>
      </c>
      <c r="J145" s="13">
        <f t="shared" ref="J145:P145" si="119">SUM(J138:J144)</f>
        <v>0</v>
      </c>
      <c r="K145" s="13">
        <f t="shared" si="119"/>
        <v>0</v>
      </c>
      <c r="L145" s="13">
        <f t="shared" si="119"/>
        <v>1.5995200000000001</v>
      </c>
      <c r="M145" s="13">
        <f t="shared" si="119"/>
        <v>3105</v>
      </c>
      <c r="N145" s="13">
        <f t="shared" si="119"/>
        <v>3.6015000000000001</v>
      </c>
      <c r="O145" s="13">
        <f t="shared" si="119"/>
        <v>0</v>
      </c>
      <c r="P145" s="13">
        <f t="shared" si="119"/>
        <v>878.12224000000003</v>
      </c>
      <c r="Q145" s="13">
        <f t="shared" ref="Q145:Q147" si="120">SUM(E145:P145)</f>
        <v>4414.8909300000005</v>
      </c>
      <c r="R145" s="13"/>
      <c r="S145" s="13">
        <f t="shared" ca="1" si="113"/>
        <v>4414.8909300000005</v>
      </c>
    </row>
    <row r="146" spans="1:19" ht="14.65" customHeight="1">
      <c r="A146" s="230">
        <f>A147</f>
        <v>1</v>
      </c>
      <c r="D146" s="1"/>
      <c r="E146" s="12"/>
      <c r="F146" s="12"/>
      <c r="G146" s="12"/>
      <c r="H146" s="12"/>
      <c r="I146" s="12"/>
      <c r="J146" s="12"/>
      <c r="K146" s="12"/>
      <c r="L146" s="12"/>
      <c r="M146" s="12"/>
      <c r="N146" s="12"/>
      <c r="O146" s="12"/>
      <c r="P146" s="12"/>
      <c r="Q146" s="12"/>
      <c r="R146" s="12"/>
      <c r="S146" s="12"/>
    </row>
    <row r="147" spans="1:19" ht="14.65" customHeight="1">
      <c r="A147" s="231">
        <f t="shared" ref="A147:A153" si="121">IF(AND(E147=0,F147=0,G147=0,H147=0,I147=0,J147=0,K147=0,L147=0,M147=0,N147=0,O147=0,P147=0),0,1)</f>
        <v>1</v>
      </c>
      <c r="B147">
        <v>42100501</v>
      </c>
      <c r="C147" t="s">
        <v>1040</v>
      </c>
      <c r="D147" t="s">
        <v>4620</v>
      </c>
      <c r="E147" s="3">
        <f>-SUMIFS(Mov!$J:$J,Mov!$E:$E,$B147,Mov!$K:$K,E$3)/1000</f>
        <v>2.8981599999999998</v>
      </c>
      <c r="F147" s="3">
        <f>-SUMIFS(Mov!$J:$J,Mov!$E:$E,$B147,Mov!$K:$K,F$3)/1000</f>
        <v>2.3236399999999997</v>
      </c>
      <c r="G147" s="3">
        <f>-SUMIFS(Mov!$J:$J,Mov!$E:$E,$B147,Mov!$K:$K,G$3)/1000</f>
        <v>4.9962</v>
      </c>
      <c r="H147" s="3">
        <f>-SUMIFS(Mov!$J:$J,Mov!$E:$E,$B147,Mov!$K:$K,H$3)/1000</f>
        <v>0.97166999999999992</v>
      </c>
      <c r="I147" s="3">
        <f>-SUMIFS(Mov!$J:$J,Mov!$E:$E,$B147,Mov!$K:$K,I$3)/1000</f>
        <v>2.8642099999999999</v>
      </c>
      <c r="J147" s="3">
        <f>-SUMIFS(Mov!$J:$J,Mov!$E:$E,$B147,Mov!$K:$K,J$3)/1000</f>
        <v>2.4087800000000001</v>
      </c>
      <c r="K147" s="3">
        <f>-SUMIFS(Mov!$J:$J,Mov!$E:$E,$B147,Mov!$K:$K,K$3)/1000</f>
        <v>4.8998699999999999</v>
      </c>
      <c r="L147" s="3">
        <f>-SUMIFS(Mov!$J:$J,Mov!$E:$E,$B147,Mov!$K:$K,L$3)/1000</f>
        <v>10.000629999999999</v>
      </c>
      <c r="M147" s="3">
        <f>-SUMIFS(Mov!$J:$J,Mov!$E:$E,$B147,Mov!$K:$K,M$3)/1000</f>
        <v>24.295960000000001</v>
      </c>
      <c r="N147" s="3">
        <f>-SUMIFS(Mov!$J:$J,Mov!$E:$E,$B147,Mov!$K:$K,N$3)/1000</f>
        <v>18.671500000000002</v>
      </c>
      <c r="O147" s="3">
        <f>-SUMIFS(Mov!$J:$J,Mov!$E:$E,$B147,Mov!$K:$K,O$3)/1000</f>
        <v>3.14473</v>
      </c>
      <c r="P147" s="3">
        <f>-SUMIFS(Mov!$J:$J,Mov!$E:$E,$B147,Mov!$K:$K,P$3)/1000</f>
        <v>5.2129599999999998</v>
      </c>
      <c r="Q147" s="12">
        <f t="shared" si="120"/>
        <v>82.688310000000001</v>
      </c>
      <c r="R147" s="12"/>
      <c r="S147" s="12">
        <f ca="1">SUM(OFFSET(E147,0,0,1,S$3))</f>
        <v>82.688310000000001</v>
      </c>
    </row>
    <row r="148" spans="1:19" ht="14.65" customHeight="1">
      <c r="A148" s="231">
        <f t="shared" ref="A148" si="122">IF(AND(E148=0,F148=0,G148=0,H148=0,I148=0,J148=0,K148=0,L148=0,M148=0,N148=0,O148=0,P148=0),0,1)</f>
        <v>1</v>
      </c>
      <c r="B148">
        <v>421040</v>
      </c>
      <c r="C148" t="s">
        <v>4621</v>
      </c>
      <c r="D148" t="s">
        <v>4622</v>
      </c>
      <c r="E148" s="3">
        <f>-SUMIFS(Mov!$J:$J,Mov!$E:$E,$B148,Mov!$K:$K,E$3)/1000</f>
        <v>1.9850000000000001</v>
      </c>
      <c r="F148" s="3">
        <f>-SUMIFS(Mov!$J:$J,Mov!$E:$E,$B148,Mov!$K:$K,F$3)/1000</f>
        <v>0</v>
      </c>
      <c r="G148" s="3">
        <f>-SUMIFS(Mov!$J:$J,Mov!$E:$E,$B148,Mov!$K:$K,G$3)/1000</f>
        <v>0</v>
      </c>
      <c r="H148" s="3">
        <f>-SUMIFS(Mov!$J:$J,Mov!$E:$E,$B148,Mov!$K:$K,H$3)/1000</f>
        <v>0</v>
      </c>
      <c r="I148" s="3">
        <f>-SUMIFS(Mov!$J:$J,Mov!$E:$E,$B148,Mov!$K:$K,I$3)/1000</f>
        <v>0</v>
      </c>
      <c r="J148" s="3">
        <f>-SUMIFS(Mov!$J:$J,Mov!$E:$E,$B148,Mov!$K:$K,J$3)/1000</f>
        <v>0</v>
      </c>
      <c r="K148" s="3">
        <f>-SUMIFS(Mov!$J:$J,Mov!$E:$E,$B148,Mov!$K:$K,K$3)/1000</f>
        <v>0</v>
      </c>
      <c r="L148" s="3">
        <f>-SUMIFS(Mov!$J:$J,Mov!$E:$E,$B148,Mov!$K:$K,L$3)/1000</f>
        <v>0</v>
      </c>
      <c r="M148" s="3">
        <f>-SUMIFS(Mov!$J:$J,Mov!$E:$E,$B148,Mov!$K:$K,M$3)/1000</f>
        <v>0</v>
      </c>
      <c r="N148" s="3">
        <f>-SUMIFS(Mov!$J:$J,Mov!$E:$E,$B148,Mov!$K:$K,N$3)/1000</f>
        <v>0</v>
      </c>
      <c r="O148" s="3">
        <f>-SUMIFS(Mov!$J:$J,Mov!$E:$E,$B148,Mov!$K:$K,O$3)/1000</f>
        <v>0</v>
      </c>
      <c r="P148" s="3">
        <f>-SUMIFS(Mov!$J:$J,Mov!$E:$E,$B148,Mov!$K:$K,P$3)/1000</f>
        <v>0</v>
      </c>
      <c r="Q148" s="12">
        <f t="shared" ref="Q148" si="123">SUM(E148:P148)</f>
        <v>1.9850000000000001</v>
      </c>
      <c r="R148" s="12"/>
      <c r="S148" s="12">
        <f ca="1">SUM(OFFSET(E148,0,0,1,S$3))</f>
        <v>1.9850000000000001</v>
      </c>
    </row>
    <row r="149" spans="1:19" ht="14.65" customHeight="1">
      <c r="A149" s="231">
        <f t="shared" si="121"/>
        <v>1</v>
      </c>
      <c r="B149">
        <v>425015</v>
      </c>
      <c r="D149" t="s">
        <v>4623</v>
      </c>
      <c r="E149" s="3">
        <f>-SUMIFS(Mov!$J:$J,Mov!$E:$E,$B149,Mov!$K:$K,E$3)/1000</f>
        <v>0</v>
      </c>
      <c r="F149" s="3">
        <f>-SUMIFS(Mov!$J:$J,Mov!$E:$E,$B149,Mov!$K:$K,F$3)/1000</f>
        <v>0</v>
      </c>
      <c r="G149" s="3">
        <f>-SUMIFS(Mov!$J:$J,Mov!$E:$E,$B149,Mov!$K:$K,G$3)/1000</f>
        <v>0</v>
      </c>
      <c r="H149" s="3">
        <f>-SUMIFS(Mov!$J:$J,Mov!$E:$E,$B149,Mov!$K:$K,H$3)/1000</f>
        <v>0</v>
      </c>
      <c r="I149" s="3">
        <f>-SUMIFS(Mov!$J:$J,Mov!$E:$E,$B149,Mov!$K:$K,I$3)/1000</f>
        <v>0</v>
      </c>
      <c r="J149" s="3">
        <f>-SUMIFS(Mov!$J:$J,Mov!$E:$E,$B149,Mov!$K:$K,J$3)/1000</f>
        <v>0</v>
      </c>
      <c r="K149" s="3">
        <f>-SUMIFS(Mov!$J:$J,Mov!$E:$E,$B149,Mov!$K:$K,K$3)/1000</f>
        <v>0</v>
      </c>
      <c r="L149" s="3">
        <f>-SUMIFS(Mov!$J:$J,Mov!$E:$E,$B149,Mov!$K:$K,L$3)/1000</f>
        <v>0</v>
      </c>
      <c r="M149" s="3">
        <f>-SUMIFS(Mov!$J:$J,Mov!$E:$E,$B149,Mov!$K:$K,M$3)/1000</f>
        <v>0</v>
      </c>
      <c r="N149" s="3">
        <f>-SUMIFS(Mov!$J:$J,Mov!$E:$E,$B149,Mov!$K:$K,N$3)/1000</f>
        <v>0</v>
      </c>
      <c r="O149" s="3">
        <f>-SUMIFS(Mov!$J:$J,Mov!$E:$E,$B149,Mov!$K:$K,O$3)/1000</f>
        <v>0</v>
      </c>
      <c r="P149" s="3">
        <f>-SUMIFS(Mov!$J:$J,Mov!$E:$E,$B149,Mov!$K:$K,P$3)/1000</f>
        <v>5000</v>
      </c>
      <c r="Q149" s="12">
        <f t="shared" ref="Q149" si="124">SUM(E149:P149)</f>
        <v>5000</v>
      </c>
      <c r="R149" s="12"/>
      <c r="S149" s="12">
        <f ca="1">SUM(OFFSET(E149,0,0,1,S$3))</f>
        <v>5000</v>
      </c>
    </row>
    <row r="150" spans="1:19" ht="14.65" customHeight="1">
      <c r="A150" s="232">
        <f>IF(SUM(A147:A149)&gt;0,1,0)</f>
        <v>1</v>
      </c>
      <c r="D150" s="1" t="s">
        <v>4624</v>
      </c>
      <c r="E150" s="13">
        <f>SUM(E147:E149)</f>
        <v>4.8831600000000002</v>
      </c>
      <c r="F150" s="13">
        <f t="shared" ref="F150:Q150" si="125">SUM(F147:F149)</f>
        <v>2.3236399999999997</v>
      </c>
      <c r="G150" s="13">
        <f t="shared" si="125"/>
        <v>4.9962</v>
      </c>
      <c r="H150" s="13">
        <f t="shared" si="125"/>
        <v>0.97166999999999992</v>
      </c>
      <c r="I150" s="13">
        <f t="shared" si="125"/>
        <v>2.8642099999999999</v>
      </c>
      <c r="J150" s="13">
        <f t="shared" ref="J150:P150" si="126">SUM(J147:J149)</f>
        <v>2.4087800000000001</v>
      </c>
      <c r="K150" s="13">
        <f t="shared" si="126"/>
        <v>4.8998699999999999</v>
      </c>
      <c r="L150" s="13">
        <f t="shared" si="126"/>
        <v>10.000629999999999</v>
      </c>
      <c r="M150" s="13">
        <f t="shared" si="126"/>
        <v>24.295960000000001</v>
      </c>
      <c r="N150" s="13">
        <f t="shared" si="126"/>
        <v>18.671500000000002</v>
      </c>
      <c r="O150" s="13">
        <f t="shared" si="126"/>
        <v>3.14473</v>
      </c>
      <c r="P150" s="13">
        <f t="shared" si="126"/>
        <v>5005.2129599999998</v>
      </c>
      <c r="Q150" s="13">
        <f t="shared" si="125"/>
        <v>5084.6733100000001</v>
      </c>
      <c r="R150" s="13"/>
      <c r="S150" s="13">
        <f t="shared" ref="S150" ca="1" si="127">SUM(S147:S149)</f>
        <v>5084.6733100000001</v>
      </c>
    </row>
    <row r="151" spans="1:19" ht="14.65" customHeight="1">
      <c r="A151" s="230">
        <f>A152</f>
        <v>1</v>
      </c>
      <c r="E151" s="3"/>
      <c r="F151" s="3"/>
      <c r="G151" s="3"/>
      <c r="H151" s="3"/>
      <c r="I151" s="3"/>
      <c r="J151" s="3"/>
      <c r="K151" s="3"/>
      <c r="L151" s="3"/>
      <c r="M151" s="3"/>
      <c r="N151" s="3"/>
      <c r="O151" s="3"/>
      <c r="P151" s="3"/>
      <c r="Q151" s="12"/>
      <c r="R151" s="12"/>
      <c r="S151" s="12"/>
    </row>
    <row r="152" spans="1:19" ht="14.65" customHeight="1" outlineLevel="1">
      <c r="A152" s="231">
        <f t="shared" si="121"/>
        <v>1</v>
      </c>
      <c r="B152">
        <v>42102001</v>
      </c>
      <c r="C152" t="s">
        <v>1046</v>
      </c>
      <c r="D152" t="s">
        <v>4625</v>
      </c>
      <c r="E152" s="3">
        <f>-SUMIFS(Mov!$J:$J,Mov!$E:$E,$B152,Mov!$K:$K,E$3)/1000</f>
        <v>4434.9421199999997</v>
      </c>
      <c r="F152" s="3">
        <f>-SUMIFS(Mov!$J:$J,Mov!$E:$E,$B152,Mov!$K:$K,F$3)/1000</f>
        <v>-445.70279999999997</v>
      </c>
      <c r="G152" s="3">
        <f>-SUMIFS(Mov!$J:$J,Mov!$E:$E,$B152,Mov!$K:$K,G$3)/1000</f>
        <v>0</v>
      </c>
      <c r="H152" s="3">
        <f>-SUMIFS(Mov!$J:$J,Mov!$E:$E,$B152,Mov!$K:$K,H$3)/1000</f>
        <v>0</v>
      </c>
      <c r="I152" s="3">
        <f>-SUMIFS(Mov!$J:$J,Mov!$E:$E,$B152,Mov!$K:$K,I$3)/1000</f>
        <v>0</v>
      </c>
      <c r="J152" s="3">
        <f>-SUMIFS(Mov!$J:$J,Mov!$E:$E,$B152,Mov!$K:$K,J$3)/1000</f>
        <v>10.384</v>
      </c>
      <c r="K152" s="3">
        <f>-SUMIFS(Mov!$J:$J,Mov!$E:$E,$B152,Mov!$K:$K,K$3)/1000</f>
        <v>561.41999999999996</v>
      </c>
      <c r="L152" s="3">
        <f>-SUMIFS(Mov!$J:$J,Mov!$E:$E,$B152,Mov!$K:$K,L$3)/1000</f>
        <v>2202.2049999999999</v>
      </c>
      <c r="M152" s="3">
        <f>-SUMIFS(Mov!$J:$J,Mov!$E:$E,$B152,Mov!$K:$K,M$3)/1000</f>
        <v>0</v>
      </c>
      <c r="N152" s="3">
        <f>-SUMIFS(Mov!$J:$J,Mov!$E:$E,$B152,Mov!$K:$K,N$3)/1000</f>
        <v>0</v>
      </c>
      <c r="O152" s="3">
        <f>-SUMIFS(Mov!$J:$J,Mov!$E:$E,$B152,Mov!$K:$K,O$3)/1000</f>
        <v>0</v>
      </c>
      <c r="P152" s="3">
        <f>-SUMIFS(Mov!$J:$J,Mov!$E:$E,$B152,Mov!$K:$K,P$3)/1000</f>
        <v>0</v>
      </c>
      <c r="Q152" s="12">
        <f t="shared" ref="Q152:Q153" si="128">SUM(E152:P152)</f>
        <v>6763.2483199999997</v>
      </c>
      <c r="R152" s="12"/>
      <c r="S152" s="12">
        <f ca="1">SUM(OFFSET(E152,0,0,1,S$3))</f>
        <v>6763.2483199999997</v>
      </c>
    </row>
    <row r="153" spans="1:19" ht="14.65" customHeight="1" outlineLevel="1">
      <c r="A153" s="231">
        <f t="shared" si="121"/>
        <v>1</v>
      </c>
      <c r="B153">
        <v>53052501</v>
      </c>
      <c r="C153" t="s">
        <v>1046</v>
      </c>
      <c r="D153" t="s">
        <v>4625</v>
      </c>
      <c r="E153" s="3">
        <f>-SUMIFS(Mov!$J:$J,Mov!$E:$E,$B153,Mov!$K:$K,E$3)/1000</f>
        <v>0</v>
      </c>
      <c r="F153" s="3">
        <f>-SUMIFS(Mov!$J:$J,Mov!$E:$E,$B153,Mov!$K:$K,F$3)/1000</f>
        <v>0</v>
      </c>
      <c r="G153" s="3">
        <f>-SUMIFS(Mov!$J:$J,Mov!$E:$E,$B153,Mov!$K:$K,G$3)/1000</f>
        <v>-2260.64048</v>
      </c>
      <c r="H153" s="3">
        <f>-SUMIFS(Mov!$J:$J,Mov!$E:$E,$B153,Mov!$K:$K,H$3)/1000</f>
        <v>-1101.51596</v>
      </c>
      <c r="I153" s="3">
        <f>-SUMIFS(Mov!$J:$J,Mov!$E:$E,$B153,Mov!$K:$K,I$3)/1000</f>
        <v>-4151.8046000000004</v>
      </c>
      <c r="J153" s="3">
        <f>-SUMIFS(Mov!$J:$J,Mov!$E:$E,$B153,Mov!$K:$K,J$3)/1000</f>
        <v>0</v>
      </c>
      <c r="K153" s="3">
        <f>-SUMIFS(Mov!$J:$J,Mov!$E:$E,$B153,Mov!$K:$K,K$3)/1000</f>
        <v>0</v>
      </c>
      <c r="L153" s="3">
        <f>-SUMIFS(Mov!$J:$J,Mov!$E:$E,$B153,Mov!$K:$K,L$3)/1000</f>
        <v>0</v>
      </c>
      <c r="M153" s="3">
        <f>-SUMIFS(Mov!$J:$J,Mov!$E:$E,$B153,Mov!$K:$K,M$3)/1000</f>
        <v>-6304.96</v>
      </c>
      <c r="N153" s="3">
        <f>-SUMIFS(Mov!$J:$J,Mov!$E:$E,$B153,Mov!$K:$K,N$3)/1000</f>
        <v>-5728.1189999999997</v>
      </c>
      <c r="O153" s="3">
        <f>-SUMIFS(Mov!$J:$J,Mov!$E:$E,$B153,Mov!$K:$K,O$3)/1000</f>
        <v>-2400.0756099999999</v>
      </c>
      <c r="P153" s="3">
        <f>-SUMIFS(Mov!$J:$J,Mov!$E:$E,$B153,Mov!$K:$K,P$3)/1000</f>
        <v>-1756.6780000000001</v>
      </c>
      <c r="Q153" s="12">
        <f t="shared" si="128"/>
        <v>-23703.79365</v>
      </c>
      <c r="R153" s="12"/>
      <c r="S153" s="12">
        <f ca="1">SUM(OFFSET(E153,0,0,1,S$3))</f>
        <v>-23703.79365</v>
      </c>
    </row>
    <row r="154" spans="1:19" ht="14.65" customHeight="1">
      <c r="A154" s="232">
        <f>IF(SUM(A152:A153)&gt;0,1,0)</f>
        <v>1</v>
      </c>
      <c r="D154" s="1" t="s">
        <v>4625</v>
      </c>
      <c r="E154" s="13">
        <f>SUM(E152:E153)</f>
        <v>4434.9421199999997</v>
      </c>
      <c r="F154" s="13">
        <f t="shared" ref="F154:Q154" si="129">SUM(F152:F153)</f>
        <v>-445.70279999999997</v>
      </c>
      <c r="G154" s="13">
        <f t="shared" si="129"/>
        <v>-2260.64048</v>
      </c>
      <c r="H154" s="13">
        <f t="shared" si="129"/>
        <v>-1101.51596</v>
      </c>
      <c r="I154" s="13">
        <f t="shared" si="129"/>
        <v>-4151.8046000000004</v>
      </c>
      <c r="J154" s="13">
        <f t="shared" ref="J154:P154" si="130">SUM(J152:J153)</f>
        <v>10.384</v>
      </c>
      <c r="K154" s="13">
        <f t="shared" si="130"/>
        <v>561.41999999999996</v>
      </c>
      <c r="L154" s="13">
        <f t="shared" si="130"/>
        <v>2202.2049999999999</v>
      </c>
      <c r="M154" s="13">
        <f t="shared" si="130"/>
        <v>-6304.96</v>
      </c>
      <c r="N154" s="13">
        <f t="shared" si="130"/>
        <v>-5728.1189999999997</v>
      </c>
      <c r="O154" s="13">
        <f t="shared" si="130"/>
        <v>-2400.0756099999999</v>
      </c>
      <c r="P154" s="13">
        <f t="shared" si="130"/>
        <v>-1756.6780000000001</v>
      </c>
      <c r="Q154" s="13">
        <f t="shared" si="129"/>
        <v>-16940.545330000001</v>
      </c>
      <c r="R154" s="13"/>
      <c r="S154" s="13">
        <f ca="1">SUM(OFFSET(E154,0,0,1,S$3))</f>
        <v>-16940.545330000001</v>
      </c>
    </row>
    <row r="155" spans="1:19" ht="14.65" customHeight="1">
      <c r="A155">
        <v>1</v>
      </c>
      <c r="E155" s="12"/>
      <c r="F155" s="12"/>
      <c r="G155" s="12"/>
      <c r="H155" s="12"/>
      <c r="I155" s="12"/>
      <c r="J155" s="12"/>
      <c r="K155" s="12"/>
      <c r="L155" s="12"/>
      <c r="M155" s="12"/>
      <c r="N155" s="12"/>
      <c r="O155" s="12"/>
      <c r="P155" s="12"/>
      <c r="Q155" s="13"/>
      <c r="R155" s="12"/>
      <c r="S155" s="13"/>
    </row>
    <row r="156" spans="1:19" ht="14.65" customHeight="1">
      <c r="A156">
        <v>1</v>
      </c>
      <c r="C156" s="1"/>
      <c r="D156" s="1" t="s">
        <v>4626</v>
      </c>
      <c r="E156" s="13">
        <f t="shared" ref="E156:Q156" si="131">E9-E136-E145+E150+E154</f>
        <v>-1817.0581099999954</v>
      </c>
      <c r="F156" s="13">
        <f t="shared" si="131"/>
        <v>-83.534499999997479</v>
      </c>
      <c r="G156" s="13">
        <f t="shared" si="131"/>
        <v>-22317.401129999998</v>
      </c>
      <c r="H156" s="13">
        <f t="shared" si="131"/>
        <v>22731.899849999994</v>
      </c>
      <c r="I156" s="13">
        <f t="shared" si="131"/>
        <v>-237.74817999999914</v>
      </c>
      <c r="J156" s="13">
        <f t="shared" si="131"/>
        <v>15672.870880000006</v>
      </c>
      <c r="K156" s="13">
        <f t="shared" si="131"/>
        <v>38088.170290000009</v>
      </c>
      <c r="L156" s="13">
        <f t="shared" si="131"/>
        <v>66751.536300000007</v>
      </c>
      <c r="M156" s="13">
        <f t="shared" si="131"/>
        <v>9005.8694399999986</v>
      </c>
      <c r="N156" s="13">
        <f t="shared" si="131"/>
        <v>4837.9152100000056</v>
      </c>
      <c r="O156" s="13">
        <f t="shared" si="131"/>
        <v>16707.143090000005</v>
      </c>
      <c r="P156" s="13">
        <f t="shared" si="131"/>
        <v>-61182.325060000003</v>
      </c>
      <c r="Q156" s="13">
        <f t="shared" si="131"/>
        <v>88157.338079999783</v>
      </c>
      <c r="R156" s="12"/>
      <c r="S156" s="13">
        <f ca="1">S9-S136-S145+S150+S154</f>
        <v>88157.338079999899</v>
      </c>
    </row>
    <row r="157" spans="1:19" ht="14.65" customHeight="1">
      <c r="A157">
        <v>1</v>
      </c>
      <c r="C157" s="1"/>
      <c r="D157" s="1"/>
      <c r="E157" s="13"/>
      <c r="F157" s="13"/>
      <c r="G157" s="13"/>
      <c r="H157" s="13"/>
      <c r="I157" s="13"/>
      <c r="J157" s="13"/>
      <c r="K157" s="13"/>
      <c r="L157" s="13"/>
      <c r="M157" s="13"/>
      <c r="N157" s="13"/>
      <c r="O157" s="13"/>
      <c r="P157" s="13"/>
      <c r="Q157" s="13"/>
      <c r="R157" s="12"/>
      <c r="S157" s="13"/>
    </row>
    <row r="158" spans="1:19" ht="15">
      <c r="A158">
        <v>1</v>
      </c>
      <c r="B158">
        <v>54050501</v>
      </c>
      <c r="C158" t="s">
        <v>1500</v>
      </c>
      <c r="D158" t="s">
        <v>4627</v>
      </c>
      <c r="E158" s="3">
        <f>-SUMIFS(Mov!$J:$J,Mov!$E:$E,$B158,Mov!$K:$K,E$3)/1000</f>
        <v>0</v>
      </c>
      <c r="F158" s="3">
        <f>-SUMIFS(Mov!$J:$J,Mov!$E:$E,$B158,Mov!$K:$K,F$3)/1000</f>
        <v>0</v>
      </c>
      <c r="G158" s="3">
        <f>-SUMIFS(Mov!$J:$J,Mov!$E:$E,$B158,Mov!$K:$K,G$3)/1000</f>
        <v>0</v>
      </c>
      <c r="H158" s="3">
        <f>-SUMIFS(Mov!$J:$J,Mov!$E:$E,$B158,Mov!$K:$K,H$3)/1000</f>
        <v>0</v>
      </c>
      <c r="I158" s="3">
        <f>-SUMIFS(Mov!$J:$J,Mov!$E:$E,$B158,Mov!$K:$K,I$3)/1000</f>
        <v>0</v>
      </c>
      <c r="J158" s="3">
        <f>-SUMIFS(Mov!$J:$J,Mov!$E:$E,$B158,Mov!$K:$K,J$3)/1000</f>
        <v>-5410</v>
      </c>
      <c r="K158" s="3">
        <f>-SUMIFS(Mov!$J:$J,Mov!$E:$E,$B158,Mov!$K:$K,K$3)/1000</f>
        <v>-13750</v>
      </c>
      <c r="L158" s="3">
        <f>-SUMIFS(Mov!$J:$J,Mov!$E:$E,$B158,Mov!$K:$K,L$3)/1000</f>
        <v>-25507</v>
      </c>
      <c r="M158" s="3">
        <f>-SUMIFS(Mov!$J:$J,Mov!$E:$E,$B158,Mov!$K:$K,M$3)/1000</f>
        <v>-6094</v>
      </c>
      <c r="N158" s="3">
        <f>-SUMIFS(Mov!$J:$J,Mov!$E:$E,$B158,Mov!$K:$K,N$3)/1000</f>
        <v>-1868</v>
      </c>
      <c r="O158" s="3">
        <f>-SUMIFS(Mov!$J:$J,Mov!$E:$E,$B158,Mov!$K:$K,O$3)/1000</f>
        <v>-6295</v>
      </c>
      <c r="P158" s="3">
        <f>-SUMIFS(Mov!$J:$J,Mov!$E:$E,$B158,Mov!$K:$K,P$3)/1000</f>
        <v>23321</v>
      </c>
      <c r="Q158" s="12">
        <f t="shared" ref="Q158" si="132">SUM(E158:P158)</f>
        <v>-35603</v>
      </c>
      <c r="R158" s="12"/>
      <c r="S158" s="12">
        <f ca="1">SUM(OFFSET(E158,0,0,1,S$3))</f>
        <v>-35603</v>
      </c>
    </row>
    <row r="159" spans="1:19" ht="14.65" customHeight="1">
      <c r="A159">
        <v>1</v>
      </c>
      <c r="E159" s="3"/>
      <c r="F159" s="3"/>
      <c r="G159" s="3"/>
      <c r="H159" s="3"/>
      <c r="I159" s="3"/>
      <c r="J159" s="3"/>
      <c r="K159" s="3"/>
      <c r="L159" s="3"/>
      <c r="M159" s="3"/>
      <c r="N159" s="3"/>
      <c r="O159" s="3"/>
      <c r="P159" s="3"/>
      <c r="Q159" s="12"/>
      <c r="R159" s="12"/>
      <c r="S159" s="12"/>
    </row>
    <row r="160" spans="1:19" ht="14.65" customHeight="1" thickBot="1">
      <c r="A160">
        <v>1</v>
      </c>
      <c r="C160" t="s">
        <v>4628</v>
      </c>
      <c r="D160" s="1" t="s">
        <v>4628</v>
      </c>
      <c r="E160" s="13">
        <f>E156+E158</f>
        <v>-1817.0581099999954</v>
      </c>
      <c r="F160" s="13">
        <f t="shared" ref="F160:Q160" si="133">F156+F158</f>
        <v>-83.534499999997479</v>
      </c>
      <c r="G160" s="13">
        <f t="shared" si="133"/>
        <v>-22317.401129999998</v>
      </c>
      <c r="H160" s="13">
        <f t="shared" si="133"/>
        <v>22731.899849999994</v>
      </c>
      <c r="I160" s="13">
        <f t="shared" si="133"/>
        <v>-237.74817999999914</v>
      </c>
      <c r="J160" s="13">
        <f t="shared" ref="J160:P160" si="134">J156+J158</f>
        <v>10262.870880000006</v>
      </c>
      <c r="K160" s="13">
        <f t="shared" si="134"/>
        <v>24338.170290000009</v>
      </c>
      <c r="L160" s="13">
        <f t="shared" si="134"/>
        <v>41244.536300000007</v>
      </c>
      <c r="M160" s="13">
        <f t="shared" si="134"/>
        <v>2911.8694399999986</v>
      </c>
      <c r="N160" s="13">
        <f t="shared" si="134"/>
        <v>2969.9152100000056</v>
      </c>
      <c r="O160" s="13">
        <f t="shared" si="134"/>
        <v>10412.143090000005</v>
      </c>
      <c r="P160" s="13">
        <f t="shared" si="134"/>
        <v>-37861.325060000003</v>
      </c>
      <c r="Q160" s="13">
        <f t="shared" si="133"/>
        <v>52554.338079999783</v>
      </c>
      <c r="R160" s="12"/>
      <c r="S160" s="14">
        <f ca="1">SUM(S156:S158)</f>
        <v>52554.338079999899</v>
      </c>
    </row>
    <row r="161" spans="3:19" ht="14.65" customHeight="1">
      <c r="E161" s="12"/>
      <c r="F161" s="12"/>
      <c r="G161" s="12"/>
      <c r="H161" s="3"/>
      <c r="I161" s="12"/>
      <c r="J161" s="12"/>
      <c r="K161" s="12"/>
      <c r="L161" s="12"/>
      <c r="M161" s="12"/>
      <c r="N161" s="12"/>
      <c r="O161" s="12"/>
      <c r="P161" s="12"/>
      <c r="Q161" s="12"/>
      <c r="R161" s="12"/>
      <c r="S161" s="15"/>
    </row>
    <row r="162" spans="3:19" ht="14.65" customHeight="1">
      <c r="E162" s="12"/>
      <c r="F162" s="12"/>
      <c r="G162" s="12"/>
      <c r="H162" s="3"/>
      <c r="I162" s="12"/>
      <c r="J162" s="12"/>
      <c r="K162" s="12"/>
      <c r="L162" s="12"/>
      <c r="M162" s="12"/>
      <c r="N162" s="12"/>
      <c r="O162" s="12"/>
      <c r="P162" s="12"/>
      <c r="Q162" s="12">
        <f>Valida!I277/1000</f>
        <v>49763.400080000043</v>
      </c>
      <c r="R162" s="12"/>
      <c r="S162" s="3"/>
    </row>
    <row r="163" spans="3:19" ht="14.65" customHeight="1">
      <c r="C163" t="s">
        <v>4629</v>
      </c>
      <c r="D163" t="s">
        <v>4616</v>
      </c>
      <c r="E163" s="12"/>
      <c r="F163" s="12"/>
      <c r="G163" s="12">
        <f t="shared" ref="G163:K163" si="135">G136</f>
        <v>50566.02781</v>
      </c>
      <c r="H163" s="12">
        <f t="shared" si="135"/>
        <v>48139.935790000003</v>
      </c>
      <c r="I163" s="12">
        <f t="shared" si="135"/>
        <v>49791.987789999999</v>
      </c>
      <c r="J163" s="12">
        <f t="shared" si="135"/>
        <v>50882.801899999999</v>
      </c>
      <c r="K163" s="12">
        <f t="shared" si="135"/>
        <v>48667.349579999987</v>
      </c>
      <c r="L163" s="12">
        <f>L136</f>
        <v>64544.669809999992</v>
      </c>
      <c r="M163" s="12">
        <f t="shared" ref="M163:O163" si="136">M136</f>
        <v>56734.946519999998</v>
      </c>
      <c r="N163" s="12">
        <f t="shared" si="136"/>
        <v>59890.175789999994</v>
      </c>
      <c r="O163" s="12">
        <f t="shared" si="136"/>
        <v>51000.886030000001</v>
      </c>
      <c r="P163" s="12"/>
      <c r="Q163" s="12">
        <f>Q160-Q162</f>
        <v>2790.93799999974</v>
      </c>
      <c r="R163" s="12"/>
      <c r="S163" s="3"/>
    </row>
    <row r="164" spans="3:19" ht="14.65" customHeight="1">
      <c r="C164" t="s">
        <v>4629</v>
      </c>
      <c r="D164" t="s">
        <v>4630</v>
      </c>
      <c r="E164" s="12"/>
      <c r="F164" s="12"/>
      <c r="G164" s="12">
        <f t="shared" ref="G164:K164" si="137">-G36-G126</f>
        <v>0</v>
      </c>
      <c r="H164" s="12">
        <f t="shared" si="137"/>
        <v>0</v>
      </c>
      <c r="I164" s="12">
        <f t="shared" si="137"/>
        <v>0</v>
      </c>
      <c r="J164" s="12">
        <f t="shared" si="137"/>
        <v>0</v>
      </c>
      <c r="K164" s="12">
        <f t="shared" si="137"/>
        <v>0</v>
      </c>
      <c r="L164" s="12">
        <f>-L36-L126</f>
        <v>-13635.319</v>
      </c>
      <c r="M164" s="12">
        <f>-M36-M126</f>
        <v>-1244.3</v>
      </c>
      <c r="N164" s="12">
        <f t="shared" ref="N164:O164" si="138">-N36-N126</f>
        <v>0</v>
      </c>
      <c r="O164" s="12">
        <f t="shared" si="138"/>
        <v>0</v>
      </c>
      <c r="Q164" s="12"/>
      <c r="R164" s="12"/>
    </row>
    <row r="165" spans="3:19" ht="14.65" customHeight="1">
      <c r="C165" t="s">
        <v>4629</v>
      </c>
      <c r="D165" t="s">
        <v>4631</v>
      </c>
      <c r="E165" s="12"/>
      <c r="F165" s="12"/>
      <c r="G165" s="12">
        <f>-SUM(G23:G26)</f>
        <v>-2066.6660000000002</v>
      </c>
      <c r="H165" s="12">
        <f t="shared" ref="H165:M165" si="139">-SUM(H23:H26)</f>
        <v>-1911.3440000000001</v>
      </c>
      <c r="I165" s="12">
        <f t="shared" si="139"/>
        <v>-2041.788</v>
      </c>
      <c r="J165" s="12">
        <f t="shared" si="139"/>
        <v>-2192.0540000000001</v>
      </c>
      <c r="K165" s="12">
        <f t="shared" si="139"/>
        <v>-1846.4809999999998</v>
      </c>
      <c r="L165" s="12">
        <f t="shared" si="139"/>
        <v>-1603.6130000000001</v>
      </c>
      <c r="M165" s="12">
        <f t="shared" si="139"/>
        <v>-1881.2760000000001</v>
      </c>
      <c r="N165" s="12">
        <f t="shared" ref="N165:O165" si="140">-SUM(N23:N26)</f>
        <v>-2010.412</v>
      </c>
      <c r="O165" s="12">
        <f t="shared" si="140"/>
        <v>-2821.9189999999999</v>
      </c>
      <c r="Q165" s="12"/>
      <c r="R165" s="12"/>
    </row>
    <row r="166" spans="3:19" ht="14.65" customHeight="1">
      <c r="C166" t="s">
        <v>4629</v>
      </c>
      <c r="D166" t="s">
        <v>4632</v>
      </c>
      <c r="E166" s="12"/>
      <c r="F166" s="12"/>
      <c r="G166" s="12">
        <f>-G53</f>
        <v>-1760.5549999999998</v>
      </c>
      <c r="H166" s="12">
        <f t="shared" ref="H166:M166" si="141">-H53</f>
        <v>-1760.5549999999998</v>
      </c>
      <c r="I166" s="12">
        <f t="shared" si="141"/>
        <v>-1760.5549999999998</v>
      </c>
      <c r="J166" s="12">
        <f t="shared" si="141"/>
        <v>-1760.5549999999998</v>
      </c>
      <c r="K166" s="12">
        <f t="shared" si="141"/>
        <v>-1760.5549999999998</v>
      </c>
      <c r="L166" s="12">
        <f t="shared" si="141"/>
        <v>-1760.5549999999998</v>
      </c>
      <c r="M166" s="12">
        <f t="shared" si="141"/>
        <v>-1760.5549999999998</v>
      </c>
      <c r="N166" s="12">
        <f t="shared" ref="N166:O166" si="142">-N53</f>
        <v>-1760.5549999999998</v>
      </c>
      <c r="O166" s="12">
        <f t="shared" si="142"/>
        <v>-1760.5549999999998</v>
      </c>
      <c r="Q166" s="12"/>
      <c r="R166" s="12"/>
    </row>
    <row r="167" spans="3:19" ht="14.65" customHeight="1">
      <c r="C167" t="s">
        <v>4629</v>
      </c>
      <c r="H167" s="3"/>
      <c r="I167" s="12"/>
      <c r="J167" s="12"/>
      <c r="K167" s="12"/>
      <c r="L167" s="12">
        <f>+Bce!J66/1000</f>
        <v>0</v>
      </c>
      <c r="M167" s="12">
        <f>L167</f>
        <v>0</v>
      </c>
      <c r="N167" s="12">
        <f t="shared" ref="N167:O167" si="143">M167</f>
        <v>0</v>
      </c>
      <c r="O167" s="12">
        <f t="shared" si="143"/>
        <v>0</v>
      </c>
      <c r="Q167" s="12"/>
      <c r="R167" s="12"/>
    </row>
    <row r="168" spans="3:19" ht="14.65" customHeight="1">
      <c r="C168" s="272" t="s">
        <v>4629</v>
      </c>
      <c r="D168" s="272"/>
      <c r="E168" s="273"/>
      <c r="F168" s="273"/>
      <c r="G168" s="273">
        <f t="shared" ref="G168:M168" si="144">SUM(G163:G167)</f>
        <v>46738.806810000002</v>
      </c>
      <c r="H168" s="273">
        <f t="shared" si="144"/>
        <v>44468.036790000006</v>
      </c>
      <c r="I168" s="273">
        <f t="shared" si="144"/>
        <v>45989.644789999998</v>
      </c>
      <c r="J168" s="273">
        <f t="shared" si="144"/>
        <v>46930.192900000002</v>
      </c>
      <c r="K168" s="273">
        <f t="shared" si="144"/>
        <v>45060.313579999987</v>
      </c>
      <c r="L168" s="273">
        <f t="shared" si="144"/>
        <v>47545.182809999991</v>
      </c>
      <c r="M168" s="273">
        <f t="shared" si="144"/>
        <v>51848.815519999996</v>
      </c>
      <c r="N168" s="273">
        <f t="shared" ref="N168:O168" si="145">SUM(N163:N167)</f>
        <v>56119.208789999997</v>
      </c>
      <c r="O168" s="273">
        <f t="shared" si="145"/>
        <v>46418.41203</v>
      </c>
      <c r="Q168" s="12"/>
      <c r="R168" s="12"/>
    </row>
    <row r="169" spans="3:19" ht="14.65" customHeight="1">
      <c r="H169" s="3"/>
      <c r="I169" s="12"/>
      <c r="J169" s="12"/>
      <c r="K169" s="12"/>
      <c r="L169" s="12"/>
      <c r="M169" s="12"/>
      <c r="N169" s="12"/>
      <c r="Q169" s="12"/>
      <c r="R169" s="12"/>
      <c r="S169" s="270" t="s">
        <v>4633</v>
      </c>
    </row>
    <row r="170" spans="3:19" ht="14.65" customHeight="1">
      <c r="D170" s="1" t="s">
        <v>4626</v>
      </c>
      <c r="E170" s="12">
        <f t="shared" ref="E170:J170" si="146">E156</f>
        <v>-1817.0581099999954</v>
      </c>
      <c r="F170" s="12">
        <f t="shared" si="146"/>
        <v>-83.534499999997479</v>
      </c>
      <c r="G170" s="12">
        <f t="shared" si="146"/>
        <v>-22317.401129999998</v>
      </c>
      <c r="H170" s="12">
        <f t="shared" si="146"/>
        <v>22731.899849999994</v>
      </c>
      <c r="I170" s="12">
        <f t="shared" si="146"/>
        <v>-237.74817999999914</v>
      </c>
      <c r="J170" s="12">
        <f t="shared" si="146"/>
        <v>15672.870880000006</v>
      </c>
      <c r="K170" s="12">
        <f>K156</f>
        <v>38088.170290000009</v>
      </c>
      <c r="L170" s="12">
        <f t="shared" ref="L170:Q170" si="147">L156</f>
        <v>66751.536300000007</v>
      </c>
      <c r="M170" s="12">
        <f t="shared" si="147"/>
        <v>9005.8694399999986</v>
      </c>
      <c r="N170" s="12">
        <f t="shared" si="147"/>
        <v>4837.9152100000056</v>
      </c>
      <c r="O170" s="12">
        <f t="shared" si="147"/>
        <v>16707.143090000005</v>
      </c>
      <c r="P170" s="12">
        <f t="shared" si="147"/>
        <v>-61182.325060000003</v>
      </c>
      <c r="Q170" s="12">
        <f t="shared" si="147"/>
        <v>88157.338079999783</v>
      </c>
      <c r="R170" s="12"/>
    </row>
    <row r="171" spans="3:19" ht="14.65" customHeight="1">
      <c r="C171" t="s">
        <v>4609</v>
      </c>
      <c r="D171" t="s">
        <v>4608</v>
      </c>
      <c r="E171" s="3">
        <f t="shared" ref="E171:Q171" si="148">E126</f>
        <v>0</v>
      </c>
      <c r="F171" s="3">
        <f t="shared" si="148"/>
        <v>0</v>
      </c>
      <c r="G171" s="3">
        <f t="shared" si="148"/>
        <v>0</v>
      </c>
      <c r="H171" s="3">
        <f t="shared" si="148"/>
        <v>0</v>
      </c>
      <c r="I171" s="3">
        <f t="shared" si="148"/>
        <v>0</v>
      </c>
      <c r="J171" s="3">
        <f t="shared" si="148"/>
        <v>0</v>
      </c>
      <c r="K171" s="3">
        <f t="shared" si="148"/>
        <v>0</v>
      </c>
      <c r="L171" s="3">
        <f t="shared" si="148"/>
        <v>3887.42</v>
      </c>
      <c r="M171" s="3">
        <f t="shared" si="148"/>
        <v>0</v>
      </c>
      <c r="N171" s="3">
        <f t="shared" si="148"/>
        <v>0</v>
      </c>
      <c r="O171" s="3">
        <f t="shared" si="148"/>
        <v>0</v>
      </c>
      <c r="P171" s="3">
        <f t="shared" si="148"/>
        <v>0</v>
      </c>
      <c r="Q171" s="3">
        <f t="shared" si="148"/>
        <v>3887.42</v>
      </c>
      <c r="R171" s="12"/>
      <c r="S171" s="271">
        <v>53052002</v>
      </c>
    </row>
    <row r="172" spans="3:19" ht="14.65" customHeight="1">
      <c r="C172" t="s">
        <v>1107</v>
      </c>
      <c r="D172" t="s">
        <v>4531</v>
      </c>
      <c r="E172" s="3">
        <f>E20</f>
        <v>0</v>
      </c>
      <c r="F172" s="3">
        <f t="shared" ref="F172:P172" si="149">F20</f>
        <v>0</v>
      </c>
      <c r="G172" s="3">
        <f t="shared" si="149"/>
        <v>0</v>
      </c>
      <c r="H172" s="3">
        <f t="shared" si="149"/>
        <v>0</v>
      </c>
      <c r="I172" s="3">
        <f t="shared" si="149"/>
        <v>0</v>
      </c>
      <c r="J172" s="3">
        <f t="shared" si="149"/>
        <v>0</v>
      </c>
      <c r="K172" s="3">
        <f t="shared" si="149"/>
        <v>0</v>
      </c>
      <c r="L172" s="3">
        <f t="shared" si="149"/>
        <v>0</v>
      </c>
      <c r="M172" s="3">
        <f t="shared" si="149"/>
        <v>0</v>
      </c>
      <c r="N172" s="3">
        <f t="shared" si="149"/>
        <v>0</v>
      </c>
      <c r="O172" s="3">
        <f t="shared" si="149"/>
        <v>0</v>
      </c>
      <c r="P172" s="3">
        <f t="shared" si="149"/>
        <v>6538.8869999999997</v>
      </c>
      <c r="Q172" s="3">
        <f>Q20</f>
        <v>6538.8869999999997</v>
      </c>
      <c r="R172" s="12"/>
      <c r="S172" s="271">
        <v>510560</v>
      </c>
    </row>
    <row r="173" spans="3:19" ht="14.65" customHeight="1">
      <c r="C173" t="s">
        <v>4618</v>
      </c>
      <c r="D173" t="s">
        <v>4610</v>
      </c>
      <c r="E173" s="3">
        <f t="shared" ref="E173:Q173" si="150">E140</f>
        <v>0</v>
      </c>
      <c r="F173" s="3">
        <f t="shared" si="150"/>
        <v>0</v>
      </c>
      <c r="G173" s="3">
        <f t="shared" si="150"/>
        <v>0</v>
      </c>
      <c r="H173" s="3">
        <f t="shared" si="150"/>
        <v>424</v>
      </c>
      <c r="I173" s="3">
        <f t="shared" si="150"/>
        <v>0</v>
      </c>
      <c r="J173" s="3">
        <f t="shared" si="150"/>
        <v>0</v>
      </c>
      <c r="K173" s="3">
        <f t="shared" si="150"/>
        <v>0</v>
      </c>
      <c r="L173" s="3">
        <f t="shared" si="150"/>
        <v>0</v>
      </c>
      <c r="M173" s="3">
        <f t="shared" si="150"/>
        <v>424</v>
      </c>
      <c r="N173" s="3">
        <f t="shared" si="150"/>
        <v>0</v>
      </c>
      <c r="O173" s="3">
        <f t="shared" si="150"/>
        <v>0</v>
      </c>
      <c r="P173" s="3">
        <f t="shared" si="150"/>
        <v>878</v>
      </c>
      <c r="Q173" s="3">
        <f t="shared" si="150"/>
        <v>1726</v>
      </c>
      <c r="R173" s="12"/>
      <c r="S173" s="271">
        <v>539520</v>
      </c>
    </row>
    <row r="174" spans="3:19" ht="14.65" customHeight="1">
      <c r="C174" t="s">
        <v>1498</v>
      </c>
      <c r="D174" t="s">
        <v>4610</v>
      </c>
      <c r="E174" s="3">
        <f>E143</f>
        <v>0</v>
      </c>
      <c r="F174" s="3">
        <f t="shared" ref="F174:P174" si="151">F143</f>
        <v>1</v>
      </c>
      <c r="G174" s="3">
        <f t="shared" si="151"/>
        <v>0</v>
      </c>
      <c r="H174" s="3">
        <f t="shared" si="151"/>
        <v>1.5676700000000001</v>
      </c>
      <c r="I174" s="3">
        <f t="shared" si="151"/>
        <v>0</v>
      </c>
      <c r="J174" s="3">
        <f t="shared" si="151"/>
        <v>0</v>
      </c>
      <c r="K174" s="3">
        <f t="shared" si="151"/>
        <v>0</v>
      </c>
      <c r="L174" s="3">
        <f t="shared" si="151"/>
        <v>1.5995200000000001</v>
      </c>
      <c r="M174" s="3">
        <f t="shared" si="151"/>
        <v>0</v>
      </c>
      <c r="N174" s="3">
        <f t="shared" si="151"/>
        <v>3.6015000000000001</v>
      </c>
      <c r="O174" s="3">
        <f t="shared" si="151"/>
        <v>0</v>
      </c>
      <c r="P174" s="3">
        <f t="shared" si="151"/>
        <v>0.12224</v>
      </c>
      <c r="Q174" s="3">
        <f>Q143</f>
        <v>7.8909299999999991</v>
      </c>
      <c r="R174" s="12"/>
      <c r="S174" s="271">
        <v>53152003</v>
      </c>
    </row>
    <row r="175" spans="3:19" ht="14.65" customHeight="1">
      <c r="C175" t="s">
        <v>1498</v>
      </c>
      <c r="D175" t="s">
        <v>4610</v>
      </c>
      <c r="E175" s="3">
        <f t="shared" ref="E175:P175" si="152">E144</f>
        <v>0</v>
      </c>
      <c r="F175" s="3">
        <f t="shared" si="152"/>
        <v>0</v>
      </c>
      <c r="G175" s="3">
        <f t="shared" si="152"/>
        <v>0</v>
      </c>
      <c r="H175" s="3">
        <f t="shared" si="152"/>
        <v>0</v>
      </c>
      <c r="I175" s="3">
        <f t="shared" si="152"/>
        <v>0</v>
      </c>
      <c r="J175" s="3">
        <f t="shared" si="152"/>
        <v>0</v>
      </c>
      <c r="K175" s="3">
        <f t="shared" si="152"/>
        <v>0</v>
      </c>
      <c r="L175" s="3">
        <f t="shared" si="152"/>
        <v>0</v>
      </c>
      <c r="M175" s="3">
        <f t="shared" si="152"/>
        <v>2681</v>
      </c>
      <c r="N175" s="3">
        <f t="shared" si="152"/>
        <v>0</v>
      </c>
      <c r="O175" s="3">
        <f t="shared" si="152"/>
        <v>0</v>
      </c>
      <c r="P175" s="3">
        <f t="shared" si="152"/>
        <v>0</v>
      </c>
      <c r="Q175" s="3">
        <f>Q144</f>
        <v>2681</v>
      </c>
      <c r="R175" s="12"/>
      <c r="S175" s="271">
        <v>53152004</v>
      </c>
    </row>
    <row r="176" spans="3:19" ht="14.65" customHeight="1">
      <c r="C176" t="s">
        <v>1181</v>
      </c>
      <c r="D176" t="s">
        <v>4613</v>
      </c>
      <c r="E176" s="3">
        <f>E131*0.5</f>
        <v>109.24342999999999</v>
      </c>
      <c r="F176" s="3">
        <f t="shared" ref="F176:Q176" si="153">F131*0.5</f>
        <v>123.77946</v>
      </c>
      <c r="G176" s="3">
        <f t="shared" si="153"/>
        <v>103.54771000000001</v>
      </c>
      <c r="H176" s="3">
        <f t="shared" si="153"/>
        <v>95.921435000000002</v>
      </c>
      <c r="I176" s="3">
        <f t="shared" si="153"/>
        <v>106.85474000000001</v>
      </c>
      <c r="J176" s="3">
        <f t="shared" si="153"/>
        <v>106.856465</v>
      </c>
      <c r="K176" s="3">
        <f t="shared" si="153"/>
        <v>107.12143499999999</v>
      </c>
      <c r="L176" s="3">
        <f t="shared" si="153"/>
        <v>214.87121500000001</v>
      </c>
      <c r="M176" s="3">
        <f t="shared" si="153"/>
        <v>113.282825</v>
      </c>
      <c r="N176" s="3">
        <f t="shared" si="153"/>
        <v>346.961725</v>
      </c>
      <c r="O176" s="3">
        <f t="shared" si="153"/>
        <v>112.21442</v>
      </c>
      <c r="P176" s="3">
        <f t="shared" si="153"/>
        <v>159.99558500000001</v>
      </c>
      <c r="Q176" s="3">
        <f t="shared" si="153"/>
        <v>1700.6504449999998</v>
      </c>
      <c r="R176" s="12"/>
      <c r="S176" s="271">
        <v>51159501</v>
      </c>
    </row>
    <row r="177" spans="2:20" ht="4.9000000000000004" customHeight="1">
      <c r="H177" s="3"/>
      <c r="I177" s="12"/>
      <c r="O177" s="12"/>
      <c r="Q177" s="12"/>
      <c r="R177" s="12"/>
    </row>
    <row r="178" spans="2:20" ht="14.65" customHeight="1">
      <c r="D178" t="s">
        <v>4634</v>
      </c>
      <c r="E178" s="286">
        <f>SUM(E170:E177)</f>
        <v>-1707.8146799999954</v>
      </c>
      <c r="F178" s="286">
        <f t="shared" ref="F178:Q178" si="154">SUM(F170:F177)</f>
        <v>41.244960000002521</v>
      </c>
      <c r="G178" s="286">
        <f t="shared" si="154"/>
        <v>-22213.853419999999</v>
      </c>
      <c r="H178" s="286">
        <f t="shared" si="154"/>
        <v>23253.388954999995</v>
      </c>
      <c r="I178" s="286">
        <f t="shared" si="154"/>
        <v>-130.89343999999915</v>
      </c>
      <c r="J178" s="286">
        <f t="shared" si="154"/>
        <v>15779.727345000007</v>
      </c>
      <c r="K178" s="286">
        <f t="shared" si="154"/>
        <v>38195.29172500001</v>
      </c>
      <c r="L178" s="286">
        <f t="shared" si="154"/>
        <v>70855.427035000015</v>
      </c>
      <c r="M178" s="286">
        <f t="shared" si="154"/>
        <v>12224.152264999999</v>
      </c>
      <c r="N178" s="286">
        <f t="shared" si="154"/>
        <v>5188.4784350000054</v>
      </c>
      <c r="O178" s="286">
        <f t="shared" si="154"/>
        <v>16819.357510000005</v>
      </c>
      <c r="P178" s="286">
        <f t="shared" si="154"/>
        <v>-53605.320235000007</v>
      </c>
      <c r="Q178" s="286">
        <f t="shared" si="154"/>
        <v>104699.18645499978</v>
      </c>
      <c r="R178" s="12"/>
    </row>
    <row r="179" spans="2:20" ht="14.65" customHeight="1">
      <c r="B179" s="266">
        <v>0.36</v>
      </c>
      <c r="D179" t="s">
        <v>4635</v>
      </c>
      <c r="E179" s="267">
        <f>ROUND(E178*$B179,0)</f>
        <v>-615</v>
      </c>
      <c r="F179" s="267">
        <f t="shared" ref="F179:Q179" si="155">ROUND(F178*$B179,0)</f>
        <v>15</v>
      </c>
      <c r="G179" s="267">
        <f t="shared" si="155"/>
        <v>-7997</v>
      </c>
      <c r="H179" s="267">
        <f t="shared" si="155"/>
        <v>8371</v>
      </c>
      <c r="I179" s="267">
        <f t="shared" si="155"/>
        <v>-47</v>
      </c>
      <c r="J179" s="267">
        <f t="shared" si="155"/>
        <v>5681</v>
      </c>
      <c r="K179" s="268">
        <f t="shared" si="155"/>
        <v>13750</v>
      </c>
      <c r="L179" s="268">
        <f t="shared" si="155"/>
        <v>25508</v>
      </c>
      <c r="M179" s="268">
        <f t="shared" si="155"/>
        <v>4401</v>
      </c>
      <c r="N179" s="12">
        <f t="shared" si="155"/>
        <v>1868</v>
      </c>
      <c r="O179" s="12">
        <f t="shared" si="155"/>
        <v>6055</v>
      </c>
      <c r="P179" s="12">
        <f t="shared" si="155"/>
        <v>-19298</v>
      </c>
      <c r="Q179" s="12">
        <f t="shared" si="155"/>
        <v>37692</v>
      </c>
      <c r="R179" s="12"/>
    </row>
    <row r="180" spans="2:20" ht="14.65" customHeight="1">
      <c r="C180" t="s">
        <v>4636</v>
      </c>
      <c r="E180" s="269">
        <f t="shared" ref="E180:M180" si="156">E179/E170</f>
        <v>0.33845918114308493</v>
      </c>
      <c r="F180" s="269">
        <f t="shared" si="156"/>
        <v>-0.17956652640526313</v>
      </c>
      <c r="G180" s="269">
        <f t="shared" si="156"/>
        <v>0.35833025330400559</v>
      </c>
      <c r="H180" s="269">
        <f t="shared" si="156"/>
        <v>0.36824902692856104</v>
      </c>
      <c r="I180" s="269">
        <f t="shared" si="156"/>
        <v>0.19768815895877803</v>
      </c>
      <c r="J180" s="269">
        <f t="shared" si="156"/>
        <v>0.36247347684395637</v>
      </c>
      <c r="K180" s="269">
        <f t="shared" si="156"/>
        <v>0.36100447712002698</v>
      </c>
      <c r="L180" s="269">
        <f t="shared" si="156"/>
        <v>0.38213352701516767</v>
      </c>
      <c r="M180" s="269">
        <f t="shared" si="156"/>
        <v>0.48868130160234707</v>
      </c>
      <c r="N180" s="269">
        <f>IFERROR(N179/N170,0)</f>
        <v>0.38611672981345985</v>
      </c>
      <c r="O180" s="269">
        <f t="shared" ref="O180:Q180" si="157">IFERROR(O179/O170,0)</f>
        <v>0.36241983248615356</v>
      </c>
      <c r="P180" s="269">
        <f t="shared" si="157"/>
        <v>0.31541789203131665</v>
      </c>
      <c r="Q180" s="269">
        <f t="shared" si="157"/>
        <v>0.42755374448574879</v>
      </c>
      <c r="R180" s="12"/>
    </row>
    <row r="181" spans="2:20" ht="14.65" customHeight="1">
      <c r="H181" s="3"/>
      <c r="I181" s="12"/>
      <c r="O181" s="12"/>
      <c r="Q181" s="12"/>
      <c r="R181" s="12"/>
    </row>
    <row r="182" spans="2:20" ht="14.65" customHeight="1">
      <c r="E182" s="12"/>
      <c r="F182" s="12"/>
      <c r="G182" s="12"/>
      <c r="H182" s="12"/>
      <c r="I182" s="12"/>
      <c r="O182" s="12"/>
      <c r="Q182" s="12">
        <f>Q179</f>
        <v>37692</v>
      </c>
      <c r="R182" s="12"/>
    </row>
    <row r="183" spans="2:20" ht="14.65" customHeight="1">
      <c r="E183" s="12"/>
      <c r="F183" s="12"/>
      <c r="G183" s="12"/>
      <c r="H183" s="12"/>
      <c r="I183" s="12"/>
      <c r="O183" s="12"/>
      <c r="Q183" s="12">
        <f>SUMIF(Bce!A:A,54050501,Bce!J:J)/1000</f>
        <v>35603</v>
      </c>
      <c r="R183" s="12"/>
      <c r="S183">
        <v>54050101</v>
      </c>
    </row>
    <row r="184" spans="2:20" ht="14.65" customHeight="1">
      <c r="E184" s="16"/>
      <c r="F184" s="16"/>
      <c r="G184" s="3"/>
      <c r="H184" s="16"/>
      <c r="I184" s="16"/>
      <c r="O184" s="12"/>
      <c r="Q184" s="12">
        <f>Q182-Q183</f>
        <v>2089</v>
      </c>
      <c r="R184" s="12"/>
      <c r="S184" t="s">
        <v>4637</v>
      </c>
    </row>
    <row r="185" spans="2:20" ht="14.65" customHeight="1">
      <c r="H185" s="3"/>
      <c r="I185" s="12"/>
      <c r="Q185" s="12"/>
      <c r="R185" s="12"/>
    </row>
    <row r="186" spans="2:20" ht="14.65" customHeight="1">
      <c r="G186" t="s">
        <v>5609</v>
      </c>
      <c r="H186" s="373" t="s">
        <v>5608</v>
      </c>
      <c r="I186" s="12"/>
      <c r="K186" s="10" t="s">
        <v>5607</v>
      </c>
      <c r="L186" t="s">
        <v>5609</v>
      </c>
      <c r="O186" s="162" t="s">
        <v>4638</v>
      </c>
      <c r="P186" s="162" t="s">
        <v>5604</v>
      </c>
      <c r="Q186" s="289" t="s">
        <v>5605</v>
      </c>
      <c r="R186" s="12"/>
    </row>
    <row r="187" spans="2:20" ht="14.65" customHeight="1">
      <c r="G187" s="12">
        <v>-26245938</v>
      </c>
      <c r="H187" s="3">
        <f>P187*0.35</f>
        <v>-26071.5</v>
      </c>
      <c r="I187" s="12" t="s">
        <v>5606</v>
      </c>
      <c r="L187" s="3"/>
      <c r="O187" s="12">
        <f>P187-Q187</f>
        <v>0</v>
      </c>
      <c r="P187" s="12">
        <v>-74490</v>
      </c>
      <c r="Q187" s="12">
        <v>-74490</v>
      </c>
      <c r="R187" s="12"/>
      <c r="S187" t="s">
        <v>4640</v>
      </c>
    </row>
    <row r="188" spans="2:20" ht="14.65" customHeight="1">
      <c r="G188" s="12">
        <v>-26429000</v>
      </c>
      <c r="H188" s="3">
        <f>P188*0.35</f>
        <v>-26536.3</v>
      </c>
      <c r="I188" s="12" t="s">
        <v>5606</v>
      </c>
      <c r="K188" s="3">
        <v>3488</v>
      </c>
      <c r="L188" s="3"/>
      <c r="O188" s="12">
        <f>P188-Q188</f>
        <v>-45609</v>
      </c>
      <c r="P188" s="12">
        <v>-75818</v>
      </c>
      <c r="Q188" s="12">
        <v>-30209</v>
      </c>
      <c r="R188" s="12"/>
      <c r="S188" t="s">
        <v>4641</v>
      </c>
    </row>
    <row r="189" spans="2:20" ht="14.65" customHeight="1">
      <c r="G189" s="12">
        <v>39931000</v>
      </c>
      <c r="H189" s="3"/>
      <c r="I189" s="12"/>
      <c r="L189" s="3"/>
      <c r="P189" s="12"/>
      <c r="Q189" s="12">
        <f>Q178</f>
        <v>104699.18645499978</v>
      </c>
      <c r="R189" s="12"/>
      <c r="S189" t="s">
        <v>4639</v>
      </c>
    </row>
    <row r="190" spans="2:20" ht="4.9000000000000004" customHeight="1">
      <c r="H190" s="3"/>
      <c r="I190" s="12"/>
      <c r="O190" s="12"/>
      <c r="P190" s="12"/>
      <c r="Q190" s="12"/>
      <c r="R190" s="12"/>
    </row>
    <row r="191" spans="2:20" ht="14.65" customHeight="1">
      <c r="G191" s="286">
        <f t="shared" ref="G191:H191" si="158">SUBTOTAL(9,G187:G190)</f>
        <v>-12743938</v>
      </c>
      <c r="H191" s="286">
        <f t="shared" si="158"/>
        <v>-52607.8</v>
      </c>
      <c r="I191" s="12"/>
      <c r="Q191" s="286">
        <f>SUBTOTAL(9,Q187:Q190)</f>
        <v>0.18645499978447333</v>
      </c>
      <c r="R191" s="287"/>
      <c r="S191" s="288" t="s">
        <v>4642</v>
      </c>
      <c r="T191" s="288"/>
    </row>
    <row r="192" spans="2:20" ht="14.65" customHeight="1">
      <c r="F192" s="3"/>
      <c r="G192" s="3"/>
      <c r="H192" s="3"/>
      <c r="I192" s="3"/>
      <c r="P192" s="277">
        <v>0.35</v>
      </c>
      <c r="Q192" s="12">
        <f>Q191*P192</f>
        <v>6.5259249924565665E-2</v>
      </c>
      <c r="R192" s="12"/>
      <c r="S192" t="s">
        <v>4643</v>
      </c>
    </row>
    <row r="193" spans="6:19" ht="14.65" customHeight="1">
      <c r="F193" s="3"/>
      <c r="G193" s="3"/>
      <c r="H193" s="3"/>
      <c r="I193" s="3"/>
      <c r="P193" s="164" t="s">
        <v>4644</v>
      </c>
      <c r="Q193" s="12">
        <f>-SUMIF(Bce!A:A,135519,Bce!J:J)/1000</f>
        <v>0</v>
      </c>
      <c r="R193" s="12"/>
      <c r="S193" t="s">
        <v>4645</v>
      </c>
    </row>
    <row r="194" spans="6:19" ht="14.65" customHeight="1">
      <c r="P194" s="164" t="s">
        <v>4646</v>
      </c>
      <c r="Q194" s="12">
        <f>SUM(Q192:Q193)</f>
        <v>6.5259249924565665E-2</v>
      </c>
      <c r="R194" s="12"/>
      <c r="S194" t="s">
        <v>4647</v>
      </c>
    </row>
    <row r="195" spans="6:19" ht="14.65" customHeight="1">
      <c r="R195" s="12"/>
    </row>
    <row r="196" spans="6:19" ht="14.65" customHeight="1">
      <c r="R196" s="12"/>
    </row>
    <row r="197" spans="6:19" ht="14.65" customHeight="1">
      <c r="L197" s="374" t="s">
        <v>5629</v>
      </c>
      <c r="M197" s="3">
        <f>SUMIF(Bce!A:A,171076,Bce!G:G)</f>
        <v>52674938</v>
      </c>
      <c r="R197" s="12"/>
    </row>
    <row r="198" spans="6:19" ht="14.65" customHeight="1">
      <c r="L198" s="374" t="s">
        <v>5630</v>
      </c>
      <c r="M198" s="3">
        <f>ROUND(-O188*1000*35%,-3)</f>
        <v>15963000</v>
      </c>
      <c r="Q198" s="12">
        <f>(P187+P188)*1000</f>
        <v>-150308000</v>
      </c>
      <c r="R198" s="12"/>
    </row>
    <row r="199" spans="6:19" ht="14.65" customHeight="1">
      <c r="L199" s="374" t="s">
        <v>4637</v>
      </c>
      <c r="M199" s="3">
        <f>-M198+M197</f>
        <v>36711938</v>
      </c>
      <c r="P199" s="164" t="s">
        <v>5631</v>
      </c>
      <c r="Q199" s="12">
        <f>ROUND(-Q198*35%,-3)</f>
        <v>52608000</v>
      </c>
      <c r="R199" s="12"/>
    </row>
    <row r="200" spans="6:19" ht="14.65" customHeight="1">
      <c r="F200" s="3"/>
      <c r="G200" s="3"/>
      <c r="H200" s="3"/>
      <c r="I200" s="3"/>
      <c r="L200" s="374"/>
      <c r="M200" s="3"/>
      <c r="P200" s="164" t="s">
        <v>5632</v>
      </c>
      <c r="Q200" s="12">
        <f>SUMIF(Bce!A:A,171076,Bce!G:G)</f>
        <v>52674938</v>
      </c>
      <c r="R200" s="12"/>
    </row>
    <row r="201" spans="6:19" ht="14.65" customHeight="1">
      <c r="F201" s="3"/>
      <c r="G201" s="3"/>
      <c r="H201" s="3"/>
      <c r="I201" s="3"/>
      <c r="L201" s="374" t="s">
        <v>5633</v>
      </c>
      <c r="M201" s="3">
        <f>+Q189*1000*35%</f>
        <v>36644715.259249926</v>
      </c>
      <c r="N201" s="3"/>
      <c r="Q201" s="12">
        <f>+Q199-Q200</f>
        <v>-66938</v>
      </c>
      <c r="R201" s="12"/>
    </row>
    <row r="202" spans="6:19" ht="14.65" customHeight="1">
      <c r="H202" s="3"/>
      <c r="I202" s="12"/>
      <c r="L202" s="374" t="s">
        <v>4474</v>
      </c>
      <c r="M202" s="3">
        <f>+M199+M201</f>
        <v>73356653.259249926</v>
      </c>
      <c r="N202" s="3"/>
      <c r="R202" s="12"/>
    </row>
    <row r="203" spans="6:19" ht="14.65" customHeight="1">
      <c r="H203" s="3"/>
      <c r="I203" s="12"/>
      <c r="R203" s="12"/>
    </row>
    <row r="204" spans="6:19" ht="14.65" customHeight="1">
      <c r="H204" s="3"/>
      <c r="I204" s="12"/>
      <c r="R204" s="12"/>
    </row>
    <row r="205" spans="6:19" ht="14.65" customHeight="1">
      <c r="H205" s="3"/>
      <c r="I205" s="12"/>
      <c r="R205" s="12"/>
    </row>
    <row r="206" spans="6:19" ht="14.65" customHeight="1">
      <c r="H206" s="3"/>
      <c r="I206" s="12"/>
      <c r="R206" s="12"/>
    </row>
    <row r="207" spans="6:19" ht="14.65" customHeight="1">
      <c r="H207" s="3"/>
      <c r="I207" s="12"/>
      <c r="O207" s="12"/>
      <c r="R207" s="12"/>
    </row>
    <row r="208" spans="6:19" ht="14.65" customHeight="1">
      <c r="R208" s="12"/>
    </row>
    <row r="209" spans="18:18" ht="14.65" customHeight="1">
      <c r="R209" s="12"/>
    </row>
  </sheetData>
  <autoFilter ref="A4:Q160" xr:uid="{1CA0324B-933B-46DC-B53C-CDD1328A52A1}"/>
  <printOptions horizontalCentered="1"/>
  <pageMargins left="0.39370078740157483" right="0.39370078740157483" top="0.39370078740157483" bottom="0.59055118110236227" header="0.39370078740157483" footer="0.39370078740157483"/>
  <pageSetup scale="65" orientation="portrait" r:id="rId1"/>
  <headerFooter>
    <oddFooter>&amp;R&amp;P of &amp;N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76E-7145-4A59-A3D9-B157F221B82A}">
  <sheetPr filterMode="1">
    <tabColor theme="4" tint="0.39997558519241921"/>
  </sheetPr>
  <dimension ref="B1:L395"/>
  <sheetViews>
    <sheetView workbookViewId="0">
      <selection activeCell="D13" sqref="D13"/>
    </sheetView>
  </sheetViews>
  <sheetFormatPr baseColWidth="10" defaultColWidth="11.42578125" defaultRowHeight="15"/>
  <cols>
    <col min="1" max="1" width="1.7109375" customWidth="1"/>
    <col min="2" max="2" width="7.28515625" bestFit="1" customWidth="1"/>
    <col min="3" max="3" width="7.28515625" customWidth="1"/>
    <col min="4" max="4" width="47.140625" style="88" bestFit="1" customWidth="1"/>
    <col min="5" max="5" width="5.7109375" style="92" customWidth="1"/>
    <col min="6" max="6" width="16.7109375" style="88" customWidth="1"/>
    <col min="7" max="7" width="1.7109375" style="88" customWidth="1"/>
    <col min="8" max="8" width="16.7109375" style="88" customWidth="1"/>
    <col min="9" max="9" width="1.7109375" customWidth="1"/>
    <col min="10" max="10" width="48.42578125" bestFit="1" customWidth="1"/>
    <col min="12" max="12" width="15.28515625" bestFit="1" customWidth="1"/>
  </cols>
  <sheetData>
    <row r="1" spans="2:12" ht="18">
      <c r="D1" s="73" t="s">
        <v>4648</v>
      </c>
      <c r="E1" s="74"/>
      <c r="F1" s="75"/>
      <c r="G1" s="75"/>
      <c r="H1" s="73"/>
    </row>
    <row r="2" spans="2:12">
      <c r="D2" s="76" t="s">
        <v>4649</v>
      </c>
      <c r="E2" s="77"/>
      <c r="F2" s="78"/>
      <c r="G2" s="78"/>
      <c r="H2" s="76"/>
    </row>
    <row r="3" spans="2:12">
      <c r="D3" s="76" t="s">
        <v>4650</v>
      </c>
      <c r="E3" s="77"/>
      <c r="F3" s="78"/>
      <c r="G3" s="78"/>
      <c r="H3" s="76"/>
    </row>
    <row r="4" spans="2:12">
      <c r="D4" s="76" t="s">
        <v>4651</v>
      </c>
      <c r="E4" s="77"/>
      <c r="F4" s="78"/>
      <c r="G4" s="78"/>
      <c r="H4" s="76"/>
    </row>
    <row r="5" spans="2:12">
      <c r="B5" s="5" t="s">
        <v>4652</v>
      </c>
      <c r="C5" s="5" t="s">
        <v>4653</v>
      </c>
    </row>
    <row r="6" spans="2:12">
      <c r="B6" s="315" t="s">
        <v>4654</v>
      </c>
      <c r="C6" s="315" t="s">
        <v>8</v>
      </c>
      <c r="D6" s="79" t="s">
        <v>4655</v>
      </c>
      <c r="E6" s="80" t="s">
        <v>4656</v>
      </c>
      <c r="F6" s="76">
        <v>2023</v>
      </c>
      <c r="G6" s="76"/>
      <c r="H6" s="76">
        <v>2022</v>
      </c>
      <c r="J6" s="162" t="s">
        <v>4657</v>
      </c>
    </row>
    <row r="7" spans="2:12">
      <c r="B7" s="315" t="s">
        <v>4654</v>
      </c>
      <c r="C7" s="315" t="s">
        <v>8</v>
      </c>
      <c r="D7" s="79" t="s">
        <v>4658</v>
      </c>
      <c r="E7" s="80"/>
      <c r="F7" s="78"/>
      <c r="G7" s="78"/>
      <c r="H7" s="78"/>
    </row>
    <row r="8" spans="2:12">
      <c r="B8" t="str">
        <f>IF(AND(F8=0,H8=0),"Vacio","Ok")</f>
        <v>Ok</v>
      </c>
      <c r="C8" t="str">
        <f>IF(B8="Ok","Si",IF(B8="Vacio","No","Pilas"))</f>
        <v>Si</v>
      </c>
      <c r="D8" s="81" t="s">
        <v>4258</v>
      </c>
      <c r="E8" s="235">
        <v>4</v>
      </c>
      <c r="F8" s="114">
        <f>SUMIF(Valida!E:E,D8,Valida!J:J)</f>
        <v>48779871.009999998</v>
      </c>
      <c r="G8" s="82"/>
      <c r="H8" s="83">
        <f>SUMIF(Valida!E:E,D8,Valida!L:L)</f>
        <v>39647234.509999998</v>
      </c>
      <c r="J8" s="3">
        <f>J35-F35</f>
        <v>4131492.3899999857</v>
      </c>
    </row>
    <row r="9" spans="2:12">
      <c r="B9" t="str">
        <f t="shared" ref="B9:B53" si="0">IF(AND(F9=0,H9=0),"Vacio","Ok")</f>
        <v>Ok</v>
      </c>
      <c r="C9" t="str">
        <f t="shared" ref="C9:C53" si="1">IF(B9="Ok","Si",IF(B9="Vacio","No","Pilas"))</f>
        <v>Si</v>
      </c>
      <c r="D9" s="84" t="s">
        <v>4274</v>
      </c>
      <c r="E9" s="235">
        <f>E8+1</f>
        <v>5</v>
      </c>
      <c r="F9" s="114">
        <f>SUMIF(Valida!E:E,D9,Valida!J:J)</f>
        <v>0</v>
      </c>
      <c r="G9" s="82"/>
      <c r="H9" s="83">
        <f>SUMIF(Valida!E:E,D9,Valida!L:L)</f>
        <v>35250626.880000003</v>
      </c>
      <c r="J9" s="1"/>
      <c r="K9" s="3"/>
      <c r="L9" s="3"/>
    </row>
    <row r="10" spans="2:12">
      <c r="B10" t="str">
        <f t="shared" si="0"/>
        <v>Ok</v>
      </c>
      <c r="C10" t="str">
        <f t="shared" si="1"/>
        <v>Si</v>
      </c>
      <c r="D10" s="84" t="s">
        <v>4278</v>
      </c>
      <c r="E10" s="235"/>
      <c r="F10" s="114">
        <f>SUMIF(Valida!E:E,D10,Valida!J:J)</f>
        <v>0</v>
      </c>
      <c r="G10" s="82"/>
      <c r="H10" s="83">
        <f>SUMIF(Valida!E:E,D10,Valida!L:L)</f>
        <v>400000</v>
      </c>
      <c r="J10" s="82"/>
    </row>
    <row r="11" spans="2:12" hidden="1">
      <c r="B11" t="str">
        <f t="shared" si="0"/>
        <v>Vacio</v>
      </c>
      <c r="C11" t="str">
        <f t="shared" si="1"/>
        <v>No</v>
      </c>
      <c r="D11" s="84" t="s">
        <v>4659</v>
      </c>
      <c r="E11" s="235"/>
      <c r="F11" s="114">
        <f>SUMIF(Valida!E:E,D11,Valida!J:J)</f>
        <v>0</v>
      </c>
      <c r="G11" s="82"/>
      <c r="H11" s="83">
        <f>SUMIF(Valida!E:E,D11,Valida!L:L)</f>
        <v>0</v>
      </c>
      <c r="J11" s="82"/>
    </row>
    <row r="12" spans="2:12" hidden="1">
      <c r="B12" t="str">
        <f t="shared" si="0"/>
        <v>Vacio</v>
      </c>
      <c r="C12" t="str">
        <f t="shared" si="1"/>
        <v>No</v>
      </c>
      <c r="D12" s="84" t="s">
        <v>4660</v>
      </c>
      <c r="E12" s="235">
        <f>E9+1</f>
        <v>6</v>
      </c>
      <c r="F12" s="114">
        <f>SUMIF(Valida!E:E,D12,Valida!J:J)</f>
        <v>0</v>
      </c>
      <c r="G12" s="82"/>
      <c r="H12" s="83">
        <f>SUMIF(Valida!E:E,D12,Valida!L:L)</f>
        <v>0</v>
      </c>
      <c r="J12" s="1"/>
      <c r="K12" s="3"/>
      <c r="L12" s="3"/>
    </row>
    <row r="13" spans="2:12">
      <c r="B13" t="str">
        <f t="shared" si="0"/>
        <v>Ok</v>
      </c>
      <c r="C13" t="str">
        <f t="shared" si="1"/>
        <v>Si</v>
      </c>
      <c r="D13" s="84" t="s">
        <v>4661</v>
      </c>
      <c r="E13" s="235">
        <f>E12+1</f>
        <v>7</v>
      </c>
      <c r="F13" s="114">
        <f>SUMIF(Valida!E:E,D13,Valida!J:J)</f>
        <v>39193000</v>
      </c>
      <c r="G13" s="82"/>
      <c r="H13" s="83">
        <f>SUMIF(Valida!E:E,D13,Valida!L:L)</f>
        <v>48412829</v>
      </c>
      <c r="J13" s="12">
        <f>-F13+K13</f>
        <v>-27462263.082999997</v>
      </c>
      <c r="K13" s="12">
        <f>Valida!T322</f>
        <v>11730736.917000001</v>
      </c>
      <c r="L13" t="s">
        <v>4662</v>
      </c>
    </row>
    <row r="14" spans="2:12">
      <c r="B14" t="str">
        <f t="shared" si="0"/>
        <v>Ok</v>
      </c>
      <c r="C14" t="str">
        <f t="shared" si="1"/>
        <v>Si</v>
      </c>
      <c r="D14" s="84" t="s">
        <v>4281</v>
      </c>
      <c r="E14" s="235">
        <f>E13+1</f>
        <v>8</v>
      </c>
      <c r="F14" s="114">
        <f>SUMIF(Valida!E:E,D14,Valida!J:J)</f>
        <v>0</v>
      </c>
      <c r="G14" s="82"/>
      <c r="H14" s="83">
        <f>SUMIF(Valida!E:E,D14,Valida!L:L)</f>
        <v>20027042</v>
      </c>
      <c r="J14" s="3">
        <f>-F14</f>
        <v>0</v>
      </c>
      <c r="K14" t="s">
        <v>4663</v>
      </c>
    </row>
    <row r="15" spans="2:12" ht="5.0999999999999996" customHeight="1">
      <c r="B15" s="315" t="s">
        <v>4654</v>
      </c>
      <c r="C15" s="315" t="s">
        <v>8</v>
      </c>
      <c r="D15" s="84"/>
      <c r="E15" s="236"/>
      <c r="F15" s="82"/>
      <c r="G15" s="82"/>
      <c r="H15" s="83"/>
    </row>
    <row r="16" spans="2:12">
      <c r="B16" t="str">
        <f t="shared" si="0"/>
        <v>Ok</v>
      </c>
      <c r="C16" t="str">
        <f t="shared" si="1"/>
        <v>Si</v>
      </c>
      <c r="D16" s="85" t="s">
        <v>4664</v>
      </c>
      <c r="E16" s="235"/>
      <c r="F16" s="86">
        <f>SUM(F8:F15)</f>
        <v>87972871.00999999</v>
      </c>
      <c r="G16" s="82"/>
      <c r="H16" s="87">
        <f>SUM(H8:H15)</f>
        <v>143737732.38999999</v>
      </c>
    </row>
    <row r="17" spans="2:12">
      <c r="B17" s="315" t="s">
        <v>4654</v>
      </c>
      <c r="C17" s="315" t="s">
        <v>8</v>
      </c>
      <c r="E17" s="236"/>
      <c r="F17" s="82"/>
      <c r="G17" s="82"/>
      <c r="H17" s="83"/>
    </row>
    <row r="18" spans="2:12">
      <c r="B18" s="315" t="s">
        <v>4654</v>
      </c>
      <c r="C18" s="315" t="s">
        <v>8</v>
      </c>
      <c r="D18" s="79" t="s">
        <v>4665</v>
      </c>
      <c r="E18" s="235"/>
      <c r="F18" s="82"/>
      <c r="G18" s="82"/>
      <c r="H18" s="83"/>
    </row>
    <row r="19" spans="2:12" hidden="1">
      <c r="B19" t="str">
        <f t="shared" si="0"/>
        <v>Vacio</v>
      </c>
      <c r="C19" t="str">
        <f t="shared" si="1"/>
        <v>No</v>
      </c>
      <c r="D19" s="81" t="s">
        <v>4267</v>
      </c>
      <c r="E19" s="235">
        <f>E14+1</f>
        <v>9</v>
      </c>
      <c r="F19" s="114">
        <f>SUMIF(Valida!E:E,D19,Valida!J:J)</f>
        <v>0</v>
      </c>
      <c r="G19" s="82"/>
      <c r="H19" s="83">
        <f>SUMIF(Valida!E:E,D19,Valida!L:L)</f>
        <v>0</v>
      </c>
    </row>
    <row r="20" spans="2:12">
      <c r="B20" t="str">
        <f t="shared" si="0"/>
        <v>Ok</v>
      </c>
      <c r="C20" t="str">
        <f t="shared" si="1"/>
        <v>Si</v>
      </c>
      <c r="D20" s="84" t="s">
        <v>4666</v>
      </c>
      <c r="E20" s="235">
        <f>E19+1</f>
        <v>10</v>
      </c>
      <c r="F20" s="114">
        <f>SUMIF(Valida!E:E,D20,Valida!J:J)</f>
        <v>63201770</v>
      </c>
      <c r="G20" s="82"/>
      <c r="H20" s="83">
        <f>SUMIF(Valida!E:E,D20,Valida!L:L)</f>
        <v>84328430</v>
      </c>
      <c r="J20" s="3">
        <f>-F20</f>
        <v>-63201770</v>
      </c>
    </row>
    <row r="21" spans="2:12" hidden="1">
      <c r="B21" t="str">
        <f t="shared" si="0"/>
        <v>Vacio</v>
      </c>
      <c r="C21" t="str">
        <f t="shared" si="1"/>
        <v>No</v>
      </c>
      <c r="D21" s="84" t="s">
        <v>4327</v>
      </c>
      <c r="E21" s="235">
        <f>E20+1</f>
        <v>11</v>
      </c>
      <c r="F21" s="114">
        <f>SUMIF(Valida!E:E,D21,Valida!J:J)</f>
        <v>0</v>
      </c>
      <c r="G21" s="82"/>
      <c r="H21" s="83">
        <f>SUMIF(Valida!E:E,D21,Valida!L:L)</f>
        <v>0</v>
      </c>
    </row>
    <row r="22" spans="2:12">
      <c r="B22" t="str">
        <f t="shared" si="0"/>
        <v>Ok</v>
      </c>
      <c r="C22" t="str">
        <f t="shared" si="1"/>
        <v>Si</v>
      </c>
      <c r="D22" s="84" t="s">
        <v>4330</v>
      </c>
      <c r="E22" s="235"/>
      <c r="F22" s="114">
        <f>SUMIF(Valida!E:E,D22,Valida!J:J)</f>
        <v>14281000</v>
      </c>
      <c r="G22" s="82"/>
      <c r="H22" s="83">
        <f>SUMIF(Valida!E:E,D22,Valida!L:L)</f>
        <v>52674938</v>
      </c>
    </row>
    <row r="23" spans="2:12" ht="5.0999999999999996" customHeight="1">
      <c r="B23" s="315" t="s">
        <v>4654</v>
      </c>
      <c r="C23" s="315" t="s">
        <v>8</v>
      </c>
      <c r="D23" s="84"/>
      <c r="E23" s="236"/>
      <c r="F23" s="82"/>
      <c r="G23" s="82"/>
      <c r="H23" s="82"/>
    </row>
    <row r="24" spans="2:12">
      <c r="B24" s="315" t="s">
        <v>4654</v>
      </c>
      <c r="C24" s="315" t="s">
        <v>8</v>
      </c>
      <c r="D24" s="85" t="s">
        <v>4667</v>
      </c>
      <c r="E24" s="235"/>
      <c r="F24" s="86">
        <f>SUM(F18:F23)</f>
        <v>77482770</v>
      </c>
      <c r="G24" s="82"/>
      <c r="H24" s="86">
        <f>SUM(H18:H23)</f>
        <v>137003368</v>
      </c>
    </row>
    <row r="25" spans="2:12">
      <c r="B25" s="315" t="s">
        <v>4654</v>
      </c>
      <c r="C25" s="315" t="s">
        <v>8</v>
      </c>
      <c r="E25" s="236"/>
      <c r="F25" s="82"/>
      <c r="G25" s="82"/>
      <c r="H25" s="82"/>
    </row>
    <row r="26" spans="2:12" ht="15.75" thickBot="1">
      <c r="B26" s="315" t="s">
        <v>4654</v>
      </c>
      <c r="C26" s="315" t="s">
        <v>8</v>
      </c>
      <c r="D26" s="89" t="s">
        <v>4668</v>
      </c>
      <c r="E26" s="235"/>
      <c r="F26" s="90">
        <f>+F16+F24</f>
        <v>165455641.00999999</v>
      </c>
      <c r="G26" s="82"/>
      <c r="H26" s="90">
        <f>+H16+H24</f>
        <v>280741100.38999999</v>
      </c>
    </row>
    <row r="27" spans="2:12" ht="15.75" thickTop="1">
      <c r="B27" s="315" t="s">
        <v>4654</v>
      </c>
      <c r="C27" s="315" t="s">
        <v>8</v>
      </c>
      <c r="E27" s="236"/>
      <c r="F27" s="82"/>
      <c r="G27" s="82"/>
      <c r="H27" s="82"/>
    </row>
    <row r="28" spans="2:12">
      <c r="B28" s="315" t="s">
        <v>4654</v>
      </c>
      <c r="C28" s="315" t="s">
        <v>8</v>
      </c>
      <c r="D28" s="78" t="s">
        <v>4669</v>
      </c>
      <c r="E28" s="235"/>
      <c r="F28" s="91"/>
      <c r="G28" s="82"/>
      <c r="H28" s="91"/>
      <c r="L28" s="2"/>
    </row>
    <row r="29" spans="2:12">
      <c r="B29" s="315" t="s">
        <v>4654</v>
      </c>
      <c r="C29" s="315" t="s">
        <v>8</v>
      </c>
      <c r="D29" s="79" t="s">
        <v>4670</v>
      </c>
      <c r="E29" s="237"/>
      <c r="F29" s="91"/>
      <c r="G29" s="82"/>
      <c r="H29" s="91"/>
    </row>
    <row r="30" spans="2:12" hidden="1">
      <c r="B30" t="str">
        <f t="shared" si="0"/>
        <v>Vacio</v>
      </c>
      <c r="C30" t="str">
        <f t="shared" si="1"/>
        <v>No</v>
      </c>
      <c r="D30" s="84" t="s">
        <v>4348</v>
      </c>
      <c r="E30" s="235">
        <f>E21+1</f>
        <v>12</v>
      </c>
      <c r="F30" s="114">
        <f>-SUMIF(Valida!E:E,D30,Valida!J:J)</f>
        <v>0</v>
      </c>
      <c r="G30" s="82"/>
      <c r="H30" s="83">
        <f>-SUMIF(Valida!E:E,D30,Valida!L:L)</f>
        <v>0</v>
      </c>
    </row>
    <row r="31" spans="2:12">
      <c r="B31" t="str">
        <f t="shared" si="0"/>
        <v>Ok</v>
      </c>
      <c r="C31" t="str">
        <f t="shared" si="1"/>
        <v>Si</v>
      </c>
      <c r="D31" s="84" t="s">
        <v>4344</v>
      </c>
      <c r="E31" s="235">
        <f>E30+1</f>
        <v>13</v>
      </c>
      <c r="F31" s="114">
        <f>-SUMIF(Valida!E:E,D31,Valida!J:J)</f>
        <v>723486.62</v>
      </c>
      <c r="G31" s="82"/>
      <c r="H31" s="83">
        <f>-SUMIF(Valida!E:E,D31,Valida!L:L)</f>
        <v>1506007.08</v>
      </c>
    </row>
    <row r="32" spans="2:12" hidden="1">
      <c r="B32" t="str">
        <f t="shared" si="0"/>
        <v>Vacio</v>
      </c>
      <c r="C32" t="str">
        <f t="shared" si="1"/>
        <v>No</v>
      </c>
      <c r="D32" s="84" t="s">
        <v>4671</v>
      </c>
      <c r="E32" s="235"/>
      <c r="F32" s="114">
        <f>-SUMIF(Valida!E:E,D32,Valida!J:J)</f>
        <v>0</v>
      </c>
      <c r="G32" s="82"/>
      <c r="H32" s="83">
        <f>-SUMIF(Valida!E:E,D32,Valida!L:L)</f>
        <v>0</v>
      </c>
    </row>
    <row r="33" spans="2:10" hidden="1">
      <c r="B33" t="str">
        <f t="shared" si="0"/>
        <v>Vacio</v>
      </c>
      <c r="C33" t="str">
        <f t="shared" si="1"/>
        <v>No</v>
      </c>
      <c r="D33" s="84" t="s">
        <v>4362</v>
      </c>
      <c r="E33" s="235">
        <f>E31+1</f>
        <v>14</v>
      </c>
      <c r="F33" s="114">
        <f>-SUMIF(Valida!E:E,D33,Valida!J:J)</f>
        <v>0</v>
      </c>
      <c r="G33" s="82"/>
      <c r="H33" s="83">
        <f>-SUMIF(Valida!E:E,D33,Valida!L:L)</f>
        <v>0</v>
      </c>
    </row>
    <row r="34" spans="2:10" hidden="1">
      <c r="B34" t="str">
        <f t="shared" si="0"/>
        <v>Vacio</v>
      </c>
      <c r="C34" t="str">
        <f t="shared" si="1"/>
        <v>No</v>
      </c>
      <c r="D34" s="84" t="s">
        <v>4672</v>
      </c>
      <c r="E34" s="235">
        <f>E33+1</f>
        <v>15</v>
      </c>
      <c r="F34" s="114">
        <f>-SUMIF(Valida!E:E,D34,Valida!J:J)</f>
        <v>0</v>
      </c>
      <c r="G34" s="82"/>
      <c r="H34" s="83">
        <f>-SUMIF(Valida!E:E,D34,Valida!L:L)</f>
        <v>0</v>
      </c>
    </row>
    <row r="35" spans="2:10">
      <c r="B35" t="str">
        <f t="shared" si="0"/>
        <v>Ok</v>
      </c>
      <c r="C35" t="str">
        <f t="shared" si="1"/>
        <v>Si</v>
      </c>
      <c r="D35" s="84" t="s">
        <v>4340</v>
      </c>
      <c r="E35" s="235">
        <f>E34+1</f>
        <v>16</v>
      </c>
      <c r="F35" s="114">
        <f>-SUMIF(Valida!E:E,D35,Valida!J:J)</f>
        <v>125491720</v>
      </c>
      <c r="G35" s="82"/>
      <c r="H35" s="83">
        <f>-SUMIF(Valida!E:E,D35,Valida!L:L)</f>
        <v>392705400</v>
      </c>
      <c r="J35" s="3">
        <f>F8+(F13-11700000)+F20-F31-F36-F39</f>
        <v>129623212.38999999</v>
      </c>
    </row>
    <row r="36" spans="2:10">
      <c r="B36" t="str">
        <f t="shared" si="0"/>
        <v>Ok</v>
      </c>
      <c r="C36" t="str">
        <f t="shared" si="1"/>
        <v>Si</v>
      </c>
      <c r="D36" s="84" t="s">
        <v>4367</v>
      </c>
      <c r="E36" s="235">
        <f>E34+1</f>
        <v>16</v>
      </c>
      <c r="F36" s="114">
        <f>-SUMIF(Valida!E:E,D36,Valida!J:J)</f>
        <v>8065942</v>
      </c>
      <c r="G36" s="82"/>
      <c r="H36" s="83">
        <f>-SUMIF(Valida!E:E,D36,Valida!L:L)</f>
        <v>2628431</v>
      </c>
    </row>
    <row r="37" spans="2:10" hidden="1">
      <c r="B37" t="str">
        <f t="shared" si="0"/>
        <v>Vacio</v>
      </c>
      <c r="C37" t="str">
        <f t="shared" si="1"/>
        <v>No</v>
      </c>
      <c r="D37" s="84" t="s">
        <v>4372</v>
      </c>
      <c r="E37" s="235">
        <f>E36+1</f>
        <v>17</v>
      </c>
      <c r="F37" s="114">
        <f>-SUMIF(Valida!E:E,D37,Valida!J:J)</f>
        <v>0</v>
      </c>
      <c r="G37" s="82"/>
      <c r="H37" s="83">
        <f>-SUMIF(Valida!E:E,D37,Valida!L:L)</f>
        <v>0</v>
      </c>
    </row>
    <row r="38" spans="2:10" hidden="1">
      <c r="B38" t="str">
        <f t="shared" si="0"/>
        <v>Vacio</v>
      </c>
      <c r="C38" t="str">
        <f t="shared" si="1"/>
        <v>No</v>
      </c>
      <c r="D38" s="84" t="s">
        <v>4673</v>
      </c>
      <c r="E38" s="235">
        <f>E37+1</f>
        <v>18</v>
      </c>
      <c r="F38" s="114">
        <f>-SUMIF(Valida!E:E,D38,Valida!J:J)</f>
        <v>0</v>
      </c>
      <c r="G38" s="82"/>
      <c r="H38" s="83">
        <f>-SUMIF(Valida!E:E,D38,Valida!L:L)</f>
        <v>0</v>
      </c>
      <c r="J38" s="1"/>
    </row>
    <row r="39" spans="2:10">
      <c r="B39" t="str">
        <f t="shared" si="0"/>
        <v>Ok</v>
      </c>
      <c r="C39" t="str">
        <f t="shared" si="1"/>
        <v>Si</v>
      </c>
      <c r="D39" s="84" t="s">
        <v>4352</v>
      </c>
      <c r="E39" s="235">
        <f>E38+1</f>
        <v>19</v>
      </c>
      <c r="F39" s="114">
        <f>-SUMIF(Valida!E:E,D39,Valida!J:J)</f>
        <v>1062000</v>
      </c>
      <c r="G39" s="82"/>
      <c r="H39" s="83">
        <f>-SUMIF(Valida!E:E,D39,Valida!L:L)</f>
        <v>4152170</v>
      </c>
    </row>
    <row r="40" spans="2:10" ht="5.0999999999999996" customHeight="1">
      <c r="B40" s="315" t="s">
        <v>4654</v>
      </c>
      <c r="C40" s="315" t="s">
        <v>8</v>
      </c>
      <c r="D40" s="84"/>
      <c r="E40" s="236"/>
      <c r="F40" s="82"/>
      <c r="G40" s="82"/>
      <c r="H40" s="82"/>
    </row>
    <row r="41" spans="2:10">
      <c r="B41" s="315" t="s">
        <v>4654</v>
      </c>
      <c r="C41" s="315" t="s">
        <v>8</v>
      </c>
      <c r="D41" s="85" t="s">
        <v>4674</v>
      </c>
      <c r="E41" s="235"/>
      <c r="F41" s="86">
        <f>SUM(F30:F40)</f>
        <v>135343148.62</v>
      </c>
      <c r="G41" s="82"/>
      <c r="H41" s="86">
        <f>SUM(H30:H40)</f>
        <v>400992008.07999998</v>
      </c>
    </row>
    <row r="42" spans="2:10">
      <c r="B42" s="315" t="s">
        <v>4654</v>
      </c>
      <c r="C42" s="315" t="s">
        <v>8</v>
      </c>
      <c r="E42" s="236"/>
      <c r="F42" s="82"/>
      <c r="G42" s="82"/>
      <c r="H42" s="82"/>
    </row>
    <row r="43" spans="2:10">
      <c r="B43" s="315" t="s">
        <v>4654</v>
      </c>
      <c r="C43" s="315" t="s">
        <v>8</v>
      </c>
      <c r="D43" s="93" t="s">
        <v>4675</v>
      </c>
      <c r="E43" s="235"/>
      <c r="F43" s="86">
        <f>F41</f>
        <v>135343148.62</v>
      </c>
      <c r="G43" s="82"/>
      <c r="H43" s="86">
        <f>+H41</f>
        <v>400992008.07999998</v>
      </c>
    </row>
    <row r="44" spans="2:10">
      <c r="B44" s="315" t="s">
        <v>4654</v>
      </c>
      <c r="C44" s="315" t="s">
        <v>8</v>
      </c>
      <c r="E44" s="235"/>
      <c r="F44" s="82"/>
      <c r="G44" s="82"/>
      <c r="H44" s="82"/>
    </row>
    <row r="45" spans="2:10">
      <c r="B45" s="315" t="s">
        <v>4654</v>
      </c>
      <c r="C45" s="315" t="s">
        <v>8</v>
      </c>
      <c r="D45" s="78" t="s">
        <v>4676</v>
      </c>
      <c r="E45" s="235"/>
      <c r="G45" s="82"/>
      <c r="H45" s="82"/>
    </row>
    <row r="46" spans="2:10">
      <c r="B46" t="str">
        <f t="shared" si="0"/>
        <v>Ok</v>
      </c>
      <c r="C46" t="str">
        <f t="shared" si="1"/>
        <v>Si</v>
      </c>
      <c r="D46" s="81" t="s">
        <v>4379</v>
      </c>
      <c r="E46" s="235">
        <f>E39+1</f>
        <v>20</v>
      </c>
      <c r="F46" s="114">
        <f>-SUMIF(Valida!E:E,D46,Valida!J:J)</f>
        <v>101000000</v>
      </c>
      <c r="G46" s="82"/>
      <c r="H46" s="83">
        <f>-SUMIF(Valida!E:E,D46,Valida!L:L)</f>
        <v>400000</v>
      </c>
    </row>
    <row r="47" spans="2:10" hidden="1">
      <c r="B47" t="str">
        <f t="shared" si="0"/>
        <v>Vacio</v>
      </c>
      <c r="C47" t="str">
        <f t="shared" si="1"/>
        <v>No</v>
      </c>
      <c r="D47" s="81" t="s">
        <v>4677</v>
      </c>
      <c r="E47" s="235"/>
      <c r="F47" s="114">
        <f>-SUMIF(Valida!E:E,D47,Valida!J:J)</f>
        <v>0</v>
      </c>
      <c r="G47" s="82"/>
      <c r="H47" s="83">
        <f>-SUMIF(Valida!E:E,D47,Valida!L:L)</f>
        <v>0</v>
      </c>
    </row>
    <row r="48" spans="2:10">
      <c r="B48" t="str">
        <f t="shared" si="0"/>
        <v>Ok</v>
      </c>
      <c r="C48" t="str">
        <f t="shared" si="1"/>
        <v>Si</v>
      </c>
      <c r="D48" s="81" t="s">
        <v>4386</v>
      </c>
      <c r="E48" s="235"/>
      <c r="F48" s="114">
        <f>-SUMIF(Valida!E:E,D48,Valida!J:J)</f>
        <v>-120650907.69</v>
      </c>
      <c r="G48" s="82"/>
      <c r="H48" s="83">
        <f>-SUMIF(Valida!E:E,D48,Valida!L:L)</f>
        <v>-49023399.140000001</v>
      </c>
    </row>
    <row r="49" spans="2:8">
      <c r="B49" t="str">
        <f t="shared" si="0"/>
        <v>Ok</v>
      </c>
      <c r="C49" t="str">
        <f t="shared" si="1"/>
        <v>Si</v>
      </c>
      <c r="D49" s="81" t="s">
        <v>4678</v>
      </c>
      <c r="E49" s="80"/>
      <c r="F49" s="82">
        <f>ERI!F35</f>
        <v>49763400.079999924</v>
      </c>
      <c r="G49" s="82"/>
      <c r="H49" s="82">
        <f>ERI!H35</f>
        <v>-71627508.550000086</v>
      </c>
    </row>
    <row r="50" spans="2:8" ht="5.0999999999999996" customHeight="1">
      <c r="B50" s="315" t="s">
        <v>4654</v>
      </c>
      <c r="C50" s="315" t="s">
        <v>8</v>
      </c>
      <c r="D50" s="81"/>
      <c r="E50" s="80"/>
      <c r="F50" s="82"/>
      <c r="G50" s="82"/>
      <c r="H50" s="82"/>
    </row>
    <row r="51" spans="2:8">
      <c r="B51" s="315" t="s">
        <v>4654</v>
      </c>
      <c r="C51" s="315" t="s">
        <v>8</v>
      </c>
      <c r="D51" s="94" t="s">
        <v>4679</v>
      </c>
      <c r="E51" s="80"/>
      <c r="F51" s="86">
        <f>SUM(F46:F49)</f>
        <v>30112492.389999926</v>
      </c>
      <c r="G51" s="82"/>
      <c r="H51" s="86">
        <f>SUM(H46:H49)</f>
        <v>-120250907.69000009</v>
      </c>
    </row>
    <row r="52" spans="2:8">
      <c r="B52" s="315" t="s">
        <v>4654</v>
      </c>
      <c r="C52" s="315" t="s">
        <v>8</v>
      </c>
      <c r="E52" s="80"/>
      <c r="F52" s="82"/>
      <c r="G52" s="82"/>
      <c r="H52" s="82"/>
    </row>
    <row r="53" spans="2:8" ht="15.75" thickBot="1">
      <c r="B53" t="str">
        <f t="shared" si="0"/>
        <v>Ok</v>
      </c>
      <c r="C53" t="str">
        <f t="shared" si="1"/>
        <v>Si</v>
      </c>
      <c r="D53" s="95" t="s">
        <v>4680</v>
      </c>
      <c r="E53" s="80"/>
      <c r="F53" s="90">
        <f>+F43+F51</f>
        <v>165455641.00999993</v>
      </c>
      <c r="G53" s="82"/>
      <c r="H53" s="90">
        <f>+H43+H51</f>
        <v>280741100.38999987</v>
      </c>
    </row>
    <row r="54" spans="2:8" ht="15.75" thickTop="1">
      <c r="F54" s="96"/>
      <c r="G54" s="82"/>
      <c r="H54" s="96"/>
    </row>
    <row r="55" spans="2:8">
      <c r="G55" s="82"/>
      <c r="H55" s="96"/>
    </row>
    <row r="56" spans="2:8">
      <c r="G56" s="82"/>
      <c r="H56" s="96"/>
    </row>
    <row r="57" spans="2:8">
      <c r="G57" s="82"/>
      <c r="H57" s="96"/>
    </row>
    <row r="58" spans="2:8">
      <c r="F58" s="97"/>
      <c r="G58" s="82"/>
      <c r="H58" s="97"/>
    </row>
    <row r="59" spans="2:8">
      <c r="F59" s="97"/>
      <c r="G59" s="82"/>
      <c r="H59" s="97"/>
    </row>
    <row r="60" spans="2:8">
      <c r="F60" s="97"/>
      <c r="G60" s="82"/>
      <c r="H60" s="97"/>
    </row>
    <row r="61" spans="2:8">
      <c r="F61" s="97"/>
      <c r="G61" s="82"/>
      <c r="H61" s="97"/>
    </row>
    <row r="62" spans="2:8">
      <c r="F62" s="97"/>
      <c r="G62" s="82"/>
      <c r="H62" s="97"/>
    </row>
    <row r="63" spans="2:8">
      <c r="G63" s="82"/>
    </row>
    <row r="64" spans="2:8">
      <c r="G64" s="82"/>
    </row>
    <row r="65" spans="4:8">
      <c r="F65" s="96">
        <f>ROUND(F26-F53,2)</f>
        <v>0</v>
      </c>
      <c r="G65" s="82"/>
      <c r="H65" s="96">
        <f>ROUND(H26-H53,2)</f>
        <v>0</v>
      </c>
    </row>
    <row r="66" spans="4:8">
      <c r="F66" s="97"/>
      <c r="G66" s="82"/>
      <c r="H66" s="97"/>
    </row>
    <row r="67" spans="4:8">
      <c r="F67" s="97"/>
      <c r="G67" s="82"/>
      <c r="H67" s="97"/>
    </row>
    <row r="68" spans="4:8">
      <c r="F68" s="97"/>
      <c r="G68" s="82"/>
      <c r="H68" s="97"/>
    </row>
    <row r="69" spans="4:8">
      <c r="F69" s="100"/>
      <c r="G69" s="82"/>
      <c r="H69" s="100"/>
    </row>
    <row r="70" spans="4:8">
      <c r="F70" s="100"/>
      <c r="G70" s="82"/>
      <c r="H70" s="100"/>
    </row>
    <row r="71" spans="4:8">
      <c r="F71" s="100"/>
      <c r="G71" s="82"/>
      <c r="H71" s="100"/>
    </row>
    <row r="72" spans="4:8">
      <c r="D72" s="101" t="s">
        <v>4681</v>
      </c>
      <c r="F72" s="100"/>
      <c r="G72" s="82"/>
      <c r="H72" s="100"/>
    </row>
    <row r="73" spans="4:8">
      <c r="F73" s="100"/>
      <c r="G73" s="82"/>
      <c r="H73" s="100"/>
    </row>
    <row r="74" spans="4:8">
      <c r="D74" s="102" t="s">
        <v>4682</v>
      </c>
      <c r="F74" s="100"/>
      <c r="G74" s="82"/>
      <c r="H74" s="100"/>
    </row>
    <row r="75" spans="4:8">
      <c r="D75" s="88" t="s">
        <v>4658</v>
      </c>
      <c r="F75" s="100">
        <f>F16</f>
        <v>87972871.00999999</v>
      </c>
      <c r="G75" s="82"/>
      <c r="H75" s="100">
        <f>H16</f>
        <v>143737732.38999999</v>
      </c>
    </row>
    <row r="76" spans="4:8">
      <c r="D76" s="98" t="s">
        <v>4670</v>
      </c>
      <c r="E76" s="103"/>
      <c r="F76" s="104">
        <f>F41</f>
        <v>135343148.62</v>
      </c>
      <c r="G76" s="82"/>
      <c r="H76" s="104">
        <f>H41</f>
        <v>400992008.07999998</v>
      </c>
    </row>
    <row r="77" spans="4:8">
      <c r="D77" s="88" t="s">
        <v>4683</v>
      </c>
      <c r="F77" s="100">
        <f>F75-F76</f>
        <v>-47370277.610000014</v>
      </c>
      <c r="G77" s="82"/>
      <c r="H77" s="100">
        <f>H75-H76</f>
        <v>-257254275.69</v>
      </c>
    </row>
    <row r="78" spans="4:8">
      <c r="D78" s="88" t="s">
        <v>4684</v>
      </c>
      <c r="F78" s="105">
        <f>F75/F76</f>
        <v>0.64999870260887382</v>
      </c>
      <c r="G78" s="82"/>
      <c r="H78" s="105">
        <f>H75/H76</f>
        <v>0.35845535445515303</v>
      </c>
    </row>
    <row r="79" spans="4:8">
      <c r="F79" s="100"/>
      <c r="G79" s="82"/>
      <c r="H79" s="100"/>
    </row>
    <row r="80" spans="4:8">
      <c r="D80" s="102" t="s">
        <v>4685</v>
      </c>
      <c r="F80" s="100"/>
      <c r="G80" s="82"/>
      <c r="H80" s="100"/>
    </row>
    <row r="81" spans="4:8">
      <c r="D81" s="88" t="s">
        <v>4669</v>
      </c>
      <c r="F81" s="100">
        <f>F43</f>
        <v>135343148.62</v>
      </c>
      <c r="G81" s="82"/>
      <c r="H81" s="100">
        <f>H43</f>
        <v>400992008.07999998</v>
      </c>
    </row>
    <row r="82" spans="4:8">
      <c r="D82" s="98" t="s">
        <v>4676</v>
      </c>
      <c r="E82" s="103"/>
      <c r="F82" s="104">
        <f>F51</f>
        <v>30112492.389999926</v>
      </c>
      <c r="G82" s="82"/>
      <c r="H82" s="104">
        <f>H51</f>
        <v>-120250907.69000009</v>
      </c>
    </row>
    <row r="83" spans="4:8">
      <c r="D83" s="88" t="s">
        <v>4686</v>
      </c>
      <c r="F83" s="105">
        <f>F81/F82</f>
        <v>4.4945847347045307</v>
      </c>
      <c r="G83" s="82"/>
      <c r="H83" s="105">
        <f>H81/H82</f>
        <v>-3.334627702883826</v>
      </c>
    </row>
    <row r="84" spans="4:8">
      <c r="F84" s="100"/>
      <c r="G84" s="82"/>
      <c r="H84" s="100"/>
    </row>
    <row r="85" spans="4:8">
      <c r="D85" s="88" t="s">
        <v>4669</v>
      </c>
      <c r="F85" s="100">
        <f>F43</f>
        <v>135343148.62</v>
      </c>
      <c r="G85" s="82"/>
      <c r="H85" s="100">
        <f>H43</f>
        <v>400992008.07999998</v>
      </c>
    </row>
    <row r="86" spans="4:8">
      <c r="D86" s="98" t="s">
        <v>4676</v>
      </c>
      <c r="E86" s="103"/>
      <c r="F86" s="104">
        <f>F26</f>
        <v>165455641.00999999</v>
      </c>
      <c r="G86" s="82"/>
      <c r="H86" s="104">
        <f>H26</f>
        <v>280741100.38999999</v>
      </c>
    </row>
    <row r="87" spans="4:8">
      <c r="D87" s="88" t="s">
        <v>4687</v>
      </c>
      <c r="F87" s="105">
        <f>F85/F86</f>
        <v>0.81800262471449969</v>
      </c>
      <c r="G87" s="82"/>
      <c r="H87" s="105">
        <f>H85/H86</f>
        <v>1.4283338190345118</v>
      </c>
    </row>
    <row r="88" spans="4:8">
      <c r="F88" s="100"/>
      <c r="G88" s="82"/>
      <c r="H88" s="100"/>
    </row>
    <row r="89" spans="4:8">
      <c r="F89" s="100"/>
      <c r="G89" s="82"/>
      <c r="H89" s="100"/>
    </row>
    <row r="90" spans="4:8">
      <c r="D90" s="88" t="s">
        <v>4688</v>
      </c>
      <c r="F90" s="100">
        <f>ERI!F35</f>
        <v>49763400.079999924</v>
      </c>
      <c r="G90" s="82"/>
      <c r="H90" s="100"/>
    </row>
    <row r="91" spans="4:8">
      <c r="D91" s="88" t="s">
        <v>4689</v>
      </c>
      <c r="F91" s="100">
        <v>0</v>
      </c>
      <c r="G91" s="82"/>
      <c r="H91" s="100"/>
    </row>
    <row r="92" spans="4:8">
      <c r="D92" s="88" t="s">
        <v>4690</v>
      </c>
      <c r="F92" s="100">
        <v>26744863.75</v>
      </c>
      <c r="G92" s="82"/>
      <c r="H92" s="100"/>
    </row>
    <row r="93" spans="4:8">
      <c r="D93" s="88" t="s">
        <v>4691</v>
      </c>
      <c r="F93" s="100">
        <v>4463025</v>
      </c>
      <c r="G93" s="82"/>
      <c r="H93" s="100"/>
    </row>
    <row r="94" spans="4:8">
      <c r="D94" s="88" t="s">
        <v>4415</v>
      </c>
      <c r="F94" s="100">
        <v>112559313</v>
      </c>
      <c r="G94" s="82"/>
      <c r="H94" s="100"/>
    </row>
    <row r="95" spans="4:8">
      <c r="D95" s="88" t="s">
        <v>4692</v>
      </c>
      <c r="F95" s="100">
        <v>0</v>
      </c>
      <c r="G95" s="82"/>
      <c r="H95" s="100"/>
    </row>
    <row r="96" spans="4:8" ht="15.75" thickBot="1">
      <c r="D96" s="95" t="s">
        <v>4693</v>
      </c>
      <c r="E96" s="106"/>
      <c r="F96" s="99">
        <f>SUM(F90:F95)</f>
        <v>193530601.82999992</v>
      </c>
      <c r="G96" s="82"/>
      <c r="H96" s="100"/>
    </row>
    <row r="97" spans="6:8" ht="15.75" thickTop="1">
      <c r="F97" s="100"/>
      <c r="G97" s="82"/>
      <c r="H97" s="100"/>
    </row>
    <row r="98" spans="6:8">
      <c r="F98" s="100"/>
      <c r="G98" s="82"/>
      <c r="H98" s="100"/>
    </row>
    <row r="99" spans="6:8">
      <c r="F99" s="100"/>
      <c r="G99" s="82"/>
      <c r="H99" s="100"/>
    </row>
    <row r="100" spans="6:8">
      <c r="F100" s="100"/>
      <c r="G100" s="82"/>
      <c r="H100" s="100"/>
    </row>
    <row r="101" spans="6:8">
      <c r="F101" s="100"/>
      <c r="G101" s="82"/>
      <c r="H101" s="100"/>
    </row>
    <row r="102" spans="6:8">
      <c r="F102" s="100"/>
      <c r="G102" s="82"/>
      <c r="H102" s="100"/>
    </row>
    <row r="103" spans="6:8">
      <c r="F103" s="100"/>
      <c r="G103" s="82"/>
      <c r="H103" s="100"/>
    </row>
    <row r="104" spans="6:8">
      <c r="F104" s="100"/>
      <c r="G104" s="100"/>
      <c r="H104" s="100"/>
    </row>
    <row r="105" spans="6:8">
      <c r="F105" s="100"/>
      <c r="G105" s="100"/>
      <c r="H105" s="100"/>
    </row>
    <row r="106" spans="6:8">
      <c r="F106" s="100"/>
      <c r="G106" s="100"/>
      <c r="H106" s="100"/>
    </row>
    <row r="107" spans="6:8">
      <c r="F107" s="100"/>
      <c r="G107" s="100"/>
      <c r="H107" s="100"/>
    </row>
    <row r="108" spans="6:8">
      <c r="F108" s="100"/>
      <c r="G108" s="100"/>
      <c r="H108" s="100"/>
    </row>
    <row r="109" spans="6:8">
      <c r="F109" s="100"/>
      <c r="G109" s="100"/>
      <c r="H109" s="100"/>
    </row>
    <row r="110" spans="6:8">
      <c r="F110" s="100"/>
      <c r="G110" s="100"/>
      <c r="H110" s="100"/>
    </row>
    <row r="111" spans="6:8">
      <c r="F111" s="100"/>
      <c r="G111" s="100"/>
      <c r="H111" s="100"/>
    </row>
    <row r="112" spans="6:8">
      <c r="F112" s="100"/>
      <c r="G112" s="100"/>
      <c r="H112" s="100"/>
    </row>
    <row r="113" spans="6:8">
      <c r="F113" s="100"/>
      <c r="G113" s="100"/>
      <c r="H113" s="100"/>
    </row>
    <row r="114" spans="6:8">
      <c r="F114" s="100"/>
      <c r="G114" s="100"/>
      <c r="H114" s="100"/>
    </row>
    <row r="115" spans="6:8">
      <c r="F115" s="100"/>
      <c r="G115" s="100"/>
      <c r="H115" s="100"/>
    </row>
    <row r="116" spans="6:8">
      <c r="F116" s="100"/>
      <c r="G116" s="100"/>
      <c r="H116" s="100"/>
    </row>
    <row r="117" spans="6:8">
      <c r="F117" s="100"/>
      <c r="G117" s="100"/>
      <c r="H117" s="100"/>
    </row>
    <row r="118" spans="6:8">
      <c r="F118" s="100"/>
      <c r="G118" s="100"/>
      <c r="H118" s="100"/>
    </row>
    <row r="119" spans="6:8">
      <c r="F119" s="100"/>
      <c r="G119" s="100"/>
      <c r="H119" s="100"/>
    </row>
    <row r="120" spans="6:8">
      <c r="F120" s="100"/>
      <c r="G120" s="100"/>
      <c r="H120" s="100"/>
    </row>
    <row r="121" spans="6:8">
      <c r="F121" s="100"/>
      <c r="G121" s="100"/>
      <c r="H121" s="100"/>
    </row>
    <row r="122" spans="6:8">
      <c r="F122" s="100"/>
      <c r="G122" s="100"/>
      <c r="H122" s="100"/>
    </row>
    <row r="123" spans="6:8">
      <c r="F123" s="100"/>
      <c r="G123" s="100"/>
      <c r="H123" s="100"/>
    </row>
    <row r="124" spans="6:8">
      <c r="F124" s="100"/>
      <c r="G124" s="100"/>
      <c r="H124" s="100"/>
    </row>
    <row r="125" spans="6:8">
      <c r="F125" s="100"/>
      <c r="G125" s="100"/>
      <c r="H125" s="100"/>
    </row>
    <row r="126" spans="6:8">
      <c r="F126" s="100"/>
      <c r="G126" s="100"/>
      <c r="H126" s="100"/>
    </row>
    <row r="127" spans="6:8">
      <c r="F127" s="100"/>
      <c r="G127" s="100"/>
      <c r="H127" s="100"/>
    </row>
    <row r="128" spans="6:8">
      <c r="F128" s="100"/>
      <c r="G128" s="100"/>
      <c r="H128" s="100"/>
    </row>
    <row r="129" spans="6:8">
      <c r="F129" s="100"/>
      <c r="G129" s="100"/>
      <c r="H129" s="100"/>
    </row>
    <row r="130" spans="6:8">
      <c r="F130" s="100"/>
      <c r="G130" s="100"/>
      <c r="H130" s="100"/>
    </row>
    <row r="131" spans="6:8">
      <c r="F131" s="100"/>
      <c r="G131" s="100"/>
      <c r="H131" s="100"/>
    </row>
    <row r="132" spans="6:8">
      <c r="F132" s="100"/>
      <c r="G132" s="100"/>
      <c r="H132" s="100"/>
    </row>
    <row r="133" spans="6:8">
      <c r="F133" s="100"/>
      <c r="G133" s="100"/>
      <c r="H133" s="100"/>
    </row>
    <row r="134" spans="6:8">
      <c r="F134" s="100"/>
      <c r="G134" s="100"/>
      <c r="H134" s="100"/>
    </row>
    <row r="135" spans="6:8">
      <c r="F135" s="100"/>
      <c r="G135" s="100"/>
      <c r="H135" s="100"/>
    </row>
    <row r="136" spans="6:8">
      <c r="F136" s="100"/>
      <c r="G136" s="100"/>
      <c r="H136" s="100"/>
    </row>
    <row r="137" spans="6:8">
      <c r="F137" s="100"/>
      <c r="G137" s="100"/>
      <c r="H137" s="100"/>
    </row>
    <row r="138" spans="6:8">
      <c r="F138" s="100"/>
      <c r="G138" s="100"/>
      <c r="H138" s="100"/>
    </row>
    <row r="139" spans="6:8">
      <c r="F139" s="100"/>
      <c r="G139" s="100"/>
      <c r="H139" s="100"/>
    </row>
    <row r="140" spans="6:8">
      <c r="F140" s="100"/>
      <c r="G140" s="100"/>
      <c r="H140" s="100"/>
    </row>
    <row r="141" spans="6:8">
      <c r="F141" s="100"/>
      <c r="G141" s="100"/>
      <c r="H141" s="100"/>
    </row>
    <row r="142" spans="6:8">
      <c r="F142" s="100"/>
      <c r="G142" s="100"/>
      <c r="H142" s="100"/>
    </row>
    <row r="143" spans="6:8">
      <c r="F143" s="100"/>
      <c r="G143" s="100"/>
      <c r="H143" s="100"/>
    </row>
    <row r="144" spans="6:8">
      <c r="F144" s="100"/>
      <c r="G144" s="100"/>
      <c r="H144" s="100"/>
    </row>
    <row r="145" spans="6:8">
      <c r="F145" s="100"/>
      <c r="G145" s="100"/>
      <c r="H145" s="100"/>
    </row>
    <row r="146" spans="6:8">
      <c r="F146" s="100"/>
      <c r="G146" s="100"/>
      <c r="H146" s="100"/>
    </row>
    <row r="147" spans="6:8">
      <c r="F147" s="100"/>
      <c r="G147" s="100"/>
      <c r="H147" s="100"/>
    </row>
    <row r="148" spans="6:8">
      <c r="F148" s="100"/>
      <c r="G148" s="100"/>
      <c r="H148" s="100"/>
    </row>
    <row r="149" spans="6:8">
      <c r="F149" s="100"/>
      <c r="G149" s="100"/>
      <c r="H149" s="100"/>
    </row>
    <row r="150" spans="6:8">
      <c r="F150" s="100"/>
      <c r="G150" s="100"/>
      <c r="H150" s="100"/>
    </row>
    <row r="151" spans="6:8">
      <c r="F151" s="100"/>
      <c r="G151" s="100"/>
      <c r="H151" s="100"/>
    </row>
    <row r="152" spans="6:8">
      <c r="F152" s="100"/>
      <c r="G152" s="100"/>
      <c r="H152" s="100"/>
    </row>
    <row r="153" spans="6:8">
      <c r="F153" s="100"/>
      <c r="G153" s="100"/>
      <c r="H153" s="100"/>
    </row>
    <row r="154" spans="6:8">
      <c r="F154" s="100"/>
      <c r="G154" s="100"/>
      <c r="H154" s="100"/>
    </row>
    <row r="155" spans="6:8">
      <c r="F155" s="100"/>
      <c r="G155" s="100"/>
      <c r="H155" s="100"/>
    </row>
    <row r="156" spans="6:8">
      <c r="F156" s="100"/>
      <c r="G156" s="100"/>
      <c r="H156" s="100"/>
    </row>
    <row r="157" spans="6:8">
      <c r="F157" s="100"/>
      <c r="G157" s="100"/>
      <c r="H157" s="100"/>
    </row>
    <row r="158" spans="6:8">
      <c r="F158" s="100"/>
      <c r="G158" s="100"/>
      <c r="H158" s="100"/>
    </row>
    <row r="159" spans="6:8">
      <c r="F159" s="100"/>
      <c r="G159" s="100"/>
      <c r="H159" s="100"/>
    </row>
    <row r="160" spans="6:8">
      <c r="F160" s="100"/>
      <c r="G160" s="100"/>
      <c r="H160" s="100"/>
    </row>
    <row r="161" spans="6:8">
      <c r="F161" s="100"/>
      <c r="G161" s="100"/>
      <c r="H161" s="100"/>
    </row>
    <row r="162" spans="6:8">
      <c r="F162" s="100"/>
      <c r="G162" s="100"/>
      <c r="H162" s="100"/>
    </row>
    <row r="163" spans="6:8">
      <c r="F163" s="100"/>
      <c r="G163" s="100"/>
      <c r="H163" s="100"/>
    </row>
    <row r="164" spans="6:8">
      <c r="F164" s="100"/>
      <c r="G164" s="100"/>
      <c r="H164" s="100"/>
    </row>
    <row r="165" spans="6:8">
      <c r="F165" s="100"/>
      <c r="G165" s="100"/>
      <c r="H165" s="100"/>
    </row>
    <row r="166" spans="6:8">
      <c r="F166" s="100"/>
      <c r="G166" s="100"/>
      <c r="H166" s="100"/>
    </row>
    <row r="167" spans="6:8">
      <c r="F167" s="100"/>
      <c r="G167" s="100"/>
      <c r="H167" s="100"/>
    </row>
    <row r="168" spans="6:8">
      <c r="F168" s="100"/>
      <c r="G168" s="100"/>
      <c r="H168" s="100"/>
    </row>
    <row r="169" spans="6:8">
      <c r="F169" s="100"/>
      <c r="G169" s="100"/>
      <c r="H169" s="100"/>
    </row>
    <row r="170" spans="6:8">
      <c r="F170" s="100"/>
      <c r="G170" s="100"/>
      <c r="H170" s="100"/>
    </row>
    <row r="171" spans="6:8">
      <c r="F171" s="100"/>
      <c r="G171" s="100"/>
      <c r="H171" s="100"/>
    </row>
    <row r="172" spans="6:8">
      <c r="F172" s="100"/>
      <c r="G172" s="100"/>
      <c r="H172" s="100"/>
    </row>
    <row r="173" spans="6:8">
      <c r="F173" s="100"/>
      <c r="G173" s="100"/>
      <c r="H173" s="100"/>
    </row>
    <row r="174" spans="6:8">
      <c r="F174" s="100"/>
      <c r="G174" s="100"/>
      <c r="H174" s="100"/>
    </row>
    <row r="175" spans="6:8">
      <c r="F175" s="100"/>
      <c r="G175" s="100"/>
      <c r="H175" s="100"/>
    </row>
    <row r="176" spans="6:8">
      <c r="F176" s="100"/>
      <c r="G176" s="100"/>
      <c r="H176" s="100"/>
    </row>
    <row r="177" spans="6:8">
      <c r="F177" s="100"/>
      <c r="G177" s="100"/>
      <c r="H177" s="100"/>
    </row>
    <row r="178" spans="6:8">
      <c r="F178" s="100"/>
      <c r="G178" s="100"/>
      <c r="H178" s="100"/>
    </row>
    <row r="179" spans="6:8">
      <c r="F179" s="100"/>
      <c r="G179" s="100"/>
      <c r="H179" s="100"/>
    </row>
    <row r="180" spans="6:8">
      <c r="F180" s="100"/>
      <c r="G180" s="100"/>
      <c r="H180" s="100"/>
    </row>
    <row r="181" spans="6:8">
      <c r="F181" s="100"/>
      <c r="G181" s="100"/>
      <c r="H181" s="100"/>
    </row>
    <row r="182" spans="6:8">
      <c r="F182" s="100"/>
      <c r="G182" s="100"/>
      <c r="H182" s="100"/>
    </row>
    <row r="183" spans="6:8">
      <c r="F183" s="100"/>
      <c r="G183" s="100"/>
      <c r="H183" s="100"/>
    </row>
    <row r="184" spans="6:8">
      <c r="F184" s="100"/>
      <c r="G184" s="100"/>
      <c r="H184" s="100"/>
    </row>
    <row r="185" spans="6:8">
      <c r="F185" s="100"/>
      <c r="G185" s="100"/>
      <c r="H185" s="100"/>
    </row>
    <row r="186" spans="6:8">
      <c r="F186" s="100"/>
      <c r="G186" s="100"/>
      <c r="H186" s="100"/>
    </row>
    <row r="187" spans="6:8">
      <c r="F187" s="100"/>
      <c r="G187" s="100"/>
      <c r="H187" s="100"/>
    </row>
    <row r="188" spans="6:8">
      <c r="F188" s="100"/>
      <c r="G188" s="100"/>
      <c r="H188" s="100"/>
    </row>
    <row r="189" spans="6:8">
      <c r="F189" s="100"/>
      <c r="G189" s="100"/>
      <c r="H189" s="100"/>
    </row>
    <row r="190" spans="6:8">
      <c r="F190" s="100"/>
      <c r="G190" s="100"/>
      <c r="H190" s="100"/>
    </row>
    <row r="191" spans="6:8">
      <c r="F191" s="100"/>
      <c r="G191" s="100"/>
      <c r="H191" s="100"/>
    </row>
    <row r="192" spans="6:8">
      <c r="F192" s="100"/>
      <c r="G192" s="100"/>
      <c r="H192" s="100"/>
    </row>
    <row r="193" spans="6:8">
      <c r="F193" s="100"/>
      <c r="G193" s="100"/>
      <c r="H193" s="100"/>
    </row>
    <row r="194" spans="6:8">
      <c r="F194" s="100"/>
      <c r="G194" s="100"/>
      <c r="H194" s="100"/>
    </row>
    <row r="195" spans="6:8">
      <c r="F195" s="100"/>
      <c r="G195" s="100"/>
      <c r="H195" s="100"/>
    </row>
    <row r="196" spans="6:8">
      <c r="F196" s="100"/>
      <c r="G196" s="100"/>
      <c r="H196" s="100"/>
    </row>
    <row r="197" spans="6:8">
      <c r="F197" s="100"/>
      <c r="G197" s="100"/>
      <c r="H197" s="100"/>
    </row>
    <row r="198" spans="6:8">
      <c r="F198" s="100"/>
      <c r="G198" s="100"/>
      <c r="H198" s="100"/>
    </row>
    <row r="199" spans="6:8">
      <c r="F199" s="100"/>
      <c r="G199" s="100"/>
      <c r="H199" s="100"/>
    </row>
    <row r="200" spans="6:8">
      <c r="F200" s="100"/>
      <c r="G200" s="100"/>
      <c r="H200" s="100"/>
    </row>
    <row r="201" spans="6:8">
      <c r="F201" s="100"/>
      <c r="G201" s="100"/>
      <c r="H201" s="100"/>
    </row>
    <row r="202" spans="6:8">
      <c r="F202" s="100"/>
      <c r="G202" s="100"/>
      <c r="H202" s="100"/>
    </row>
    <row r="203" spans="6:8">
      <c r="F203" s="100"/>
      <c r="G203" s="100"/>
      <c r="H203" s="100"/>
    </row>
    <row r="204" spans="6:8">
      <c r="F204" s="100"/>
      <c r="G204" s="100"/>
      <c r="H204" s="100"/>
    </row>
    <row r="205" spans="6:8">
      <c r="F205" s="100"/>
      <c r="G205" s="100"/>
      <c r="H205" s="100"/>
    </row>
    <row r="206" spans="6:8">
      <c r="F206" s="100"/>
      <c r="G206" s="100"/>
      <c r="H206" s="100"/>
    </row>
    <row r="207" spans="6:8">
      <c r="F207" s="100"/>
      <c r="G207" s="100"/>
      <c r="H207" s="100"/>
    </row>
    <row r="208" spans="6:8">
      <c r="F208" s="100"/>
      <c r="G208" s="100"/>
      <c r="H208" s="100"/>
    </row>
    <row r="209" spans="6:8">
      <c r="F209" s="100"/>
      <c r="G209" s="100"/>
      <c r="H209" s="100"/>
    </row>
    <row r="210" spans="6:8">
      <c r="F210" s="100"/>
      <c r="G210" s="100"/>
      <c r="H210" s="100"/>
    </row>
    <row r="211" spans="6:8">
      <c r="F211" s="100"/>
      <c r="G211" s="100"/>
      <c r="H211" s="100"/>
    </row>
    <row r="212" spans="6:8">
      <c r="F212" s="100"/>
      <c r="G212" s="100"/>
      <c r="H212" s="100"/>
    </row>
    <row r="213" spans="6:8">
      <c r="F213" s="100"/>
      <c r="G213" s="100"/>
      <c r="H213" s="100"/>
    </row>
    <row r="214" spans="6:8">
      <c r="F214" s="100"/>
      <c r="G214" s="100"/>
      <c r="H214" s="100"/>
    </row>
    <row r="215" spans="6:8">
      <c r="F215" s="100"/>
      <c r="G215" s="100"/>
      <c r="H215" s="100"/>
    </row>
    <row r="216" spans="6:8">
      <c r="F216" s="100"/>
      <c r="G216" s="100"/>
      <c r="H216" s="100"/>
    </row>
    <row r="217" spans="6:8">
      <c r="F217" s="100"/>
      <c r="G217" s="100"/>
      <c r="H217" s="100"/>
    </row>
    <row r="218" spans="6:8">
      <c r="F218" s="100"/>
      <c r="G218" s="100"/>
      <c r="H218" s="100"/>
    </row>
    <row r="219" spans="6:8">
      <c r="F219" s="100"/>
      <c r="G219" s="100"/>
      <c r="H219" s="100"/>
    </row>
    <row r="220" spans="6:8">
      <c r="F220" s="100"/>
      <c r="G220" s="100"/>
      <c r="H220" s="100"/>
    </row>
    <row r="221" spans="6:8">
      <c r="F221" s="100"/>
      <c r="G221" s="100"/>
      <c r="H221" s="100"/>
    </row>
    <row r="222" spans="6:8">
      <c r="F222" s="100"/>
      <c r="G222" s="100"/>
      <c r="H222" s="100"/>
    </row>
    <row r="223" spans="6:8">
      <c r="F223" s="100"/>
      <c r="G223" s="100"/>
      <c r="H223" s="100"/>
    </row>
    <row r="224" spans="6:8">
      <c r="F224" s="100"/>
      <c r="G224" s="100"/>
      <c r="H224" s="100"/>
    </row>
    <row r="225" spans="6:8">
      <c r="F225" s="100"/>
      <c r="G225" s="100"/>
      <c r="H225" s="100"/>
    </row>
    <row r="226" spans="6:8">
      <c r="F226" s="100"/>
      <c r="G226" s="100"/>
      <c r="H226" s="100"/>
    </row>
    <row r="227" spans="6:8">
      <c r="F227" s="100"/>
      <c r="G227" s="100"/>
      <c r="H227" s="100"/>
    </row>
    <row r="228" spans="6:8">
      <c r="F228" s="100"/>
      <c r="G228" s="100"/>
      <c r="H228" s="100"/>
    </row>
    <row r="229" spans="6:8">
      <c r="F229" s="100"/>
      <c r="G229" s="100"/>
      <c r="H229" s="100"/>
    </row>
    <row r="230" spans="6:8">
      <c r="F230" s="100"/>
      <c r="G230" s="100"/>
      <c r="H230" s="100"/>
    </row>
    <row r="231" spans="6:8">
      <c r="F231" s="100"/>
      <c r="G231" s="100"/>
      <c r="H231" s="100"/>
    </row>
    <row r="232" spans="6:8">
      <c r="F232" s="100"/>
      <c r="G232" s="100"/>
      <c r="H232" s="100"/>
    </row>
    <row r="233" spans="6:8">
      <c r="F233" s="100"/>
      <c r="G233" s="100"/>
      <c r="H233" s="100"/>
    </row>
    <row r="234" spans="6:8">
      <c r="F234" s="100"/>
      <c r="G234" s="100"/>
      <c r="H234" s="100"/>
    </row>
    <row r="235" spans="6:8">
      <c r="F235" s="100"/>
      <c r="G235" s="100"/>
      <c r="H235" s="100"/>
    </row>
    <row r="236" spans="6:8">
      <c r="F236" s="100"/>
      <c r="G236" s="100"/>
      <c r="H236" s="100"/>
    </row>
    <row r="237" spans="6:8">
      <c r="F237" s="100"/>
      <c r="G237" s="100"/>
      <c r="H237" s="100"/>
    </row>
    <row r="238" spans="6:8">
      <c r="F238" s="100"/>
      <c r="G238" s="100"/>
      <c r="H238" s="100"/>
    </row>
    <row r="239" spans="6:8">
      <c r="F239" s="100"/>
      <c r="G239" s="100"/>
      <c r="H239" s="100"/>
    </row>
    <row r="240" spans="6:8">
      <c r="F240" s="100"/>
      <c r="G240" s="100"/>
      <c r="H240" s="100"/>
    </row>
    <row r="241" spans="6:8">
      <c r="F241" s="100"/>
      <c r="G241" s="100"/>
      <c r="H241" s="100"/>
    </row>
    <row r="242" spans="6:8">
      <c r="F242" s="100"/>
      <c r="G242" s="100"/>
      <c r="H242" s="100"/>
    </row>
    <row r="243" spans="6:8">
      <c r="F243" s="100"/>
      <c r="G243" s="100"/>
      <c r="H243" s="100"/>
    </row>
    <row r="244" spans="6:8">
      <c r="F244" s="100"/>
      <c r="G244" s="100"/>
      <c r="H244" s="100"/>
    </row>
    <row r="245" spans="6:8">
      <c r="F245" s="100"/>
      <c r="G245" s="100"/>
      <c r="H245" s="100"/>
    </row>
    <row r="246" spans="6:8">
      <c r="F246" s="100"/>
      <c r="G246" s="100"/>
      <c r="H246" s="100"/>
    </row>
    <row r="247" spans="6:8">
      <c r="F247" s="100"/>
      <c r="G247" s="100"/>
      <c r="H247" s="100"/>
    </row>
    <row r="248" spans="6:8">
      <c r="F248" s="100"/>
      <c r="G248" s="100"/>
      <c r="H248" s="100"/>
    </row>
    <row r="249" spans="6:8">
      <c r="F249" s="100"/>
      <c r="G249" s="100"/>
      <c r="H249" s="100"/>
    </row>
    <row r="250" spans="6:8">
      <c r="F250" s="100"/>
      <c r="G250" s="100"/>
      <c r="H250" s="100"/>
    </row>
    <row r="251" spans="6:8">
      <c r="F251" s="100"/>
      <c r="G251" s="100"/>
      <c r="H251" s="100"/>
    </row>
    <row r="252" spans="6:8">
      <c r="F252" s="100"/>
      <c r="G252" s="100"/>
      <c r="H252" s="100"/>
    </row>
    <row r="253" spans="6:8">
      <c r="F253" s="100"/>
      <c r="G253" s="100"/>
      <c r="H253" s="100"/>
    </row>
    <row r="254" spans="6:8">
      <c r="F254" s="100"/>
      <c r="G254" s="100"/>
      <c r="H254" s="100"/>
    </row>
    <row r="255" spans="6:8">
      <c r="F255" s="100"/>
      <c r="G255" s="100"/>
      <c r="H255" s="100"/>
    </row>
    <row r="256" spans="6:8">
      <c r="F256" s="100"/>
      <c r="G256" s="100"/>
      <c r="H256" s="100"/>
    </row>
    <row r="257" spans="6:8">
      <c r="F257" s="100"/>
      <c r="G257" s="100"/>
      <c r="H257" s="100"/>
    </row>
    <row r="258" spans="6:8">
      <c r="F258" s="100"/>
      <c r="G258" s="100"/>
      <c r="H258" s="100"/>
    </row>
    <row r="259" spans="6:8">
      <c r="F259" s="100"/>
      <c r="G259" s="100"/>
      <c r="H259" s="100"/>
    </row>
    <row r="260" spans="6:8">
      <c r="F260" s="100"/>
      <c r="G260" s="100"/>
      <c r="H260" s="100"/>
    </row>
    <row r="261" spans="6:8">
      <c r="F261" s="100"/>
      <c r="G261" s="100"/>
      <c r="H261" s="100"/>
    </row>
    <row r="262" spans="6:8">
      <c r="F262" s="100"/>
      <c r="G262" s="100"/>
      <c r="H262" s="100"/>
    </row>
    <row r="263" spans="6:8">
      <c r="F263" s="100"/>
      <c r="G263" s="100"/>
      <c r="H263" s="100"/>
    </row>
    <row r="264" spans="6:8">
      <c r="F264" s="100"/>
      <c r="G264" s="100"/>
      <c r="H264" s="100"/>
    </row>
    <row r="265" spans="6:8">
      <c r="F265" s="100"/>
      <c r="G265" s="100"/>
      <c r="H265" s="100"/>
    </row>
    <row r="266" spans="6:8">
      <c r="F266" s="100"/>
      <c r="G266" s="100"/>
      <c r="H266" s="100"/>
    </row>
    <row r="267" spans="6:8">
      <c r="F267" s="100"/>
      <c r="G267" s="100"/>
      <c r="H267" s="100"/>
    </row>
    <row r="268" spans="6:8">
      <c r="F268" s="100"/>
      <c r="G268" s="100"/>
      <c r="H268" s="100"/>
    </row>
    <row r="269" spans="6:8">
      <c r="F269" s="100"/>
      <c r="G269" s="100"/>
      <c r="H269" s="100"/>
    </row>
    <row r="270" spans="6:8">
      <c r="F270" s="100"/>
      <c r="G270" s="100"/>
      <c r="H270" s="100"/>
    </row>
    <row r="271" spans="6:8">
      <c r="F271" s="100"/>
      <c r="G271" s="100"/>
      <c r="H271" s="100"/>
    </row>
    <row r="272" spans="6:8">
      <c r="F272" s="100"/>
      <c r="G272" s="100"/>
      <c r="H272" s="100"/>
    </row>
    <row r="273" spans="6:8">
      <c r="F273" s="100"/>
      <c r="G273" s="100"/>
      <c r="H273" s="100"/>
    </row>
    <row r="274" spans="6:8">
      <c r="F274" s="100"/>
      <c r="G274" s="100"/>
      <c r="H274" s="100"/>
    </row>
    <row r="275" spans="6:8">
      <c r="F275" s="100"/>
      <c r="G275" s="100"/>
      <c r="H275" s="100"/>
    </row>
    <row r="276" spans="6:8">
      <c r="F276" s="100"/>
      <c r="G276" s="100"/>
      <c r="H276" s="100"/>
    </row>
    <row r="277" spans="6:8">
      <c r="F277" s="100"/>
      <c r="G277" s="100"/>
      <c r="H277" s="100"/>
    </row>
    <row r="278" spans="6:8">
      <c r="F278" s="100"/>
      <c r="G278" s="100"/>
      <c r="H278" s="100"/>
    </row>
    <row r="279" spans="6:8">
      <c r="F279" s="100"/>
      <c r="G279" s="100"/>
      <c r="H279" s="100"/>
    </row>
    <row r="280" spans="6:8">
      <c r="F280" s="100"/>
      <c r="G280" s="100"/>
      <c r="H280" s="100"/>
    </row>
    <row r="281" spans="6:8">
      <c r="F281" s="100"/>
      <c r="G281" s="100"/>
      <c r="H281" s="100"/>
    </row>
    <row r="282" spans="6:8">
      <c r="F282" s="100"/>
      <c r="G282" s="100"/>
      <c r="H282" s="100"/>
    </row>
    <row r="283" spans="6:8">
      <c r="F283" s="100"/>
      <c r="G283" s="100"/>
      <c r="H283" s="100"/>
    </row>
    <row r="284" spans="6:8">
      <c r="F284" s="100"/>
      <c r="G284" s="100"/>
      <c r="H284" s="100"/>
    </row>
    <row r="285" spans="6:8">
      <c r="F285" s="100"/>
      <c r="G285" s="100"/>
      <c r="H285" s="100"/>
    </row>
    <row r="286" spans="6:8">
      <c r="F286" s="100"/>
      <c r="G286" s="100"/>
      <c r="H286" s="100"/>
    </row>
    <row r="287" spans="6:8">
      <c r="F287" s="100"/>
      <c r="G287" s="100"/>
      <c r="H287" s="100"/>
    </row>
    <row r="288" spans="6:8">
      <c r="F288" s="100"/>
      <c r="G288" s="100"/>
      <c r="H288" s="100"/>
    </row>
    <row r="289" spans="6:8">
      <c r="F289" s="100"/>
      <c r="G289" s="100"/>
      <c r="H289" s="100"/>
    </row>
    <row r="290" spans="6:8">
      <c r="F290" s="100"/>
      <c r="G290" s="100"/>
      <c r="H290" s="100"/>
    </row>
    <row r="291" spans="6:8">
      <c r="F291" s="100"/>
      <c r="G291" s="100"/>
      <c r="H291" s="100"/>
    </row>
    <row r="292" spans="6:8">
      <c r="F292" s="100"/>
      <c r="G292" s="100"/>
      <c r="H292" s="100"/>
    </row>
    <row r="293" spans="6:8">
      <c r="F293" s="100"/>
      <c r="G293" s="100"/>
      <c r="H293" s="100"/>
    </row>
    <row r="294" spans="6:8">
      <c r="F294" s="100"/>
      <c r="G294" s="100"/>
      <c r="H294" s="100"/>
    </row>
    <row r="295" spans="6:8">
      <c r="F295" s="100"/>
      <c r="G295" s="100"/>
      <c r="H295" s="100"/>
    </row>
    <row r="296" spans="6:8">
      <c r="F296" s="100"/>
      <c r="G296" s="100"/>
      <c r="H296" s="100"/>
    </row>
    <row r="297" spans="6:8">
      <c r="F297" s="100"/>
      <c r="G297" s="100"/>
      <c r="H297" s="100"/>
    </row>
    <row r="298" spans="6:8">
      <c r="F298" s="100"/>
      <c r="G298" s="100"/>
      <c r="H298" s="100"/>
    </row>
    <row r="299" spans="6:8">
      <c r="F299" s="100"/>
      <c r="G299" s="100"/>
      <c r="H299" s="100"/>
    </row>
    <row r="300" spans="6:8">
      <c r="F300" s="100"/>
      <c r="G300" s="100"/>
      <c r="H300" s="100"/>
    </row>
    <row r="301" spans="6:8">
      <c r="F301" s="100"/>
      <c r="G301" s="100"/>
      <c r="H301" s="100"/>
    </row>
    <row r="302" spans="6:8">
      <c r="F302" s="100"/>
      <c r="G302" s="100"/>
      <c r="H302" s="100"/>
    </row>
    <row r="303" spans="6:8">
      <c r="F303" s="100"/>
      <c r="G303" s="100"/>
      <c r="H303" s="100"/>
    </row>
    <row r="304" spans="6:8">
      <c r="F304" s="100"/>
      <c r="G304" s="100"/>
      <c r="H304" s="100"/>
    </row>
    <row r="305" spans="6:8">
      <c r="F305" s="100"/>
      <c r="G305" s="100"/>
      <c r="H305" s="100"/>
    </row>
    <row r="306" spans="6:8">
      <c r="F306" s="100"/>
      <c r="G306" s="100"/>
      <c r="H306" s="100"/>
    </row>
    <row r="307" spans="6:8">
      <c r="F307" s="100"/>
      <c r="G307" s="100"/>
      <c r="H307" s="100"/>
    </row>
    <row r="308" spans="6:8">
      <c r="F308" s="100"/>
      <c r="G308" s="100"/>
      <c r="H308" s="100"/>
    </row>
    <row r="309" spans="6:8">
      <c r="F309" s="100"/>
      <c r="G309" s="100"/>
      <c r="H309" s="100"/>
    </row>
    <row r="310" spans="6:8">
      <c r="F310" s="100"/>
      <c r="G310" s="100"/>
      <c r="H310" s="100"/>
    </row>
    <row r="311" spans="6:8">
      <c r="F311" s="100"/>
      <c r="G311" s="100"/>
      <c r="H311" s="100"/>
    </row>
    <row r="312" spans="6:8">
      <c r="F312" s="100"/>
      <c r="G312" s="100"/>
      <c r="H312" s="100"/>
    </row>
    <row r="313" spans="6:8">
      <c r="F313" s="100"/>
      <c r="G313" s="100"/>
      <c r="H313" s="100"/>
    </row>
    <row r="314" spans="6:8">
      <c r="F314" s="100"/>
      <c r="G314" s="100"/>
      <c r="H314" s="100"/>
    </row>
    <row r="315" spans="6:8">
      <c r="F315" s="100"/>
      <c r="G315" s="100"/>
      <c r="H315" s="100"/>
    </row>
    <row r="316" spans="6:8">
      <c r="F316" s="100"/>
      <c r="G316" s="100"/>
      <c r="H316" s="100"/>
    </row>
    <row r="317" spans="6:8">
      <c r="F317" s="100"/>
      <c r="G317" s="100"/>
      <c r="H317" s="100"/>
    </row>
    <row r="318" spans="6:8">
      <c r="F318" s="100"/>
      <c r="G318" s="100"/>
      <c r="H318" s="100"/>
    </row>
    <row r="319" spans="6:8">
      <c r="F319" s="100"/>
      <c r="G319" s="100"/>
      <c r="H319" s="100"/>
    </row>
    <row r="320" spans="6:8">
      <c r="F320" s="100"/>
      <c r="G320" s="100"/>
      <c r="H320" s="100"/>
    </row>
    <row r="321" spans="6:8">
      <c r="F321" s="100"/>
      <c r="G321" s="100"/>
      <c r="H321" s="100"/>
    </row>
    <row r="322" spans="6:8">
      <c r="F322" s="100"/>
      <c r="G322" s="100"/>
      <c r="H322" s="100"/>
    </row>
    <row r="323" spans="6:8">
      <c r="F323" s="100"/>
      <c r="G323" s="100"/>
      <c r="H323" s="100"/>
    </row>
    <row r="324" spans="6:8">
      <c r="F324" s="100"/>
      <c r="G324" s="100"/>
      <c r="H324" s="100"/>
    </row>
    <row r="325" spans="6:8">
      <c r="F325" s="100"/>
      <c r="G325" s="100"/>
      <c r="H325" s="100"/>
    </row>
    <row r="326" spans="6:8">
      <c r="F326" s="100"/>
      <c r="G326" s="100"/>
      <c r="H326" s="100"/>
    </row>
    <row r="327" spans="6:8">
      <c r="F327" s="100"/>
      <c r="G327" s="100"/>
      <c r="H327" s="100"/>
    </row>
    <row r="328" spans="6:8">
      <c r="F328" s="100"/>
      <c r="G328" s="100"/>
      <c r="H328" s="100"/>
    </row>
    <row r="329" spans="6:8">
      <c r="F329" s="100"/>
      <c r="G329" s="100"/>
      <c r="H329" s="100"/>
    </row>
    <row r="330" spans="6:8">
      <c r="F330" s="100"/>
      <c r="G330" s="100"/>
      <c r="H330" s="100"/>
    </row>
    <row r="331" spans="6:8">
      <c r="F331" s="100"/>
      <c r="G331" s="100"/>
      <c r="H331" s="100"/>
    </row>
    <row r="332" spans="6:8">
      <c r="F332" s="100"/>
      <c r="G332" s="100"/>
      <c r="H332" s="100"/>
    </row>
    <row r="333" spans="6:8">
      <c r="F333" s="100"/>
      <c r="G333" s="100"/>
      <c r="H333" s="100"/>
    </row>
    <row r="334" spans="6:8">
      <c r="F334" s="100"/>
      <c r="G334" s="100"/>
      <c r="H334" s="100"/>
    </row>
    <row r="335" spans="6:8">
      <c r="F335" s="100"/>
      <c r="G335" s="100"/>
      <c r="H335" s="100"/>
    </row>
    <row r="336" spans="6:8">
      <c r="F336" s="100"/>
      <c r="G336" s="100"/>
      <c r="H336" s="100"/>
    </row>
    <row r="337" spans="6:8">
      <c r="F337" s="100"/>
      <c r="G337" s="100"/>
      <c r="H337" s="100"/>
    </row>
    <row r="338" spans="6:8">
      <c r="F338" s="100"/>
      <c r="G338" s="100"/>
      <c r="H338" s="100"/>
    </row>
    <row r="339" spans="6:8">
      <c r="F339" s="100"/>
      <c r="G339" s="100"/>
      <c r="H339" s="100"/>
    </row>
    <row r="340" spans="6:8">
      <c r="F340" s="100"/>
      <c r="G340" s="100"/>
      <c r="H340" s="100"/>
    </row>
    <row r="341" spans="6:8">
      <c r="F341" s="100"/>
      <c r="G341" s="100"/>
      <c r="H341" s="100"/>
    </row>
    <row r="342" spans="6:8">
      <c r="F342" s="100"/>
      <c r="G342" s="100"/>
      <c r="H342" s="100"/>
    </row>
    <row r="343" spans="6:8">
      <c r="F343" s="100"/>
      <c r="G343" s="100"/>
      <c r="H343" s="100"/>
    </row>
    <row r="344" spans="6:8">
      <c r="F344" s="100"/>
      <c r="G344" s="100"/>
      <c r="H344" s="100"/>
    </row>
    <row r="345" spans="6:8">
      <c r="F345" s="100"/>
      <c r="G345" s="100"/>
      <c r="H345" s="100"/>
    </row>
    <row r="346" spans="6:8">
      <c r="F346" s="100"/>
      <c r="G346" s="100"/>
      <c r="H346" s="100"/>
    </row>
    <row r="347" spans="6:8">
      <c r="F347" s="100"/>
      <c r="G347" s="100"/>
      <c r="H347" s="100"/>
    </row>
    <row r="348" spans="6:8">
      <c r="F348" s="100"/>
      <c r="G348" s="100"/>
      <c r="H348" s="100"/>
    </row>
    <row r="349" spans="6:8">
      <c r="F349" s="100"/>
      <c r="G349" s="100"/>
      <c r="H349" s="100"/>
    </row>
    <row r="350" spans="6:8">
      <c r="F350" s="100"/>
      <c r="G350" s="100"/>
      <c r="H350" s="100"/>
    </row>
    <row r="351" spans="6:8">
      <c r="F351" s="100"/>
      <c r="G351" s="100"/>
      <c r="H351" s="100"/>
    </row>
    <row r="352" spans="6:8">
      <c r="F352" s="100"/>
      <c r="G352" s="100"/>
      <c r="H352" s="100"/>
    </row>
    <row r="353" spans="6:8">
      <c r="F353" s="100"/>
      <c r="G353" s="100"/>
      <c r="H353" s="100"/>
    </row>
    <row r="354" spans="6:8">
      <c r="F354" s="100"/>
      <c r="G354" s="100"/>
      <c r="H354" s="100"/>
    </row>
    <row r="355" spans="6:8">
      <c r="F355" s="100"/>
      <c r="G355" s="100"/>
      <c r="H355" s="100"/>
    </row>
    <row r="356" spans="6:8">
      <c r="F356" s="100"/>
      <c r="G356" s="100"/>
      <c r="H356" s="100"/>
    </row>
    <row r="357" spans="6:8">
      <c r="F357" s="100"/>
      <c r="G357" s="100"/>
      <c r="H357" s="100"/>
    </row>
    <row r="358" spans="6:8">
      <c r="F358" s="100"/>
      <c r="G358" s="100"/>
      <c r="H358" s="100"/>
    </row>
    <row r="359" spans="6:8">
      <c r="F359" s="100"/>
      <c r="G359" s="100"/>
      <c r="H359" s="100"/>
    </row>
    <row r="360" spans="6:8">
      <c r="F360" s="100"/>
      <c r="G360" s="100"/>
      <c r="H360" s="100"/>
    </row>
    <row r="361" spans="6:8">
      <c r="F361" s="100"/>
      <c r="G361" s="100"/>
      <c r="H361" s="100"/>
    </row>
    <row r="362" spans="6:8">
      <c r="F362" s="100"/>
      <c r="G362" s="100"/>
      <c r="H362" s="100"/>
    </row>
    <row r="363" spans="6:8">
      <c r="F363" s="100"/>
      <c r="G363" s="100"/>
      <c r="H363" s="100"/>
    </row>
    <row r="364" spans="6:8">
      <c r="F364" s="100"/>
      <c r="G364" s="100"/>
      <c r="H364" s="100"/>
    </row>
    <row r="365" spans="6:8">
      <c r="F365" s="100"/>
      <c r="G365" s="100"/>
      <c r="H365" s="100"/>
    </row>
    <row r="366" spans="6:8">
      <c r="F366" s="100"/>
      <c r="G366" s="100"/>
      <c r="H366" s="100"/>
    </row>
    <row r="367" spans="6:8">
      <c r="F367" s="100"/>
      <c r="G367" s="100"/>
      <c r="H367" s="100"/>
    </row>
    <row r="368" spans="6:8">
      <c r="F368" s="100"/>
      <c r="G368" s="100"/>
      <c r="H368" s="100"/>
    </row>
    <row r="369" spans="6:8">
      <c r="F369" s="100"/>
      <c r="G369" s="100"/>
      <c r="H369" s="100"/>
    </row>
    <row r="370" spans="6:8">
      <c r="F370" s="100"/>
      <c r="G370" s="100"/>
      <c r="H370" s="100"/>
    </row>
    <row r="371" spans="6:8">
      <c r="F371" s="100"/>
      <c r="G371" s="100"/>
      <c r="H371" s="100"/>
    </row>
    <row r="372" spans="6:8">
      <c r="F372" s="100"/>
      <c r="G372" s="100"/>
      <c r="H372" s="100"/>
    </row>
    <row r="373" spans="6:8">
      <c r="F373" s="100"/>
      <c r="G373" s="100"/>
      <c r="H373" s="100"/>
    </row>
    <row r="374" spans="6:8">
      <c r="F374" s="100"/>
      <c r="G374" s="100"/>
      <c r="H374" s="100"/>
    </row>
    <row r="375" spans="6:8">
      <c r="F375" s="100"/>
      <c r="G375" s="100"/>
      <c r="H375" s="100"/>
    </row>
    <row r="376" spans="6:8">
      <c r="F376" s="100"/>
      <c r="G376" s="100"/>
      <c r="H376" s="100"/>
    </row>
    <row r="377" spans="6:8">
      <c r="F377" s="100"/>
      <c r="G377" s="100"/>
      <c r="H377" s="100"/>
    </row>
    <row r="378" spans="6:8">
      <c r="F378" s="100"/>
      <c r="G378" s="100"/>
      <c r="H378" s="100"/>
    </row>
    <row r="379" spans="6:8">
      <c r="F379" s="100"/>
      <c r="G379" s="100"/>
      <c r="H379" s="100"/>
    </row>
    <row r="380" spans="6:8">
      <c r="F380" s="100"/>
      <c r="G380" s="100"/>
      <c r="H380" s="100"/>
    </row>
    <row r="381" spans="6:8">
      <c r="F381" s="100"/>
      <c r="G381" s="100"/>
      <c r="H381" s="100"/>
    </row>
    <row r="382" spans="6:8">
      <c r="F382" s="100"/>
      <c r="G382" s="100"/>
      <c r="H382" s="100"/>
    </row>
    <row r="383" spans="6:8">
      <c r="F383" s="100"/>
      <c r="G383" s="100"/>
      <c r="H383" s="100"/>
    </row>
    <row r="384" spans="6:8">
      <c r="F384" s="100"/>
      <c r="G384" s="100"/>
      <c r="H384" s="100"/>
    </row>
    <row r="385" spans="6:8">
      <c r="F385" s="100"/>
      <c r="G385" s="100"/>
      <c r="H385" s="100"/>
    </row>
    <row r="386" spans="6:8">
      <c r="F386" s="100"/>
      <c r="G386" s="100"/>
      <c r="H386" s="100"/>
    </row>
    <row r="387" spans="6:8">
      <c r="F387" s="100"/>
      <c r="G387" s="100"/>
      <c r="H387" s="100"/>
    </row>
    <row r="388" spans="6:8">
      <c r="F388" s="100"/>
      <c r="G388" s="100"/>
      <c r="H388" s="100"/>
    </row>
    <row r="389" spans="6:8">
      <c r="F389" s="100"/>
      <c r="G389" s="100"/>
      <c r="H389" s="100"/>
    </row>
    <row r="390" spans="6:8">
      <c r="F390" s="100"/>
      <c r="G390" s="100"/>
      <c r="H390" s="100"/>
    </row>
    <row r="391" spans="6:8">
      <c r="F391" s="100"/>
      <c r="G391" s="100"/>
      <c r="H391" s="100"/>
    </row>
    <row r="392" spans="6:8">
      <c r="F392" s="100"/>
      <c r="G392" s="100"/>
      <c r="H392" s="100"/>
    </row>
    <row r="393" spans="6:8">
      <c r="F393" s="100"/>
      <c r="G393" s="100"/>
      <c r="H393" s="100"/>
    </row>
    <row r="394" spans="6:8">
      <c r="F394" s="100"/>
      <c r="G394" s="100"/>
      <c r="H394" s="100"/>
    </row>
    <row r="395" spans="6:8">
      <c r="F395" s="100"/>
      <c r="G395" s="100"/>
      <c r="H395" s="100"/>
    </row>
  </sheetData>
  <autoFilter ref="B5:H53" xr:uid="{9DDCF76E-7145-4A59-A3D9-B157F221B82A}">
    <filterColumn colId="1">
      <filters>
        <filter val="Si"/>
      </filters>
    </filterColumn>
  </autoFilter>
  <conditionalFormatting sqref="F65">
    <cfRule type="cellIs" dxfId="23" priority="3" operator="notEqual">
      <formula>0</formula>
    </cfRule>
    <cfRule type="cellIs" dxfId="22" priority="4" operator="equal">
      <formula>0</formula>
    </cfRule>
  </conditionalFormatting>
  <conditionalFormatting sqref="H65">
    <cfRule type="cellIs" dxfId="21" priority="1" operator="notEqual">
      <formula>0</formula>
    </cfRule>
    <cfRule type="cellIs" dxfId="20" priority="2" operator="equal">
      <formula>0</formula>
    </cfRule>
  </conditionalFormatting>
  <dataValidations disablePrompts="1" count="1">
    <dataValidation type="list" allowBlank="1" showInputMessage="1" showErrorMessage="1" sqref="D46:D50" xr:uid="{1C4B5F4F-41C6-4C90-8348-660E26B7606C}">
      <formula1>$D$5:$D$68</formula1>
    </dataValidation>
  </dataValidations>
  <printOptions horizontalCentered="1"/>
  <pageMargins left="0.39370078740157483" right="0.39370078740157483" top="0.59055118110236227" bottom="0.39370078740157483" header="0.39370078740157483" footer="0.39370078740157483"/>
  <pageSetup scale="85"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A61CE-F200-4886-AD37-D838CB1703AD}">
  <sheetPr filterMode="1">
    <tabColor theme="4" tint="0.39997558519241921"/>
  </sheetPr>
  <dimension ref="A1:I250"/>
  <sheetViews>
    <sheetView zoomScaleNormal="100" workbookViewId="0">
      <pane ySplit="8" topLeftCell="A9" activePane="bottomLeft" state="frozen"/>
      <selection activeCell="B48" sqref="B48"/>
      <selection pane="bottomLeft" activeCell="D6" sqref="D6"/>
    </sheetView>
  </sheetViews>
  <sheetFormatPr baseColWidth="10" defaultColWidth="11.42578125" defaultRowHeight="12.75"/>
  <cols>
    <col min="1" max="1" width="1.7109375" style="107" customWidth="1"/>
    <col min="2" max="2" width="7.28515625" style="107" bestFit="1" customWidth="1"/>
    <col min="3" max="3" width="6.140625" style="107" bestFit="1" customWidth="1"/>
    <col min="4" max="4" width="50.7109375" style="107" customWidth="1"/>
    <col min="5" max="5" width="5.140625" style="107" bestFit="1" customWidth="1"/>
    <col min="6" max="6" width="16.7109375" style="107" customWidth="1"/>
    <col min="7" max="7" width="2.7109375" style="107" customWidth="1"/>
    <col min="8" max="8" width="16.7109375" style="107" customWidth="1"/>
    <col min="9" max="9" width="15.28515625" style="107" bestFit="1" customWidth="1"/>
    <col min="10" max="10" width="5.28515625" style="107" customWidth="1"/>
    <col min="11" max="16384" width="11.42578125" style="107"/>
  </cols>
  <sheetData>
    <row r="1" spans="1:9">
      <c r="G1" s="108"/>
    </row>
    <row r="2" spans="1:9" ht="18">
      <c r="D2" s="73" t="s">
        <v>4648</v>
      </c>
      <c r="E2" s="110"/>
      <c r="F2" s="110"/>
      <c r="G2" s="108"/>
      <c r="H2" s="109"/>
    </row>
    <row r="3" spans="1:9">
      <c r="D3" s="111" t="s">
        <v>4694</v>
      </c>
      <c r="E3" s="112"/>
      <c r="F3" s="112"/>
      <c r="G3" s="108"/>
      <c r="H3" s="111"/>
    </row>
    <row r="4" spans="1:9">
      <c r="D4" s="111" t="s">
        <v>4695</v>
      </c>
      <c r="E4" s="112"/>
      <c r="F4" s="112"/>
      <c r="G4" s="108"/>
      <c r="H4" s="111"/>
    </row>
    <row r="5" spans="1:9">
      <c r="D5" s="76" t="s">
        <v>4696</v>
      </c>
      <c r="E5" s="78"/>
      <c r="F5" s="78"/>
      <c r="G5" s="108"/>
      <c r="H5" s="111"/>
    </row>
    <row r="6" spans="1:9">
      <c r="D6" s="111" t="s">
        <v>4651</v>
      </c>
      <c r="E6" s="112"/>
      <c r="F6" s="112"/>
      <c r="G6" s="108"/>
      <c r="H6" s="111"/>
    </row>
    <row r="7" spans="1:9" ht="15">
      <c r="A7"/>
      <c r="B7" s="5" t="s">
        <v>4652</v>
      </c>
      <c r="C7" s="5" t="s">
        <v>4653</v>
      </c>
      <c r="G7" s="108"/>
    </row>
    <row r="8" spans="1:9" s="112" customFormat="1" ht="15">
      <c r="A8"/>
      <c r="B8" s="315" t="s">
        <v>4654</v>
      </c>
      <c r="C8" s="315" t="s">
        <v>8</v>
      </c>
      <c r="E8" s="111" t="s">
        <v>4656</v>
      </c>
      <c r="F8" s="111">
        <f>ESF!F6</f>
        <v>2023</v>
      </c>
      <c r="G8" s="108"/>
      <c r="H8" s="111">
        <f>ESF!H6</f>
        <v>2022</v>
      </c>
    </row>
    <row r="9" spans="1:9" ht="15">
      <c r="A9"/>
      <c r="B9" s="315" t="s">
        <v>4654</v>
      </c>
      <c r="C9" s="315" t="s">
        <v>8</v>
      </c>
      <c r="D9" s="113"/>
      <c r="E9" s="111"/>
      <c r="F9" s="108"/>
      <c r="G9" s="108"/>
      <c r="H9" s="108"/>
    </row>
    <row r="10" spans="1:9" ht="15">
      <c r="A10"/>
      <c r="B10" t="str">
        <f>IF(AND(F10=0,H10=0),"Vacio","Ok")</f>
        <v>Ok</v>
      </c>
      <c r="C10" t="str">
        <f>IF(B10="Ok","Si",IF(B10="Vacio","No","Pilas"))</f>
        <v>Si</v>
      </c>
      <c r="D10" s="113" t="s">
        <v>4389</v>
      </c>
      <c r="E10" s="111"/>
      <c r="F10" s="114">
        <f>-SUMIF(Valida!E:E,D10,Valida!I:I)</f>
        <v>756328888.84000003</v>
      </c>
      <c r="G10" s="108"/>
      <c r="H10" s="114">
        <f>-SUMIF(Valida!E:E,D10,Valida!L:L)</f>
        <v>435963828.18000001</v>
      </c>
      <c r="I10" s="115"/>
    </row>
    <row r="11" spans="1:9" ht="15" hidden="1">
      <c r="B11" t="str">
        <f t="shared" ref="B11:B14" si="0">IF(AND(F11=0,H11=0),"Vacio","Ok")</f>
        <v>Vacio</v>
      </c>
      <c r="C11" t="str">
        <f t="shared" ref="C11:C14" si="1">IF(B11="Ok","Si",IF(B11="Vacio","No","Pilas"))</f>
        <v>No</v>
      </c>
      <c r="E11" s="111"/>
      <c r="F11" s="114"/>
      <c r="G11" s="108"/>
      <c r="H11" s="114"/>
      <c r="I11" s="115"/>
    </row>
    <row r="12" spans="1:9" ht="15" hidden="1">
      <c r="B12" t="str">
        <f t="shared" si="0"/>
        <v>Vacio</v>
      </c>
      <c r="C12" t="str">
        <f t="shared" si="1"/>
        <v>No</v>
      </c>
      <c r="D12" s="113" t="s">
        <v>4697</v>
      </c>
      <c r="E12" s="111"/>
      <c r="F12" s="114">
        <f>SUMIF(Valida!E:E,D12,Valida!I:I)</f>
        <v>0</v>
      </c>
      <c r="G12" s="108"/>
      <c r="H12" s="114">
        <f>SUMIF(Valida!E:E,D12,Valida!L:L)</f>
        <v>0</v>
      </c>
      <c r="I12" s="115"/>
    </row>
    <row r="13" spans="1:9" ht="15" hidden="1">
      <c r="B13" t="str">
        <f t="shared" si="0"/>
        <v>Vacio</v>
      </c>
      <c r="C13" t="str">
        <f t="shared" si="1"/>
        <v>No</v>
      </c>
      <c r="E13" s="111"/>
      <c r="F13" s="114"/>
      <c r="G13" s="108"/>
      <c r="H13" s="114"/>
      <c r="I13" s="115"/>
    </row>
    <row r="14" spans="1:9" ht="15">
      <c r="B14" t="str">
        <f t="shared" si="0"/>
        <v>Ok</v>
      </c>
      <c r="C14" t="str">
        <f t="shared" si="1"/>
        <v>Si</v>
      </c>
      <c r="D14" s="116" t="s">
        <v>4698</v>
      </c>
      <c r="E14" s="111"/>
      <c r="F14" s="117">
        <f>F10-F12</f>
        <v>756328888.84000003</v>
      </c>
      <c r="G14" s="108"/>
      <c r="H14" s="117">
        <f>H10-H12</f>
        <v>435963828.18000001</v>
      </c>
      <c r="I14" s="115"/>
    </row>
    <row r="15" spans="1:9" ht="15">
      <c r="B15" s="315" t="s">
        <v>4654</v>
      </c>
      <c r="C15" s="315" t="s">
        <v>8</v>
      </c>
      <c r="E15" s="111"/>
      <c r="F15" s="114"/>
      <c r="G15" s="108"/>
      <c r="H15" s="114"/>
      <c r="I15" s="115"/>
    </row>
    <row r="16" spans="1:9" s="112" customFormat="1" ht="15">
      <c r="B16" t="str">
        <f t="shared" ref="B16:B18" si="2">IF(AND(F16=0,H16=0),"Vacio","Ok")</f>
        <v>Ok</v>
      </c>
      <c r="C16" t="str">
        <f t="shared" ref="C16:C18" si="3">IF(B16="Ok","Si",IF(B16="Vacio","No","Pilas"))</f>
        <v>Si</v>
      </c>
      <c r="D16" s="118" t="s">
        <v>4402</v>
      </c>
      <c r="E16" s="111">
        <f>ESF!E46+1</f>
        <v>21</v>
      </c>
      <c r="F16" s="114">
        <f>SUMIF(Valida!E:E,D16,Valida!I:I)</f>
        <v>644786495.12000012</v>
      </c>
      <c r="G16" s="108"/>
      <c r="H16" s="114">
        <f>SUMIF(Valida!E:E,D16,Valida!L:L)</f>
        <v>529493987.9600001</v>
      </c>
      <c r="I16" s="115"/>
    </row>
    <row r="17" spans="2:9" s="112" customFormat="1" ht="15">
      <c r="B17" t="str">
        <f t="shared" si="2"/>
        <v>Ok</v>
      </c>
      <c r="C17" t="str">
        <f t="shared" si="3"/>
        <v>Si</v>
      </c>
      <c r="D17" s="118" t="s">
        <v>4396</v>
      </c>
      <c r="E17" s="111">
        <f>E16+1</f>
        <v>22</v>
      </c>
      <c r="F17" s="114">
        <f>-SUMIF(Valida!E:E,D17,Valida!I:I)</f>
        <v>5184722.51</v>
      </c>
      <c r="G17" s="108"/>
      <c r="H17" s="114">
        <f>-SUMIF(Valida!E:E,D17,Valida!L:L)</f>
        <v>228508.54</v>
      </c>
      <c r="I17" s="115"/>
    </row>
    <row r="18" spans="2:9" s="112" customFormat="1" ht="15">
      <c r="B18" t="str">
        <f t="shared" si="2"/>
        <v>Ok</v>
      </c>
      <c r="C18" t="str">
        <f t="shared" si="3"/>
        <v>Si</v>
      </c>
      <c r="D18" s="118" t="s">
        <v>4460</v>
      </c>
      <c r="E18" s="111"/>
      <c r="F18" s="114">
        <f>SUMIF(Valida!E:E,D18,Valida!I:I)</f>
        <v>4414890.93</v>
      </c>
      <c r="G18" s="108"/>
      <c r="H18" s="114">
        <f>SUMIF(Valida!E:E,D18,Valida!L:L)</f>
        <v>12581735.060000001</v>
      </c>
      <c r="I18" s="115"/>
    </row>
    <row r="19" spans="2:9" s="112" customFormat="1" ht="4.9000000000000004" customHeight="1">
      <c r="B19" s="315" t="s">
        <v>4654</v>
      </c>
      <c r="C19" s="315" t="s">
        <v>8</v>
      </c>
      <c r="D19" s="119"/>
      <c r="E19" s="111"/>
      <c r="F19" s="120"/>
      <c r="G19" s="108"/>
      <c r="H19" s="120"/>
      <c r="I19" s="115"/>
    </row>
    <row r="20" spans="2:9" ht="15">
      <c r="B20" t="str">
        <f>IF(AND(F20=0,H20=0),"Vacio","Ok")</f>
        <v>Ok</v>
      </c>
      <c r="C20" t="str">
        <f>IF(B20="Ok","Si",IF(B20="Vacio","No","Pilas"))</f>
        <v>Si</v>
      </c>
      <c r="D20" s="116" t="s">
        <v>4699</v>
      </c>
      <c r="E20" s="111"/>
      <c r="F20" s="117">
        <f>F14-F16+F17-F18</f>
        <v>112312225.29999992</v>
      </c>
      <c r="G20" s="108"/>
      <c r="H20" s="117">
        <f>H14-H16+H17-H18</f>
        <v>-105883386.30000009</v>
      </c>
      <c r="I20" s="115"/>
    </row>
    <row r="21" spans="2:9" s="112" customFormat="1" ht="15">
      <c r="B21" s="315" t="s">
        <v>4654</v>
      </c>
      <c r="C21" s="315" t="s">
        <v>8</v>
      </c>
      <c r="D21" s="119"/>
      <c r="E21" s="111"/>
      <c r="F21" s="120"/>
      <c r="G21" s="108"/>
      <c r="H21" s="120"/>
      <c r="I21" s="115"/>
    </row>
    <row r="22" spans="2:9" s="112" customFormat="1" ht="15">
      <c r="B22" s="315" t="s">
        <v>4654</v>
      </c>
      <c r="C22" s="315" t="s">
        <v>8</v>
      </c>
      <c r="D22" s="112" t="str">
        <f>IF(F29&gt;0,"Ingreso financiero neto","Costo financiero neto")</f>
        <v>Costo financiero neto</v>
      </c>
      <c r="E22" s="111"/>
      <c r="F22" s="120"/>
      <c r="G22" s="108"/>
      <c r="H22" s="120"/>
      <c r="I22" s="115"/>
    </row>
    <row r="23" spans="2:9" s="112" customFormat="1" ht="15">
      <c r="B23" t="str">
        <f t="shared" ref="B23:B29" si="4">IF(AND(F23=0,H23=0),"Vacio","Ok")</f>
        <v>Ok</v>
      </c>
      <c r="C23" t="str">
        <f t="shared" ref="C23:C29" si="5">IF(B23="Ok","Si",IF(B23="Vacio","No","Pilas"))</f>
        <v>Si</v>
      </c>
      <c r="D23" s="118" t="s">
        <v>4452</v>
      </c>
      <c r="E23" s="111"/>
      <c r="F23" s="114">
        <f>-SUMIF(Valida!E:E,D23,Valida!I:I)</f>
        <v>-2452803.52</v>
      </c>
      <c r="G23" s="108"/>
      <c r="H23" s="114">
        <f>-SUMIF(Valida!E:E,D23,Valida!L:L)</f>
        <v>-1934664.05</v>
      </c>
      <c r="I23" s="115"/>
    </row>
    <row r="24" spans="2:9" s="112" customFormat="1" ht="15">
      <c r="B24" t="str">
        <f t="shared" si="4"/>
        <v>Ok</v>
      </c>
      <c r="C24" t="str">
        <f t="shared" si="5"/>
        <v>Si</v>
      </c>
      <c r="D24" s="118" t="s">
        <v>4456</v>
      </c>
      <c r="E24" s="111"/>
      <c r="F24" s="114">
        <f>-SUMIF(Valida!E:E,D24,Valida!I:I)</f>
        <v>-4011194.13</v>
      </c>
      <c r="G24" s="108"/>
      <c r="H24" s="114">
        <f>-SUMIF(Valida!E:E,D24,Valida!L:L)</f>
        <v>-17702.86</v>
      </c>
      <c r="I24" s="115"/>
    </row>
    <row r="25" spans="2:9" s="112" customFormat="1" ht="15">
      <c r="B25" t="str">
        <f t="shared" si="4"/>
        <v>Ok</v>
      </c>
      <c r="C25" t="str">
        <f t="shared" si="5"/>
        <v>Si</v>
      </c>
      <c r="D25" s="118" t="s">
        <v>4392</v>
      </c>
      <c r="E25" s="111"/>
      <c r="F25" s="114">
        <f>-SUMIF(Valida!E:E,D25,Valida!I:I)</f>
        <v>-17775562.879999999</v>
      </c>
      <c r="G25" s="108"/>
      <c r="H25" s="114">
        <f>-SUMIF(Valida!E:E,D25,Valida!L:L)</f>
        <v>9731681.1999999993</v>
      </c>
      <c r="I25" s="115"/>
    </row>
    <row r="26" spans="2:9" s="112" customFormat="1" ht="15">
      <c r="B26" t="str">
        <f t="shared" si="4"/>
        <v>Ok</v>
      </c>
      <c r="C26" t="str">
        <f t="shared" si="5"/>
        <v>Si</v>
      </c>
      <c r="D26" s="118" t="s">
        <v>4391</v>
      </c>
      <c r="E26" s="111"/>
      <c r="F26" s="114">
        <f>-SUMIF(Valida!E:E,D26,Valida!I:I)</f>
        <v>82688.310000000012</v>
      </c>
      <c r="G26" s="108"/>
      <c r="H26" s="114">
        <f>-SUMIF(Valida!E:E,D26,Valida!L:L)</f>
        <v>47563.46</v>
      </c>
      <c r="I26" s="115"/>
    </row>
    <row r="27" spans="2:9" s="112" customFormat="1" ht="15" hidden="1">
      <c r="B27" t="str">
        <f t="shared" si="4"/>
        <v>Vacio</v>
      </c>
      <c r="C27" t="str">
        <f t="shared" si="5"/>
        <v>No</v>
      </c>
      <c r="D27" s="118" t="s">
        <v>4700</v>
      </c>
      <c r="E27" s="111"/>
      <c r="F27" s="114">
        <f>-SUMIF(Valida!E:E,D27,Valida!I:I)</f>
        <v>0</v>
      </c>
      <c r="G27" s="108"/>
      <c r="H27" s="114">
        <f>-SUMIF(Valida!E:E,D27,Valida!L:L)</f>
        <v>0</v>
      </c>
      <c r="I27" s="115"/>
    </row>
    <row r="28" spans="2:9" s="112" customFormat="1" ht="15">
      <c r="B28" t="str">
        <f t="shared" si="4"/>
        <v>Ok</v>
      </c>
      <c r="C28" t="str">
        <f t="shared" si="5"/>
        <v>Si</v>
      </c>
      <c r="D28" s="118" t="s">
        <v>4394</v>
      </c>
      <c r="E28" s="111"/>
      <c r="F28" s="114">
        <f>-SUMIF(Valida!E:E,D28,Valida!I:I)</f>
        <v>1985</v>
      </c>
      <c r="G28" s="108"/>
      <c r="H28" s="114">
        <f>-SUMIF(Valida!E:E,D28,Valida!L:L)</f>
        <v>0</v>
      </c>
      <c r="I28" s="115"/>
    </row>
    <row r="29" spans="2:9" s="112" customFormat="1" ht="15">
      <c r="B29" t="str">
        <f t="shared" si="4"/>
        <v>Ok</v>
      </c>
      <c r="C29" t="str">
        <f t="shared" si="5"/>
        <v>Si</v>
      </c>
      <c r="D29" s="113"/>
      <c r="E29" s="111"/>
      <c r="F29" s="117">
        <f>SUM(F23:F28)</f>
        <v>-24154887.220000003</v>
      </c>
      <c r="G29" s="108"/>
      <c r="H29" s="117">
        <f>SUM(H23:H28)</f>
        <v>7826877.7499999991</v>
      </c>
      <c r="I29" s="115"/>
    </row>
    <row r="30" spans="2:9" s="112" customFormat="1" ht="15">
      <c r="B30" s="315" t="s">
        <v>4654</v>
      </c>
      <c r="C30" s="315" t="s">
        <v>8</v>
      </c>
      <c r="D30" s="119"/>
      <c r="E30" s="111"/>
      <c r="F30" s="120"/>
      <c r="G30" s="108"/>
      <c r="H30" s="120"/>
      <c r="I30" s="115"/>
    </row>
    <row r="31" spans="2:9" ht="15">
      <c r="B31" t="str">
        <f>IF(AND(F31=0,H31=0),"Vacio","Ok")</f>
        <v>Ok</v>
      </c>
      <c r="C31" t="str">
        <f>IF(B31="Ok","Si",IF(B31="Vacio","No","Pilas"))</f>
        <v>Si</v>
      </c>
      <c r="D31" s="112" t="s">
        <v>4701</v>
      </c>
      <c r="E31" s="111"/>
      <c r="F31" s="121">
        <f>F20+F29</f>
        <v>88157338.079999924</v>
      </c>
      <c r="G31" s="108"/>
      <c r="H31" s="121">
        <f>H20+H29</f>
        <v>-98056508.550000086</v>
      </c>
      <c r="I31" s="115"/>
    </row>
    <row r="32" spans="2:9" ht="4.9000000000000004" customHeight="1">
      <c r="B32" s="315" t="s">
        <v>4654</v>
      </c>
      <c r="C32" s="315" t="s">
        <v>8</v>
      </c>
      <c r="E32" s="111"/>
      <c r="F32" s="114"/>
      <c r="G32" s="108"/>
      <c r="H32" s="114"/>
      <c r="I32" s="115"/>
    </row>
    <row r="33" spans="2:9" ht="15">
      <c r="B33" t="str">
        <f>IF(AND(F33=0,H33=0),"Vacio","Ok")</f>
        <v>Ok</v>
      </c>
      <c r="C33" t="str">
        <f>IF(B33="Ok","Si",IF(B33="Vacio","No","Pilas"))</f>
        <v>Si</v>
      </c>
      <c r="D33" s="107" t="s">
        <v>4466</v>
      </c>
      <c r="E33" s="111"/>
      <c r="F33" s="114">
        <f>SUMIF(Valida!E:E,D33,Valida!I:I)</f>
        <v>38393938</v>
      </c>
      <c r="G33" s="108"/>
      <c r="H33" s="114">
        <f>SUMIF(Valida!E:E,D33,Valida!L:L)</f>
        <v>-26429000</v>
      </c>
      <c r="I33" s="115"/>
    </row>
    <row r="34" spans="2:9" ht="4.9000000000000004" customHeight="1">
      <c r="B34" s="315" t="s">
        <v>4654</v>
      </c>
      <c r="C34" s="315" t="s">
        <v>8</v>
      </c>
      <c r="E34" s="111"/>
      <c r="F34" s="122"/>
      <c r="G34" s="108"/>
      <c r="H34" s="122"/>
      <c r="I34" s="115"/>
    </row>
    <row r="35" spans="2:9" s="112" customFormat="1" ht="15">
      <c r="B35" t="str">
        <f>IF(AND(F35=0,H35=0),"Vacio","Ok")</f>
        <v>Ok</v>
      </c>
      <c r="C35" t="str">
        <f>IF(B35="Ok","Si",IF(B35="Vacio","No","Pilas"))</f>
        <v>Si</v>
      </c>
      <c r="D35" s="112" t="s">
        <v>4702</v>
      </c>
      <c r="E35" s="111"/>
      <c r="F35" s="121">
        <f>F31-F33</f>
        <v>49763400.079999924</v>
      </c>
      <c r="G35" s="108"/>
      <c r="H35" s="121">
        <f>H31-H33</f>
        <v>-71627508.550000086</v>
      </c>
      <c r="I35" s="115"/>
    </row>
    <row r="36" spans="2:9" ht="15" hidden="1">
      <c r="B36" t="str">
        <f>IF(AND(F36=0,H36=0),"Vacio","Ok")</f>
        <v>Vacio</v>
      </c>
      <c r="C36" t="str">
        <f>IF(B36="Ok","Si",IF(B36="Vacio","No","Pilas"))</f>
        <v>No</v>
      </c>
      <c r="F36" s="114"/>
      <c r="G36" s="108"/>
      <c r="H36" s="114"/>
      <c r="I36" s="115"/>
    </row>
    <row r="37" spans="2:9" ht="15" hidden="1">
      <c r="B37" t="str">
        <f>IF(AND(F37=0,H37=0),"Vacio","Ok")</f>
        <v>Vacio</v>
      </c>
      <c r="C37" t="str">
        <f>IF(B37="Ok","Si",IF(B37="Vacio","No","Pilas"))</f>
        <v>No</v>
      </c>
      <c r="D37" s="107" t="s">
        <v>4677</v>
      </c>
      <c r="F37" s="114">
        <v>0</v>
      </c>
      <c r="G37" s="108"/>
      <c r="H37" s="114">
        <f>SUMIF(Valida!E:E,D37,Valida!L:L)</f>
        <v>0</v>
      </c>
      <c r="I37" s="115"/>
    </row>
    <row r="38" spans="2:9" ht="15">
      <c r="B38" s="315" t="s">
        <v>4654</v>
      </c>
      <c r="C38" s="315" t="s">
        <v>8</v>
      </c>
      <c r="F38" s="114"/>
      <c r="G38" s="108"/>
      <c r="H38" s="114"/>
      <c r="I38" s="115"/>
    </row>
    <row r="39" spans="2:9" ht="15.75" thickBot="1">
      <c r="B39" t="str">
        <f>IF(AND(F39=0,H39=0),"Vacio","Ok")</f>
        <v>Ok</v>
      </c>
      <c r="C39" t="str">
        <f>IF(B39="Ok","Si",IF(B39="Vacio","No","Pilas"))</f>
        <v>Si</v>
      </c>
      <c r="D39" s="112" t="s">
        <v>4703</v>
      </c>
      <c r="F39" s="123">
        <f>F35-F37</f>
        <v>49763400.079999924</v>
      </c>
      <c r="G39" s="108"/>
      <c r="H39" s="123">
        <f>H35-H37</f>
        <v>-71627508.550000086</v>
      </c>
      <c r="I39" s="115"/>
    </row>
    <row r="40" spans="2:9" ht="13.5" thickTop="1">
      <c r="F40" s="108"/>
      <c r="G40" s="108"/>
      <c r="H40" s="108"/>
      <c r="I40" s="115"/>
    </row>
    <row r="41" spans="2:9">
      <c r="F41" s="108"/>
      <c r="G41" s="108"/>
      <c r="H41" s="108"/>
      <c r="I41" s="115"/>
    </row>
    <row r="42" spans="2:9">
      <c r="F42" s="108"/>
      <c r="G42" s="108"/>
      <c r="H42" s="108"/>
      <c r="I42" s="115"/>
    </row>
    <row r="43" spans="2:9">
      <c r="F43" s="108"/>
      <c r="G43" s="108"/>
      <c r="H43" s="108"/>
      <c r="I43" s="115"/>
    </row>
    <row r="44" spans="2:9">
      <c r="F44" s="108"/>
      <c r="G44" s="108"/>
      <c r="H44" s="108"/>
      <c r="I44" s="115"/>
    </row>
    <row r="45" spans="2:9">
      <c r="F45" s="108"/>
      <c r="G45" s="108"/>
      <c r="H45" s="108"/>
      <c r="I45" s="115"/>
    </row>
    <row r="46" spans="2:9">
      <c r="F46" s="108"/>
      <c r="G46" s="108"/>
      <c r="H46" s="108"/>
      <c r="I46" s="115"/>
    </row>
    <row r="47" spans="2:9">
      <c r="F47" s="108"/>
      <c r="G47" s="108"/>
      <c r="H47" s="108"/>
      <c r="I47" s="115"/>
    </row>
    <row r="48" spans="2:9">
      <c r="F48" s="108"/>
      <c r="G48" s="108"/>
      <c r="H48" s="108"/>
      <c r="I48" s="115"/>
    </row>
    <row r="49" spans="6:9">
      <c r="F49" s="108"/>
      <c r="G49" s="108"/>
      <c r="H49" s="108"/>
      <c r="I49" s="115"/>
    </row>
    <row r="50" spans="6:9">
      <c r="F50" s="108"/>
      <c r="G50" s="108"/>
      <c r="H50" s="108"/>
      <c r="I50" s="115"/>
    </row>
    <row r="51" spans="6:9">
      <c r="F51" s="108"/>
      <c r="G51" s="108"/>
      <c r="H51" s="108"/>
      <c r="I51" s="115"/>
    </row>
    <row r="52" spans="6:9">
      <c r="F52" s="108">
        <f>-ESF!F49</f>
        <v>-49763400.079999924</v>
      </c>
      <c r="G52" s="108"/>
      <c r="H52" s="108"/>
      <c r="I52" s="115"/>
    </row>
    <row r="53" spans="6:9">
      <c r="F53" s="96">
        <f>ROUND(F35+F52,2)</f>
        <v>0</v>
      </c>
      <c r="G53" s="115"/>
      <c r="H53" s="115"/>
      <c r="I53" s="115"/>
    </row>
    <row r="54" spans="6:9">
      <c r="F54" s="108"/>
      <c r="G54" s="108"/>
      <c r="H54" s="108"/>
      <c r="I54" s="115"/>
    </row>
    <row r="55" spans="6:9">
      <c r="F55" s="108">
        <f>Valida!I277</f>
        <v>49763400.080000043</v>
      </c>
      <c r="G55" s="108"/>
      <c r="H55" s="108"/>
      <c r="I55" s="115"/>
    </row>
    <row r="56" spans="6:9">
      <c r="F56" s="96">
        <f>ROUND(F39-F55,2)</f>
        <v>0</v>
      </c>
      <c r="G56" s="108"/>
      <c r="H56" s="108"/>
      <c r="I56" s="115"/>
    </row>
    <row r="57" spans="6:9">
      <c r="F57" s="108"/>
      <c r="G57" s="108"/>
      <c r="H57" s="108"/>
      <c r="I57" s="115"/>
    </row>
    <row r="58" spans="6:9">
      <c r="F58" s="108"/>
      <c r="G58" s="108"/>
      <c r="H58" s="108"/>
      <c r="I58" s="115"/>
    </row>
    <row r="59" spans="6:9">
      <c r="F59" s="108"/>
      <c r="G59" s="108"/>
      <c r="H59" s="108"/>
    </row>
    <row r="60" spans="6:9">
      <c r="F60" s="108"/>
      <c r="G60" s="108"/>
      <c r="H60" s="108"/>
    </row>
    <row r="61" spans="6:9">
      <c r="F61" s="108"/>
      <c r="G61" s="108"/>
      <c r="H61" s="108"/>
    </row>
    <row r="62" spans="6:9">
      <c r="F62" s="108"/>
      <c r="G62" s="108"/>
      <c r="H62" s="108"/>
    </row>
    <row r="63" spans="6:9">
      <c r="F63" s="108"/>
      <c r="G63" s="108"/>
      <c r="H63" s="108"/>
    </row>
    <row r="64" spans="6:9">
      <c r="F64" s="108"/>
      <c r="G64" s="108"/>
      <c r="H64" s="108"/>
    </row>
    <row r="65" spans="6:8">
      <c r="F65" s="108"/>
      <c r="G65" s="108"/>
      <c r="H65" s="108"/>
    </row>
    <row r="66" spans="6:8">
      <c r="F66" s="108"/>
      <c r="G66" s="108"/>
      <c r="H66" s="108"/>
    </row>
    <row r="67" spans="6:8">
      <c r="F67" s="108"/>
      <c r="G67" s="108"/>
      <c r="H67" s="108"/>
    </row>
    <row r="68" spans="6:8">
      <c r="F68" s="108"/>
      <c r="G68" s="108"/>
      <c r="H68" s="108"/>
    </row>
    <row r="69" spans="6:8">
      <c r="F69" s="108"/>
      <c r="G69" s="108"/>
      <c r="H69" s="108"/>
    </row>
    <row r="70" spans="6:8">
      <c r="F70" s="108"/>
      <c r="G70" s="108"/>
      <c r="H70" s="108"/>
    </row>
    <row r="71" spans="6:8">
      <c r="F71" s="108"/>
      <c r="G71" s="108"/>
      <c r="H71" s="108"/>
    </row>
    <row r="72" spans="6:8">
      <c r="F72" s="108"/>
      <c r="G72" s="108"/>
      <c r="H72" s="108"/>
    </row>
    <row r="73" spans="6:8">
      <c r="F73" s="108"/>
      <c r="G73" s="108"/>
      <c r="H73" s="108"/>
    </row>
    <row r="74" spans="6:8">
      <c r="F74" s="108"/>
      <c r="G74" s="108"/>
      <c r="H74" s="108"/>
    </row>
    <row r="75" spans="6:8">
      <c r="F75" s="108"/>
      <c r="G75" s="108"/>
      <c r="H75" s="108"/>
    </row>
    <row r="76" spans="6:8">
      <c r="F76" s="108"/>
      <c r="G76" s="108"/>
      <c r="H76" s="108"/>
    </row>
    <row r="77" spans="6:8">
      <c r="F77" s="108"/>
      <c r="G77" s="108"/>
      <c r="H77" s="108"/>
    </row>
    <row r="78" spans="6:8">
      <c r="F78" s="108"/>
      <c r="G78" s="108"/>
      <c r="H78" s="108"/>
    </row>
    <row r="79" spans="6:8">
      <c r="F79" s="108"/>
      <c r="G79" s="108"/>
      <c r="H79" s="108"/>
    </row>
    <row r="80" spans="6:8">
      <c r="F80" s="108"/>
      <c r="G80" s="108"/>
      <c r="H80" s="108"/>
    </row>
    <row r="81" spans="6:8">
      <c r="F81" s="108"/>
      <c r="G81" s="108"/>
      <c r="H81" s="108"/>
    </row>
    <row r="82" spans="6:8">
      <c r="F82" s="108"/>
      <c r="G82" s="108"/>
      <c r="H82" s="108"/>
    </row>
    <row r="83" spans="6:8">
      <c r="F83" s="108"/>
      <c r="G83" s="108"/>
      <c r="H83" s="108"/>
    </row>
    <row r="84" spans="6:8">
      <c r="F84" s="108"/>
      <c r="G84" s="108"/>
      <c r="H84" s="108"/>
    </row>
    <row r="85" spans="6:8">
      <c r="F85" s="108"/>
      <c r="G85" s="108"/>
      <c r="H85" s="108"/>
    </row>
    <row r="86" spans="6:8">
      <c r="F86" s="108"/>
      <c r="G86" s="108"/>
      <c r="H86" s="108"/>
    </row>
    <row r="87" spans="6:8">
      <c r="F87" s="108"/>
      <c r="G87" s="108"/>
      <c r="H87" s="108"/>
    </row>
    <row r="88" spans="6:8">
      <c r="F88" s="108"/>
      <c r="G88" s="108"/>
      <c r="H88" s="108"/>
    </row>
    <row r="89" spans="6:8">
      <c r="F89" s="108"/>
      <c r="G89" s="108"/>
      <c r="H89" s="108"/>
    </row>
    <row r="90" spans="6:8">
      <c r="F90" s="108"/>
      <c r="G90" s="108"/>
      <c r="H90" s="108"/>
    </row>
    <row r="91" spans="6:8">
      <c r="F91" s="108"/>
      <c r="G91" s="108"/>
      <c r="H91" s="108"/>
    </row>
    <row r="92" spans="6:8">
      <c r="F92" s="108"/>
      <c r="G92" s="108"/>
      <c r="H92" s="108"/>
    </row>
    <row r="93" spans="6:8">
      <c r="F93" s="108"/>
      <c r="G93" s="108"/>
      <c r="H93" s="108"/>
    </row>
    <row r="94" spans="6:8">
      <c r="F94" s="108"/>
      <c r="G94" s="108"/>
      <c r="H94" s="108"/>
    </row>
    <row r="95" spans="6:8">
      <c r="F95" s="108"/>
      <c r="G95" s="108"/>
      <c r="H95" s="108"/>
    </row>
    <row r="96" spans="6:8">
      <c r="F96" s="108"/>
      <c r="G96" s="108"/>
      <c r="H96" s="108"/>
    </row>
    <row r="97" spans="6:8">
      <c r="F97" s="108"/>
      <c r="G97" s="108"/>
      <c r="H97" s="108"/>
    </row>
    <row r="98" spans="6:8">
      <c r="F98" s="108"/>
      <c r="G98" s="108"/>
      <c r="H98" s="108"/>
    </row>
    <row r="99" spans="6:8">
      <c r="F99" s="108"/>
      <c r="G99" s="108"/>
      <c r="H99" s="108"/>
    </row>
    <row r="100" spans="6:8">
      <c r="F100" s="108"/>
      <c r="G100" s="108"/>
      <c r="H100" s="108"/>
    </row>
    <row r="101" spans="6:8">
      <c r="F101" s="108"/>
      <c r="G101" s="108"/>
      <c r="H101" s="108"/>
    </row>
    <row r="102" spans="6:8">
      <c r="F102" s="108"/>
      <c r="G102" s="108"/>
      <c r="H102" s="108"/>
    </row>
    <row r="103" spans="6:8">
      <c r="F103" s="108"/>
      <c r="G103" s="108"/>
      <c r="H103" s="108"/>
    </row>
    <row r="104" spans="6:8">
      <c r="F104" s="108"/>
      <c r="G104" s="108"/>
      <c r="H104" s="108"/>
    </row>
    <row r="105" spans="6:8">
      <c r="F105" s="108"/>
      <c r="G105" s="108"/>
      <c r="H105" s="108"/>
    </row>
    <row r="106" spans="6:8">
      <c r="F106" s="108"/>
      <c r="G106" s="108"/>
      <c r="H106" s="108"/>
    </row>
    <row r="107" spans="6:8">
      <c r="F107" s="108"/>
      <c r="G107" s="108"/>
      <c r="H107" s="108"/>
    </row>
    <row r="108" spans="6:8">
      <c r="F108" s="108"/>
      <c r="G108" s="108"/>
      <c r="H108" s="108"/>
    </row>
    <row r="109" spans="6:8">
      <c r="F109" s="108"/>
      <c r="G109" s="108"/>
      <c r="H109" s="108"/>
    </row>
    <row r="110" spans="6:8">
      <c r="F110" s="108"/>
      <c r="G110" s="108"/>
      <c r="H110" s="108"/>
    </row>
    <row r="111" spans="6:8">
      <c r="F111" s="108"/>
      <c r="G111" s="108"/>
      <c r="H111" s="108"/>
    </row>
    <row r="112" spans="6:8">
      <c r="F112" s="108"/>
      <c r="G112" s="108"/>
      <c r="H112" s="108"/>
    </row>
    <row r="113" spans="6:8">
      <c r="F113" s="108"/>
      <c r="G113" s="108"/>
      <c r="H113" s="108"/>
    </row>
    <row r="114" spans="6:8">
      <c r="F114" s="108"/>
      <c r="G114" s="108"/>
      <c r="H114" s="108"/>
    </row>
    <row r="115" spans="6:8">
      <c r="F115" s="108"/>
      <c r="G115" s="108"/>
      <c r="H115" s="108"/>
    </row>
    <row r="116" spans="6:8">
      <c r="F116" s="108"/>
      <c r="G116" s="108"/>
      <c r="H116" s="108"/>
    </row>
    <row r="117" spans="6:8">
      <c r="F117" s="108"/>
      <c r="G117" s="108"/>
      <c r="H117" s="108"/>
    </row>
    <row r="118" spans="6:8">
      <c r="F118" s="108"/>
      <c r="G118" s="108"/>
      <c r="H118" s="108"/>
    </row>
    <row r="119" spans="6:8">
      <c r="F119" s="108"/>
      <c r="G119" s="108"/>
      <c r="H119" s="108"/>
    </row>
    <row r="120" spans="6:8">
      <c r="F120" s="108"/>
      <c r="G120" s="108"/>
      <c r="H120" s="108"/>
    </row>
    <row r="121" spans="6:8">
      <c r="F121" s="108"/>
      <c r="G121" s="108"/>
      <c r="H121" s="108"/>
    </row>
    <row r="122" spans="6:8">
      <c r="F122" s="108"/>
      <c r="G122" s="108"/>
      <c r="H122" s="108"/>
    </row>
    <row r="123" spans="6:8">
      <c r="F123" s="108"/>
      <c r="G123" s="108"/>
      <c r="H123" s="108"/>
    </row>
    <row r="124" spans="6:8">
      <c r="F124" s="108"/>
      <c r="G124" s="108"/>
      <c r="H124" s="108"/>
    </row>
    <row r="125" spans="6:8">
      <c r="F125" s="108"/>
      <c r="G125" s="108"/>
      <c r="H125" s="108"/>
    </row>
    <row r="126" spans="6:8">
      <c r="F126" s="108"/>
      <c r="G126" s="108"/>
      <c r="H126" s="108"/>
    </row>
    <row r="127" spans="6:8">
      <c r="F127" s="108"/>
      <c r="G127" s="108"/>
      <c r="H127" s="108"/>
    </row>
    <row r="128" spans="6:8">
      <c r="F128" s="108"/>
      <c r="G128" s="108"/>
      <c r="H128" s="108"/>
    </row>
    <row r="129" spans="6:8">
      <c r="F129" s="108"/>
      <c r="G129" s="108"/>
      <c r="H129" s="108"/>
    </row>
    <row r="130" spans="6:8">
      <c r="F130" s="108"/>
      <c r="G130" s="108"/>
      <c r="H130" s="108"/>
    </row>
    <row r="131" spans="6:8">
      <c r="F131" s="108"/>
      <c r="G131" s="108"/>
      <c r="H131" s="108"/>
    </row>
    <row r="132" spans="6:8">
      <c r="F132" s="108"/>
      <c r="G132" s="108"/>
      <c r="H132" s="108"/>
    </row>
    <row r="133" spans="6:8">
      <c r="F133" s="108"/>
      <c r="G133" s="108"/>
      <c r="H133" s="108"/>
    </row>
    <row r="134" spans="6:8">
      <c r="F134" s="108"/>
      <c r="G134" s="108"/>
      <c r="H134" s="108"/>
    </row>
    <row r="135" spans="6:8">
      <c r="F135" s="108"/>
      <c r="G135" s="108"/>
      <c r="H135" s="108"/>
    </row>
    <row r="136" spans="6:8">
      <c r="F136" s="108"/>
      <c r="G136" s="108"/>
      <c r="H136" s="108"/>
    </row>
    <row r="137" spans="6:8">
      <c r="F137" s="108"/>
      <c r="G137" s="108"/>
      <c r="H137" s="108"/>
    </row>
    <row r="138" spans="6:8">
      <c r="F138" s="108"/>
      <c r="G138" s="108"/>
      <c r="H138" s="108"/>
    </row>
    <row r="139" spans="6:8">
      <c r="F139" s="108"/>
      <c r="G139" s="108"/>
      <c r="H139" s="108"/>
    </row>
    <row r="140" spans="6:8">
      <c r="F140" s="108"/>
      <c r="G140" s="108"/>
      <c r="H140" s="108"/>
    </row>
    <row r="141" spans="6:8">
      <c r="F141" s="108"/>
      <c r="G141" s="108"/>
      <c r="H141" s="108"/>
    </row>
    <row r="142" spans="6:8">
      <c r="F142" s="108"/>
      <c r="G142" s="108"/>
      <c r="H142" s="108"/>
    </row>
    <row r="143" spans="6:8">
      <c r="F143" s="108"/>
      <c r="G143" s="108"/>
      <c r="H143" s="108"/>
    </row>
    <row r="144" spans="6:8">
      <c r="F144" s="108"/>
      <c r="G144" s="108"/>
      <c r="H144" s="108"/>
    </row>
    <row r="145" spans="6:8">
      <c r="F145" s="108"/>
      <c r="G145" s="108"/>
      <c r="H145" s="108"/>
    </row>
    <row r="146" spans="6:8">
      <c r="F146" s="108"/>
      <c r="G146" s="108"/>
      <c r="H146" s="108"/>
    </row>
    <row r="147" spans="6:8">
      <c r="F147" s="108"/>
      <c r="G147" s="108"/>
      <c r="H147" s="108"/>
    </row>
    <row r="148" spans="6:8">
      <c r="F148" s="108"/>
      <c r="G148" s="108"/>
      <c r="H148" s="108"/>
    </row>
    <row r="149" spans="6:8">
      <c r="F149" s="108"/>
      <c r="G149" s="108"/>
      <c r="H149" s="108"/>
    </row>
    <row r="150" spans="6:8">
      <c r="F150" s="108"/>
      <c r="G150" s="108"/>
      <c r="H150" s="108"/>
    </row>
    <row r="151" spans="6:8">
      <c r="F151" s="108"/>
      <c r="G151" s="108"/>
      <c r="H151" s="108"/>
    </row>
    <row r="152" spans="6:8">
      <c r="F152" s="108"/>
      <c r="G152" s="108"/>
      <c r="H152" s="108"/>
    </row>
    <row r="153" spans="6:8">
      <c r="F153" s="108"/>
      <c r="G153" s="108"/>
      <c r="H153" s="108"/>
    </row>
    <row r="154" spans="6:8">
      <c r="F154" s="108"/>
      <c r="G154" s="108"/>
      <c r="H154" s="108"/>
    </row>
    <row r="155" spans="6:8">
      <c r="F155" s="108"/>
      <c r="G155" s="108"/>
      <c r="H155" s="108"/>
    </row>
    <row r="156" spans="6:8">
      <c r="F156" s="108"/>
      <c r="G156" s="108"/>
      <c r="H156" s="108"/>
    </row>
    <row r="157" spans="6:8">
      <c r="F157" s="108"/>
      <c r="G157" s="108"/>
      <c r="H157" s="108"/>
    </row>
    <row r="158" spans="6:8">
      <c r="F158" s="108"/>
      <c r="G158" s="108"/>
      <c r="H158" s="108"/>
    </row>
    <row r="159" spans="6:8">
      <c r="F159" s="108"/>
      <c r="G159" s="108"/>
      <c r="H159" s="108"/>
    </row>
    <row r="160" spans="6:8">
      <c r="F160" s="108"/>
      <c r="G160" s="108"/>
      <c r="H160" s="108"/>
    </row>
    <row r="161" spans="6:8">
      <c r="F161" s="108"/>
      <c r="G161" s="108"/>
      <c r="H161" s="108"/>
    </row>
    <row r="162" spans="6:8">
      <c r="F162" s="108"/>
      <c r="G162" s="108"/>
      <c r="H162" s="108"/>
    </row>
    <row r="163" spans="6:8">
      <c r="F163" s="108"/>
      <c r="G163" s="108"/>
      <c r="H163" s="108"/>
    </row>
    <row r="164" spans="6:8">
      <c r="F164" s="108"/>
      <c r="G164" s="108"/>
      <c r="H164" s="108"/>
    </row>
    <row r="165" spans="6:8">
      <c r="F165" s="108"/>
      <c r="G165" s="108"/>
      <c r="H165" s="108"/>
    </row>
    <row r="166" spans="6:8">
      <c r="F166" s="108"/>
      <c r="G166" s="108"/>
      <c r="H166" s="108"/>
    </row>
    <row r="167" spans="6:8">
      <c r="F167" s="108"/>
      <c r="G167" s="108"/>
      <c r="H167" s="108"/>
    </row>
    <row r="168" spans="6:8">
      <c r="F168" s="108"/>
      <c r="G168" s="108"/>
      <c r="H168" s="108"/>
    </row>
    <row r="169" spans="6:8">
      <c r="F169" s="108"/>
      <c r="G169" s="108"/>
      <c r="H169" s="108"/>
    </row>
    <row r="170" spans="6:8">
      <c r="F170" s="108"/>
      <c r="G170" s="108"/>
      <c r="H170" s="108"/>
    </row>
    <row r="171" spans="6:8">
      <c r="F171" s="108"/>
      <c r="G171" s="108"/>
      <c r="H171" s="108"/>
    </row>
    <row r="172" spans="6:8">
      <c r="F172" s="108"/>
      <c r="G172" s="108"/>
      <c r="H172" s="108"/>
    </row>
    <row r="173" spans="6:8">
      <c r="F173" s="108"/>
      <c r="G173" s="108"/>
      <c r="H173" s="108"/>
    </row>
    <row r="174" spans="6:8">
      <c r="F174" s="108"/>
      <c r="G174" s="108"/>
      <c r="H174" s="108"/>
    </row>
    <row r="175" spans="6:8">
      <c r="F175" s="108"/>
      <c r="G175" s="108"/>
      <c r="H175" s="108"/>
    </row>
    <row r="176" spans="6:8">
      <c r="F176" s="108"/>
      <c r="G176" s="108"/>
      <c r="H176" s="108"/>
    </row>
    <row r="177" spans="6:8">
      <c r="F177" s="108"/>
      <c r="G177" s="108"/>
      <c r="H177" s="108"/>
    </row>
    <row r="178" spans="6:8">
      <c r="F178" s="108"/>
      <c r="G178" s="108"/>
      <c r="H178" s="108"/>
    </row>
    <row r="179" spans="6:8">
      <c r="F179" s="108"/>
      <c r="G179" s="108"/>
      <c r="H179" s="108"/>
    </row>
    <row r="180" spans="6:8">
      <c r="F180" s="108"/>
      <c r="G180" s="108"/>
      <c r="H180" s="108"/>
    </row>
    <row r="181" spans="6:8">
      <c r="F181" s="108"/>
      <c r="G181" s="108"/>
      <c r="H181" s="108"/>
    </row>
    <row r="182" spans="6:8">
      <c r="F182" s="108"/>
      <c r="G182" s="108"/>
      <c r="H182" s="108"/>
    </row>
    <row r="183" spans="6:8">
      <c r="F183" s="108"/>
      <c r="G183" s="108"/>
      <c r="H183" s="108"/>
    </row>
    <row r="184" spans="6:8">
      <c r="F184" s="108"/>
      <c r="G184" s="108"/>
      <c r="H184" s="108"/>
    </row>
    <row r="185" spans="6:8">
      <c r="F185" s="108"/>
      <c r="G185" s="108"/>
      <c r="H185" s="108"/>
    </row>
    <row r="186" spans="6:8">
      <c r="F186" s="108"/>
      <c r="G186" s="108"/>
      <c r="H186" s="108"/>
    </row>
    <row r="187" spans="6:8">
      <c r="F187" s="108"/>
      <c r="G187" s="108"/>
      <c r="H187" s="108"/>
    </row>
    <row r="188" spans="6:8">
      <c r="F188" s="108"/>
      <c r="G188" s="108"/>
      <c r="H188" s="108"/>
    </row>
    <row r="189" spans="6:8">
      <c r="F189" s="108"/>
      <c r="G189" s="108"/>
      <c r="H189" s="108"/>
    </row>
    <row r="190" spans="6:8">
      <c r="F190" s="108"/>
      <c r="G190" s="108"/>
      <c r="H190" s="108"/>
    </row>
    <row r="191" spans="6:8">
      <c r="F191" s="108"/>
      <c r="G191" s="108"/>
      <c r="H191" s="108"/>
    </row>
    <row r="192" spans="6:8">
      <c r="F192" s="108"/>
      <c r="G192" s="108"/>
      <c r="H192" s="108"/>
    </row>
    <row r="193" spans="6:8">
      <c r="F193" s="108"/>
      <c r="G193" s="108"/>
      <c r="H193" s="108"/>
    </row>
    <row r="194" spans="6:8">
      <c r="F194" s="108"/>
      <c r="G194" s="108"/>
      <c r="H194" s="108"/>
    </row>
    <row r="195" spans="6:8">
      <c r="F195" s="108"/>
      <c r="G195" s="108"/>
      <c r="H195" s="108"/>
    </row>
    <row r="196" spans="6:8">
      <c r="F196" s="108"/>
      <c r="G196" s="108"/>
      <c r="H196" s="108"/>
    </row>
    <row r="197" spans="6:8">
      <c r="F197" s="108"/>
      <c r="G197" s="108"/>
      <c r="H197" s="108"/>
    </row>
    <row r="198" spans="6:8">
      <c r="F198" s="108"/>
      <c r="G198" s="108"/>
      <c r="H198" s="108"/>
    </row>
    <row r="199" spans="6:8">
      <c r="F199" s="108"/>
      <c r="G199" s="108"/>
      <c r="H199" s="108"/>
    </row>
    <row r="200" spans="6:8">
      <c r="F200" s="108"/>
      <c r="G200" s="108"/>
      <c r="H200" s="108"/>
    </row>
    <row r="201" spans="6:8">
      <c r="F201" s="108"/>
      <c r="G201" s="108"/>
      <c r="H201" s="108"/>
    </row>
    <row r="202" spans="6:8">
      <c r="F202" s="108"/>
      <c r="G202" s="108"/>
      <c r="H202" s="108"/>
    </row>
    <row r="203" spans="6:8">
      <c r="F203" s="108"/>
      <c r="G203" s="108"/>
      <c r="H203" s="108"/>
    </row>
    <row r="204" spans="6:8">
      <c r="F204" s="108"/>
      <c r="G204" s="108"/>
      <c r="H204" s="108"/>
    </row>
    <row r="205" spans="6:8">
      <c r="F205" s="108"/>
      <c r="G205" s="108"/>
      <c r="H205" s="108"/>
    </row>
    <row r="206" spans="6:8">
      <c r="F206" s="108"/>
      <c r="G206" s="108"/>
      <c r="H206" s="108"/>
    </row>
    <row r="207" spans="6:8">
      <c r="F207" s="108"/>
      <c r="G207" s="108"/>
      <c r="H207" s="108"/>
    </row>
    <row r="208" spans="6:8">
      <c r="F208" s="108"/>
      <c r="G208" s="108"/>
      <c r="H208" s="108"/>
    </row>
    <row r="209" spans="6:8">
      <c r="F209" s="108"/>
      <c r="G209" s="108"/>
      <c r="H209" s="108"/>
    </row>
    <row r="210" spans="6:8">
      <c r="F210" s="108"/>
      <c r="G210" s="108"/>
      <c r="H210" s="108"/>
    </row>
    <row r="211" spans="6:8">
      <c r="F211" s="108"/>
      <c r="G211" s="108"/>
      <c r="H211" s="108"/>
    </row>
    <row r="212" spans="6:8">
      <c r="F212" s="108"/>
      <c r="G212" s="108"/>
      <c r="H212" s="108"/>
    </row>
    <row r="213" spans="6:8">
      <c r="F213" s="108"/>
      <c r="G213" s="108"/>
      <c r="H213" s="108"/>
    </row>
    <row r="214" spans="6:8">
      <c r="F214" s="108"/>
      <c r="G214" s="108"/>
      <c r="H214" s="108"/>
    </row>
    <row r="215" spans="6:8">
      <c r="F215" s="108"/>
      <c r="G215" s="108"/>
      <c r="H215" s="108"/>
    </row>
    <row r="216" spans="6:8">
      <c r="F216" s="108"/>
      <c r="G216" s="108"/>
      <c r="H216" s="108"/>
    </row>
    <row r="217" spans="6:8">
      <c r="F217" s="108"/>
      <c r="G217" s="108"/>
      <c r="H217" s="108"/>
    </row>
    <row r="218" spans="6:8">
      <c r="F218" s="108"/>
      <c r="G218" s="108"/>
      <c r="H218" s="108"/>
    </row>
    <row r="219" spans="6:8">
      <c r="F219" s="108"/>
      <c r="G219" s="108"/>
      <c r="H219" s="108"/>
    </row>
    <row r="220" spans="6:8">
      <c r="F220" s="108"/>
      <c r="G220" s="108"/>
      <c r="H220" s="108"/>
    </row>
    <row r="221" spans="6:8">
      <c r="F221" s="108"/>
      <c r="G221" s="108"/>
      <c r="H221" s="108"/>
    </row>
    <row r="222" spans="6:8">
      <c r="F222" s="108"/>
      <c r="G222" s="108"/>
      <c r="H222" s="108"/>
    </row>
    <row r="223" spans="6:8">
      <c r="F223" s="108"/>
      <c r="G223" s="108"/>
      <c r="H223" s="108"/>
    </row>
    <row r="224" spans="6:8">
      <c r="F224" s="108"/>
      <c r="G224" s="108"/>
      <c r="H224" s="108"/>
    </row>
    <row r="225" spans="6:8">
      <c r="F225" s="108"/>
      <c r="G225" s="108"/>
      <c r="H225" s="108"/>
    </row>
    <row r="226" spans="6:8">
      <c r="F226" s="108"/>
      <c r="G226" s="108"/>
      <c r="H226" s="108"/>
    </row>
    <row r="227" spans="6:8">
      <c r="F227" s="108"/>
      <c r="G227" s="108"/>
      <c r="H227" s="108"/>
    </row>
    <row r="228" spans="6:8">
      <c r="F228" s="108"/>
      <c r="G228" s="108"/>
      <c r="H228" s="108"/>
    </row>
    <row r="229" spans="6:8">
      <c r="F229" s="108"/>
      <c r="G229" s="108"/>
      <c r="H229" s="108"/>
    </row>
    <row r="230" spans="6:8">
      <c r="F230" s="108"/>
      <c r="G230" s="108"/>
      <c r="H230" s="108"/>
    </row>
    <row r="231" spans="6:8">
      <c r="F231" s="108"/>
      <c r="G231" s="108"/>
      <c r="H231" s="108"/>
    </row>
    <row r="232" spans="6:8">
      <c r="F232" s="108"/>
      <c r="G232" s="108"/>
      <c r="H232" s="108"/>
    </row>
    <row r="233" spans="6:8">
      <c r="F233" s="108"/>
      <c r="G233" s="108"/>
      <c r="H233" s="108"/>
    </row>
    <row r="234" spans="6:8">
      <c r="F234" s="108"/>
      <c r="G234" s="108"/>
      <c r="H234" s="108"/>
    </row>
    <row r="235" spans="6:8">
      <c r="F235" s="108"/>
      <c r="G235" s="108"/>
      <c r="H235" s="108"/>
    </row>
    <row r="236" spans="6:8">
      <c r="F236" s="108"/>
      <c r="G236" s="108"/>
      <c r="H236" s="108"/>
    </row>
    <row r="237" spans="6:8">
      <c r="F237" s="108"/>
      <c r="G237" s="108"/>
      <c r="H237" s="108"/>
    </row>
    <row r="238" spans="6:8">
      <c r="F238" s="108"/>
      <c r="G238" s="108"/>
      <c r="H238" s="108"/>
    </row>
    <row r="239" spans="6:8">
      <c r="F239" s="108"/>
      <c r="G239" s="108"/>
      <c r="H239" s="108"/>
    </row>
    <row r="240" spans="6:8">
      <c r="F240" s="108"/>
      <c r="G240" s="108"/>
      <c r="H240" s="108"/>
    </row>
    <row r="241" spans="6:8">
      <c r="F241" s="108"/>
      <c r="G241" s="108"/>
      <c r="H241" s="108"/>
    </row>
    <row r="242" spans="6:8">
      <c r="F242" s="108"/>
      <c r="G242" s="108"/>
      <c r="H242" s="108"/>
    </row>
    <row r="243" spans="6:8">
      <c r="F243" s="108"/>
      <c r="G243" s="108"/>
      <c r="H243" s="108"/>
    </row>
    <row r="244" spans="6:8">
      <c r="F244" s="108"/>
      <c r="G244" s="108"/>
      <c r="H244" s="108"/>
    </row>
    <row r="245" spans="6:8">
      <c r="F245" s="108"/>
      <c r="G245" s="108"/>
      <c r="H245" s="108"/>
    </row>
    <row r="246" spans="6:8">
      <c r="F246" s="108"/>
      <c r="G246" s="108"/>
      <c r="H246" s="108"/>
    </row>
    <row r="247" spans="6:8">
      <c r="F247" s="108"/>
      <c r="G247" s="108"/>
      <c r="H247" s="108"/>
    </row>
    <row r="248" spans="6:8">
      <c r="F248" s="108"/>
      <c r="G248" s="108"/>
      <c r="H248" s="108"/>
    </row>
    <row r="249" spans="6:8">
      <c r="F249" s="108"/>
      <c r="G249" s="108"/>
      <c r="H249" s="108"/>
    </row>
    <row r="250" spans="6:8">
      <c r="F250" s="108"/>
      <c r="G250" s="108"/>
      <c r="H250" s="108"/>
    </row>
  </sheetData>
  <autoFilter ref="B7:H39" xr:uid="{614A61CE-F200-4886-AD37-D838CB1703AD}">
    <filterColumn colId="1">
      <filters>
        <filter val="Si"/>
      </filters>
    </filterColumn>
  </autoFilter>
  <conditionalFormatting sqref="F53">
    <cfRule type="cellIs" dxfId="19" priority="5" operator="notEqual">
      <formula>0</formula>
    </cfRule>
    <cfRule type="cellIs" dxfId="18" priority="6" operator="equal">
      <formula>0</formula>
    </cfRule>
  </conditionalFormatting>
  <conditionalFormatting sqref="F56">
    <cfRule type="cellIs" dxfId="17" priority="1" operator="notEqual">
      <formula>0</formula>
    </cfRule>
    <cfRule type="cellIs" dxfId="16" priority="2" operator="equal">
      <formula>0</formula>
    </cfRule>
  </conditionalFormatting>
  <printOptions horizontalCentered="1"/>
  <pageMargins left="0.39370078740157483" right="0.39370078740157483" top="0.78740157480314965" bottom="0.78740157480314965" header="0.39370078740157483" footer="0.39370078740157483"/>
  <pageSetup scale="8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14</vt:i4>
      </vt:variant>
    </vt:vector>
  </HeadingPairs>
  <TitlesOfParts>
    <vt:vector size="32" baseType="lpstr">
      <vt:lpstr>PUC</vt:lpstr>
      <vt:lpstr>BceTerceros</vt:lpstr>
      <vt:lpstr>Bce</vt:lpstr>
      <vt:lpstr>Mov</vt:lpstr>
      <vt:lpstr>BceAnt</vt:lpstr>
      <vt:lpstr>Valida</vt:lpstr>
      <vt:lpstr>P&amp;L</vt:lpstr>
      <vt:lpstr>ESF</vt:lpstr>
      <vt:lpstr>ERI</vt:lpstr>
      <vt:lpstr>EFC_SS</vt:lpstr>
      <vt:lpstr>EFC.Ind</vt:lpstr>
      <vt:lpstr>ECP</vt:lpstr>
      <vt:lpstr>Proyección</vt:lpstr>
      <vt:lpstr>BS</vt:lpstr>
      <vt:lpstr>CF</vt:lpstr>
      <vt:lpstr>Forecast</vt:lpstr>
      <vt:lpstr>Iva</vt:lpstr>
      <vt:lpstr>Periodicidad</vt:lpstr>
      <vt:lpstr>BS!Área_de_impresión</vt:lpstr>
      <vt:lpstr>CF!Área_de_impresión</vt:lpstr>
      <vt:lpstr>ECP!Área_de_impresión</vt:lpstr>
      <vt:lpstr>EFC.Ind!Área_de_impresión</vt:lpstr>
      <vt:lpstr>ERI!Área_de_impresión</vt:lpstr>
      <vt:lpstr>ESF!Área_de_impresión</vt:lpstr>
      <vt:lpstr>Forecast!Área_de_impresión</vt:lpstr>
      <vt:lpstr>'P&amp;L'!Área_de_impresión</vt:lpstr>
      <vt:lpstr>Proyección!Área_de_impresión</vt:lpstr>
      <vt:lpstr>BS!Títulos_a_imprimir</vt:lpstr>
      <vt:lpstr>CF!Títulos_a_imprimir</vt:lpstr>
      <vt:lpstr>EFC.Ind!Títulos_a_imprimir</vt:lpstr>
      <vt:lpstr>Forecast!Títulos_a_imprimir</vt:lpstr>
      <vt:lpstr>'P&amp;L'!Títulos_a_imprimir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Perez Acosta</dc:creator>
  <cp:keywords/>
  <dc:description/>
  <cp:lastModifiedBy>Gustavo Rosillo</cp:lastModifiedBy>
  <cp:revision/>
  <cp:lastPrinted>2024-03-08T16:17:32Z</cp:lastPrinted>
  <dcterms:created xsi:type="dcterms:W3CDTF">2021-11-05T14:46:07Z</dcterms:created>
  <dcterms:modified xsi:type="dcterms:W3CDTF">2024-04-04T00:35:41Z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29890912-5975-4a20-bc4e-e9ed54efb1b3</vt:lpwstr>
  </property>
</Properties>
</file>